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4385" yWindow="-15" windowWidth="14430" windowHeight="12720" tabRatio="610" firstSheet="7" activeTab="7"/>
  </bookViews>
  <sheets>
    <sheet name="전체 집계표(출력1)" sheetId="18" state="hidden" r:id="rId1"/>
    <sheet name="집계표(출력2)" sheetId="33" state="hidden" r:id="rId2"/>
    <sheet name="(당초)전체" sheetId="28" state="hidden" r:id="rId3"/>
    <sheet name="(변경)전체" sheetId="4" state="hidden" r:id="rId4"/>
    <sheet name="(당초)집계표" sheetId="27" state="hidden" r:id="rId5"/>
    <sheet name="(변경)집계표" sheetId="5" state="hidden" r:id="rId6"/>
    <sheet name="(당초)대두리" sheetId="22" state="hidden" r:id="rId7"/>
    <sheet name="대두리(출력3)" sheetId="6" r:id="rId8"/>
    <sheet name="(당초)봉락리" sheetId="23" state="hidden" r:id="rId9"/>
    <sheet name="봉락리(출력4)" sheetId="7" r:id="rId10"/>
    <sheet name="(당초)칠전리" sheetId="24" state="hidden" r:id="rId11"/>
    <sheet name="칠전리(출력5)" sheetId="8" r:id="rId12"/>
    <sheet name="(당초)마룡리" sheetId="25" state="hidden" r:id="rId13"/>
    <sheet name="마룡리(출력6)" sheetId="9" r:id="rId14"/>
    <sheet name="(당초)창리" sheetId="26" state="hidden" r:id="rId15"/>
    <sheet name="창리(출력7)" sheetId="10" r:id="rId16"/>
    <sheet name="6" sheetId="11" state="hidden" r:id="rId17"/>
    <sheet name="7" sheetId="12" state="hidden" r:id="rId18"/>
    <sheet name="8" sheetId="13" state="hidden" r:id="rId19"/>
    <sheet name="9" sheetId="14" state="hidden" r:id="rId20"/>
    <sheet name="10" sheetId="15" state="hidden" r:id="rId21"/>
  </sheets>
  <definedNames>
    <definedName name="_xlnm._FilterDatabase" localSheetId="6" hidden="1">'(당초)대두리'!$A$5:$X$100</definedName>
    <definedName name="_xlnm._FilterDatabase" localSheetId="12" hidden="1">'(당초)마룡리'!$A$5:$AB$593</definedName>
    <definedName name="_xlnm._FilterDatabase" localSheetId="8" hidden="1">'(당초)봉락리'!$A$5:$U$156</definedName>
    <definedName name="_xlnm._FilterDatabase" localSheetId="14" hidden="1">'(당초)창리'!$A$5:$AD$596</definedName>
    <definedName name="_xlnm._FilterDatabase" localSheetId="10" hidden="1">'(당초)칠전리'!$A$5:$U$232</definedName>
    <definedName name="_xlnm._FilterDatabase" localSheetId="20" hidden="1">'10'!$A$4:$N$530</definedName>
    <definedName name="_xlnm._FilterDatabase" localSheetId="16" hidden="1">'6'!$A$4:$N$530</definedName>
    <definedName name="_xlnm._FilterDatabase" localSheetId="17" hidden="1">'7'!$A$4:$N$530</definedName>
    <definedName name="_xlnm._FilterDatabase" localSheetId="18" hidden="1">'8'!$A$4:$N$530</definedName>
    <definedName name="_xlnm._FilterDatabase" localSheetId="19" hidden="1">'9'!$A$4:$N$530</definedName>
    <definedName name="_xlnm._FilterDatabase" localSheetId="7" hidden="1">'대두리(출력3)'!$A$4:$AC$153</definedName>
    <definedName name="_xlnm._FilterDatabase" localSheetId="13" hidden="1">'마룡리(출력6)'!$A$4:$W$4</definedName>
    <definedName name="_xlnm._FilterDatabase" localSheetId="9" hidden="1">'봉락리(출력4)'!$A$4:$W$4</definedName>
    <definedName name="_xlnm._FilterDatabase" localSheetId="15" hidden="1">'창리(출력7)'!$A$4:$W$595</definedName>
    <definedName name="_xlnm._FilterDatabase" localSheetId="11" hidden="1">'칠전리(출력5)'!$A$4:$X$4</definedName>
    <definedName name="_xlnm.Print_Area" localSheetId="6">'(당초)대두리'!$A$1:$L$155</definedName>
    <definedName name="_xlnm.Print_Area" localSheetId="12">'(당초)마룡리'!$A$1:$I$131</definedName>
    <definedName name="_xlnm.Print_Area" localSheetId="8">'(당초)봉락리'!$A$1:$I$156</definedName>
    <definedName name="_xlnm.Print_Area" localSheetId="2">'(당초)전체'!$A$1:$AI$128</definedName>
    <definedName name="_xlnm.Print_Area" localSheetId="4">'(당초)집계표'!$A$1:$N$151</definedName>
    <definedName name="_xlnm.Print_Area" localSheetId="14">'(당초)창리'!$A$1:$I$164</definedName>
    <definedName name="_xlnm.Print_Area" localSheetId="10">'(당초)칠전리'!$A$1:$I$236</definedName>
    <definedName name="_xlnm.Print_Area" localSheetId="3">'(변경)전체'!$A$1:$AI$128</definedName>
    <definedName name="_xlnm.Print_Area" localSheetId="5">'(변경)집계표'!$A$1:$N$151</definedName>
    <definedName name="_xlnm.Print_Area" localSheetId="16">'6'!$A$1:$M$26</definedName>
    <definedName name="_xlnm.Print_Area" localSheetId="7">'대두리(출력3)'!$A$1:$P$153</definedName>
    <definedName name="_xlnm.Print_Area" localSheetId="13">'마룡리(출력6)'!$A$1:$P$128</definedName>
    <definedName name="_xlnm.Print_Area" localSheetId="9">'봉락리(출력4)'!$A$1:$P$155</definedName>
    <definedName name="_xlnm.Print_Area" localSheetId="0">'전체 집계표(출력1)'!$A$1:$M$32</definedName>
    <definedName name="_xlnm.Print_Area" localSheetId="1">'집계표(출력2)'!$A$1:$AA$116</definedName>
    <definedName name="_xlnm.Print_Area" localSheetId="15">'창리(출력7)'!$A$1:$P$163</definedName>
    <definedName name="_xlnm.Print_Area" localSheetId="11">'칠전리(출력5)'!$A$1:$P$233</definedName>
    <definedName name="_xlnm.Print_Titles" localSheetId="6">'(당초)대두리'!$1:$5</definedName>
    <definedName name="_xlnm.Print_Titles" localSheetId="12">'(당초)마룡리'!$1:$5</definedName>
    <definedName name="_xlnm.Print_Titles" localSheetId="8">'(당초)봉락리'!$1:$5</definedName>
    <definedName name="_xlnm.Print_Titles" localSheetId="4">'(당초)집계표'!$1:$1</definedName>
    <definedName name="_xlnm.Print_Titles" localSheetId="14">'(당초)창리'!$1:$5</definedName>
    <definedName name="_xlnm.Print_Titles" localSheetId="10">'(당초)칠전리'!$1:$5</definedName>
    <definedName name="_xlnm.Print_Titles" localSheetId="5">'(변경)집계표'!$1:$1</definedName>
    <definedName name="_xlnm.Print_Titles" localSheetId="20">'10'!$1:$5</definedName>
    <definedName name="_xlnm.Print_Titles" localSheetId="16">'6'!$1:$5</definedName>
    <definedName name="_xlnm.Print_Titles" localSheetId="17">'7'!$1:$5</definedName>
    <definedName name="_xlnm.Print_Titles" localSheetId="18">'8'!$1:$5</definedName>
    <definedName name="_xlnm.Print_Titles" localSheetId="19">'9'!$1:$5</definedName>
    <definedName name="_xlnm.Print_Titles" localSheetId="7">'대두리(출력3)'!$1:$4</definedName>
    <definedName name="_xlnm.Print_Titles" localSheetId="13">'마룡리(출력6)'!$1:$4</definedName>
    <definedName name="_xlnm.Print_Titles" localSheetId="9">'봉락리(출력4)'!$1:$4</definedName>
    <definedName name="_xlnm.Print_Titles" localSheetId="0">'전체 집계표(출력1)'!$1:$1</definedName>
    <definedName name="_xlnm.Print_Titles" localSheetId="15">'창리(출력7)'!$1:$4</definedName>
    <definedName name="_xlnm.Print_Titles" localSheetId="11">'칠전리(출력5)'!$1:$4</definedName>
  </definedNames>
  <calcPr calcId="144525"/>
</workbook>
</file>

<file path=xl/calcChain.xml><?xml version="1.0" encoding="utf-8"?>
<calcChain xmlns="http://schemas.openxmlformats.org/spreadsheetml/2006/main">
  <c r="D14" i="5" l="1"/>
  <c r="D121" i="27" l="1"/>
  <c r="B121" i="27"/>
  <c r="D120" i="27"/>
  <c r="B120" i="27"/>
  <c r="D119" i="27"/>
  <c r="B119" i="27"/>
  <c r="D118" i="27"/>
  <c r="B118" i="27"/>
  <c r="D117" i="27"/>
  <c r="B117" i="27"/>
  <c r="D116" i="27"/>
  <c r="B116" i="27"/>
  <c r="D115" i="27"/>
  <c r="B115" i="27"/>
  <c r="D114" i="27"/>
  <c r="B114" i="27"/>
  <c r="D113" i="27"/>
  <c r="B113" i="27"/>
  <c r="D112" i="27"/>
  <c r="B112" i="27"/>
  <c r="D111" i="27"/>
  <c r="B111" i="27"/>
  <c r="D110" i="27"/>
  <c r="B110" i="27"/>
  <c r="D109" i="27"/>
  <c r="B109" i="27"/>
  <c r="D108" i="27"/>
  <c r="B108" i="27"/>
  <c r="D107" i="27"/>
  <c r="B107" i="27"/>
  <c r="D106" i="27"/>
  <c r="B106" i="27"/>
  <c r="D105" i="27"/>
  <c r="B105" i="27"/>
  <c r="D104" i="27"/>
  <c r="B104" i="27"/>
  <c r="D103" i="27"/>
  <c r="B103" i="27"/>
  <c r="D102" i="27"/>
  <c r="B102" i="27"/>
  <c r="D101" i="27"/>
  <c r="B101" i="27"/>
  <c r="D100" i="27"/>
  <c r="B100" i="27"/>
  <c r="D99" i="27"/>
  <c r="B99" i="27"/>
  <c r="D98" i="27"/>
  <c r="B98" i="27"/>
  <c r="D97" i="27"/>
  <c r="B97" i="27"/>
  <c r="D91" i="27" l="1"/>
  <c r="B91" i="27"/>
  <c r="D90" i="27"/>
  <c r="B90" i="27"/>
  <c r="D89" i="27"/>
  <c r="B89" i="27"/>
  <c r="D88" i="27"/>
  <c r="B88" i="27"/>
  <c r="D87" i="27"/>
  <c r="B87" i="27"/>
  <c r="D86" i="27"/>
  <c r="B86" i="27"/>
  <c r="D85" i="27"/>
  <c r="B85" i="27"/>
  <c r="D84" i="27"/>
  <c r="B84" i="27"/>
  <c r="D83" i="27"/>
  <c r="B83" i="27"/>
  <c r="D82" i="27"/>
  <c r="B82" i="27"/>
  <c r="D81" i="27"/>
  <c r="B81" i="27"/>
  <c r="D80" i="27"/>
  <c r="B80" i="27"/>
  <c r="D79" i="27"/>
  <c r="B79" i="27"/>
  <c r="D78" i="27"/>
  <c r="B78" i="27"/>
  <c r="D77" i="27"/>
  <c r="B77" i="27"/>
  <c r="D76" i="27"/>
  <c r="B76" i="27"/>
  <c r="D75" i="27"/>
  <c r="B75" i="27"/>
  <c r="D74" i="27"/>
  <c r="B74" i="27"/>
  <c r="D73" i="27"/>
  <c r="B73" i="27"/>
  <c r="D72" i="27"/>
  <c r="B72" i="27"/>
  <c r="D71" i="27"/>
  <c r="B71" i="27"/>
  <c r="D70" i="27"/>
  <c r="B70" i="27"/>
  <c r="D69" i="27"/>
  <c r="B69" i="27"/>
  <c r="D68" i="27"/>
  <c r="B68" i="27"/>
  <c r="D67" i="27"/>
  <c r="B67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J233" i="24" l="1"/>
  <c r="J162" i="26"/>
  <c r="J161" i="26"/>
  <c r="J160" i="26"/>
  <c r="J159" i="26"/>
  <c r="J158" i="26"/>
  <c r="J157" i="26"/>
  <c r="J156" i="26"/>
  <c r="J155" i="26"/>
  <c r="J154" i="26"/>
  <c r="J153" i="26"/>
  <c r="F164" i="26"/>
  <c r="G51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M153" i="22"/>
  <c r="M152" i="22"/>
  <c r="M151" i="22"/>
  <c r="M150" i="22"/>
  <c r="M149" i="22"/>
  <c r="M148" i="22"/>
  <c r="M147" i="22"/>
  <c r="M146" i="22"/>
  <c r="M145" i="22"/>
  <c r="M144" i="22"/>
  <c r="M143" i="22"/>
  <c r="M142" i="22"/>
  <c r="M141" i="22"/>
  <c r="M140" i="22"/>
  <c r="M139" i="22"/>
  <c r="M138" i="22"/>
  <c r="M137" i="22"/>
  <c r="M136" i="22"/>
  <c r="M135" i="22"/>
  <c r="M134" i="22"/>
  <c r="M133" i="22"/>
  <c r="M132" i="22"/>
  <c r="M131" i="22"/>
  <c r="M130" i="22"/>
  <c r="M129" i="22"/>
  <c r="M128" i="22"/>
  <c r="M127" i="22"/>
  <c r="M126" i="22"/>
  <c r="M125" i="22"/>
  <c r="M124" i="22"/>
  <c r="M123" i="22"/>
  <c r="M122" i="22"/>
  <c r="M121" i="22"/>
  <c r="M120" i="22"/>
  <c r="M119" i="22"/>
  <c r="M118" i="22"/>
  <c r="M117" i="22"/>
  <c r="M116" i="22"/>
  <c r="M115" i="22"/>
  <c r="M114" i="22"/>
  <c r="M113" i="22"/>
  <c r="M112" i="22"/>
  <c r="M111" i="22"/>
  <c r="M110" i="22"/>
  <c r="M109" i="22"/>
  <c r="M108" i="22"/>
  <c r="M107" i="22"/>
  <c r="M106" i="22"/>
  <c r="M105" i="22"/>
  <c r="M104" i="22"/>
  <c r="M103" i="22"/>
  <c r="M102" i="22"/>
  <c r="M101" i="22"/>
  <c r="A7" i="22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1" i="22" l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M10" i="22"/>
  <c r="M11" i="22"/>
  <c r="M12" i="22"/>
  <c r="H6" i="6" l="1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5" i="9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D85" i="5"/>
  <c r="B85" i="5"/>
  <c r="D90" i="5"/>
  <c r="B90" i="5"/>
  <c r="B11" i="5" l="1"/>
  <c r="B14" i="5"/>
  <c r="D128" i="27"/>
  <c r="D129" i="27"/>
  <c r="D130" i="27"/>
  <c r="D131" i="27"/>
  <c r="D132" i="27"/>
  <c r="D133" i="27"/>
  <c r="D134" i="27"/>
  <c r="D135" i="27"/>
  <c r="D136" i="27"/>
  <c r="D137" i="27"/>
  <c r="D138" i="27"/>
  <c r="D139" i="27"/>
  <c r="D140" i="27"/>
  <c r="D141" i="27"/>
  <c r="D142" i="27"/>
  <c r="D143" i="27"/>
  <c r="D144" i="27"/>
  <c r="D145" i="27"/>
  <c r="D146" i="27"/>
  <c r="D147" i="27"/>
  <c r="D148" i="27"/>
  <c r="D149" i="27"/>
  <c r="D150" i="27"/>
  <c r="D151" i="27"/>
  <c r="B128" i="27"/>
  <c r="B129" i="27"/>
  <c r="B130" i="27"/>
  <c r="B131" i="27"/>
  <c r="B132" i="27"/>
  <c r="B133" i="27"/>
  <c r="B134" i="27"/>
  <c r="B135" i="27"/>
  <c r="B136" i="27"/>
  <c r="B137" i="27"/>
  <c r="B138" i="27"/>
  <c r="B139" i="27"/>
  <c r="B140" i="27"/>
  <c r="B141" i="27"/>
  <c r="B142" i="27"/>
  <c r="B143" i="27"/>
  <c r="B144" i="27"/>
  <c r="B145" i="27"/>
  <c r="B146" i="27"/>
  <c r="B147" i="27"/>
  <c r="B148" i="27"/>
  <c r="B149" i="27"/>
  <c r="B150" i="27"/>
  <c r="B151" i="27"/>
  <c r="D127" i="27"/>
  <c r="B127" i="27"/>
  <c r="J7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J38" i="26"/>
  <c r="J39" i="26"/>
  <c r="J40" i="26"/>
  <c r="J41" i="26"/>
  <c r="J42" i="26"/>
  <c r="J43" i="26"/>
  <c r="J44" i="26"/>
  <c r="J45" i="26"/>
  <c r="J46" i="26"/>
  <c r="J47" i="26"/>
  <c r="J48" i="26"/>
  <c r="J49" i="26"/>
  <c r="J50" i="26"/>
  <c r="J51" i="26"/>
  <c r="J52" i="26"/>
  <c r="J53" i="26"/>
  <c r="J54" i="26"/>
  <c r="J55" i="26"/>
  <c r="J56" i="26"/>
  <c r="J57" i="26"/>
  <c r="J58" i="26"/>
  <c r="J59" i="26"/>
  <c r="J60" i="26"/>
  <c r="J61" i="26"/>
  <c r="J62" i="26"/>
  <c r="J63" i="26"/>
  <c r="J64" i="26"/>
  <c r="J65" i="26"/>
  <c r="J66" i="26"/>
  <c r="J67" i="26"/>
  <c r="J68" i="26"/>
  <c r="J69" i="26"/>
  <c r="J70" i="26"/>
  <c r="J71" i="26"/>
  <c r="J72" i="26"/>
  <c r="J73" i="26"/>
  <c r="J74" i="26"/>
  <c r="J75" i="26"/>
  <c r="J76" i="26"/>
  <c r="J77" i="26"/>
  <c r="J78" i="26"/>
  <c r="J79" i="26"/>
  <c r="J80" i="26"/>
  <c r="J81" i="26"/>
  <c r="J82" i="26"/>
  <c r="J83" i="26"/>
  <c r="J84" i="26"/>
  <c r="J85" i="26"/>
  <c r="J86" i="26"/>
  <c r="J87" i="26"/>
  <c r="J88" i="26"/>
  <c r="J89" i="26"/>
  <c r="J90" i="26"/>
  <c r="J91" i="26"/>
  <c r="J92" i="26"/>
  <c r="J93" i="26"/>
  <c r="J94" i="26"/>
  <c r="J95" i="26"/>
  <c r="J96" i="26"/>
  <c r="J97" i="26"/>
  <c r="J98" i="26"/>
  <c r="J99" i="26"/>
  <c r="J100" i="26"/>
  <c r="J101" i="26"/>
  <c r="J102" i="26"/>
  <c r="J103" i="26"/>
  <c r="J104" i="26"/>
  <c r="J105" i="26"/>
  <c r="J106" i="26"/>
  <c r="J107" i="26"/>
  <c r="J108" i="26"/>
  <c r="J109" i="26"/>
  <c r="J110" i="26"/>
  <c r="J111" i="26"/>
  <c r="J112" i="26"/>
  <c r="J113" i="26"/>
  <c r="J114" i="26"/>
  <c r="J115" i="26"/>
  <c r="J116" i="26"/>
  <c r="J117" i="26"/>
  <c r="J118" i="26"/>
  <c r="J119" i="26"/>
  <c r="J120" i="26"/>
  <c r="J121" i="26"/>
  <c r="J122" i="26"/>
  <c r="J123" i="26"/>
  <c r="J124" i="26"/>
  <c r="J125" i="26"/>
  <c r="J126" i="26"/>
  <c r="J127" i="26"/>
  <c r="J128" i="26"/>
  <c r="J129" i="26"/>
  <c r="J130" i="26"/>
  <c r="J131" i="26"/>
  <c r="J132" i="26"/>
  <c r="J133" i="26"/>
  <c r="J134" i="26"/>
  <c r="J135" i="26"/>
  <c r="J136" i="26"/>
  <c r="J137" i="26"/>
  <c r="J138" i="26"/>
  <c r="J139" i="26"/>
  <c r="J140" i="26"/>
  <c r="J141" i="26"/>
  <c r="J142" i="26"/>
  <c r="J143" i="26"/>
  <c r="J144" i="26"/>
  <c r="J145" i="26"/>
  <c r="J146" i="26"/>
  <c r="J147" i="26"/>
  <c r="J148" i="26"/>
  <c r="J149" i="26"/>
  <c r="J150" i="26"/>
  <c r="J151" i="26"/>
  <c r="J152" i="26"/>
  <c r="J6" i="26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J37" i="25"/>
  <c r="J38" i="25"/>
  <c r="J39" i="25"/>
  <c r="J40" i="25"/>
  <c r="J41" i="25"/>
  <c r="J42" i="25"/>
  <c r="J43" i="25"/>
  <c r="J44" i="25"/>
  <c r="J45" i="25"/>
  <c r="J46" i="25"/>
  <c r="J47" i="25"/>
  <c r="J48" i="25"/>
  <c r="J49" i="25"/>
  <c r="J50" i="25"/>
  <c r="J51" i="25"/>
  <c r="J52" i="25"/>
  <c r="J53" i="25"/>
  <c r="J54" i="25"/>
  <c r="J55" i="25"/>
  <c r="J56" i="25"/>
  <c r="J57" i="25"/>
  <c r="J58" i="25"/>
  <c r="J59" i="25"/>
  <c r="J60" i="25"/>
  <c r="J61" i="25"/>
  <c r="J62" i="25"/>
  <c r="J63" i="25"/>
  <c r="J64" i="25"/>
  <c r="J65" i="25"/>
  <c r="J66" i="25"/>
  <c r="J67" i="25"/>
  <c r="J68" i="25"/>
  <c r="J69" i="25"/>
  <c r="J70" i="25"/>
  <c r="J71" i="25"/>
  <c r="J72" i="25"/>
  <c r="J73" i="25"/>
  <c r="J74" i="25"/>
  <c r="J75" i="25"/>
  <c r="J76" i="25"/>
  <c r="J77" i="25"/>
  <c r="J78" i="25"/>
  <c r="J79" i="25"/>
  <c r="J80" i="25"/>
  <c r="J81" i="25"/>
  <c r="J82" i="25"/>
  <c r="J83" i="25"/>
  <c r="J84" i="25"/>
  <c r="J85" i="25"/>
  <c r="J86" i="25"/>
  <c r="J87" i="25"/>
  <c r="J88" i="25"/>
  <c r="J89" i="25"/>
  <c r="J90" i="25"/>
  <c r="J91" i="25"/>
  <c r="J92" i="25"/>
  <c r="J93" i="25"/>
  <c r="J94" i="25"/>
  <c r="J95" i="25"/>
  <c r="J96" i="25"/>
  <c r="J97" i="25"/>
  <c r="J98" i="25"/>
  <c r="J99" i="25"/>
  <c r="J100" i="25"/>
  <c r="J101" i="25"/>
  <c r="J102" i="25"/>
  <c r="J103" i="25"/>
  <c r="J104" i="25"/>
  <c r="J105" i="25"/>
  <c r="J106" i="25"/>
  <c r="J107" i="25"/>
  <c r="J108" i="25"/>
  <c r="J109" i="25"/>
  <c r="J110" i="25"/>
  <c r="J111" i="25"/>
  <c r="J112" i="25"/>
  <c r="J113" i="25"/>
  <c r="J114" i="25"/>
  <c r="J115" i="25"/>
  <c r="J116" i="25"/>
  <c r="J117" i="25"/>
  <c r="J118" i="25"/>
  <c r="J119" i="25"/>
  <c r="J120" i="25"/>
  <c r="J121" i="25"/>
  <c r="J122" i="25"/>
  <c r="J123" i="25"/>
  <c r="J124" i="25"/>
  <c r="J125" i="25"/>
  <c r="J126" i="25"/>
  <c r="J127" i="25"/>
  <c r="J128" i="25"/>
  <c r="J129" i="25"/>
  <c r="J130" i="25"/>
  <c r="J131" i="25"/>
  <c r="J132" i="25"/>
  <c r="J133" i="25"/>
  <c r="J134" i="25"/>
  <c r="J135" i="25"/>
  <c r="J136" i="25"/>
  <c r="J137" i="25"/>
  <c r="J138" i="25"/>
  <c r="J139" i="25"/>
  <c r="J140" i="25"/>
  <c r="J141" i="25"/>
  <c r="J142" i="25"/>
  <c r="J143" i="25"/>
  <c r="J144" i="25"/>
  <c r="J145" i="25"/>
  <c r="J146" i="25"/>
  <c r="J147" i="25"/>
  <c r="J148" i="25"/>
  <c r="J149" i="25"/>
  <c r="J150" i="25"/>
  <c r="J151" i="25"/>
  <c r="J152" i="25"/>
  <c r="J153" i="25"/>
  <c r="J154" i="25"/>
  <c r="J155" i="25"/>
  <c r="J156" i="25"/>
  <c r="J157" i="25"/>
  <c r="J158" i="25"/>
  <c r="J159" i="25"/>
  <c r="J160" i="25"/>
  <c r="J161" i="25"/>
  <c r="J162" i="25"/>
  <c r="J163" i="25"/>
  <c r="J164" i="25"/>
  <c r="J165" i="25"/>
  <c r="J166" i="25"/>
  <c r="J167" i="25"/>
  <c r="J168" i="25"/>
  <c r="J169" i="25"/>
  <c r="J170" i="25"/>
  <c r="J171" i="25"/>
  <c r="J172" i="25"/>
  <c r="J173" i="25"/>
  <c r="J174" i="25"/>
  <c r="J175" i="25"/>
  <c r="J176" i="25"/>
  <c r="J177" i="25"/>
  <c r="J178" i="25"/>
  <c r="J179" i="25"/>
  <c r="J180" i="25"/>
  <c r="J181" i="25"/>
  <c r="J182" i="25"/>
  <c r="J183" i="25"/>
  <c r="J184" i="25"/>
  <c r="J185" i="25"/>
  <c r="J186" i="25"/>
  <c r="J187" i="25"/>
  <c r="J188" i="25"/>
  <c r="J189" i="25"/>
  <c r="J190" i="25"/>
  <c r="J191" i="25"/>
  <c r="J192" i="25"/>
  <c r="J193" i="25"/>
  <c r="J194" i="25"/>
  <c r="J195" i="25"/>
  <c r="J196" i="25"/>
  <c r="J197" i="25"/>
  <c r="J198" i="25"/>
  <c r="J199" i="25"/>
  <c r="J200" i="25"/>
  <c r="J201" i="25"/>
  <c r="J202" i="25"/>
  <c r="J203" i="25"/>
  <c r="J204" i="25"/>
  <c r="J205" i="25"/>
  <c r="J206" i="25"/>
  <c r="J207" i="25"/>
  <c r="J208" i="25"/>
  <c r="J209" i="25"/>
  <c r="J210" i="25"/>
  <c r="J211" i="25"/>
  <c r="J212" i="25"/>
  <c r="J213" i="25"/>
  <c r="J214" i="25"/>
  <c r="J215" i="25"/>
  <c r="J216" i="25"/>
  <c r="J217" i="25"/>
  <c r="J218" i="25"/>
  <c r="J219" i="25"/>
  <c r="J220" i="25"/>
  <c r="J221" i="25"/>
  <c r="J222" i="25"/>
  <c r="J223" i="25"/>
  <c r="J224" i="25"/>
  <c r="J225" i="25"/>
  <c r="J226" i="25"/>
  <c r="J227" i="25"/>
  <c r="J228" i="25"/>
  <c r="J229" i="25"/>
  <c r="J230" i="25"/>
  <c r="J231" i="25"/>
  <c r="J232" i="25"/>
  <c r="J233" i="25"/>
  <c r="J234" i="25"/>
  <c r="J235" i="25"/>
  <c r="J236" i="25"/>
  <c r="J237" i="25"/>
  <c r="J238" i="25"/>
  <c r="J239" i="25"/>
  <c r="J240" i="25"/>
  <c r="J241" i="25"/>
  <c r="J242" i="25"/>
  <c r="J243" i="25"/>
  <c r="J244" i="25"/>
  <c r="J245" i="25"/>
  <c r="J246" i="25"/>
  <c r="J247" i="25"/>
  <c r="J248" i="25"/>
  <c r="J249" i="25"/>
  <c r="J250" i="25"/>
  <c r="J251" i="25"/>
  <c r="J252" i="25"/>
  <c r="J253" i="25"/>
  <c r="J254" i="25"/>
  <c r="J255" i="25"/>
  <c r="J256" i="25"/>
  <c r="J257" i="25"/>
  <c r="J258" i="25"/>
  <c r="J259" i="25"/>
  <c r="J260" i="25"/>
  <c r="J261" i="25"/>
  <c r="J262" i="25"/>
  <c r="J263" i="25"/>
  <c r="J264" i="25"/>
  <c r="J265" i="25"/>
  <c r="J266" i="25"/>
  <c r="J267" i="25"/>
  <c r="J268" i="25"/>
  <c r="J269" i="25"/>
  <c r="J270" i="25"/>
  <c r="J271" i="25"/>
  <c r="J272" i="25"/>
  <c r="J273" i="25"/>
  <c r="J274" i="25"/>
  <c r="J275" i="25"/>
  <c r="J276" i="25"/>
  <c r="J277" i="25"/>
  <c r="J278" i="25"/>
  <c r="J279" i="25"/>
  <c r="J280" i="25"/>
  <c r="J281" i="25"/>
  <c r="J282" i="25"/>
  <c r="J283" i="25"/>
  <c r="J284" i="25"/>
  <c r="J285" i="25"/>
  <c r="J286" i="25"/>
  <c r="J287" i="25"/>
  <c r="J288" i="25"/>
  <c r="J289" i="25"/>
  <c r="J290" i="25"/>
  <c r="J291" i="25"/>
  <c r="J292" i="25"/>
  <c r="J293" i="25"/>
  <c r="J294" i="25"/>
  <c r="J295" i="25"/>
  <c r="J296" i="25"/>
  <c r="J297" i="25"/>
  <c r="J298" i="25"/>
  <c r="J299" i="25"/>
  <c r="J300" i="25"/>
  <c r="J301" i="25"/>
  <c r="J302" i="25"/>
  <c r="J303" i="25"/>
  <c r="J304" i="25"/>
  <c r="J305" i="25"/>
  <c r="J306" i="25"/>
  <c r="J307" i="25"/>
  <c r="J308" i="25"/>
  <c r="J309" i="25"/>
  <c r="J310" i="25"/>
  <c r="J311" i="25"/>
  <c r="J312" i="25"/>
  <c r="J313" i="25"/>
  <c r="J314" i="25"/>
  <c r="J315" i="25"/>
  <c r="J316" i="25"/>
  <c r="J317" i="25"/>
  <c r="J318" i="25"/>
  <c r="J319" i="25"/>
  <c r="J320" i="25"/>
  <c r="J321" i="25"/>
  <c r="J322" i="25"/>
  <c r="J323" i="25"/>
  <c r="J324" i="25"/>
  <c r="J325" i="25"/>
  <c r="J326" i="25"/>
  <c r="J327" i="25"/>
  <c r="J328" i="25"/>
  <c r="J329" i="25"/>
  <c r="J330" i="25"/>
  <c r="J331" i="25"/>
  <c r="J332" i="25"/>
  <c r="J333" i="25"/>
  <c r="J334" i="25"/>
  <c r="J335" i="25"/>
  <c r="J336" i="25"/>
  <c r="J337" i="25"/>
  <c r="J338" i="25"/>
  <c r="J339" i="25"/>
  <c r="J340" i="25"/>
  <c r="J341" i="25"/>
  <c r="J342" i="25"/>
  <c r="J343" i="25"/>
  <c r="J344" i="25"/>
  <c r="J345" i="25"/>
  <c r="J346" i="25"/>
  <c r="J347" i="25"/>
  <c r="J348" i="25"/>
  <c r="J349" i="25"/>
  <c r="J350" i="25"/>
  <c r="J351" i="25"/>
  <c r="J352" i="25"/>
  <c r="J353" i="25"/>
  <c r="J354" i="25"/>
  <c r="J355" i="25"/>
  <c r="J356" i="25"/>
  <c r="J357" i="25"/>
  <c r="J358" i="25"/>
  <c r="J359" i="25"/>
  <c r="J360" i="25"/>
  <c r="J361" i="25"/>
  <c r="J362" i="25"/>
  <c r="J363" i="25"/>
  <c r="J364" i="25"/>
  <c r="J365" i="25"/>
  <c r="J366" i="25"/>
  <c r="J367" i="25"/>
  <c r="J368" i="25"/>
  <c r="J369" i="25"/>
  <c r="J370" i="25"/>
  <c r="J371" i="25"/>
  <c r="J372" i="25"/>
  <c r="J373" i="25"/>
  <c r="J374" i="25"/>
  <c r="J375" i="25"/>
  <c r="J376" i="25"/>
  <c r="J377" i="25"/>
  <c r="J378" i="25"/>
  <c r="J379" i="25"/>
  <c r="J380" i="25"/>
  <c r="J381" i="25"/>
  <c r="J382" i="25"/>
  <c r="J383" i="25"/>
  <c r="J384" i="25"/>
  <c r="J385" i="25"/>
  <c r="J386" i="25"/>
  <c r="J387" i="25"/>
  <c r="J388" i="25"/>
  <c r="J389" i="25"/>
  <c r="J390" i="25"/>
  <c r="J391" i="25"/>
  <c r="J392" i="25"/>
  <c r="J393" i="25"/>
  <c r="J394" i="25"/>
  <c r="J395" i="25"/>
  <c r="J396" i="25"/>
  <c r="J397" i="25"/>
  <c r="J398" i="25"/>
  <c r="J399" i="25"/>
  <c r="J400" i="25"/>
  <c r="J401" i="25"/>
  <c r="J402" i="25"/>
  <c r="J403" i="25"/>
  <c r="J404" i="25"/>
  <c r="J405" i="25"/>
  <c r="J406" i="25"/>
  <c r="J407" i="25"/>
  <c r="J408" i="25"/>
  <c r="J409" i="25"/>
  <c r="J410" i="25"/>
  <c r="J411" i="25"/>
  <c r="J412" i="25"/>
  <c r="J413" i="25"/>
  <c r="J414" i="25"/>
  <c r="J415" i="25"/>
  <c r="J416" i="25"/>
  <c r="J417" i="25"/>
  <c r="J418" i="25"/>
  <c r="J419" i="25"/>
  <c r="J420" i="25"/>
  <c r="J421" i="25"/>
  <c r="J422" i="25"/>
  <c r="J423" i="25"/>
  <c r="J424" i="25"/>
  <c r="J425" i="25"/>
  <c r="J426" i="25"/>
  <c r="J427" i="25"/>
  <c r="J428" i="25"/>
  <c r="J429" i="25"/>
  <c r="J430" i="25"/>
  <c r="J431" i="25"/>
  <c r="J432" i="25"/>
  <c r="J433" i="25"/>
  <c r="J434" i="25"/>
  <c r="J435" i="25"/>
  <c r="J436" i="25"/>
  <c r="J437" i="25"/>
  <c r="J438" i="25"/>
  <c r="J439" i="25"/>
  <c r="J440" i="25"/>
  <c r="J441" i="25"/>
  <c r="J442" i="25"/>
  <c r="J443" i="25"/>
  <c r="J444" i="25"/>
  <c r="J445" i="25"/>
  <c r="J446" i="25"/>
  <c r="J447" i="25"/>
  <c r="J448" i="25"/>
  <c r="J449" i="25"/>
  <c r="J450" i="25"/>
  <c r="J451" i="25"/>
  <c r="J452" i="25"/>
  <c r="J453" i="25"/>
  <c r="J454" i="25"/>
  <c r="J455" i="25"/>
  <c r="J456" i="25"/>
  <c r="J457" i="25"/>
  <c r="J458" i="25"/>
  <c r="J459" i="25"/>
  <c r="J460" i="25"/>
  <c r="J461" i="25"/>
  <c r="J462" i="25"/>
  <c r="J463" i="25"/>
  <c r="J464" i="25"/>
  <c r="J465" i="25"/>
  <c r="J466" i="25"/>
  <c r="J467" i="25"/>
  <c r="J468" i="25"/>
  <c r="J469" i="25"/>
  <c r="J470" i="25"/>
  <c r="J471" i="25"/>
  <c r="J472" i="25"/>
  <c r="J473" i="25"/>
  <c r="J474" i="25"/>
  <c r="J475" i="25"/>
  <c r="J476" i="25"/>
  <c r="J477" i="25"/>
  <c r="J478" i="25"/>
  <c r="J479" i="25"/>
  <c r="J480" i="25"/>
  <c r="J481" i="25"/>
  <c r="J482" i="25"/>
  <c r="J483" i="25"/>
  <c r="J484" i="25"/>
  <c r="J485" i="25"/>
  <c r="J486" i="25"/>
  <c r="J487" i="25"/>
  <c r="J488" i="25"/>
  <c r="J489" i="25"/>
  <c r="J490" i="25"/>
  <c r="J491" i="25"/>
  <c r="J492" i="25"/>
  <c r="J493" i="25"/>
  <c r="J494" i="25"/>
  <c r="J495" i="25"/>
  <c r="J496" i="25"/>
  <c r="J497" i="25"/>
  <c r="J498" i="25"/>
  <c r="J499" i="25"/>
  <c r="J500" i="25"/>
  <c r="J501" i="25"/>
  <c r="J502" i="25"/>
  <c r="J503" i="25"/>
  <c r="J504" i="25"/>
  <c r="J505" i="25"/>
  <c r="J506" i="25"/>
  <c r="J507" i="25"/>
  <c r="J508" i="25"/>
  <c r="J509" i="25"/>
  <c r="J510" i="25"/>
  <c r="J511" i="25"/>
  <c r="J512" i="25"/>
  <c r="J513" i="25"/>
  <c r="J514" i="25"/>
  <c r="J515" i="25"/>
  <c r="J516" i="25"/>
  <c r="J517" i="25"/>
  <c r="J518" i="25"/>
  <c r="J519" i="25"/>
  <c r="J520" i="25"/>
  <c r="J521" i="25"/>
  <c r="J522" i="25"/>
  <c r="J523" i="25"/>
  <c r="J524" i="25"/>
  <c r="J525" i="25"/>
  <c r="J526" i="25"/>
  <c r="J527" i="25"/>
  <c r="J528" i="25"/>
  <c r="J529" i="25"/>
  <c r="J530" i="25"/>
  <c r="J531" i="25"/>
  <c r="J532" i="25"/>
  <c r="J533" i="25"/>
  <c r="J534" i="25"/>
  <c r="J535" i="25"/>
  <c r="J536" i="25"/>
  <c r="J537" i="25"/>
  <c r="J538" i="25"/>
  <c r="J539" i="25"/>
  <c r="J540" i="25"/>
  <c r="J541" i="25"/>
  <c r="J542" i="25"/>
  <c r="J543" i="25"/>
  <c r="J544" i="25"/>
  <c r="J545" i="25"/>
  <c r="J546" i="25"/>
  <c r="J547" i="25"/>
  <c r="J548" i="25"/>
  <c r="J549" i="25"/>
  <c r="J550" i="25"/>
  <c r="J551" i="25"/>
  <c r="J552" i="25"/>
  <c r="J553" i="25"/>
  <c r="J554" i="25"/>
  <c r="J555" i="25"/>
  <c r="J556" i="25"/>
  <c r="J557" i="25"/>
  <c r="J558" i="25"/>
  <c r="J559" i="25"/>
  <c r="J560" i="25"/>
  <c r="J561" i="25"/>
  <c r="J562" i="25"/>
  <c r="J563" i="25"/>
  <c r="J564" i="25"/>
  <c r="J565" i="25"/>
  <c r="J566" i="25"/>
  <c r="J567" i="25"/>
  <c r="J568" i="25"/>
  <c r="J569" i="25"/>
  <c r="J570" i="25"/>
  <c r="J571" i="25"/>
  <c r="J572" i="25"/>
  <c r="J573" i="25"/>
  <c r="J574" i="25"/>
  <c r="J575" i="25"/>
  <c r="J576" i="25"/>
  <c r="J577" i="25"/>
  <c r="J578" i="25"/>
  <c r="J579" i="25"/>
  <c r="J580" i="25"/>
  <c r="J581" i="25"/>
  <c r="J582" i="25"/>
  <c r="J583" i="25"/>
  <c r="J584" i="25"/>
  <c r="J585" i="25"/>
  <c r="J586" i="25"/>
  <c r="J587" i="25"/>
  <c r="J588" i="25"/>
  <c r="J589" i="25"/>
  <c r="J590" i="25"/>
  <c r="J591" i="25"/>
  <c r="J592" i="25"/>
  <c r="J593" i="25"/>
  <c r="J6" i="25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81" i="24"/>
  <c r="J82" i="24"/>
  <c r="J83" i="24"/>
  <c r="J84" i="24"/>
  <c r="J85" i="24"/>
  <c r="J86" i="24"/>
  <c r="J87" i="24"/>
  <c r="J88" i="24"/>
  <c r="J89" i="24"/>
  <c r="J90" i="24"/>
  <c r="J91" i="24"/>
  <c r="J92" i="24"/>
  <c r="J93" i="24"/>
  <c r="J94" i="24"/>
  <c r="J95" i="24"/>
  <c r="J96" i="24"/>
  <c r="J97" i="24"/>
  <c r="J98" i="24"/>
  <c r="J99" i="24"/>
  <c r="J100" i="24"/>
  <c r="J101" i="24"/>
  <c r="J102" i="24"/>
  <c r="J103" i="24"/>
  <c r="J104" i="24"/>
  <c r="J105" i="24"/>
  <c r="J106" i="24"/>
  <c r="J107" i="24"/>
  <c r="J108" i="24"/>
  <c r="J109" i="24"/>
  <c r="J110" i="24"/>
  <c r="J111" i="24"/>
  <c r="J112" i="24"/>
  <c r="J113" i="24"/>
  <c r="J114" i="24"/>
  <c r="J115" i="24"/>
  <c r="J116" i="24"/>
  <c r="J117" i="24"/>
  <c r="J118" i="24"/>
  <c r="J119" i="24"/>
  <c r="J120" i="24"/>
  <c r="J121" i="24"/>
  <c r="J122" i="24"/>
  <c r="J123" i="24"/>
  <c r="J124" i="24"/>
  <c r="J125" i="24"/>
  <c r="J126" i="24"/>
  <c r="J127" i="24"/>
  <c r="J128" i="24"/>
  <c r="J129" i="24"/>
  <c r="J130" i="24"/>
  <c r="J131" i="24"/>
  <c r="J132" i="24"/>
  <c r="J133" i="24"/>
  <c r="J134" i="24"/>
  <c r="J135" i="24"/>
  <c r="J136" i="24"/>
  <c r="J137" i="24"/>
  <c r="J138" i="24"/>
  <c r="J139" i="24"/>
  <c r="J140" i="24"/>
  <c r="J141" i="24"/>
  <c r="J142" i="24"/>
  <c r="J143" i="24"/>
  <c r="J144" i="24"/>
  <c r="J145" i="24"/>
  <c r="J146" i="24"/>
  <c r="J147" i="24"/>
  <c r="J148" i="24"/>
  <c r="J149" i="24"/>
  <c r="J150" i="24"/>
  <c r="J151" i="24"/>
  <c r="J152" i="24"/>
  <c r="J153" i="24"/>
  <c r="J154" i="24"/>
  <c r="J155" i="24"/>
  <c r="J156" i="24"/>
  <c r="J157" i="24"/>
  <c r="J158" i="24"/>
  <c r="J159" i="24"/>
  <c r="J160" i="24"/>
  <c r="J161" i="24"/>
  <c r="J162" i="24"/>
  <c r="J163" i="24"/>
  <c r="J164" i="24"/>
  <c r="J165" i="24"/>
  <c r="J166" i="24"/>
  <c r="J167" i="24"/>
  <c r="J168" i="24"/>
  <c r="J169" i="24"/>
  <c r="J170" i="24"/>
  <c r="J171" i="24"/>
  <c r="J172" i="24"/>
  <c r="J173" i="24"/>
  <c r="J174" i="24"/>
  <c r="J175" i="24"/>
  <c r="J176" i="24"/>
  <c r="J177" i="24"/>
  <c r="J178" i="24"/>
  <c r="J179" i="24"/>
  <c r="J180" i="24"/>
  <c r="J181" i="24"/>
  <c r="J182" i="24"/>
  <c r="J183" i="24"/>
  <c r="J184" i="24"/>
  <c r="J185" i="24"/>
  <c r="J186" i="24"/>
  <c r="J187" i="24"/>
  <c r="J188" i="24"/>
  <c r="J189" i="24"/>
  <c r="J190" i="24"/>
  <c r="J191" i="24"/>
  <c r="J192" i="24"/>
  <c r="J193" i="24"/>
  <c r="J194" i="24"/>
  <c r="J195" i="24"/>
  <c r="J196" i="24"/>
  <c r="J197" i="24"/>
  <c r="J198" i="24"/>
  <c r="J199" i="24"/>
  <c r="J200" i="24"/>
  <c r="J201" i="24"/>
  <c r="J202" i="24"/>
  <c r="J203" i="24"/>
  <c r="J204" i="24"/>
  <c r="J205" i="24"/>
  <c r="J206" i="24"/>
  <c r="J207" i="24"/>
  <c r="J208" i="24"/>
  <c r="J209" i="24"/>
  <c r="J210" i="24"/>
  <c r="J211" i="24"/>
  <c r="J212" i="24"/>
  <c r="J213" i="24"/>
  <c r="J214" i="24"/>
  <c r="J215" i="24"/>
  <c r="J216" i="24"/>
  <c r="J217" i="24"/>
  <c r="J218" i="24"/>
  <c r="J219" i="24"/>
  <c r="J220" i="24"/>
  <c r="J221" i="24"/>
  <c r="J222" i="24"/>
  <c r="J223" i="24"/>
  <c r="J224" i="24"/>
  <c r="J225" i="24"/>
  <c r="J226" i="24"/>
  <c r="J227" i="24"/>
  <c r="J228" i="24"/>
  <c r="J229" i="24"/>
  <c r="J230" i="24"/>
  <c r="J231" i="24"/>
  <c r="J232" i="24"/>
  <c r="J6" i="24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37" i="27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89" i="23"/>
  <c r="J90" i="23"/>
  <c r="J91" i="23"/>
  <c r="J92" i="23"/>
  <c r="J93" i="23"/>
  <c r="J94" i="23"/>
  <c r="J95" i="23"/>
  <c r="J96" i="23"/>
  <c r="J97" i="23"/>
  <c r="J98" i="23"/>
  <c r="J99" i="23"/>
  <c r="J100" i="23"/>
  <c r="J101" i="23"/>
  <c r="J102" i="23"/>
  <c r="J103" i="23"/>
  <c r="J104" i="23"/>
  <c r="J105" i="23"/>
  <c r="J106" i="23"/>
  <c r="J107" i="23"/>
  <c r="J108" i="23"/>
  <c r="J109" i="23"/>
  <c r="J110" i="23"/>
  <c r="J111" i="23"/>
  <c r="J112" i="23"/>
  <c r="J113" i="23"/>
  <c r="J114" i="23"/>
  <c r="J115" i="23"/>
  <c r="J116" i="23"/>
  <c r="J117" i="23"/>
  <c r="J118" i="23"/>
  <c r="J119" i="23"/>
  <c r="J120" i="23"/>
  <c r="J121" i="23"/>
  <c r="J122" i="23"/>
  <c r="J123" i="23"/>
  <c r="J124" i="23"/>
  <c r="J125" i="23"/>
  <c r="J126" i="23"/>
  <c r="J127" i="23"/>
  <c r="J128" i="23"/>
  <c r="J129" i="23"/>
  <c r="J130" i="23"/>
  <c r="J131" i="23"/>
  <c r="J132" i="23"/>
  <c r="J133" i="23"/>
  <c r="J134" i="23"/>
  <c r="J135" i="23"/>
  <c r="J136" i="23"/>
  <c r="J137" i="23"/>
  <c r="J138" i="23"/>
  <c r="J139" i="23"/>
  <c r="J140" i="23"/>
  <c r="J141" i="23"/>
  <c r="J142" i="23"/>
  <c r="J143" i="23"/>
  <c r="J144" i="23"/>
  <c r="J145" i="23"/>
  <c r="J146" i="23"/>
  <c r="J147" i="23"/>
  <c r="J148" i="23"/>
  <c r="J149" i="23"/>
  <c r="J150" i="23"/>
  <c r="J151" i="23"/>
  <c r="J152" i="23"/>
  <c r="J153" i="23"/>
  <c r="J154" i="23"/>
  <c r="J155" i="23"/>
  <c r="J6" i="23"/>
  <c r="B31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7" i="27"/>
  <c r="D301" i="27"/>
  <c r="B301" i="27"/>
  <c r="D300" i="27"/>
  <c r="B300" i="27"/>
  <c r="D299" i="27"/>
  <c r="B299" i="27"/>
  <c r="D298" i="27"/>
  <c r="B298" i="27"/>
  <c r="D297" i="27"/>
  <c r="B297" i="27"/>
  <c r="D296" i="27"/>
  <c r="B296" i="27"/>
  <c r="D295" i="27"/>
  <c r="B295" i="27"/>
  <c r="D294" i="27"/>
  <c r="B294" i="27"/>
  <c r="D293" i="27"/>
  <c r="B293" i="27"/>
  <c r="D292" i="27"/>
  <c r="B292" i="27"/>
  <c r="D291" i="27"/>
  <c r="B291" i="27"/>
  <c r="D290" i="27"/>
  <c r="B290" i="27"/>
  <c r="D289" i="27"/>
  <c r="B289" i="27"/>
  <c r="D288" i="27"/>
  <c r="B288" i="27"/>
  <c r="D287" i="27"/>
  <c r="B287" i="27"/>
  <c r="D286" i="27"/>
  <c r="B286" i="27"/>
  <c r="D285" i="27"/>
  <c r="B285" i="27"/>
  <c r="D284" i="27"/>
  <c r="B284" i="27"/>
  <c r="D283" i="27"/>
  <c r="B283" i="27"/>
  <c r="D282" i="27"/>
  <c r="B282" i="27"/>
  <c r="D281" i="27"/>
  <c r="B281" i="27"/>
  <c r="D280" i="27"/>
  <c r="B280" i="27"/>
  <c r="D279" i="27"/>
  <c r="B279" i="27"/>
  <c r="D278" i="27"/>
  <c r="B278" i="27"/>
  <c r="Q276" i="27" s="1"/>
  <c r="D277" i="27"/>
  <c r="D276" i="27" s="1"/>
  <c r="B277" i="27"/>
  <c r="K272" i="27"/>
  <c r="D271" i="27"/>
  <c r="B271" i="27"/>
  <c r="D270" i="27"/>
  <c r="B270" i="27"/>
  <c r="D269" i="27"/>
  <c r="B269" i="27"/>
  <c r="D268" i="27"/>
  <c r="B268" i="27"/>
  <c r="D267" i="27"/>
  <c r="B267" i="27"/>
  <c r="D266" i="27"/>
  <c r="B266" i="27"/>
  <c r="D265" i="27"/>
  <c r="B265" i="27"/>
  <c r="D264" i="27"/>
  <c r="B264" i="27"/>
  <c r="D263" i="27"/>
  <c r="B263" i="27"/>
  <c r="D262" i="27"/>
  <c r="B262" i="27"/>
  <c r="D261" i="27"/>
  <c r="B261" i="27"/>
  <c r="D260" i="27"/>
  <c r="B260" i="27"/>
  <c r="D259" i="27"/>
  <c r="B259" i="27"/>
  <c r="D258" i="27"/>
  <c r="B258" i="27"/>
  <c r="D257" i="27"/>
  <c r="B257" i="27"/>
  <c r="D256" i="27"/>
  <c r="B256" i="27"/>
  <c r="D255" i="27"/>
  <c r="B255" i="27"/>
  <c r="D254" i="27"/>
  <c r="B254" i="27"/>
  <c r="D253" i="27"/>
  <c r="B253" i="27"/>
  <c r="D252" i="27"/>
  <c r="B252" i="27"/>
  <c r="D251" i="27"/>
  <c r="B251" i="27"/>
  <c r="D250" i="27"/>
  <c r="B250" i="27"/>
  <c r="D249" i="27"/>
  <c r="B249" i="27"/>
  <c r="D248" i="27"/>
  <c r="B248" i="27"/>
  <c r="Q246" i="27" s="1"/>
  <c r="D247" i="27"/>
  <c r="B247" i="27"/>
  <c r="K242" i="27"/>
  <c r="D241" i="27"/>
  <c r="B241" i="27"/>
  <c r="D240" i="27"/>
  <c r="B240" i="27"/>
  <c r="D239" i="27"/>
  <c r="B239" i="27"/>
  <c r="D238" i="27"/>
  <c r="B238" i="27"/>
  <c r="D237" i="27"/>
  <c r="B237" i="27"/>
  <c r="D236" i="27"/>
  <c r="B236" i="27"/>
  <c r="D235" i="27"/>
  <c r="B235" i="27"/>
  <c r="D234" i="27"/>
  <c r="B234" i="27"/>
  <c r="D233" i="27"/>
  <c r="B233" i="27"/>
  <c r="D232" i="27"/>
  <c r="B232" i="27"/>
  <c r="D231" i="27"/>
  <c r="B231" i="27"/>
  <c r="D230" i="27"/>
  <c r="B230" i="27"/>
  <c r="D229" i="27"/>
  <c r="B229" i="27"/>
  <c r="D228" i="27"/>
  <c r="B228" i="27"/>
  <c r="D227" i="27"/>
  <c r="B227" i="27"/>
  <c r="D226" i="27"/>
  <c r="B226" i="27"/>
  <c r="D225" i="27"/>
  <c r="B225" i="27"/>
  <c r="D224" i="27"/>
  <c r="B224" i="27"/>
  <c r="D223" i="27"/>
  <c r="B223" i="27"/>
  <c r="D222" i="27"/>
  <c r="B222" i="27"/>
  <c r="D221" i="27"/>
  <c r="B221" i="27"/>
  <c r="D220" i="27"/>
  <c r="B220" i="27"/>
  <c r="D219" i="27"/>
  <c r="B219" i="27"/>
  <c r="D218" i="27"/>
  <c r="B218" i="27"/>
  <c r="D217" i="27"/>
  <c r="Q217" i="27" s="1"/>
  <c r="B217" i="27"/>
  <c r="D216" i="27"/>
  <c r="K212" i="27"/>
  <c r="D211" i="27"/>
  <c r="B211" i="27"/>
  <c r="D210" i="27"/>
  <c r="B210" i="27"/>
  <c r="D209" i="27"/>
  <c r="B209" i="27"/>
  <c r="D208" i="27"/>
  <c r="B208" i="27"/>
  <c r="D207" i="27"/>
  <c r="B207" i="27"/>
  <c r="D206" i="27"/>
  <c r="B206" i="27"/>
  <c r="D205" i="27"/>
  <c r="B205" i="27"/>
  <c r="D204" i="27"/>
  <c r="B204" i="27"/>
  <c r="D203" i="27"/>
  <c r="B203" i="27"/>
  <c r="D202" i="27"/>
  <c r="B202" i="27"/>
  <c r="D201" i="27"/>
  <c r="B201" i="27"/>
  <c r="D200" i="27"/>
  <c r="B200" i="27"/>
  <c r="D199" i="27"/>
  <c r="B199" i="27"/>
  <c r="D198" i="27"/>
  <c r="B198" i="27"/>
  <c r="D197" i="27"/>
  <c r="B197" i="27"/>
  <c r="D196" i="27"/>
  <c r="B196" i="27"/>
  <c r="D195" i="27"/>
  <c r="B195" i="27"/>
  <c r="D194" i="27"/>
  <c r="B194" i="27"/>
  <c r="D193" i="27"/>
  <c r="B193" i="27"/>
  <c r="D192" i="27"/>
  <c r="B192" i="27"/>
  <c r="D191" i="27"/>
  <c r="B191" i="27"/>
  <c r="D190" i="27"/>
  <c r="B190" i="27"/>
  <c r="Q186" i="27" s="1"/>
  <c r="D189" i="27"/>
  <c r="B189" i="27"/>
  <c r="D188" i="27"/>
  <c r="B188" i="27"/>
  <c r="D187" i="27"/>
  <c r="B187" i="27"/>
  <c r="K182" i="27"/>
  <c r="D181" i="27"/>
  <c r="B181" i="27"/>
  <c r="D180" i="27"/>
  <c r="B180" i="27"/>
  <c r="D179" i="27"/>
  <c r="B179" i="27"/>
  <c r="D178" i="27"/>
  <c r="B178" i="27"/>
  <c r="D177" i="27"/>
  <c r="B177" i="27"/>
  <c r="D176" i="27"/>
  <c r="B176" i="27"/>
  <c r="D175" i="27"/>
  <c r="B175" i="27"/>
  <c r="D174" i="27"/>
  <c r="B174" i="27"/>
  <c r="D173" i="27"/>
  <c r="B173" i="27"/>
  <c r="D172" i="27"/>
  <c r="B172" i="27"/>
  <c r="D171" i="27"/>
  <c r="B171" i="27"/>
  <c r="D170" i="27"/>
  <c r="B170" i="27"/>
  <c r="D169" i="27"/>
  <c r="B169" i="27"/>
  <c r="D168" i="27"/>
  <c r="B168" i="27"/>
  <c r="D167" i="27"/>
  <c r="B167" i="27"/>
  <c r="D166" i="27"/>
  <c r="B166" i="27"/>
  <c r="D165" i="27"/>
  <c r="B165" i="27"/>
  <c r="D164" i="27"/>
  <c r="B164" i="27"/>
  <c r="D163" i="27"/>
  <c r="B163" i="27"/>
  <c r="D162" i="27"/>
  <c r="B162" i="27"/>
  <c r="D161" i="27"/>
  <c r="B161" i="27"/>
  <c r="D160" i="27"/>
  <c r="B160" i="27"/>
  <c r="D159" i="27"/>
  <c r="B159" i="27"/>
  <c r="D158" i="27"/>
  <c r="B158" i="27"/>
  <c r="D157" i="27"/>
  <c r="D156" i="27" s="1"/>
  <c r="B157" i="27"/>
  <c r="Q156" i="27" s="1"/>
  <c r="K152" i="27"/>
  <c r="K122" i="27"/>
  <c r="K92" i="27"/>
  <c r="K62" i="27"/>
  <c r="K32" i="27"/>
  <c r="K2" i="27"/>
  <c r="M7" i="22"/>
  <c r="M8" i="22"/>
  <c r="M9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6" i="22"/>
  <c r="F596" i="26"/>
  <c r="A595" i="26"/>
  <c r="A594" i="26"/>
  <c r="A593" i="26"/>
  <c r="A592" i="26"/>
  <c r="A591" i="26"/>
  <c r="A590" i="26"/>
  <c r="A589" i="26"/>
  <c r="A588" i="26"/>
  <c r="A587" i="26"/>
  <c r="A586" i="26"/>
  <c r="A585" i="26"/>
  <c r="A584" i="26"/>
  <c r="A583" i="26"/>
  <c r="A582" i="26"/>
  <c r="A581" i="26"/>
  <c r="A580" i="26"/>
  <c r="A579" i="26"/>
  <c r="A578" i="26"/>
  <c r="A577" i="26"/>
  <c r="A576" i="26"/>
  <c r="F575" i="26"/>
  <c r="A574" i="26"/>
  <c r="A573" i="26"/>
  <c r="A572" i="26"/>
  <c r="A571" i="26"/>
  <c r="A570" i="26"/>
  <c r="A569" i="26"/>
  <c r="A568" i="26"/>
  <c r="A567" i="26"/>
  <c r="A566" i="26"/>
  <c r="A565" i="26"/>
  <c r="A564" i="26"/>
  <c r="A563" i="26"/>
  <c r="A562" i="26"/>
  <c r="A561" i="26"/>
  <c r="A560" i="26"/>
  <c r="A559" i="26"/>
  <c r="A558" i="26"/>
  <c r="A557" i="26"/>
  <c r="A556" i="26"/>
  <c r="A555" i="26"/>
  <c r="F554" i="26"/>
  <c r="A553" i="26"/>
  <c r="A552" i="26"/>
  <c r="A551" i="26"/>
  <c r="A550" i="26"/>
  <c r="A549" i="26"/>
  <c r="A548" i="26"/>
  <c r="A547" i="26"/>
  <c r="A546" i="26"/>
  <c r="A545" i="26"/>
  <c r="A544" i="26"/>
  <c r="A543" i="26"/>
  <c r="A542" i="26"/>
  <c r="A541" i="26"/>
  <c r="A540" i="26"/>
  <c r="A539" i="26"/>
  <c r="A538" i="26"/>
  <c r="A537" i="26"/>
  <c r="A536" i="26"/>
  <c r="A535" i="26"/>
  <c r="A534" i="26"/>
  <c r="F533" i="26"/>
  <c r="A532" i="26"/>
  <c r="A531" i="26"/>
  <c r="A530" i="26"/>
  <c r="A529" i="26"/>
  <c r="A528" i="26"/>
  <c r="A527" i="26"/>
  <c r="A526" i="26"/>
  <c r="A525" i="26"/>
  <c r="A524" i="26"/>
  <c r="A523" i="26"/>
  <c r="A522" i="26"/>
  <c r="A521" i="26"/>
  <c r="A520" i="26"/>
  <c r="A519" i="26"/>
  <c r="A518" i="26"/>
  <c r="A517" i="26"/>
  <c r="A516" i="26"/>
  <c r="A515" i="26"/>
  <c r="A514" i="26"/>
  <c r="A513" i="26"/>
  <c r="F512" i="26"/>
  <c r="A511" i="26"/>
  <c r="A510" i="26"/>
  <c r="A509" i="26"/>
  <c r="A508" i="26"/>
  <c r="A507" i="26"/>
  <c r="A506" i="26"/>
  <c r="A505" i="26"/>
  <c r="A504" i="26"/>
  <c r="A503" i="26"/>
  <c r="A502" i="26"/>
  <c r="A501" i="26"/>
  <c r="A500" i="26"/>
  <c r="A499" i="26"/>
  <c r="A498" i="26"/>
  <c r="A497" i="26"/>
  <c r="A496" i="26"/>
  <c r="A495" i="26"/>
  <c r="A494" i="26"/>
  <c r="A493" i="26"/>
  <c r="A492" i="26"/>
  <c r="F491" i="26"/>
  <c r="A490" i="26"/>
  <c r="A489" i="26"/>
  <c r="A488" i="26"/>
  <c r="A487" i="26"/>
  <c r="A486" i="26"/>
  <c r="A485" i="26"/>
  <c r="A484" i="26"/>
  <c r="A483" i="26"/>
  <c r="A482" i="26"/>
  <c r="A481" i="26"/>
  <c r="A480" i="26"/>
  <c r="A479" i="26"/>
  <c r="A478" i="26"/>
  <c r="A477" i="26"/>
  <c r="A476" i="26"/>
  <c r="A475" i="26"/>
  <c r="A474" i="26"/>
  <c r="A473" i="26"/>
  <c r="A472" i="26"/>
  <c r="A471" i="26"/>
  <c r="F470" i="26"/>
  <c r="A469" i="26"/>
  <c r="A468" i="26"/>
  <c r="A467" i="26"/>
  <c r="A466" i="26"/>
  <c r="A465" i="26"/>
  <c r="A464" i="26"/>
  <c r="A463" i="26"/>
  <c r="A462" i="26"/>
  <c r="A461" i="26"/>
  <c r="A460" i="26"/>
  <c r="A459" i="26"/>
  <c r="A458" i="26"/>
  <c r="A457" i="26"/>
  <c r="A456" i="26"/>
  <c r="A455" i="26"/>
  <c r="A454" i="26"/>
  <c r="A453" i="26"/>
  <c r="A452" i="26"/>
  <c r="A451" i="26"/>
  <c r="A450" i="26"/>
  <c r="F449" i="26"/>
  <c r="A448" i="26"/>
  <c r="A447" i="26"/>
  <c r="A446" i="26"/>
  <c r="A445" i="26"/>
  <c r="A444" i="26"/>
  <c r="A443" i="26"/>
  <c r="A442" i="26"/>
  <c r="A441" i="26"/>
  <c r="A440" i="26"/>
  <c r="A439" i="26"/>
  <c r="A438" i="26"/>
  <c r="A437" i="26"/>
  <c r="A436" i="26"/>
  <c r="A435" i="26"/>
  <c r="A434" i="26"/>
  <c r="A433" i="26"/>
  <c r="A432" i="26"/>
  <c r="A431" i="26"/>
  <c r="A430" i="26"/>
  <c r="A429" i="26"/>
  <c r="F428" i="26"/>
  <c r="A427" i="26"/>
  <c r="A426" i="26"/>
  <c r="A425" i="26"/>
  <c r="A424" i="26"/>
  <c r="A423" i="26"/>
  <c r="A422" i="26"/>
  <c r="A421" i="26"/>
  <c r="A420" i="26"/>
  <c r="A419" i="26"/>
  <c r="A418" i="26"/>
  <c r="A417" i="26"/>
  <c r="A416" i="26"/>
  <c r="A415" i="26"/>
  <c r="A414" i="26"/>
  <c r="A413" i="26"/>
  <c r="A412" i="26"/>
  <c r="A411" i="26"/>
  <c r="A410" i="26"/>
  <c r="A409" i="26"/>
  <c r="A408" i="26"/>
  <c r="F407" i="26"/>
  <c r="A406" i="26"/>
  <c r="A405" i="26"/>
  <c r="A404" i="26"/>
  <c r="A403" i="26"/>
  <c r="A402" i="26"/>
  <c r="A401" i="26"/>
  <c r="A400" i="26"/>
  <c r="A399" i="26"/>
  <c r="A398" i="26"/>
  <c r="A397" i="26"/>
  <c r="A396" i="26"/>
  <c r="A395" i="26"/>
  <c r="A394" i="26"/>
  <c r="A393" i="26"/>
  <c r="A392" i="26"/>
  <c r="A391" i="26"/>
  <c r="A390" i="26"/>
  <c r="A389" i="26"/>
  <c r="A388" i="26"/>
  <c r="A387" i="26"/>
  <c r="F386" i="26"/>
  <c r="A385" i="26"/>
  <c r="A384" i="26"/>
  <c r="A383" i="26"/>
  <c r="A382" i="26"/>
  <c r="A381" i="26"/>
  <c r="A380" i="26"/>
  <c r="A379" i="26"/>
  <c r="A378" i="26"/>
  <c r="A377" i="26"/>
  <c r="A376" i="26"/>
  <c r="A375" i="26"/>
  <c r="A374" i="26"/>
  <c r="A373" i="26"/>
  <c r="A372" i="26"/>
  <c r="A371" i="26"/>
  <c r="A370" i="26"/>
  <c r="A369" i="26"/>
  <c r="A368" i="26"/>
  <c r="A367" i="26"/>
  <c r="A366" i="26"/>
  <c r="F365" i="26"/>
  <c r="A364" i="26"/>
  <c r="A363" i="26"/>
  <c r="A362" i="26"/>
  <c r="A361" i="26"/>
  <c r="A360" i="26"/>
  <c r="A359" i="26"/>
  <c r="A358" i="26"/>
  <c r="A357" i="26"/>
  <c r="A356" i="26"/>
  <c r="A355" i="26"/>
  <c r="A354" i="26"/>
  <c r="A353" i="26"/>
  <c r="A352" i="26"/>
  <c r="A351" i="26"/>
  <c r="A350" i="26"/>
  <c r="A349" i="26"/>
  <c r="A348" i="26"/>
  <c r="A347" i="26"/>
  <c r="A346" i="26"/>
  <c r="A345" i="26"/>
  <c r="F344" i="26"/>
  <c r="A343" i="26"/>
  <c r="A342" i="26"/>
  <c r="A341" i="26"/>
  <c r="A340" i="26"/>
  <c r="A339" i="26"/>
  <c r="A338" i="26"/>
  <c r="A337" i="26"/>
  <c r="A336" i="26"/>
  <c r="A335" i="26"/>
  <c r="A334" i="26"/>
  <c r="A333" i="26"/>
  <c r="A332" i="26"/>
  <c r="A331" i="26"/>
  <c r="A330" i="26"/>
  <c r="A329" i="26"/>
  <c r="A328" i="26"/>
  <c r="A327" i="26"/>
  <c r="A326" i="26"/>
  <c r="A325" i="26"/>
  <c r="A324" i="26"/>
  <c r="F323" i="26"/>
  <c r="A322" i="26"/>
  <c r="A321" i="26"/>
  <c r="A320" i="26"/>
  <c r="A319" i="26"/>
  <c r="A318" i="26"/>
  <c r="A317" i="26"/>
  <c r="A316" i="26"/>
  <c r="A315" i="26"/>
  <c r="A314" i="26"/>
  <c r="A313" i="26"/>
  <c r="A312" i="26"/>
  <c r="A311" i="26"/>
  <c r="A310" i="26"/>
  <c r="A309" i="26"/>
  <c r="A308" i="26"/>
  <c r="A307" i="26"/>
  <c r="A306" i="26"/>
  <c r="A305" i="26"/>
  <c r="A304" i="26"/>
  <c r="A303" i="26"/>
  <c r="F302" i="26"/>
  <c r="A301" i="26"/>
  <c r="A300" i="26"/>
  <c r="A299" i="26"/>
  <c r="A298" i="26"/>
  <c r="A297" i="26"/>
  <c r="A296" i="26"/>
  <c r="A295" i="26"/>
  <c r="A294" i="26"/>
  <c r="A293" i="26"/>
  <c r="A292" i="26"/>
  <c r="A291" i="26"/>
  <c r="A290" i="26"/>
  <c r="A289" i="26"/>
  <c r="A288" i="26"/>
  <c r="A287" i="26"/>
  <c r="A286" i="26"/>
  <c r="A285" i="26"/>
  <c r="A284" i="26"/>
  <c r="A283" i="26"/>
  <c r="A282" i="26"/>
  <c r="F281" i="26"/>
  <c r="A280" i="26"/>
  <c r="A279" i="26"/>
  <c r="A278" i="26"/>
  <c r="A277" i="26"/>
  <c r="A276" i="26"/>
  <c r="A275" i="26"/>
  <c r="A274" i="26"/>
  <c r="A273" i="26"/>
  <c r="A272" i="26"/>
  <c r="A271" i="26"/>
  <c r="A270" i="26"/>
  <c r="A269" i="26"/>
  <c r="A268" i="26"/>
  <c r="A267" i="26"/>
  <c r="A266" i="26"/>
  <c r="A265" i="26"/>
  <c r="A264" i="26"/>
  <c r="A263" i="26"/>
  <c r="A262" i="26"/>
  <c r="A261" i="26"/>
  <c r="F260" i="26"/>
  <c r="A259" i="26"/>
  <c r="A258" i="26"/>
  <c r="A257" i="26"/>
  <c r="A256" i="26"/>
  <c r="A255" i="26"/>
  <c r="A254" i="26"/>
  <c r="A253" i="26"/>
  <c r="A252" i="26"/>
  <c r="A251" i="26"/>
  <c r="A250" i="26"/>
  <c r="A249" i="26"/>
  <c r="A248" i="26"/>
  <c r="A247" i="26"/>
  <c r="A246" i="26"/>
  <c r="A245" i="26"/>
  <c r="A244" i="26"/>
  <c r="A243" i="26"/>
  <c r="A242" i="26"/>
  <c r="A241" i="26"/>
  <c r="A240" i="26"/>
  <c r="F239" i="26"/>
  <c r="A238" i="26"/>
  <c r="A237" i="26"/>
  <c r="A236" i="26"/>
  <c r="A235" i="26"/>
  <c r="A234" i="26"/>
  <c r="A233" i="26"/>
  <c r="A232" i="26"/>
  <c r="A231" i="26"/>
  <c r="A230" i="26"/>
  <c r="A229" i="26"/>
  <c r="A228" i="26"/>
  <c r="A227" i="26"/>
  <c r="A226" i="26"/>
  <c r="A225" i="26"/>
  <c r="A224" i="26"/>
  <c r="A223" i="26"/>
  <c r="A222" i="26"/>
  <c r="A221" i="26"/>
  <c r="A220" i="26"/>
  <c r="A219" i="26"/>
  <c r="F218" i="26"/>
  <c r="A217" i="26"/>
  <c r="A216" i="26"/>
  <c r="A215" i="26"/>
  <c r="A214" i="26"/>
  <c r="A213" i="26"/>
  <c r="A212" i="26"/>
  <c r="A211" i="26"/>
  <c r="A210" i="26"/>
  <c r="A209" i="26"/>
  <c r="A208" i="26"/>
  <c r="A207" i="26"/>
  <c r="A206" i="26"/>
  <c r="A205" i="26"/>
  <c r="A204" i="26"/>
  <c r="A203" i="26"/>
  <c r="A202" i="26"/>
  <c r="A201" i="26"/>
  <c r="A200" i="26"/>
  <c r="A199" i="26"/>
  <c r="A198" i="26"/>
  <c r="F197" i="26"/>
  <c r="A196" i="26"/>
  <c r="A195" i="26"/>
  <c r="A194" i="26"/>
  <c r="A193" i="26"/>
  <c r="A192" i="26"/>
  <c r="A191" i="26"/>
  <c r="A190" i="26"/>
  <c r="A189" i="26"/>
  <c r="A188" i="26"/>
  <c r="A187" i="26"/>
  <c r="A186" i="26"/>
  <c r="A185" i="26"/>
  <c r="A184" i="26"/>
  <c r="A183" i="26"/>
  <c r="A182" i="26"/>
  <c r="A181" i="26"/>
  <c r="A180" i="26"/>
  <c r="A179" i="26"/>
  <c r="A178" i="26"/>
  <c r="A177" i="26"/>
  <c r="A175" i="26"/>
  <c r="A174" i="26"/>
  <c r="A173" i="26"/>
  <c r="A172" i="26"/>
  <c r="A171" i="26"/>
  <c r="A170" i="26"/>
  <c r="A169" i="26"/>
  <c r="A168" i="26"/>
  <c r="A167" i="26"/>
  <c r="A166" i="26"/>
  <c r="A165" i="26"/>
  <c r="F176" i="26"/>
  <c r="A593" i="25"/>
  <c r="A592" i="25"/>
  <c r="A591" i="25"/>
  <c r="A590" i="25"/>
  <c r="A589" i="25"/>
  <c r="A588" i="25"/>
  <c r="A587" i="25"/>
  <c r="A586" i="25"/>
  <c r="A585" i="25"/>
  <c r="A584" i="25"/>
  <c r="A583" i="25"/>
  <c r="A582" i="25"/>
  <c r="A581" i="25"/>
  <c r="A580" i="25"/>
  <c r="A579" i="25"/>
  <c r="A578" i="25"/>
  <c r="A577" i="25"/>
  <c r="A576" i="25"/>
  <c r="A575" i="25"/>
  <c r="A574" i="25"/>
  <c r="A573" i="25"/>
  <c r="A572" i="25"/>
  <c r="A571" i="25"/>
  <c r="A570" i="25"/>
  <c r="A569" i="25"/>
  <c r="A568" i="25"/>
  <c r="A567" i="25"/>
  <c r="A566" i="25"/>
  <c r="A565" i="25"/>
  <c r="A564" i="25"/>
  <c r="A563" i="25"/>
  <c r="A562" i="25"/>
  <c r="A561" i="25"/>
  <c r="A560" i="25"/>
  <c r="A559" i="25"/>
  <c r="A558" i="25"/>
  <c r="A557" i="25"/>
  <c r="A556" i="25"/>
  <c r="A555" i="25"/>
  <c r="A554" i="25"/>
  <c r="A553" i="25"/>
  <c r="A552" i="25"/>
  <c r="A551" i="25"/>
  <c r="A550" i="25"/>
  <c r="A549" i="25"/>
  <c r="A548" i="25"/>
  <c r="A547" i="25"/>
  <c r="A546" i="25"/>
  <c r="A545" i="25"/>
  <c r="A544" i="25"/>
  <c r="A543" i="25"/>
  <c r="A542" i="25"/>
  <c r="A541" i="25"/>
  <c r="A540" i="25"/>
  <c r="A539" i="25"/>
  <c r="A538" i="25"/>
  <c r="A537" i="25"/>
  <c r="A536" i="25"/>
  <c r="A535" i="25"/>
  <c r="A534" i="25"/>
  <c r="A533" i="25"/>
  <c r="A532" i="25"/>
  <c r="A531" i="25"/>
  <c r="A530" i="25"/>
  <c r="A529" i="25"/>
  <c r="A528" i="25"/>
  <c r="A527" i="25"/>
  <c r="A526" i="25"/>
  <c r="A525" i="25"/>
  <c r="A524" i="25"/>
  <c r="A523" i="25"/>
  <c r="A522" i="25"/>
  <c r="A521" i="25"/>
  <c r="A520" i="25"/>
  <c r="A519" i="25"/>
  <c r="A518" i="25"/>
  <c r="A517" i="25"/>
  <c r="A516" i="25"/>
  <c r="A515" i="25"/>
  <c r="A514" i="25"/>
  <c r="A513" i="25"/>
  <c r="A512" i="25"/>
  <c r="A511" i="25"/>
  <c r="A510" i="25"/>
  <c r="A509" i="25"/>
  <c r="A508" i="25"/>
  <c r="A507" i="25"/>
  <c r="A506" i="25"/>
  <c r="A505" i="25"/>
  <c r="A504" i="25"/>
  <c r="A503" i="25"/>
  <c r="A502" i="25"/>
  <c r="A501" i="25"/>
  <c r="A500" i="25"/>
  <c r="A499" i="25"/>
  <c r="A498" i="25"/>
  <c r="A497" i="25"/>
  <c r="A496" i="25"/>
  <c r="A495" i="25"/>
  <c r="A494" i="25"/>
  <c r="A493" i="25"/>
  <c r="A492" i="25"/>
  <c r="A491" i="25"/>
  <c r="A490" i="25"/>
  <c r="A489" i="25"/>
  <c r="A488" i="25"/>
  <c r="A487" i="25"/>
  <c r="A486" i="25"/>
  <c r="A485" i="25"/>
  <c r="A484" i="25"/>
  <c r="A483" i="25"/>
  <c r="A482" i="25"/>
  <c r="A481" i="25"/>
  <c r="A480" i="25"/>
  <c r="A479" i="25"/>
  <c r="A478" i="25"/>
  <c r="A477" i="25"/>
  <c r="A476" i="25"/>
  <c r="A475" i="25"/>
  <c r="A474" i="25"/>
  <c r="A473" i="25"/>
  <c r="A472" i="25"/>
  <c r="A471" i="25"/>
  <c r="A470" i="25"/>
  <c r="A469" i="25"/>
  <c r="A468" i="25"/>
  <c r="A467" i="25"/>
  <c r="A466" i="25"/>
  <c r="A465" i="25"/>
  <c r="A464" i="25"/>
  <c r="A463" i="25"/>
  <c r="A462" i="25"/>
  <c r="A461" i="25"/>
  <c r="A460" i="25"/>
  <c r="A459" i="25"/>
  <c r="A458" i="25"/>
  <c r="A457" i="25"/>
  <c r="A456" i="25"/>
  <c r="A455" i="25"/>
  <c r="A454" i="25"/>
  <c r="A453" i="25"/>
  <c r="A452" i="25"/>
  <c r="A451" i="25"/>
  <c r="A450" i="25"/>
  <c r="A449" i="25"/>
  <c r="A448" i="25"/>
  <c r="A447" i="25"/>
  <c r="A446" i="25"/>
  <c r="A445" i="25"/>
  <c r="A444" i="25"/>
  <c r="A443" i="25"/>
  <c r="A442" i="25"/>
  <c r="A441" i="25"/>
  <c r="A440" i="25"/>
  <c r="A439" i="25"/>
  <c r="A438" i="25"/>
  <c r="A437" i="25"/>
  <c r="A436" i="25"/>
  <c r="A435" i="25"/>
  <c r="A434" i="25"/>
  <c r="A433" i="25"/>
  <c r="A432" i="25"/>
  <c r="A431" i="25"/>
  <c r="A430" i="25"/>
  <c r="A429" i="25"/>
  <c r="A428" i="25"/>
  <c r="A427" i="25"/>
  <c r="A426" i="25"/>
  <c r="A425" i="25"/>
  <c r="A424" i="25"/>
  <c r="A423" i="25"/>
  <c r="A422" i="25"/>
  <c r="A421" i="25"/>
  <c r="A420" i="25"/>
  <c r="A419" i="25"/>
  <c r="A418" i="25"/>
  <c r="A417" i="25"/>
  <c r="A416" i="25"/>
  <c r="A415" i="25"/>
  <c r="A414" i="25"/>
  <c r="A413" i="25"/>
  <c r="A412" i="25"/>
  <c r="A411" i="25"/>
  <c r="A410" i="25"/>
  <c r="A409" i="25"/>
  <c r="A408" i="25"/>
  <c r="A407" i="25"/>
  <c r="A406" i="25"/>
  <c r="A405" i="25"/>
  <c r="A404" i="25"/>
  <c r="A403" i="25"/>
  <c r="A402" i="25"/>
  <c r="A401" i="25"/>
  <c r="A400" i="25"/>
  <c r="A399" i="25"/>
  <c r="A398" i="25"/>
  <c r="A397" i="25"/>
  <c r="A396" i="25"/>
  <c r="A395" i="25"/>
  <c r="A394" i="25"/>
  <c r="A393" i="25"/>
  <c r="A392" i="25"/>
  <c r="A391" i="25"/>
  <c r="A390" i="25"/>
  <c r="A389" i="25"/>
  <c r="A388" i="25"/>
  <c r="A387" i="25"/>
  <c r="A386" i="25"/>
  <c r="A385" i="25"/>
  <c r="A384" i="25"/>
  <c r="A383" i="25"/>
  <c r="A382" i="25"/>
  <c r="A381" i="25"/>
  <c r="A380" i="25"/>
  <c r="A379" i="25"/>
  <c r="A378" i="25"/>
  <c r="A377" i="25"/>
  <c r="A376" i="25"/>
  <c r="A375" i="25"/>
  <c r="A374" i="25"/>
  <c r="A373" i="25"/>
  <c r="A372" i="25"/>
  <c r="A371" i="25"/>
  <c r="A370" i="25"/>
  <c r="A369" i="25"/>
  <c r="A368" i="25"/>
  <c r="A367" i="25"/>
  <c r="A366" i="25"/>
  <c r="A365" i="25"/>
  <c r="A364" i="25"/>
  <c r="A363" i="25"/>
  <c r="A362" i="25"/>
  <c r="A361" i="25"/>
  <c r="A360" i="25"/>
  <c r="A359" i="25"/>
  <c r="A358" i="25"/>
  <c r="A357" i="25"/>
  <c r="A356" i="25"/>
  <c r="A355" i="25"/>
  <c r="A354" i="25"/>
  <c r="A353" i="25"/>
  <c r="A352" i="25"/>
  <c r="A351" i="25"/>
  <c r="A350" i="25"/>
  <c r="A349" i="25"/>
  <c r="A348" i="25"/>
  <c r="A347" i="25"/>
  <c r="A346" i="25"/>
  <c r="A345" i="25"/>
  <c r="A344" i="25"/>
  <c r="A343" i="25"/>
  <c r="A342" i="25"/>
  <c r="A341" i="25"/>
  <c r="A340" i="25"/>
  <c r="A339" i="25"/>
  <c r="A338" i="25"/>
  <c r="A337" i="25"/>
  <c r="A336" i="25"/>
  <c r="A335" i="25"/>
  <c r="A334" i="25"/>
  <c r="A333" i="25"/>
  <c r="A332" i="25"/>
  <c r="A331" i="25"/>
  <c r="A330" i="25"/>
  <c r="A329" i="25"/>
  <c r="A328" i="25"/>
  <c r="A327" i="25"/>
  <c r="A326" i="25"/>
  <c r="A325" i="25"/>
  <c r="A324" i="25"/>
  <c r="A323" i="25"/>
  <c r="A322" i="25"/>
  <c r="A321" i="25"/>
  <c r="A320" i="25"/>
  <c r="A319" i="25"/>
  <c r="A318" i="25"/>
  <c r="A317" i="25"/>
  <c r="A316" i="25"/>
  <c r="A315" i="25"/>
  <c r="A314" i="25"/>
  <c r="A313" i="25"/>
  <c r="A312" i="25"/>
  <c r="A311" i="25"/>
  <c r="A310" i="25"/>
  <c r="A309" i="25"/>
  <c r="A308" i="25"/>
  <c r="A307" i="25"/>
  <c r="A306" i="25"/>
  <c r="A305" i="25"/>
  <c r="A304" i="25"/>
  <c r="A303" i="25"/>
  <c r="A302" i="25"/>
  <c r="A301" i="25"/>
  <c r="A300" i="25"/>
  <c r="A299" i="25"/>
  <c r="A298" i="25"/>
  <c r="A297" i="25"/>
  <c r="A296" i="25"/>
  <c r="A295" i="25"/>
  <c r="A294" i="25"/>
  <c r="A293" i="25"/>
  <c r="A292" i="25"/>
  <c r="A291" i="25"/>
  <c r="A290" i="25"/>
  <c r="A289" i="25"/>
  <c r="A288" i="25"/>
  <c r="A287" i="25"/>
  <c r="A286" i="25"/>
  <c r="A285" i="25"/>
  <c r="A284" i="25"/>
  <c r="A283" i="25"/>
  <c r="A282" i="25"/>
  <c r="A281" i="25"/>
  <c r="A280" i="25"/>
  <c r="A279" i="25"/>
  <c r="A278" i="25"/>
  <c r="A277" i="25"/>
  <c r="A276" i="25"/>
  <c r="A275" i="25"/>
  <c r="A274" i="25"/>
  <c r="A273" i="25"/>
  <c r="A272" i="25"/>
  <c r="A271" i="25"/>
  <c r="A270" i="25"/>
  <c r="A269" i="25"/>
  <c r="A268" i="25"/>
  <c r="A267" i="25"/>
  <c r="A266" i="25"/>
  <c r="A265" i="25"/>
  <c r="A264" i="25"/>
  <c r="A263" i="25"/>
  <c r="A262" i="25"/>
  <c r="A261" i="25"/>
  <c r="A260" i="25"/>
  <c r="A259" i="25"/>
  <c r="A258" i="25"/>
  <c r="A257" i="25"/>
  <c r="A256" i="25"/>
  <c r="A255" i="25"/>
  <c r="A254" i="25"/>
  <c r="A253" i="25"/>
  <c r="A252" i="25"/>
  <c r="A251" i="25"/>
  <c r="A250" i="25"/>
  <c r="A249" i="25"/>
  <c r="A248" i="25"/>
  <c r="A247" i="25"/>
  <c r="A246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F131" i="25"/>
  <c r="F213" i="25" s="1"/>
  <c r="F530" i="24"/>
  <c r="A529" i="24"/>
  <c r="A528" i="24"/>
  <c r="A527" i="24"/>
  <c r="A526" i="24"/>
  <c r="A525" i="24"/>
  <c r="A524" i="24"/>
  <c r="A523" i="24"/>
  <c r="A522" i="24"/>
  <c r="A521" i="24"/>
  <c r="A520" i="24"/>
  <c r="A519" i="24"/>
  <c r="A518" i="24"/>
  <c r="A517" i="24"/>
  <c r="A516" i="24"/>
  <c r="A515" i="24"/>
  <c r="A514" i="24"/>
  <c r="A513" i="24"/>
  <c r="A512" i="24"/>
  <c r="A511" i="24"/>
  <c r="A510" i="24"/>
  <c r="F509" i="24"/>
  <c r="A508" i="24"/>
  <c r="A507" i="24"/>
  <c r="A506" i="24"/>
  <c r="A505" i="24"/>
  <c r="A504" i="24"/>
  <c r="A503" i="24"/>
  <c r="A502" i="24"/>
  <c r="A501" i="24"/>
  <c r="A500" i="24"/>
  <c r="A499" i="24"/>
  <c r="A498" i="24"/>
  <c r="A497" i="24"/>
  <c r="A496" i="24"/>
  <c r="A495" i="24"/>
  <c r="A494" i="24"/>
  <c r="A493" i="24"/>
  <c r="A492" i="24"/>
  <c r="A491" i="24"/>
  <c r="A490" i="24"/>
  <c r="A489" i="24"/>
  <c r="F488" i="24"/>
  <c r="A487" i="24"/>
  <c r="A486" i="24"/>
  <c r="A485" i="24"/>
  <c r="A484" i="24"/>
  <c r="A483" i="24"/>
  <c r="A482" i="24"/>
  <c r="A481" i="24"/>
  <c r="A480" i="24"/>
  <c r="A479" i="24"/>
  <c r="A478" i="24"/>
  <c r="A477" i="24"/>
  <c r="A476" i="24"/>
  <c r="A475" i="24"/>
  <c r="A474" i="24"/>
  <c r="A473" i="24"/>
  <c r="A472" i="24"/>
  <c r="A471" i="24"/>
  <c r="A470" i="24"/>
  <c r="A469" i="24"/>
  <c r="A468" i="24"/>
  <c r="F467" i="24"/>
  <c r="A466" i="24"/>
  <c r="A465" i="24"/>
  <c r="A464" i="24"/>
  <c r="A463" i="24"/>
  <c r="A462" i="24"/>
  <c r="A461" i="24"/>
  <c r="A460" i="24"/>
  <c r="A459" i="24"/>
  <c r="A458" i="24"/>
  <c r="A457" i="24"/>
  <c r="A456" i="24"/>
  <c r="A455" i="24"/>
  <c r="A454" i="24"/>
  <c r="A453" i="24"/>
  <c r="A452" i="24"/>
  <c r="A451" i="24"/>
  <c r="A450" i="24"/>
  <c r="A449" i="24"/>
  <c r="A448" i="24"/>
  <c r="A447" i="24"/>
  <c r="F446" i="24"/>
  <c r="A445" i="24"/>
  <c r="A444" i="24"/>
  <c r="A443" i="24"/>
  <c r="A442" i="24"/>
  <c r="A441" i="24"/>
  <c r="A440" i="24"/>
  <c r="A439" i="24"/>
  <c r="A438" i="24"/>
  <c r="A437" i="24"/>
  <c r="A436" i="24"/>
  <c r="A435" i="24"/>
  <c r="A434" i="24"/>
  <c r="A433" i="24"/>
  <c r="A432" i="24"/>
  <c r="A431" i="24"/>
  <c r="A430" i="24"/>
  <c r="A429" i="24"/>
  <c r="A428" i="24"/>
  <c r="A427" i="24"/>
  <c r="A426" i="24"/>
  <c r="F425" i="24"/>
  <c r="A424" i="24"/>
  <c r="A423" i="24"/>
  <c r="A422" i="24"/>
  <c r="A421" i="24"/>
  <c r="A420" i="24"/>
  <c r="A419" i="24"/>
  <c r="A418" i="24"/>
  <c r="A417" i="24"/>
  <c r="A416" i="24"/>
  <c r="A415" i="24"/>
  <c r="A414" i="24"/>
  <c r="A413" i="24"/>
  <c r="A412" i="24"/>
  <c r="A411" i="24"/>
  <c r="A410" i="24"/>
  <c r="A409" i="24"/>
  <c r="A408" i="24"/>
  <c r="A407" i="24"/>
  <c r="A406" i="24"/>
  <c r="A405" i="24"/>
  <c r="F404" i="24"/>
  <c r="A403" i="24"/>
  <c r="A402" i="24"/>
  <c r="A401" i="24"/>
  <c r="A400" i="24"/>
  <c r="A399" i="24"/>
  <c r="A398" i="24"/>
  <c r="A397" i="24"/>
  <c r="A396" i="24"/>
  <c r="A395" i="24"/>
  <c r="A394" i="24"/>
  <c r="A393" i="24"/>
  <c r="A392" i="24"/>
  <c r="A391" i="24"/>
  <c r="A390" i="24"/>
  <c r="A389" i="24"/>
  <c r="A388" i="24"/>
  <c r="A387" i="24"/>
  <c r="A386" i="24"/>
  <c r="A385" i="24"/>
  <c r="A384" i="24"/>
  <c r="F383" i="24"/>
  <c r="A382" i="24"/>
  <c r="A381" i="24"/>
  <c r="A380" i="24"/>
  <c r="A379" i="24"/>
  <c r="A378" i="24"/>
  <c r="A377" i="24"/>
  <c r="A376" i="24"/>
  <c r="A375" i="24"/>
  <c r="A374" i="24"/>
  <c r="A373" i="24"/>
  <c r="A372" i="24"/>
  <c r="A371" i="24"/>
  <c r="A370" i="24"/>
  <c r="A369" i="24"/>
  <c r="A368" i="24"/>
  <c r="A367" i="24"/>
  <c r="A366" i="24"/>
  <c r="A365" i="24"/>
  <c r="A364" i="24"/>
  <c r="A363" i="24"/>
  <c r="F362" i="24"/>
  <c r="A361" i="24"/>
  <c r="A360" i="24"/>
  <c r="A359" i="24"/>
  <c r="A358" i="24"/>
  <c r="A357" i="24"/>
  <c r="A356" i="24"/>
  <c r="A355" i="24"/>
  <c r="A354" i="24"/>
  <c r="A353" i="24"/>
  <c r="A352" i="24"/>
  <c r="A351" i="24"/>
  <c r="A350" i="24"/>
  <c r="A349" i="24"/>
  <c r="A348" i="24"/>
  <c r="A347" i="24"/>
  <c r="A346" i="24"/>
  <c r="A345" i="24"/>
  <c r="A344" i="24"/>
  <c r="A343" i="24"/>
  <c r="A342" i="24"/>
  <c r="F341" i="24"/>
  <c r="A340" i="24"/>
  <c r="A339" i="24"/>
  <c r="A338" i="24"/>
  <c r="A337" i="24"/>
  <c r="A336" i="24"/>
  <c r="A335" i="24"/>
  <c r="A334" i="24"/>
  <c r="A333" i="24"/>
  <c r="A332" i="24"/>
  <c r="A331" i="24"/>
  <c r="A330" i="24"/>
  <c r="A329" i="24"/>
  <c r="A328" i="24"/>
  <c r="A327" i="24"/>
  <c r="A326" i="24"/>
  <c r="A325" i="24"/>
  <c r="A324" i="24"/>
  <c r="A323" i="24"/>
  <c r="A322" i="24"/>
  <c r="A321" i="24"/>
  <c r="F320" i="24"/>
  <c r="A319" i="24"/>
  <c r="A318" i="24"/>
  <c r="A317" i="24"/>
  <c r="A316" i="24"/>
  <c r="A315" i="24"/>
  <c r="A314" i="24"/>
  <c r="A313" i="24"/>
  <c r="A312" i="24"/>
  <c r="A311" i="24"/>
  <c r="A310" i="24"/>
  <c r="A309" i="24"/>
  <c r="A308" i="24"/>
  <c r="A307" i="24"/>
  <c r="A306" i="24"/>
  <c r="A305" i="24"/>
  <c r="A304" i="24"/>
  <c r="A303" i="24"/>
  <c r="A302" i="24"/>
  <c r="A301" i="24"/>
  <c r="A300" i="24"/>
  <c r="F299" i="24"/>
  <c r="A298" i="24"/>
  <c r="A297" i="24"/>
  <c r="A296" i="24"/>
  <c r="A295" i="24"/>
  <c r="A294" i="24"/>
  <c r="A293" i="24"/>
  <c r="A292" i="24"/>
  <c r="A291" i="24"/>
  <c r="A290" i="24"/>
  <c r="A289" i="24"/>
  <c r="A288" i="24"/>
  <c r="A287" i="24"/>
  <c r="A286" i="24"/>
  <c r="A285" i="24"/>
  <c r="A284" i="24"/>
  <c r="A283" i="24"/>
  <c r="A282" i="24"/>
  <c r="A281" i="24"/>
  <c r="A280" i="24"/>
  <c r="A279" i="24"/>
  <c r="F278" i="24"/>
  <c r="A277" i="24"/>
  <c r="A276" i="24"/>
  <c r="A275" i="24"/>
  <c r="A274" i="24"/>
  <c r="A273" i="24"/>
  <c r="A272" i="24"/>
  <c r="A271" i="24"/>
  <c r="A270" i="24"/>
  <c r="A269" i="24"/>
  <c r="A268" i="24"/>
  <c r="A267" i="24"/>
  <c r="A266" i="24"/>
  <c r="A265" i="24"/>
  <c r="A264" i="24"/>
  <c r="A263" i="24"/>
  <c r="A262" i="24"/>
  <c r="A261" i="24"/>
  <c r="A260" i="24"/>
  <c r="A259" i="24"/>
  <c r="A258" i="24"/>
  <c r="F257" i="24"/>
  <c r="A256" i="24"/>
  <c r="A255" i="24"/>
  <c r="A254" i="24"/>
  <c r="A253" i="24"/>
  <c r="A252" i="24"/>
  <c r="A251" i="24"/>
  <c r="A250" i="24"/>
  <c r="A249" i="24"/>
  <c r="A248" i="24"/>
  <c r="A247" i="24"/>
  <c r="A246" i="24"/>
  <c r="A245" i="24"/>
  <c r="A244" i="24"/>
  <c r="A243" i="24"/>
  <c r="A242" i="24"/>
  <c r="A241" i="24"/>
  <c r="A240" i="24"/>
  <c r="A239" i="24"/>
  <c r="A238" i="24"/>
  <c r="A237" i="24"/>
  <c r="F236" i="24"/>
  <c r="A235" i="24"/>
  <c r="A234" i="24"/>
  <c r="F636" i="23"/>
  <c r="A635" i="23"/>
  <c r="A634" i="23"/>
  <c r="A633" i="23"/>
  <c r="A632" i="23"/>
  <c r="A631" i="23"/>
  <c r="A630" i="23"/>
  <c r="A629" i="23"/>
  <c r="A628" i="23"/>
  <c r="A627" i="23"/>
  <c r="A626" i="23"/>
  <c r="A625" i="23"/>
  <c r="A624" i="23"/>
  <c r="A623" i="23"/>
  <c r="A622" i="23"/>
  <c r="A621" i="23"/>
  <c r="A620" i="23"/>
  <c r="A619" i="23"/>
  <c r="A618" i="23"/>
  <c r="A617" i="23"/>
  <c r="A616" i="23"/>
  <c r="F615" i="23"/>
  <c r="A614" i="23"/>
  <c r="A613" i="23"/>
  <c r="A612" i="23"/>
  <c r="A611" i="23"/>
  <c r="A610" i="23"/>
  <c r="A609" i="23"/>
  <c r="A608" i="23"/>
  <c r="A607" i="23"/>
  <c r="A606" i="23"/>
  <c r="A605" i="23"/>
  <c r="A604" i="23"/>
  <c r="A603" i="23"/>
  <c r="A602" i="23"/>
  <c r="A601" i="23"/>
  <c r="A600" i="23"/>
  <c r="A599" i="23"/>
  <c r="A598" i="23"/>
  <c r="A597" i="23"/>
  <c r="A596" i="23"/>
  <c r="A595" i="23"/>
  <c r="F594" i="23"/>
  <c r="A593" i="23"/>
  <c r="A592" i="23"/>
  <c r="A591" i="23"/>
  <c r="A590" i="23"/>
  <c r="A589" i="23"/>
  <c r="A588" i="23"/>
  <c r="A587" i="23"/>
  <c r="A586" i="23"/>
  <c r="A585" i="23"/>
  <c r="A584" i="23"/>
  <c r="A583" i="23"/>
  <c r="A582" i="23"/>
  <c r="A581" i="23"/>
  <c r="A580" i="23"/>
  <c r="A579" i="23"/>
  <c r="A578" i="23"/>
  <c r="A577" i="23"/>
  <c r="A576" i="23"/>
  <c r="A575" i="23"/>
  <c r="A574" i="23"/>
  <c r="F573" i="23"/>
  <c r="A572" i="23"/>
  <c r="A571" i="23"/>
  <c r="A570" i="23"/>
  <c r="A569" i="23"/>
  <c r="A568" i="23"/>
  <c r="A567" i="23"/>
  <c r="A566" i="23"/>
  <c r="A565" i="23"/>
  <c r="A564" i="23"/>
  <c r="A563" i="23"/>
  <c r="A562" i="23"/>
  <c r="A561" i="23"/>
  <c r="A560" i="23"/>
  <c r="A559" i="23"/>
  <c r="A558" i="23"/>
  <c r="A557" i="23"/>
  <c r="A556" i="23"/>
  <c r="A555" i="23"/>
  <c r="A554" i="23"/>
  <c r="A553" i="23"/>
  <c r="F552" i="23"/>
  <c r="A551" i="23"/>
  <c r="A550" i="23"/>
  <c r="A549" i="23"/>
  <c r="A548" i="23"/>
  <c r="A547" i="23"/>
  <c r="A546" i="23"/>
  <c r="A545" i="23"/>
  <c r="A544" i="23"/>
  <c r="A543" i="23"/>
  <c r="A542" i="23"/>
  <c r="A541" i="23"/>
  <c r="A540" i="23"/>
  <c r="A539" i="23"/>
  <c r="A538" i="23"/>
  <c r="A537" i="23"/>
  <c r="A536" i="23"/>
  <c r="A535" i="23"/>
  <c r="A534" i="23"/>
  <c r="A533" i="23"/>
  <c r="A532" i="23"/>
  <c r="F531" i="23"/>
  <c r="A530" i="23"/>
  <c r="A529" i="23"/>
  <c r="A528" i="23"/>
  <c r="A527" i="23"/>
  <c r="A526" i="23"/>
  <c r="A525" i="23"/>
  <c r="A524" i="23"/>
  <c r="A523" i="23"/>
  <c r="A522" i="23"/>
  <c r="A521" i="23"/>
  <c r="A520" i="23"/>
  <c r="A519" i="23"/>
  <c r="A518" i="23"/>
  <c r="A517" i="23"/>
  <c r="A516" i="23"/>
  <c r="A515" i="23"/>
  <c r="A514" i="23"/>
  <c r="A513" i="23"/>
  <c r="A512" i="23"/>
  <c r="A511" i="23"/>
  <c r="F510" i="23"/>
  <c r="A509" i="23"/>
  <c r="A508" i="23"/>
  <c r="A507" i="23"/>
  <c r="A506" i="23"/>
  <c r="A505" i="23"/>
  <c r="A504" i="23"/>
  <c r="A503" i="23"/>
  <c r="A502" i="23"/>
  <c r="A501" i="23"/>
  <c r="A500" i="23"/>
  <c r="A499" i="23"/>
  <c r="A498" i="23"/>
  <c r="A497" i="23"/>
  <c r="A496" i="23"/>
  <c r="A495" i="23"/>
  <c r="A494" i="23"/>
  <c r="A493" i="23"/>
  <c r="A492" i="23"/>
  <c r="A491" i="23"/>
  <c r="A490" i="23"/>
  <c r="F489" i="23"/>
  <c r="A488" i="23"/>
  <c r="A487" i="23"/>
  <c r="A486" i="23"/>
  <c r="A485" i="23"/>
  <c r="A484" i="23"/>
  <c r="A483" i="23"/>
  <c r="A482" i="23"/>
  <c r="A481" i="23"/>
  <c r="A480" i="23"/>
  <c r="A479" i="23"/>
  <c r="A478" i="23"/>
  <c r="A477" i="23"/>
  <c r="A476" i="23"/>
  <c r="A475" i="23"/>
  <c r="A474" i="23"/>
  <c r="A473" i="23"/>
  <c r="A472" i="23"/>
  <c r="A471" i="23"/>
  <c r="A470" i="23"/>
  <c r="A469" i="23"/>
  <c r="F468" i="23"/>
  <c r="A467" i="23"/>
  <c r="A466" i="23"/>
  <c r="A465" i="23"/>
  <c r="A464" i="23"/>
  <c r="A463" i="23"/>
  <c r="A462" i="23"/>
  <c r="A461" i="23"/>
  <c r="A460" i="23"/>
  <c r="A459" i="23"/>
  <c r="A458" i="23"/>
  <c r="A457" i="23"/>
  <c r="A456" i="23"/>
  <c r="A455" i="23"/>
  <c r="A454" i="23"/>
  <c r="A453" i="23"/>
  <c r="A452" i="23"/>
  <c r="A451" i="23"/>
  <c r="A450" i="23"/>
  <c r="A449" i="23"/>
  <c r="A448" i="23"/>
  <c r="F447" i="23"/>
  <c r="A446" i="23"/>
  <c r="A445" i="23"/>
  <c r="A444" i="23"/>
  <c r="A443" i="23"/>
  <c r="A442" i="23"/>
  <c r="A441" i="23"/>
  <c r="A440" i="23"/>
  <c r="A439" i="23"/>
  <c r="A438" i="23"/>
  <c r="A437" i="23"/>
  <c r="A436" i="23"/>
  <c r="A435" i="23"/>
  <c r="A434" i="23"/>
  <c r="A433" i="23"/>
  <c r="A432" i="23"/>
  <c r="A431" i="23"/>
  <c r="A430" i="23"/>
  <c r="A429" i="23"/>
  <c r="A428" i="23"/>
  <c r="A427" i="23"/>
  <c r="F426" i="23"/>
  <c r="A425" i="23"/>
  <c r="A424" i="23"/>
  <c r="A423" i="23"/>
  <c r="A422" i="23"/>
  <c r="A421" i="23"/>
  <c r="A420" i="23"/>
  <c r="A419" i="23"/>
  <c r="A418" i="23"/>
  <c r="A417" i="23"/>
  <c r="A416" i="23"/>
  <c r="A415" i="23"/>
  <c r="A414" i="23"/>
  <c r="A413" i="23"/>
  <c r="A412" i="23"/>
  <c r="A411" i="23"/>
  <c r="A410" i="23"/>
  <c r="A409" i="23"/>
  <c r="A408" i="23"/>
  <c r="A407" i="23"/>
  <c r="A406" i="23"/>
  <c r="F405" i="23"/>
  <c r="A404" i="23"/>
  <c r="A403" i="23"/>
  <c r="A402" i="23"/>
  <c r="A401" i="23"/>
  <c r="A400" i="23"/>
  <c r="A399" i="23"/>
  <c r="A398" i="23"/>
  <c r="A397" i="23"/>
  <c r="A396" i="23"/>
  <c r="A395" i="23"/>
  <c r="A394" i="23"/>
  <c r="A393" i="23"/>
  <c r="A392" i="23"/>
  <c r="A391" i="23"/>
  <c r="A390" i="23"/>
  <c r="A389" i="23"/>
  <c r="A388" i="23"/>
  <c r="A387" i="23"/>
  <c r="A386" i="23"/>
  <c r="A385" i="23"/>
  <c r="F384" i="23"/>
  <c r="A383" i="23"/>
  <c r="A382" i="23"/>
  <c r="A381" i="23"/>
  <c r="A380" i="23"/>
  <c r="A379" i="23"/>
  <c r="A378" i="23"/>
  <c r="A377" i="23"/>
  <c r="A376" i="23"/>
  <c r="A375" i="23"/>
  <c r="A374" i="23"/>
  <c r="A373" i="23"/>
  <c r="A372" i="23"/>
  <c r="A371" i="23"/>
  <c r="A370" i="23"/>
  <c r="A369" i="23"/>
  <c r="A368" i="23"/>
  <c r="A367" i="23"/>
  <c r="A366" i="23"/>
  <c r="A365" i="23"/>
  <c r="A364" i="23"/>
  <c r="F363" i="23"/>
  <c r="A362" i="23"/>
  <c r="A361" i="23"/>
  <c r="A360" i="23"/>
  <c r="A359" i="23"/>
  <c r="A358" i="23"/>
  <c r="A357" i="23"/>
  <c r="A356" i="23"/>
  <c r="A355" i="23"/>
  <c r="A354" i="23"/>
  <c r="A353" i="23"/>
  <c r="A352" i="23"/>
  <c r="A351" i="23"/>
  <c r="A350" i="23"/>
  <c r="A349" i="23"/>
  <c r="A348" i="23"/>
  <c r="A347" i="23"/>
  <c r="A346" i="23"/>
  <c r="A345" i="23"/>
  <c r="A344" i="23"/>
  <c r="A343" i="23"/>
  <c r="F342" i="23"/>
  <c r="A341" i="23"/>
  <c r="A340" i="23"/>
  <c r="A339" i="23"/>
  <c r="A338" i="23"/>
  <c r="A337" i="23"/>
  <c r="A336" i="23"/>
  <c r="A335" i="23"/>
  <c r="A334" i="23"/>
  <c r="A333" i="23"/>
  <c r="A332" i="23"/>
  <c r="A331" i="23"/>
  <c r="A330" i="23"/>
  <c r="A329" i="23"/>
  <c r="A328" i="23"/>
  <c r="A327" i="23"/>
  <c r="A326" i="23"/>
  <c r="A325" i="23"/>
  <c r="A324" i="23"/>
  <c r="A323" i="23"/>
  <c r="A322" i="23"/>
  <c r="F321" i="23"/>
  <c r="A320" i="23"/>
  <c r="A319" i="23"/>
  <c r="A318" i="23"/>
  <c r="A317" i="23"/>
  <c r="A316" i="23"/>
  <c r="A315" i="23"/>
  <c r="A314" i="23"/>
  <c r="A313" i="23"/>
  <c r="A312" i="23"/>
  <c r="A311" i="23"/>
  <c r="A310" i="23"/>
  <c r="A309" i="23"/>
  <c r="A308" i="23"/>
  <c r="A307" i="23"/>
  <c r="A306" i="23"/>
  <c r="A305" i="23"/>
  <c r="A304" i="23"/>
  <c r="A303" i="23"/>
  <c r="A302" i="23"/>
  <c r="A301" i="23"/>
  <c r="F300" i="23"/>
  <c r="A299" i="23"/>
  <c r="A298" i="23"/>
  <c r="A297" i="23"/>
  <c r="F156" i="23"/>
  <c r="F574" i="22"/>
  <c r="A573" i="22"/>
  <c r="A572" i="22"/>
  <c r="A571" i="22"/>
  <c r="A570" i="22"/>
  <c r="A569" i="22"/>
  <c r="A568" i="22"/>
  <c r="A567" i="22"/>
  <c r="A566" i="22"/>
  <c r="A565" i="22"/>
  <c r="A564" i="22"/>
  <c r="A563" i="22"/>
  <c r="A562" i="22"/>
  <c r="A561" i="22"/>
  <c r="A560" i="22"/>
  <c r="A559" i="22"/>
  <c r="A558" i="22"/>
  <c r="A557" i="22"/>
  <c r="A556" i="22"/>
  <c r="A555" i="22"/>
  <c r="A554" i="22"/>
  <c r="F553" i="22"/>
  <c r="A552" i="22"/>
  <c r="A551" i="22"/>
  <c r="A550" i="22"/>
  <c r="A549" i="22"/>
  <c r="A548" i="22"/>
  <c r="A547" i="22"/>
  <c r="A546" i="22"/>
  <c r="A545" i="22"/>
  <c r="A544" i="22"/>
  <c r="A543" i="22"/>
  <c r="A542" i="22"/>
  <c r="A541" i="22"/>
  <c r="A540" i="22"/>
  <c r="A539" i="22"/>
  <c r="A538" i="22"/>
  <c r="A537" i="22"/>
  <c r="A536" i="22"/>
  <c r="A535" i="22"/>
  <c r="A534" i="22"/>
  <c r="A533" i="22"/>
  <c r="F532" i="22"/>
  <c r="A531" i="22"/>
  <c r="A530" i="22"/>
  <c r="A529" i="22"/>
  <c r="A528" i="22"/>
  <c r="A527" i="22"/>
  <c r="A526" i="22"/>
  <c r="A525" i="22"/>
  <c r="A524" i="22"/>
  <c r="A523" i="22"/>
  <c r="A522" i="22"/>
  <c r="A521" i="22"/>
  <c r="A520" i="22"/>
  <c r="A519" i="22"/>
  <c r="A518" i="22"/>
  <c r="A517" i="22"/>
  <c r="A516" i="22"/>
  <c r="A515" i="22"/>
  <c r="A514" i="22"/>
  <c r="A513" i="22"/>
  <c r="A512" i="22"/>
  <c r="F511" i="22"/>
  <c r="A510" i="22"/>
  <c r="A509" i="22"/>
  <c r="A508" i="22"/>
  <c r="A507" i="22"/>
  <c r="A506" i="22"/>
  <c r="A505" i="22"/>
  <c r="A504" i="22"/>
  <c r="A503" i="22"/>
  <c r="A502" i="22"/>
  <c r="A501" i="22"/>
  <c r="A500" i="22"/>
  <c r="A499" i="22"/>
  <c r="A498" i="22"/>
  <c r="A497" i="22"/>
  <c r="A496" i="22"/>
  <c r="A495" i="22"/>
  <c r="A494" i="22"/>
  <c r="A493" i="22"/>
  <c r="A492" i="22"/>
  <c r="A491" i="22"/>
  <c r="F490" i="22"/>
  <c r="A489" i="22"/>
  <c r="A488" i="22"/>
  <c r="A487" i="22"/>
  <c r="A486" i="22"/>
  <c r="A485" i="22"/>
  <c r="A484" i="22"/>
  <c r="A483" i="22"/>
  <c r="A482" i="22"/>
  <c r="A481" i="22"/>
  <c r="A480" i="22"/>
  <c r="A479" i="22"/>
  <c r="A478" i="22"/>
  <c r="A477" i="22"/>
  <c r="A476" i="22"/>
  <c r="A475" i="22"/>
  <c r="A474" i="22"/>
  <c r="A473" i="22"/>
  <c r="A472" i="22"/>
  <c r="A471" i="22"/>
  <c r="A470" i="22"/>
  <c r="F469" i="22"/>
  <c r="A468" i="22"/>
  <c r="A467" i="22"/>
  <c r="A466" i="22"/>
  <c r="A465" i="22"/>
  <c r="A464" i="22"/>
  <c r="A463" i="22"/>
  <c r="A462" i="22"/>
  <c r="A461" i="22"/>
  <c r="A460" i="22"/>
  <c r="A459" i="22"/>
  <c r="A458" i="22"/>
  <c r="A457" i="22"/>
  <c r="A456" i="22"/>
  <c r="A455" i="22"/>
  <c r="A454" i="22"/>
  <c r="A453" i="22"/>
  <c r="A452" i="22"/>
  <c r="A451" i="22"/>
  <c r="A450" i="22"/>
  <c r="A449" i="22"/>
  <c r="F448" i="22"/>
  <c r="A447" i="22"/>
  <c r="A446" i="22"/>
  <c r="A445" i="22"/>
  <c r="A444" i="22"/>
  <c r="A443" i="22"/>
  <c r="A442" i="22"/>
  <c r="A441" i="22"/>
  <c r="A440" i="22"/>
  <c r="A439" i="22"/>
  <c r="A438" i="22"/>
  <c r="A437" i="22"/>
  <c r="A436" i="22"/>
  <c r="A435" i="22"/>
  <c r="A434" i="22"/>
  <c r="A433" i="22"/>
  <c r="A432" i="22"/>
  <c r="A431" i="22"/>
  <c r="A430" i="22"/>
  <c r="A429" i="22"/>
  <c r="A428" i="22"/>
  <c r="F427" i="22"/>
  <c r="A426" i="22"/>
  <c r="A425" i="22"/>
  <c r="A424" i="22"/>
  <c r="A423" i="22"/>
  <c r="A422" i="22"/>
  <c r="A421" i="22"/>
  <c r="A420" i="22"/>
  <c r="A419" i="22"/>
  <c r="A418" i="22"/>
  <c r="A417" i="22"/>
  <c r="A416" i="22"/>
  <c r="A415" i="22"/>
  <c r="A414" i="22"/>
  <c r="A413" i="22"/>
  <c r="A412" i="22"/>
  <c r="A411" i="22"/>
  <c r="A410" i="22"/>
  <c r="A409" i="22"/>
  <c r="A408" i="22"/>
  <c r="A407" i="22"/>
  <c r="F406" i="22"/>
  <c r="A405" i="22"/>
  <c r="A404" i="22"/>
  <c r="A403" i="22"/>
  <c r="A402" i="22"/>
  <c r="A401" i="22"/>
  <c r="A400" i="22"/>
  <c r="A399" i="22"/>
  <c r="A398" i="22"/>
  <c r="A397" i="22"/>
  <c r="A396" i="22"/>
  <c r="A395" i="22"/>
  <c r="A394" i="22"/>
  <c r="A393" i="22"/>
  <c r="A392" i="22"/>
  <c r="A391" i="22"/>
  <c r="A390" i="22"/>
  <c r="A389" i="22"/>
  <c r="A388" i="22"/>
  <c r="A387" i="22"/>
  <c r="A386" i="22"/>
  <c r="F385" i="22"/>
  <c r="A384" i="22"/>
  <c r="A383" i="22"/>
  <c r="A382" i="22"/>
  <c r="A381" i="22"/>
  <c r="A380" i="22"/>
  <c r="A379" i="22"/>
  <c r="A378" i="22"/>
  <c r="A377" i="22"/>
  <c r="A376" i="22"/>
  <c r="A375" i="22"/>
  <c r="A374" i="22"/>
  <c r="A373" i="22"/>
  <c r="A372" i="22"/>
  <c r="A371" i="22"/>
  <c r="A370" i="22"/>
  <c r="A369" i="22"/>
  <c r="A368" i="22"/>
  <c r="A367" i="22"/>
  <c r="A366" i="22"/>
  <c r="A365" i="22"/>
  <c r="F364" i="22"/>
  <c r="A363" i="22"/>
  <c r="A362" i="22"/>
  <c r="A361" i="22"/>
  <c r="A360" i="22"/>
  <c r="A359" i="22"/>
  <c r="A358" i="22"/>
  <c r="A357" i="22"/>
  <c r="A356" i="22"/>
  <c r="A355" i="22"/>
  <c r="A354" i="22"/>
  <c r="A353" i="22"/>
  <c r="A352" i="22"/>
  <c r="A351" i="22"/>
  <c r="A350" i="22"/>
  <c r="A349" i="22"/>
  <c r="A348" i="22"/>
  <c r="A347" i="22"/>
  <c r="A346" i="22"/>
  <c r="A345" i="22"/>
  <c r="A344" i="22"/>
  <c r="F343" i="22"/>
  <c r="A342" i="22"/>
  <c r="A341" i="22"/>
  <c r="A340" i="22"/>
  <c r="A339" i="22"/>
  <c r="A338" i="22"/>
  <c r="A337" i="22"/>
  <c r="A336" i="22"/>
  <c r="A335" i="22"/>
  <c r="A334" i="22"/>
  <c r="A333" i="22"/>
  <c r="A332" i="22"/>
  <c r="A331" i="22"/>
  <c r="A330" i="22"/>
  <c r="A329" i="22"/>
  <c r="A328" i="22"/>
  <c r="A327" i="22"/>
  <c r="A326" i="22"/>
  <c r="A325" i="22"/>
  <c r="A324" i="22"/>
  <c r="A323" i="22"/>
  <c r="F322" i="22"/>
  <c r="A321" i="22"/>
  <c r="A320" i="22"/>
  <c r="A319" i="22"/>
  <c r="A318" i="22"/>
  <c r="A317" i="22"/>
  <c r="A316" i="22"/>
  <c r="A315" i="22"/>
  <c r="A314" i="22"/>
  <c r="A313" i="22"/>
  <c r="A312" i="22"/>
  <c r="A311" i="22"/>
  <c r="A310" i="22"/>
  <c r="A309" i="22"/>
  <c r="A308" i="22"/>
  <c r="A307" i="22"/>
  <c r="A306" i="22"/>
  <c r="A305" i="22"/>
  <c r="A304" i="22"/>
  <c r="A303" i="22"/>
  <c r="A302" i="22"/>
  <c r="F301" i="22"/>
  <c r="A300" i="22"/>
  <c r="A299" i="22"/>
  <c r="A298" i="22"/>
  <c r="A297" i="22"/>
  <c r="A296" i="22"/>
  <c r="A295" i="22"/>
  <c r="A294" i="22"/>
  <c r="A293" i="22"/>
  <c r="A292" i="22"/>
  <c r="A291" i="22"/>
  <c r="A290" i="22"/>
  <c r="A289" i="22"/>
  <c r="A288" i="22"/>
  <c r="A287" i="22"/>
  <c r="A286" i="22"/>
  <c r="A285" i="22"/>
  <c r="A284" i="22"/>
  <c r="A283" i="22"/>
  <c r="A282" i="22"/>
  <c r="A281" i="22"/>
  <c r="F280" i="22"/>
  <c r="A279" i="22"/>
  <c r="A278" i="22"/>
  <c r="A277" i="22"/>
  <c r="A276" i="22"/>
  <c r="A275" i="22"/>
  <c r="A274" i="22"/>
  <c r="A273" i="22"/>
  <c r="A272" i="22"/>
  <c r="A271" i="22"/>
  <c r="A270" i="22"/>
  <c r="A269" i="22"/>
  <c r="A268" i="22"/>
  <c r="A267" i="22"/>
  <c r="A266" i="22"/>
  <c r="A265" i="22"/>
  <c r="A264" i="22"/>
  <c r="A263" i="22"/>
  <c r="A262" i="22"/>
  <c r="A261" i="22"/>
  <c r="A260" i="22"/>
  <c r="F259" i="22"/>
  <c r="A258" i="22"/>
  <c r="A257" i="22"/>
  <c r="A256" i="22"/>
  <c r="A255" i="22"/>
  <c r="A254" i="22"/>
  <c r="A253" i="22"/>
  <c r="A252" i="22"/>
  <c r="A251" i="22"/>
  <c r="A250" i="22"/>
  <c r="A249" i="22"/>
  <c r="A248" i="22"/>
  <c r="A247" i="22"/>
  <c r="A246" i="22"/>
  <c r="A245" i="22"/>
  <c r="A244" i="22"/>
  <c r="A243" i="22"/>
  <c r="A242" i="22"/>
  <c r="A241" i="22"/>
  <c r="A240" i="22"/>
  <c r="A239" i="22"/>
  <c r="F238" i="22"/>
  <c r="A237" i="22"/>
  <c r="A236" i="22"/>
  <c r="A235" i="22"/>
  <c r="A234" i="22"/>
  <c r="A233" i="22"/>
  <c r="A232" i="22"/>
  <c r="A231" i="22"/>
  <c r="A230" i="22"/>
  <c r="A229" i="22"/>
  <c r="A228" i="22"/>
  <c r="A227" i="22"/>
  <c r="A226" i="22"/>
  <c r="A225" i="22"/>
  <c r="A224" i="22"/>
  <c r="A223" i="22"/>
  <c r="A222" i="22"/>
  <c r="A221" i="22"/>
  <c r="A220" i="22"/>
  <c r="A219" i="22"/>
  <c r="A218" i="22"/>
  <c r="F217" i="22"/>
  <c r="A216" i="22"/>
  <c r="A215" i="22"/>
  <c r="A214" i="22"/>
  <c r="A213" i="22"/>
  <c r="A212" i="22"/>
  <c r="A211" i="22"/>
  <c r="A210" i="22"/>
  <c r="A209" i="22"/>
  <c r="A208" i="22"/>
  <c r="A207" i="22"/>
  <c r="A206" i="22"/>
  <c r="A205" i="22"/>
  <c r="A204" i="22"/>
  <c r="A203" i="22"/>
  <c r="A202" i="22"/>
  <c r="A201" i="22"/>
  <c r="A200" i="22"/>
  <c r="A199" i="22"/>
  <c r="A198" i="22"/>
  <c r="A197" i="22"/>
  <c r="F196" i="22"/>
  <c r="A195" i="22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F155" i="22"/>
  <c r="H31" i="27" l="1"/>
  <c r="J30" i="27"/>
  <c r="E29" i="27"/>
  <c r="G28" i="27"/>
  <c r="H27" i="27"/>
  <c r="J26" i="27"/>
  <c r="E25" i="27"/>
  <c r="G24" i="27"/>
  <c r="H23" i="27"/>
  <c r="J22" i="27"/>
  <c r="E21" i="27"/>
  <c r="G20" i="27"/>
  <c r="H19" i="27"/>
  <c r="J18" i="27"/>
  <c r="E17" i="27"/>
  <c r="G16" i="27"/>
  <c r="H15" i="27"/>
  <c r="J14" i="27"/>
  <c r="E13" i="27"/>
  <c r="G12" i="27"/>
  <c r="H11" i="27"/>
  <c r="J10" i="27"/>
  <c r="E9" i="27"/>
  <c r="H7" i="27"/>
  <c r="G7" i="27"/>
  <c r="J12" i="27"/>
  <c r="G10" i="27"/>
  <c r="J8" i="27"/>
  <c r="G31" i="27"/>
  <c r="H30" i="27"/>
  <c r="J29" i="27"/>
  <c r="E28" i="27"/>
  <c r="G27" i="27"/>
  <c r="H26" i="27"/>
  <c r="J25" i="27"/>
  <c r="E24" i="27"/>
  <c r="G23" i="27"/>
  <c r="H22" i="27"/>
  <c r="J21" i="27"/>
  <c r="E20" i="27"/>
  <c r="G19" i="27"/>
  <c r="H18" i="27"/>
  <c r="J17" i="27"/>
  <c r="E16" i="27"/>
  <c r="G15" i="27"/>
  <c r="H14" i="27"/>
  <c r="J13" i="27"/>
  <c r="E12" i="27"/>
  <c r="G11" i="27"/>
  <c r="H10" i="27"/>
  <c r="J9" i="27"/>
  <c r="E7" i="27"/>
  <c r="E31" i="27"/>
  <c r="G30" i="27"/>
  <c r="H29" i="27"/>
  <c r="J28" i="27"/>
  <c r="E27" i="27"/>
  <c r="G26" i="27"/>
  <c r="H25" i="27"/>
  <c r="J24" i="27"/>
  <c r="E23" i="27"/>
  <c r="G22" i="27"/>
  <c r="H21" i="27"/>
  <c r="J20" i="27"/>
  <c r="E19" i="27"/>
  <c r="G18" i="27"/>
  <c r="H17" i="27"/>
  <c r="J16" i="27"/>
  <c r="E15" i="27"/>
  <c r="H13" i="27"/>
  <c r="E11" i="27"/>
  <c r="H9" i="27"/>
  <c r="J31" i="27"/>
  <c r="E30" i="27"/>
  <c r="G29" i="27"/>
  <c r="H28" i="27"/>
  <c r="J27" i="27"/>
  <c r="E26" i="27"/>
  <c r="G25" i="27"/>
  <c r="H24" i="27"/>
  <c r="J23" i="27"/>
  <c r="E22" i="27"/>
  <c r="G21" i="27"/>
  <c r="H20" i="27"/>
  <c r="J19" i="27"/>
  <c r="E18" i="27"/>
  <c r="G17" i="27"/>
  <c r="H16" i="27"/>
  <c r="J15" i="27"/>
  <c r="E14" i="27"/>
  <c r="G13" i="27"/>
  <c r="H12" i="27"/>
  <c r="J11" i="27"/>
  <c r="E10" i="27"/>
  <c r="G9" i="27"/>
  <c r="H8" i="27"/>
  <c r="J7" i="27"/>
  <c r="G8" i="27"/>
  <c r="E8" i="27"/>
  <c r="G14" i="27"/>
  <c r="D186" i="27"/>
  <c r="Q187" i="27"/>
  <c r="D246" i="27"/>
  <c r="B276" i="27"/>
  <c r="Q157" i="27"/>
  <c r="B246" i="27"/>
  <c r="J91" i="27"/>
  <c r="G90" i="27"/>
  <c r="J89" i="27"/>
  <c r="G88" i="27"/>
  <c r="J87" i="27"/>
  <c r="G86" i="27"/>
  <c r="J85" i="27"/>
  <c r="G84" i="27"/>
  <c r="J83" i="27"/>
  <c r="G82" i="27"/>
  <c r="J81" i="27"/>
  <c r="G80" i="27"/>
  <c r="J79" i="27"/>
  <c r="G78" i="27"/>
  <c r="J77" i="27"/>
  <c r="G76" i="27"/>
  <c r="J75" i="27"/>
  <c r="G74" i="27"/>
  <c r="J73" i="27"/>
  <c r="G72" i="27"/>
  <c r="J71" i="27"/>
  <c r="G70" i="27"/>
  <c r="J69" i="27"/>
  <c r="G68" i="27"/>
  <c r="J67" i="27"/>
  <c r="H91" i="27"/>
  <c r="E90" i="27"/>
  <c r="H89" i="27"/>
  <c r="E88" i="27"/>
  <c r="H87" i="27"/>
  <c r="E86" i="27"/>
  <c r="H85" i="27"/>
  <c r="E84" i="27"/>
  <c r="H83" i="27"/>
  <c r="E82" i="27"/>
  <c r="H81" i="27"/>
  <c r="E80" i="27"/>
  <c r="H79" i="27"/>
  <c r="E78" i="27"/>
  <c r="H77" i="27"/>
  <c r="E76" i="27"/>
  <c r="H75" i="27"/>
  <c r="E74" i="27"/>
  <c r="H73" i="27"/>
  <c r="E72" i="27"/>
  <c r="H71" i="27"/>
  <c r="E70" i="27"/>
  <c r="H69" i="27"/>
  <c r="E68" i="27"/>
  <c r="H67" i="27"/>
  <c r="G91" i="27"/>
  <c r="J90" i="27"/>
  <c r="G89" i="27"/>
  <c r="J88" i="27"/>
  <c r="G87" i="27"/>
  <c r="J86" i="27"/>
  <c r="G85" i="27"/>
  <c r="J84" i="27"/>
  <c r="G83" i="27"/>
  <c r="J82" i="27"/>
  <c r="G81" i="27"/>
  <c r="J80" i="27"/>
  <c r="G79" i="27"/>
  <c r="J78" i="27"/>
  <c r="G77" i="27"/>
  <c r="J76" i="27"/>
  <c r="G75" i="27"/>
  <c r="J74" i="27"/>
  <c r="G73" i="27"/>
  <c r="J72" i="27"/>
  <c r="G71" i="27"/>
  <c r="J70" i="27"/>
  <c r="G69" i="27"/>
  <c r="J68" i="27"/>
  <c r="G67" i="27"/>
  <c r="E91" i="27"/>
  <c r="H90" i="27"/>
  <c r="E89" i="27"/>
  <c r="H88" i="27"/>
  <c r="E87" i="27"/>
  <c r="H86" i="27"/>
  <c r="E85" i="27"/>
  <c r="H84" i="27"/>
  <c r="E83" i="27"/>
  <c r="H82" i="27"/>
  <c r="E81" i="27"/>
  <c r="H80" i="27"/>
  <c r="E79" i="27"/>
  <c r="H78" i="27"/>
  <c r="E77" i="27"/>
  <c r="H76" i="27"/>
  <c r="E75" i="27"/>
  <c r="H74" i="27"/>
  <c r="E73" i="27"/>
  <c r="H72" i="27"/>
  <c r="E71" i="27"/>
  <c r="H70" i="27"/>
  <c r="E69" i="27"/>
  <c r="H68" i="27"/>
  <c r="E67" i="27"/>
  <c r="J121" i="27"/>
  <c r="T87" i="33" s="1"/>
  <c r="J120" i="27"/>
  <c r="T86" i="33" s="1"/>
  <c r="J119" i="27"/>
  <c r="T85" i="33" s="1"/>
  <c r="J118" i="27"/>
  <c r="J117" i="27"/>
  <c r="T83" i="33" s="1"/>
  <c r="J116" i="27"/>
  <c r="T82" i="33" s="1"/>
  <c r="J115" i="27"/>
  <c r="T81" i="33" s="1"/>
  <c r="J114" i="27"/>
  <c r="J113" i="27"/>
  <c r="T79" i="33" s="1"/>
  <c r="J112" i="27"/>
  <c r="T78" i="33" s="1"/>
  <c r="J111" i="27"/>
  <c r="T77" i="33" s="1"/>
  <c r="J110" i="27"/>
  <c r="J109" i="27"/>
  <c r="T75" i="33" s="1"/>
  <c r="J108" i="27"/>
  <c r="T74" i="33" s="1"/>
  <c r="J107" i="27"/>
  <c r="T73" i="33" s="1"/>
  <c r="J106" i="27"/>
  <c r="J105" i="27"/>
  <c r="T71" i="33" s="1"/>
  <c r="J104" i="27"/>
  <c r="T70" i="33" s="1"/>
  <c r="J103" i="27"/>
  <c r="T69" i="33" s="1"/>
  <c r="J102" i="27"/>
  <c r="J101" i="27"/>
  <c r="T67" i="33" s="1"/>
  <c r="J100" i="27"/>
  <c r="T66" i="33" s="1"/>
  <c r="J99" i="27"/>
  <c r="T65" i="33" s="1"/>
  <c r="J98" i="27"/>
  <c r="J97" i="27"/>
  <c r="T63" i="33" s="1"/>
  <c r="H121" i="27"/>
  <c r="S87" i="33" s="1"/>
  <c r="H120" i="27"/>
  <c r="S86" i="33" s="1"/>
  <c r="H119" i="27"/>
  <c r="S85" i="33" s="1"/>
  <c r="H118" i="27"/>
  <c r="S84" i="33" s="1"/>
  <c r="H117" i="27"/>
  <c r="S83" i="33" s="1"/>
  <c r="H116" i="27"/>
  <c r="S82" i="33" s="1"/>
  <c r="H115" i="27"/>
  <c r="H114" i="27"/>
  <c r="S80" i="33" s="1"/>
  <c r="H113" i="27"/>
  <c r="S79" i="33" s="1"/>
  <c r="H112" i="27"/>
  <c r="S78" i="33" s="1"/>
  <c r="H111" i="27"/>
  <c r="H110" i="27"/>
  <c r="S76" i="33" s="1"/>
  <c r="H109" i="27"/>
  <c r="S75" i="33" s="1"/>
  <c r="H108" i="27"/>
  <c r="S74" i="33" s="1"/>
  <c r="H107" i="27"/>
  <c r="H106" i="27"/>
  <c r="S72" i="33" s="1"/>
  <c r="H105" i="27"/>
  <c r="S71" i="33" s="1"/>
  <c r="H104" i="27"/>
  <c r="S70" i="33" s="1"/>
  <c r="H103" i="27"/>
  <c r="S69" i="33" s="1"/>
  <c r="H102" i="27"/>
  <c r="S68" i="33" s="1"/>
  <c r="H101" i="27"/>
  <c r="S67" i="33" s="1"/>
  <c r="H100" i="27"/>
  <c r="S66" i="33" s="1"/>
  <c r="H99" i="27"/>
  <c r="H98" i="27"/>
  <c r="S64" i="33" s="1"/>
  <c r="H97" i="27"/>
  <c r="S63" i="33" s="1"/>
  <c r="G121" i="27"/>
  <c r="T58" i="33" s="1"/>
  <c r="G120" i="27"/>
  <c r="T57" i="33" s="1"/>
  <c r="G119" i="27"/>
  <c r="T56" i="33" s="1"/>
  <c r="G118" i="27"/>
  <c r="T55" i="33" s="1"/>
  <c r="G117" i="27"/>
  <c r="T54" i="33" s="1"/>
  <c r="G116" i="27"/>
  <c r="T53" i="33" s="1"/>
  <c r="G115" i="27"/>
  <c r="T52" i="33" s="1"/>
  <c r="G114" i="27"/>
  <c r="T51" i="33" s="1"/>
  <c r="G113" i="27"/>
  <c r="T50" i="33" s="1"/>
  <c r="G112" i="27"/>
  <c r="T49" i="33" s="1"/>
  <c r="G111" i="27"/>
  <c r="T48" i="33" s="1"/>
  <c r="G110" i="27"/>
  <c r="T47" i="33" s="1"/>
  <c r="G109" i="27"/>
  <c r="T46" i="33" s="1"/>
  <c r="G108" i="27"/>
  <c r="T45" i="33" s="1"/>
  <c r="G107" i="27"/>
  <c r="G106" i="27"/>
  <c r="T43" i="33" s="1"/>
  <c r="G105" i="27"/>
  <c r="T42" i="33" s="1"/>
  <c r="G104" i="27"/>
  <c r="T41" i="33" s="1"/>
  <c r="G103" i="27"/>
  <c r="T40" i="33" s="1"/>
  <c r="G102" i="27"/>
  <c r="T39" i="33" s="1"/>
  <c r="G101" i="27"/>
  <c r="T38" i="33" s="1"/>
  <c r="G100" i="27"/>
  <c r="T37" i="33" s="1"/>
  <c r="G99" i="27"/>
  <c r="T36" i="33" s="1"/>
  <c r="G98" i="27"/>
  <c r="T35" i="33" s="1"/>
  <c r="G97" i="27"/>
  <c r="T34" i="33" s="1"/>
  <c r="E121" i="27"/>
  <c r="E120" i="27"/>
  <c r="E119" i="27"/>
  <c r="S56" i="33" s="1"/>
  <c r="E118" i="27"/>
  <c r="S55" i="33" s="1"/>
  <c r="E117" i="27"/>
  <c r="S54" i="33" s="1"/>
  <c r="E116" i="27"/>
  <c r="S53" i="33" s="1"/>
  <c r="E115" i="27"/>
  <c r="S52" i="33" s="1"/>
  <c r="E114" i="27"/>
  <c r="S51" i="33" s="1"/>
  <c r="E113" i="27"/>
  <c r="S50" i="33" s="1"/>
  <c r="E112" i="27"/>
  <c r="E111" i="27"/>
  <c r="S48" i="33" s="1"/>
  <c r="E110" i="27"/>
  <c r="S47" i="33" s="1"/>
  <c r="E109" i="27"/>
  <c r="S46" i="33" s="1"/>
  <c r="E108" i="27"/>
  <c r="E107" i="27"/>
  <c r="S44" i="33" s="1"/>
  <c r="E106" i="27"/>
  <c r="S43" i="33" s="1"/>
  <c r="E105" i="27"/>
  <c r="E104" i="27"/>
  <c r="E103" i="27"/>
  <c r="S40" i="33" s="1"/>
  <c r="E102" i="27"/>
  <c r="S39" i="33" s="1"/>
  <c r="E101" i="27"/>
  <c r="E100" i="27"/>
  <c r="E99" i="27"/>
  <c r="S36" i="33" s="1"/>
  <c r="E98" i="27"/>
  <c r="S35" i="33" s="1"/>
  <c r="E97" i="27"/>
  <c r="Q127" i="27"/>
  <c r="E148" i="27"/>
  <c r="H128" i="27"/>
  <c r="D126" i="27"/>
  <c r="E127" i="27"/>
  <c r="G150" i="27"/>
  <c r="G148" i="27"/>
  <c r="G146" i="27"/>
  <c r="G144" i="27"/>
  <c r="G142" i="27"/>
  <c r="G140" i="27"/>
  <c r="G138" i="27"/>
  <c r="G136" i="27"/>
  <c r="G134" i="27"/>
  <c r="G132" i="27"/>
  <c r="G130" i="27"/>
  <c r="G128" i="27"/>
  <c r="J151" i="27"/>
  <c r="J149" i="27"/>
  <c r="J147" i="27"/>
  <c r="J145" i="27"/>
  <c r="J143" i="27"/>
  <c r="J141" i="27"/>
  <c r="J139" i="27"/>
  <c r="J137" i="27"/>
  <c r="J135" i="27"/>
  <c r="J133" i="27"/>
  <c r="J131" i="27"/>
  <c r="J129" i="27"/>
  <c r="G127" i="27"/>
  <c r="E150" i="27"/>
  <c r="E144" i="27"/>
  <c r="E142" i="27"/>
  <c r="E140" i="27"/>
  <c r="E138" i="27"/>
  <c r="E136" i="27"/>
  <c r="E134" i="27"/>
  <c r="E132" i="27"/>
  <c r="E130" i="27"/>
  <c r="E128" i="27"/>
  <c r="H151" i="27"/>
  <c r="H149" i="27"/>
  <c r="H147" i="27"/>
  <c r="H145" i="27"/>
  <c r="H143" i="27"/>
  <c r="H141" i="27"/>
  <c r="H139" i="27"/>
  <c r="H137" i="27"/>
  <c r="H135" i="27"/>
  <c r="H133" i="27"/>
  <c r="H131" i="27"/>
  <c r="H129" i="27"/>
  <c r="E146" i="27"/>
  <c r="G151" i="27"/>
  <c r="X58" i="33" s="1"/>
  <c r="G149" i="27"/>
  <c r="G147" i="27"/>
  <c r="G145" i="27"/>
  <c r="X52" i="33" s="1"/>
  <c r="G143" i="27"/>
  <c r="X50" i="33" s="1"/>
  <c r="G141" i="27"/>
  <c r="G139" i="27"/>
  <c r="G137" i="27"/>
  <c r="G135" i="27"/>
  <c r="G133" i="27"/>
  <c r="G131" i="27"/>
  <c r="G129" i="27"/>
  <c r="H127" i="27"/>
  <c r="J150" i="27"/>
  <c r="J148" i="27"/>
  <c r="J146" i="27"/>
  <c r="J144" i="27"/>
  <c r="J142" i="27"/>
  <c r="J140" i="27"/>
  <c r="J138" i="27"/>
  <c r="J136" i="27"/>
  <c r="J134" i="27"/>
  <c r="J132" i="27"/>
  <c r="J130" i="27"/>
  <c r="J128" i="27"/>
  <c r="E151" i="27"/>
  <c r="W58" i="33" s="1"/>
  <c r="E149" i="27"/>
  <c r="E147" i="27"/>
  <c r="E145" i="27"/>
  <c r="E143" i="27"/>
  <c r="W50" i="33" s="1"/>
  <c r="E141" i="27"/>
  <c r="E139" i="27"/>
  <c r="E137" i="27"/>
  <c r="E135" i="27"/>
  <c r="W42" i="33" s="1"/>
  <c r="E133" i="27"/>
  <c r="E131" i="27"/>
  <c r="E129" i="27"/>
  <c r="J127" i="27"/>
  <c r="H150" i="27"/>
  <c r="H148" i="27"/>
  <c r="H146" i="27"/>
  <c r="H144" i="27"/>
  <c r="H142" i="27"/>
  <c r="H140" i="27"/>
  <c r="H138" i="27"/>
  <c r="H136" i="27"/>
  <c r="H134" i="27"/>
  <c r="H132" i="27"/>
  <c r="H130" i="27"/>
  <c r="J126" i="27"/>
  <c r="K133" i="27"/>
  <c r="K129" i="27"/>
  <c r="M139" i="27"/>
  <c r="M135" i="27"/>
  <c r="M146" i="27"/>
  <c r="M130" i="27"/>
  <c r="N73" i="28"/>
  <c r="P96" i="28"/>
  <c r="P94" i="28"/>
  <c r="P92" i="28"/>
  <c r="P90" i="28"/>
  <c r="P88" i="28"/>
  <c r="P86" i="28"/>
  <c r="P84" i="28"/>
  <c r="P82" i="28"/>
  <c r="P80" i="28"/>
  <c r="P78" i="28"/>
  <c r="P76" i="28"/>
  <c r="P74" i="28"/>
  <c r="N96" i="28"/>
  <c r="N92" i="28"/>
  <c r="N88" i="28"/>
  <c r="N84" i="28"/>
  <c r="N80" i="28"/>
  <c r="N72" i="28"/>
  <c r="P95" i="28"/>
  <c r="P91" i="28"/>
  <c r="P87" i="28"/>
  <c r="P83" i="28"/>
  <c r="P79" i="28"/>
  <c r="P75" i="28"/>
  <c r="N94" i="28"/>
  <c r="N78" i="28"/>
  <c r="N76" i="28"/>
  <c r="P72" i="28"/>
  <c r="N95" i="28"/>
  <c r="N93" i="28"/>
  <c r="N91" i="28"/>
  <c r="N89" i="28"/>
  <c r="N87" i="28"/>
  <c r="N85" i="28"/>
  <c r="N83" i="28"/>
  <c r="N81" i="28"/>
  <c r="N79" i="28"/>
  <c r="N77" i="28"/>
  <c r="N75" i="28"/>
  <c r="P64" i="28"/>
  <c r="P60" i="28"/>
  <c r="P58" i="28"/>
  <c r="P56" i="28"/>
  <c r="P52" i="28"/>
  <c r="P48" i="28"/>
  <c r="P46" i="28"/>
  <c r="P44" i="28"/>
  <c r="N58" i="28"/>
  <c r="N56" i="28"/>
  <c r="N50" i="28"/>
  <c r="P61" i="28"/>
  <c r="P57" i="28"/>
  <c r="P53" i="28"/>
  <c r="P49" i="28"/>
  <c r="P45" i="28"/>
  <c r="P41" i="28"/>
  <c r="N59" i="28"/>
  <c r="M115" i="27"/>
  <c r="Q97" i="27"/>
  <c r="D96" i="27"/>
  <c r="Q67" i="27"/>
  <c r="K82" i="27"/>
  <c r="M91" i="27"/>
  <c r="M83" i="27"/>
  <c r="M79" i="27"/>
  <c r="M75" i="27"/>
  <c r="M71" i="27"/>
  <c r="K89" i="27"/>
  <c r="K73" i="27"/>
  <c r="M86" i="27"/>
  <c r="M74" i="27"/>
  <c r="M70" i="27"/>
  <c r="D66" i="27"/>
  <c r="K76" i="27"/>
  <c r="K68" i="27"/>
  <c r="K83" i="27"/>
  <c r="K79" i="27"/>
  <c r="M76" i="27"/>
  <c r="H38" i="27"/>
  <c r="H61" i="27"/>
  <c r="H57" i="27"/>
  <c r="H41" i="27"/>
  <c r="H49" i="27"/>
  <c r="H60" i="27"/>
  <c r="H56" i="27"/>
  <c r="H52" i="27"/>
  <c r="H48" i="27"/>
  <c r="H44" i="27"/>
  <c r="H40" i="27"/>
  <c r="H45" i="27"/>
  <c r="H59" i="27"/>
  <c r="H55" i="27"/>
  <c r="H51" i="27"/>
  <c r="H47" i="27"/>
  <c r="H43" i="27"/>
  <c r="H39" i="27"/>
  <c r="H53" i="27"/>
  <c r="H58" i="27"/>
  <c r="H54" i="27"/>
  <c r="H50" i="27"/>
  <c r="H46" i="27"/>
  <c r="H42" i="27"/>
  <c r="J39" i="27"/>
  <c r="J42" i="27"/>
  <c r="J61" i="27"/>
  <c r="J57" i="27"/>
  <c r="J53" i="27"/>
  <c r="J49" i="27"/>
  <c r="J45" i="27"/>
  <c r="J41" i="27"/>
  <c r="G38" i="27"/>
  <c r="J58" i="27"/>
  <c r="J46" i="27"/>
  <c r="J60" i="27"/>
  <c r="J56" i="27"/>
  <c r="J52" i="27"/>
  <c r="J48" i="27"/>
  <c r="J44" i="27"/>
  <c r="J40" i="27"/>
  <c r="J37" i="27"/>
  <c r="J54" i="27"/>
  <c r="J50" i="27"/>
  <c r="J38" i="27"/>
  <c r="H37" i="27"/>
  <c r="J59" i="27"/>
  <c r="J55" i="27"/>
  <c r="J51" i="27"/>
  <c r="J47" i="27"/>
  <c r="J43" i="27"/>
  <c r="G39" i="27"/>
  <c r="E60" i="27"/>
  <c r="E56" i="27"/>
  <c r="E52" i="27"/>
  <c r="E48" i="27"/>
  <c r="E44" i="27"/>
  <c r="E40" i="27"/>
  <c r="G61" i="27"/>
  <c r="G57" i="27"/>
  <c r="G53" i="27"/>
  <c r="G49" i="27"/>
  <c r="G45" i="27"/>
  <c r="G41" i="27"/>
  <c r="E59" i="27"/>
  <c r="E55" i="27"/>
  <c r="E51" i="27"/>
  <c r="E47" i="27"/>
  <c r="E43" i="27"/>
  <c r="E39" i="27"/>
  <c r="G60" i="27"/>
  <c r="G56" i="27"/>
  <c r="G52" i="27"/>
  <c r="G48" i="27"/>
  <c r="G44" i="27"/>
  <c r="G40" i="27"/>
  <c r="E37" i="27"/>
  <c r="E58" i="27"/>
  <c r="E54" i="27"/>
  <c r="E50" i="27"/>
  <c r="E46" i="27"/>
  <c r="E42" i="27"/>
  <c r="E38" i="27"/>
  <c r="G59" i="27"/>
  <c r="G55" i="27"/>
  <c r="G51" i="27"/>
  <c r="G47" i="27"/>
  <c r="G43" i="27"/>
  <c r="Q37" i="27"/>
  <c r="E61" i="27"/>
  <c r="E57" i="27"/>
  <c r="E53" i="27"/>
  <c r="E49" i="27"/>
  <c r="E45" i="27"/>
  <c r="E41" i="27"/>
  <c r="G37" i="27"/>
  <c r="G58" i="27"/>
  <c r="G54" i="27"/>
  <c r="G50" i="27"/>
  <c r="G46" i="27"/>
  <c r="G42" i="27"/>
  <c r="M53" i="27"/>
  <c r="D36" i="27"/>
  <c r="Q36" i="27"/>
  <c r="M8" i="27"/>
  <c r="M26" i="27"/>
  <c r="M18" i="27"/>
  <c r="K28" i="27"/>
  <c r="K24" i="27"/>
  <c r="K20" i="27"/>
  <c r="K16" i="27"/>
  <c r="K12" i="27"/>
  <c r="K8" i="27"/>
  <c r="M25" i="27"/>
  <c r="M21" i="27"/>
  <c r="M17" i="27"/>
  <c r="M13" i="27"/>
  <c r="D6" i="27"/>
  <c r="B6" i="27"/>
  <c r="B36" i="27"/>
  <c r="Q6" i="27"/>
  <c r="Q7" i="27"/>
  <c r="B66" i="27"/>
  <c r="B96" i="27"/>
  <c r="Q126" i="27"/>
  <c r="Q96" i="27"/>
  <c r="B216" i="27"/>
  <c r="Q66" i="27"/>
  <c r="B126" i="27"/>
  <c r="B156" i="27"/>
  <c r="B186" i="27"/>
  <c r="Q216" i="27"/>
  <c r="Q247" i="27"/>
  <c r="Q277" i="27"/>
  <c r="K61" i="27" l="1"/>
  <c r="K58" i="33"/>
  <c r="H64" i="28"/>
  <c r="E113" i="28"/>
  <c r="G101" i="33"/>
  <c r="L47" i="33"/>
  <c r="J53" i="28"/>
  <c r="K38" i="33"/>
  <c r="H44" i="28"/>
  <c r="K57" i="27"/>
  <c r="K54" i="33"/>
  <c r="H60" i="28"/>
  <c r="L44" i="33"/>
  <c r="J50" i="28"/>
  <c r="K35" i="33"/>
  <c r="H41" i="28"/>
  <c r="K51" i="33"/>
  <c r="H57" i="28"/>
  <c r="L41" i="33"/>
  <c r="J47" i="28"/>
  <c r="L57" i="33"/>
  <c r="J63" i="28"/>
  <c r="K51" i="27"/>
  <c r="K48" i="33"/>
  <c r="H54" i="28"/>
  <c r="M45" i="27"/>
  <c r="L42" i="33"/>
  <c r="J48" i="28"/>
  <c r="M61" i="27"/>
  <c r="L58" i="33"/>
  <c r="J64" i="28"/>
  <c r="K49" i="33"/>
  <c r="H55" i="28"/>
  <c r="L69" i="33"/>
  <c r="J78" i="28"/>
  <c r="L85" i="33"/>
  <c r="J94" i="28"/>
  <c r="L80" i="33"/>
  <c r="J89" i="28"/>
  <c r="L74" i="33"/>
  <c r="J83" i="28"/>
  <c r="L72" i="33"/>
  <c r="J81" i="28"/>
  <c r="L71" i="33"/>
  <c r="J80" i="28"/>
  <c r="L87" i="33"/>
  <c r="J96" i="28"/>
  <c r="K72" i="33"/>
  <c r="H81" i="28"/>
  <c r="K79" i="33"/>
  <c r="H88" i="28"/>
  <c r="K77" i="33"/>
  <c r="H86" i="28"/>
  <c r="K66" i="33"/>
  <c r="H75" i="28"/>
  <c r="K82" i="33"/>
  <c r="H91" i="28"/>
  <c r="K83" i="33"/>
  <c r="H92" i="28"/>
  <c r="K116" i="28"/>
  <c r="O104" i="33"/>
  <c r="K110" i="28"/>
  <c r="O98" i="33"/>
  <c r="M116" i="28"/>
  <c r="P104" i="33"/>
  <c r="S112" i="28"/>
  <c r="X100" i="33"/>
  <c r="Q81" i="28"/>
  <c r="W72" i="33"/>
  <c r="Q89" i="28"/>
  <c r="W80" i="33"/>
  <c r="S72" i="28"/>
  <c r="X63" i="33"/>
  <c r="S79" i="28"/>
  <c r="X70" i="33"/>
  <c r="S87" i="28"/>
  <c r="X78" i="33"/>
  <c r="S95" i="28"/>
  <c r="X86" i="33"/>
  <c r="S46" i="28"/>
  <c r="X40" i="33"/>
  <c r="S54" i="28"/>
  <c r="X48" i="33"/>
  <c r="S62" i="28"/>
  <c r="X56" i="33"/>
  <c r="Q76" i="28"/>
  <c r="W67" i="33"/>
  <c r="Q84" i="28"/>
  <c r="W75" i="33"/>
  <c r="Q92" i="28"/>
  <c r="W83" i="33"/>
  <c r="Q43" i="28"/>
  <c r="W37" i="33"/>
  <c r="Q51" i="28"/>
  <c r="W45" i="33"/>
  <c r="Q63" i="28"/>
  <c r="W57" i="33"/>
  <c r="S78" i="28"/>
  <c r="X69" i="33"/>
  <c r="S86" i="28"/>
  <c r="X77" i="33"/>
  <c r="S94" i="28"/>
  <c r="X85" i="33"/>
  <c r="S45" i="28"/>
  <c r="X39" i="33"/>
  <c r="S53" i="28"/>
  <c r="X47" i="33"/>
  <c r="S61" i="28"/>
  <c r="X55" i="33"/>
  <c r="Q73" i="28"/>
  <c r="W64" i="33"/>
  <c r="N43" i="28"/>
  <c r="S37" i="33"/>
  <c r="N47" i="28"/>
  <c r="S41" i="33"/>
  <c r="N51" i="28"/>
  <c r="S45" i="33"/>
  <c r="N55" i="28"/>
  <c r="S49" i="33"/>
  <c r="N63" i="28"/>
  <c r="S57" i="33"/>
  <c r="P50" i="28"/>
  <c r="T44" i="33"/>
  <c r="K75" i="28"/>
  <c r="O66" i="33"/>
  <c r="K79" i="28"/>
  <c r="O70" i="33"/>
  <c r="K83" i="28"/>
  <c r="O74" i="33"/>
  <c r="K87" i="28"/>
  <c r="O78" i="33"/>
  <c r="K91" i="28"/>
  <c r="O82" i="33"/>
  <c r="K95" i="28"/>
  <c r="O86" i="33"/>
  <c r="M42" i="28"/>
  <c r="P36" i="33"/>
  <c r="M46" i="28"/>
  <c r="P40" i="33"/>
  <c r="M50" i="28"/>
  <c r="P44" i="33"/>
  <c r="M54" i="28"/>
  <c r="P48" i="33"/>
  <c r="M58" i="28"/>
  <c r="P52" i="33"/>
  <c r="M62" i="28"/>
  <c r="P56" i="33"/>
  <c r="K41" i="28"/>
  <c r="O35" i="33"/>
  <c r="K45" i="28"/>
  <c r="O39" i="33"/>
  <c r="K49" i="28"/>
  <c r="O43" i="33"/>
  <c r="K53" i="28"/>
  <c r="O47" i="33"/>
  <c r="K57" i="28"/>
  <c r="O51" i="33"/>
  <c r="K61" i="28"/>
  <c r="O55" i="33"/>
  <c r="M72" i="28"/>
  <c r="P63" i="33"/>
  <c r="M76" i="28"/>
  <c r="P67" i="33"/>
  <c r="M80" i="28"/>
  <c r="P71" i="33"/>
  <c r="M84" i="28"/>
  <c r="P75" i="33"/>
  <c r="M88" i="28"/>
  <c r="P79" i="33"/>
  <c r="M92" i="28"/>
  <c r="P83" i="33"/>
  <c r="M96" i="28"/>
  <c r="P87" i="33"/>
  <c r="H35" i="33"/>
  <c r="G41" i="28"/>
  <c r="G37" i="33"/>
  <c r="E43" i="28"/>
  <c r="G41" i="33"/>
  <c r="E47" i="28"/>
  <c r="G45" i="33"/>
  <c r="E51" i="28"/>
  <c r="G49" i="33"/>
  <c r="E55" i="28"/>
  <c r="G53" i="33"/>
  <c r="E59" i="28"/>
  <c r="G57" i="33"/>
  <c r="E63" i="28"/>
  <c r="G69" i="33"/>
  <c r="E78" i="28"/>
  <c r="H45" i="33"/>
  <c r="G51" i="28"/>
  <c r="H49" i="33"/>
  <c r="G55" i="28"/>
  <c r="H53" i="33"/>
  <c r="G59" i="28"/>
  <c r="H57" i="33"/>
  <c r="G63" i="28"/>
  <c r="G66" i="33"/>
  <c r="E75" i="28"/>
  <c r="G70" i="33"/>
  <c r="E79" i="28"/>
  <c r="G74" i="33"/>
  <c r="E83" i="28"/>
  <c r="G78" i="33"/>
  <c r="E87" i="28"/>
  <c r="G82" i="33"/>
  <c r="E91" i="28"/>
  <c r="G86" i="33"/>
  <c r="E95" i="28"/>
  <c r="H68" i="33"/>
  <c r="G77" i="28"/>
  <c r="H66" i="33"/>
  <c r="G75" i="28"/>
  <c r="H70" i="33"/>
  <c r="G79" i="28"/>
  <c r="H74" i="33"/>
  <c r="G83" i="28"/>
  <c r="H78" i="33"/>
  <c r="G87" i="28"/>
  <c r="H82" i="33"/>
  <c r="G91" i="28"/>
  <c r="H86" i="33"/>
  <c r="G95" i="28"/>
  <c r="L45" i="33"/>
  <c r="J51" i="28"/>
  <c r="K39" i="27"/>
  <c r="K36" i="33"/>
  <c r="H42" i="28"/>
  <c r="K55" i="27"/>
  <c r="K52" i="33"/>
  <c r="H58" i="28"/>
  <c r="M49" i="27"/>
  <c r="L46" i="33"/>
  <c r="J52" i="28"/>
  <c r="K37" i="33"/>
  <c r="H43" i="28"/>
  <c r="K53" i="33"/>
  <c r="H59" i="28"/>
  <c r="L73" i="33"/>
  <c r="J82" i="28"/>
  <c r="K63" i="33"/>
  <c r="H72" i="28"/>
  <c r="L63" i="33"/>
  <c r="J72" i="28"/>
  <c r="L78" i="33"/>
  <c r="J87" i="28"/>
  <c r="L84" i="33"/>
  <c r="J93" i="28"/>
  <c r="L75" i="33"/>
  <c r="J84" i="28"/>
  <c r="L68" i="33"/>
  <c r="J77" i="28"/>
  <c r="K76" i="33"/>
  <c r="H85" i="28"/>
  <c r="K65" i="33"/>
  <c r="H74" i="28"/>
  <c r="K81" i="33"/>
  <c r="H90" i="28"/>
  <c r="K70" i="33"/>
  <c r="H79" i="28"/>
  <c r="K86" i="33"/>
  <c r="H95" i="28"/>
  <c r="K87" i="33"/>
  <c r="H96" i="28"/>
  <c r="K120" i="28"/>
  <c r="O108" i="33"/>
  <c r="M107" i="28"/>
  <c r="P95" i="33"/>
  <c r="K126" i="28"/>
  <c r="O114" i="33"/>
  <c r="M120" i="28"/>
  <c r="P108" i="33"/>
  <c r="S116" i="28"/>
  <c r="X104" i="33"/>
  <c r="Q75" i="28"/>
  <c r="W66" i="33"/>
  <c r="Q83" i="28"/>
  <c r="W74" i="33"/>
  <c r="Q91" i="28"/>
  <c r="W82" i="33"/>
  <c r="Q42" i="28"/>
  <c r="W36" i="33"/>
  <c r="Q50" i="28"/>
  <c r="W44" i="33"/>
  <c r="Q58" i="28"/>
  <c r="W52" i="33"/>
  <c r="S73" i="28"/>
  <c r="X64" i="33"/>
  <c r="S81" i="28"/>
  <c r="X72" i="33"/>
  <c r="S89" i="28"/>
  <c r="X80" i="33"/>
  <c r="Q72" i="28"/>
  <c r="W63" i="33"/>
  <c r="S48" i="28"/>
  <c r="X42" i="33"/>
  <c r="Q78" i="28"/>
  <c r="W69" i="33"/>
  <c r="Q86" i="28"/>
  <c r="W77" i="33"/>
  <c r="Q94" i="28"/>
  <c r="W85" i="33"/>
  <c r="Q45" i="28"/>
  <c r="W39" i="33"/>
  <c r="Q53" i="28"/>
  <c r="W47" i="33"/>
  <c r="S40" i="28"/>
  <c r="X34" i="33"/>
  <c r="S80" i="28"/>
  <c r="X71" i="33"/>
  <c r="S88" i="28"/>
  <c r="X79" i="33"/>
  <c r="S96" i="28"/>
  <c r="X87" i="33"/>
  <c r="S47" i="28"/>
  <c r="X41" i="33"/>
  <c r="S55" i="28"/>
  <c r="X49" i="33"/>
  <c r="S63" i="28"/>
  <c r="X57" i="33"/>
  <c r="Q61" i="28"/>
  <c r="W55" i="33"/>
  <c r="N40" i="28"/>
  <c r="S34" i="33"/>
  <c r="N44" i="28"/>
  <c r="S38" i="33"/>
  <c r="N48" i="28"/>
  <c r="S42" i="33"/>
  <c r="N64" i="28"/>
  <c r="S58" i="33"/>
  <c r="N74" i="28"/>
  <c r="S65" i="33"/>
  <c r="N82" i="28"/>
  <c r="S73" i="33"/>
  <c r="N86" i="28"/>
  <c r="S77" i="33"/>
  <c r="N90" i="28"/>
  <c r="S81" i="33"/>
  <c r="P73" i="28"/>
  <c r="T64" i="33"/>
  <c r="P77" i="28"/>
  <c r="T68" i="33"/>
  <c r="P81" i="28"/>
  <c r="T72" i="33"/>
  <c r="P85" i="28"/>
  <c r="T76" i="33"/>
  <c r="P89" i="28"/>
  <c r="T80" i="33"/>
  <c r="P93" i="28"/>
  <c r="T84" i="33"/>
  <c r="K40" i="28"/>
  <c r="O34" i="33"/>
  <c r="K44" i="28"/>
  <c r="O38" i="33"/>
  <c r="K48" i="28"/>
  <c r="O42" i="33"/>
  <c r="K52" i="28"/>
  <c r="O46" i="33"/>
  <c r="K56" i="28"/>
  <c r="O50" i="33"/>
  <c r="K60" i="28"/>
  <c r="O54" i="33"/>
  <c r="K64" i="28"/>
  <c r="O58" i="33"/>
  <c r="M75" i="28"/>
  <c r="P66" i="33"/>
  <c r="M79" i="28"/>
  <c r="P70" i="33"/>
  <c r="M83" i="28"/>
  <c r="P74" i="33"/>
  <c r="M87" i="28"/>
  <c r="P78" i="33"/>
  <c r="M91" i="28"/>
  <c r="P82" i="33"/>
  <c r="M95" i="28"/>
  <c r="P86" i="33"/>
  <c r="K74" i="28"/>
  <c r="O65" i="33"/>
  <c r="K78" i="28"/>
  <c r="O69" i="33"/>
  <c r="K82" i="28"/>
  <c r="O73" i="33"/>
  <c r="K86" i="28"/>
  <c r="O77" i="33"/>
  <c r="K90" i="28"/>
  <c r="O81" i="33"/>
  <c r="K94" i="28"/>
  <c r="O85" i="33"/>
  <c r="M41" i="28"/>
  <c r="P35" i="33"/>
  <c r="M45" i="28"/>
  <c r="P39" i="33"/>
  <c r="M49" i="28"/>
  <c r="P43" i="33"/>
  <c r="M53" i="28"/>
  <c r="P47" i="33"/>
  <c r="M57" i="28"/>
  <c r="P51" i="33"/>
  <c r="M61" i="28"/>
  <c r="P55" i="33"/>
  <c r="H63" i="33"/>
  <c r="G72" i="28"/>
  <c r="H67" i="33"/>
  <c r="G76" i="28"/>
  <c r="H71" i="33"/>
  <c r="C71" i="33" s="1"/>
  <c r="G80" i="28"/>
  <c r="H75" i="33"/>
  <c r="G84" i="28"/>
  <c r="H79" i="33"/>
  <c r="G88" i="28"/>
  <c r="H83" i="33"/>
  <c r="G92" i="28"/>
  <c r="H87" i="33"/>
  <c r="C87" i="33" s="1"/>
  <c r="G96" i="28"/>
  <c r="G42" i="33"/>
  <c r="E48" i="28"/>
  <c r="G46" i="33"/>
  <c r="E52" i="28"/>
  <c r="G50" i="33"/>
  <c r="E56" i="28"/>
  <c r="G54" i="33"/>
  <c r="E60" i="28"/>
  <c r="G58" i="33"/>
  <c r="E64" i="28"/>
  <c r="H38" i="33"/>
  <c r="G44" i="28"/>
  <c r="H42" i="33"/>
  <c r="G48" i="28"/>
  <c r="H46" i="33"/>
  <c r="G52" i="28"/>
  <c r="H50" i="33"/>
  <c r="G56" i="28"/>
  <c r="H54" i="33"/>
  <c r="G60" i="28"/>
  <c r="H58" i="33"/>
  <c r="G64" i="28"/>
  <c r="H34" i="33"/>
  <c r="G40" i="28"/>
  <c r="G67" i="33"/>
  <c r="E76" i="28"/>
  <c r="G71" i="33"/>
  <c r="E80" i="28"/>
  <c r="G75" i="33"/>
  <c r="E84" i="28"/>
  <c r="G79" i="33"/>
  <c r="E88" i="28"/>
  <c r="G83" i="33"/>
  <c r="E92" i="28"/>
  <c r="G87" i="33"/>
  <c r="E96" i="28"/>
  <c r="L51" i="33"/>
  <c r="J57" i="28"/>
  <c r="M51" i="27"/>
  <c r="L48" i="33"/>
  <c r="J54" i="28"/>
  <c r="K39" i="33"/>
  <c r="H45" i="28"/>
  <c r="K55" i="33"/>
  <c r="H61" i="28"/>
  <c r="E105" i="28"/>
  <c r="G93" i="33"/>
  <c r="E121" i="28"/>
  <c r="G109" i="33"/>
  <c r="M42" i="27"/>
  <c r="L39" i="33"/>
  <c r="J45" i="28"/>
  <c r="M58" i="27"/>
  <c r="L55" i="33"/>
  <c r="J61" i="28"/>
  <c r="K49" i="27"/>
  <c r="K46" i="33"/>
  <c r="H52" i="28"/>
  <c r="L52" i="33"/>
  <c r="J58" i="28"/>
  <c r="K43" i="33"/>
  <c r="H49" i="28"/>
  <c r="K34" i="33"/>
  <c r="H40" i="28"/>
  <c r="L49" i="33"/>
  <c r="J55" i="28"/>
  <c r="K43" i="27"/>
  <c r="K40" i="33"/>
  <c r="H46" i="28"/>
  <c r="K59" i="27"/>
  <c r="K56" i="33"/>
  <c r="H62" i="28"/>
  <c r="L50" i="33"/>
  <c r="J56" i="28"/>
  <c r="K44" i="27"/>
  <c r="K41" i="33"/>
  <c r="H47" i="28"/>
  <c r="K60" i="27"/>
  <c r="K57" i="33"/>
  <c r="H63" i="28"/>
  <c r="L77" i="33"/>
  <c r="J86" i="28"/>
  <c r="L64" i="33"/>
  <c r="J73" i="28"/>
  <c r="L66" i="33"/>
  <c r="J75" i="28"/>
  <c r="L82" i="33"/>
  <c r="J91" i="28"/>
  <c r="L35" i="33"/>
  <c r="J41" i="28"/>
  <c r="L79" i="33"/>
  <c r="J88" i="28"/>
  <c r="L65" i="33"/>
  <c r="J74" i="28"/>
  <c r="K80" i="33"/>
  <c r="H89" i="28"/>
  <c r="K69" i="33"/>
  <c r="H78" i="28"/>
  <c r="K85" i="33"/>
  <c r="H94" i="28"/>
  <c r="K74" i="33"/>
  <c r="H83" i="28"/>
  <c r="K75" i="33"/>
  <c r="H84" i="28"/>
  <c r="K64" i="33"/>
  <c r="H73" i="28"/>
  <c r="K105" i="28"/>
  <c r="K9" i="28" s="1"/>
  <c r="O93" i="33"/>
  <c r="M111" i="28"/>
  <c r="P99" i="33"/>
  <c r="M108" i="28"/>
  <c r="M12" i="28" s="1"/>
  <c r="P96" i="33"/>
  <c r="M128" i="28"/>
  <c r="P116" i="33"/>
  <c r="S107" i="28"/>
  <c r="X95" i="33"/>
  <c r="Q106" i="28"/>
  <c r="W94" i="33"/>
  <c r="Q77" i="28"/>
  <c r="W68" i="33"/>
  <c r="Q85" i="28"/>
  <c r="W76" i="33"/>
  <c r="Q93" i="28"/>
  <c r="W84" i="33"/>
  <c r="Q44" i="28"/>
  <c r="W38" i="33"/>
  <c r="Q52" i="28"/>
  <c r="W46" i="33"/>
  <c r="Q60" i="28"/>
  <c r="W54" i="33"/>
  <c r="S75" i="28"/>
  <c r="X66" i="33"/>
  <c r="S83" i="28"/>
  <c r="X74" i="33"/>
  <c r="S91" i="28"/>
  <c r="X82" i="33"/>
  <c r="S42" i="28"/>
  <c r="X36" i="33"/>
  <c r="S50" i="28"/>
  <c r="X44" i="33"/>
  <c r="Q59" i="28"/>
  <c r="W53" i="33"/>
  <c r="Q80" i="28"/>
  <c r="W71" i="33"/>
  <c r="Q88" i="28"/>
  <c r="W79" i="33"/>
  <c r="Q96" i="28"/>
  <c r="W87" i="33"/>
  <c r="Q47" i="28"/>
  <c r="W41" i="33"/>
  <c r="Q55" i="28"/>
  <c r="W49" i="33"/>
  <c r="S74" i="28"/>
  <c r="X65" i="33"/>
  <c r="S82" i="28"/>
  <c r="X73" i="33"/>
  <c r="S90" i="28"/>
  <c r="X81" i="33"/>
  <c r="S41" i="28"/>
  <c r="X35" i="33"/>
  <c r="S49" i="28"/>
  <c r="X43" i="33"/>
  <c r="S57" i="28"/>
  <c r="X51" i="33"/>
  <c r="Q40" i="28"/>
  <c r="W34" i="33"/>
  <c r="T33" i="33"/>
  <c r="K73" i="28"/>
  <c r="O64" i="33"/>
  <c r="K77" i="28"/>
  <c r="O68" i="33"/>
  <c r="K81" i="28"/>
  <c r="O72" i="33"/>
  <c r="K85" i="28"/>
  <c r="O76" i="33"/>
  <c r="K89" i="28"/>
  <c r="O80" i="33"/>
  <c r="K93" i="28"/>
  <c r="O84" i="33"/>
  <c r="M40" i="28"/>
  <c r="P34" i="33"/>
  <c r="M44" i="28"/>
  <c r="P38" i="33"/>
  <c r="P9" i="33" s="1"/>
  <c r="M48" i="28"/>
  <c r="P42" i="33"/>
  <c r="M52" i="28"/>
  <c r="P46" i="33"/>
  <c r="P17" i="33" s="1"/>
  <c r="M56" i="28"/>
  <c r="P50" i="33"/>
  <c r="P21" i="33" s="1"/>
  <c r="M60" i="28"/>
  <c r="P54" i="33"/>
  <c r="M64" i="28"/>
  <c r="P58" i="33"/>
  <c r="P29" i="33" s="1"/>
  <c r="K43" i="28"/>
  <c r="O37" i="33"/>
  <c r="K47" i="28"/>
  <c r="O41" i="33"/>
  <c r="K51" i="28"/>
  <c r="O45" i="33"/>
  <c r="K55" i="28"/>
  <c r="O49" i="33"/>
  <c r="K59" i="28"/>
  <c r="O53" i="33"/>
  <c r="K63" i="28"/>
  <c r="O57" i="33"/>
  <c r="M74" i="28"/>
  <c r="P65" i="33"/>
  <c r="M78" i="28"/>
  <c r="P69" i="33"/>
  <c r="M82" i="28"/>
  <c r="P73" i="33"/>
  <c r="M86" i="28"/>
  <c r="P77" i="33"/>
  <c r="M90" i="28"/>
  <c r="P81" i="33"/>
  <c r="M94" i="28"/>
  <c r="P85" i="33"/>
  <c r="H41" i="33"/>
  <c r="G47" i="28"/>
  <c r="G64" i="33"/>
  <c r="E73" i="28"/>
  <c r="G68" i="33"/>
  <c r="E77" i="28"/>
  <c r="G72" i="33"/>
  <c r="E81" i="28"/>
  <c r="G76" i="33"/>
  <c r="B76" i="33" s="1"/>
  <c r="E85" i="28"/>
  <c r="G80" i="33"/>
  <c r="E89" i="28"/>
  <c r="G84" i="33"/>
  <c r="E93" i="28"/>
  <c r="G65" i="33"/>
  <c r="E74" i="28"/>
  <c r="H72" i="33"/>
  <c r="G81" i="28"/>
  <c r="H76" i="33"/>
  <c r="G85" i="28"/>
  <c r="H80" i="33"/>
  <c r="G89" i="28"/>
  <c r="H84" i="33"/>
  <c r="G93" i="28"/>
  <c r="G34" i="33"/>
  <c r="E40" i="28"/>
  <c r="G39" i="33"/>
  <c r="E45" i="28"/>
  <c r="G43" i="33"/>
  <c r="E49" i="28"/>
  <c r="G47" i="33"/>
  <c r="E53" i="28"/>
  <c r="G51" i="33"/>
  <c r="E57" i="28"/>
  <c r="G55" i="33"/>
  <c r="E61" i="28"/>
  <c r="H64" i="33"/>
  <c r="G73" i="28"/>
  <c r="G63" i="33"/>
  <c r="E72" i="28"/>
  <c r="H39" i="33"/>
  <c r="C39" i="33" s="1"/>
  <c r="G45" i="28"/>
  <c r="H43" i="33"/>
  <c r="G49" i="28"/>
  <c r="H47" i="33"/>
  <c r="C47" i="33" s="1"/>
  <c r="G53" i="28"/>
  <c r="H51" i="33"/>
  <c r="C51" i="33" s="1"/>
  <c r="G57" i="28"/>
  <c r="H55" i="33"/>
  <c r="C55" i="33" s="1"/>
  <c r="G61" i="28"/>
  <c r="E117" i="28"/>
  <c r="G105" i="33"/>
  <c r="L108" i="33"/>
  <c r="J120" i="28"/>
  <c r="K42" i="33"/>
  <c r="H48" i="28"/>
  <c r="E109" i="28"/>
  <c r="G97" i="33"/>
  <c r="E125" i="28"/>
  <c r="G113" i="33"/>
  <c r="L43" i="33"/>
  <c r="J49" i="28"/>
  <c r="L34" i="33"/>
  <c r="J40" i="28"/>
  <c r="K50" i="33"/>
  <c r="H56" i="28"/>
  <c r="L40" i="33"/>
  <c r="J46" i="28"/>
  <c r="L56" i="33"/>
  <c r="J62" i="28"/>
  <c r="K47" i="33"/>
  <c r="H53" i="28"/>
  <c r="L37" i="33"/>
  <c r="J43" i="28"/>
  <c r="L53" i="33"/>
  <c r="J59" i="28"/>
  <c r="K47" i="27"/>
  <c r="K44" i="33"/>
  <c r="H50" i="28"/>
  <c r="M41" i="27"/>
  <c r="L38" i="33"/>
  <c r="J44" i="28"/>
  <c r="M57" i="27"/>
  <c r="L54" i="33"/>
  <c r="J60" i="28"/>
  <c r="K45" i="33"/>
  <c r="H51" i="28"/>
  <c r="L36" i="33"/>
  <c r="J42" i="28"/>
  <c r="L81" i="33"/>
  <c r="J90" i="28"/>
  <c r="L76" i="33"/>
  <c r="J85" i="28"/>
  <c r="L70" i="33"/>
  <c r="J79" i="28"/>
  <c r="L86" i="33"/>
  <c r="J95" i="28"/>
  <c r="L67" i="33"/>
  <c r="J76" i="28"/>
  <c r="L83" i="33"/>
  <c r="J92" i="28"/>
  <c r="K68" i="33"/>
  <c r="H77" i="28"/>
  <c r="K84" i="33"/>
  <c r="H93" i="28"/>
  <c r="K73" i="33"/>
  <c r="H82" i="28"/>
  <c r="K71" i="33"/>
  <c r="H80" i="28"/>
  <c r="K78" i="33"/>
  <c r="H87" i="28"/>
  <c r="K67" i="33"/>
  <c r="H76" i="28"/>
  <c r="M113" i="28"/>
  <c r="P101" i="33"/>
  <c r="K113" i="28"/>
  <c r="K17" i="28" s="1"/>
  <c r="O101" i="33"/>
  <c r="M123" i="28"/>
  <c r="P111" i="33"/>
  <c r="M112" i="28"/>
  <c r="M16" i="28" s="1"/>
  <c r="P100" i="33"/>
  <c r="K119" i="28"/>
  <c r="K23" i="28" s="1"/>
  <c r="O107" i="33"/>
  <c r="P122" i="28"/>
  <c r="T110" i="33"/>
  <c r="T23" i="33" s="1"/>
  <c r="S123" i="28"/>
  <c r="X111" i="33"/>
  <c r="Q110" i="28"/>
  <c r="W98" i="33"/>
  <c r="Q79" i="28"/>
  <c r="W70" i="33"/>
  <c r="Q87" i="28"/>
  <c r="W78" i="33"/>
  <c r="Q95" i="28"/>
  <c r="W86" i="33"/>
  <c r="Q46" i="28"/>
  <c r="W40" i="33"/>
  <c r="W11" i="33" s="1"/>
  <c r="Q54" i="28"/>
  <c r="W48" i="33"/>
  <c r="Q62" i="28"/>
  <c r="W56" i="33"/>
  <c r="S77" i="28"/>
  <c r="X68" i="33"/>
  <c r="S85" i="28"/>
  <c r="X76" i="33"/>
  <c r="S93" i="28"/>
  <c r="X84" i="33"/>
  <c r="S44" i="28"/>
  <c r="X38" i="33"/>
  <c r="S52" i="28"/>
  <c r="X46" i="33"/>
  <c r="S60" i="28"/>
  <c r="X54" i="33"/>
  <c r="Q74" i="28"/>
  <c r="W65" i="33"/>
  <c r="Q82" i="28"/>
  <c r="W73" i="33"/>
  <c r="Q90" i="28"/>
  <c r="W81" i="33"/>
  <c r="Q41" i="28"/>
  <c r="W35" i="33"/>
  <c r="Q49" i="28"/>
  <c r="W43" i="33"/>
  <c r="Q57" i="28"/>
  <c r="W51" i="33"/>
  <c r="S76" i="28"/>
  <c r="X67" i="33"/>
  <c r="S84" i="28"/>
  <c r="X75" i="33"/>
  <c r="S92" i="28"/>
  <c r="X83" i="33"/>
  <c r="S43" i="28"/>
  <c r="X37" i="33"/>
  <c r="X8" i="33" s="1"/>
  <c r="S51" i="28"/>
  <c r="X45" i="33"/>
  <c r="S59" i="28"/>
  <c r="X53" i="33"/>
  <c r="X24" i="33" s="1"/>
  <c r="S62" i="33"/>
  <c r="K42" i="28"/>
  <c r="O36" i="33"/>
  <c r="K46" i="28"/>
  <c r="O40" i="33"/>
  <c r="O11" i="33" s="1"/>
  <c r="K50" i="28"/>
  <c r="O44" i="33"/>
  <c r="K54" i="28"/>
  <c r="O48" i="33"/>
  <c r="K58" i="28"/>
  <c r="O52" i="33"/>
  <c r="K62" i="28"/>
  <c r="O56" i="33"/>
  <c r="O27" i="33" s="1"/>
  <c r="M73" i="28"/>
  <c r="P64" i="33"/>
  <c r="M77" i="28"/>
  <c r="P68" i="33"/>
  <c r="M81" i="28"/>
  <c r="P72" i="33"/>
  <c r="M85" i="28"/>
  <c r="P76" i="33"/>
  <c r="M89" i="28"/>
  <c r="P80" i="33"/>
  <c r="M93" i="28"/>
  <c r="P84" i="33"/>
  <c r="K72" i="28"/>
  <c r="O63" i="33"/>
  <c r="K76" i="28"/>
  <c r="O67" i="33"/>
  <c r="K80" i="28"/>
  <c r="O71" i="33"/>
  <c r="K84" i="28"/>
  <c r="O75" i="33"/>
  <c r="K88" i="28"/>
  <c r="O79" i="33"/>
  <c r="K92" i="28"/>
  <c r="O83" i="33"/>
  <c r="K96" i="28"/>
  <c r="O87" i="33"/>
  <c r="M43" i="28"/>
  <c r="P37" i="33"/>
  <c r="P8" i="33" s="1"/>
  <c r="M47" i="28"/>
  <c r="P41" i="33"/>
  <c r="P12" i="33" s="1"/>
  <c r="M51" i="28"/>
  <c r="P45" i="33"/>
  <c r="M55" i="28"/>
  <c r="P49" i="33"/>
  <c r="M59" i="28"/>
  <c r="P53" i="33"/>
  <c r="P24" i="33" s="1"/>
  <c r="M63" i="28"/>
  <c r="P57" i="33"/>
  <c r="G35" i="33"/>
  <c r="E41" i="28"/>
  <c r="H36" i="33"/>
  <c r="C36" i="33" s="1"/>
  <c r="G42" i="28"/>
  <c r="H40" i="33"/>
  <c r="C40" i="33" s="1"/>
  <c r="G46" i="28"/>
  <c r="H44" i="33"/>
  <c r="C44" i="33" s="1"/>
  <c r="G50" i="28"/>
  <c r="H48" i="33"/>
  <c r="C48" i="33" s="1"/>
  <c r="G54" i="28"/>
  <c r="H52" i="33"/>
  <c r="C52" i="33" s="1"/>
  <c r="G58" i="28"/>
  <c r="H56" i="33"/>
  <c r="C56" i="33" s="1"/>
  <c r="G62" i="28"/>
  <c r="G38" i="33"/>
  <c r="E44" i="28"/>
  <c r="G73" i="33"/>
  <c r="B73" i="33" s="1"/>
  <c r="E82" i="28"/>
  <c r="G77" i="33"/>
  <c r="B77" i="33" s="1"/>
  <c r="E86" i="28"/>
  <c r="G81" i="33"/>
  <c r="B81" i="33" s="1"/>
  <c r="E90" i="28"/>
  <c r="G85" i="33"/>
  <c r="B85" i="33" s="1"/>
  <c r="E94" i="28"/>
  <c r="H65" i="33"/>
  <c r="C65" i="33" s="1"/>
  <c r="G74" i="28"/>
  <c r="H69" i="33"/>
  <c r="C69" i="33" s="1"/>
  <c r="G78" i="28"/>
  <c r="H73" i="33"/>
  <c r="C73" i="33" s="1"/>
  <c r="G82" i="28"/>
  <c r="H77" i="33"/>
  <c r="C77" i="33" s="1"/>
  <c r="G86" i="28"/>
  <c r="H81" i="33"/>
  <c r="C81" i="33" s="1"/>
  <c r="G90" i="28"/>
  <c r="H85" i="33"/>
  <c r="C85" i="33" s="1"/>
  <c r="G94" i="28"/>
  <c r="H37" i="33"/>
  <c r="C37" i="33" s="1"/>
  <c r="G43" i="28"/>
  <c r="G36" i="33"/>
  <c r="E42" i="28"/>
  <c r="G40" i="33"/>
  <c r="E46" i="28"/>
  <c r="G44" i="33"/>
  <c r="E50" i="28"/>
  <c r="G48" i="33"/>
  <c r="E54" i="28"/>
  <c r="G52" i="33"/>
  <c r="E58" i="28"/>
  <c r="G56" i="33"/>
  <c r="E62" i="28"/>
  <c r="G122" i="28"/>
  <c r="H110" i="33"/>
  <c r="G123" i="28"/>
  <c r="G27" i="28" s="1"/>
  <c r="H111" i="33"/>
  <c r="G118" i="28"/>
  <c r="H106" i="33"/>
  <c r="G115" i="28"/>
  <c r="G19" i="28" s="1"/>
  <c r="H103" i="33"/>
  <c r="G110" i="28"/>
  <c r="H98" i="33"/>
  <c r="G105" i="28"/>
  <c r="G9" i="28" s="1"/>
  <c r="H93" i="33"/>
  <c r="G114" i="28"/>
  <c r="H102" i="33"/>
  <c r="K39" i="28"/>
  <c r="M39" i="28"/>
  <c r="K71" i="28"/>
  <c r="M71" i="28"/>
  <c r="M107" i="27"/>
  <c r="M116" i="27"/>
  <c r="P59" i="28"/>
  <c r="K117" i="27"/>
  <c r="N60" i="28"/>
  <c r="K106" i="27"/>
  <c r="N49" i="28"/>
  <c r="K114" i="27"/>
  <c r="N57" i="28"/>
  <c r="M97" i="27"/>
  <c r="P40" i="28"/>
  <c r="K99" i="27"/>
  <c r="N42" i="28"/>
  <c r="K119" i="27"/>
  <c r="N62" i="28"/>
  <c r="M111" i="27"/>
  <c r="P54" i="28"/>
  <c r="M119" i="27"/>
  <c r="P62" i="28"/>
  <c r="K111" i="27"/>
  <c r="N54" i="28"/>
  <c r="M104" i="27"/>
  <c r="P47" i="28"/>
  <c r="M112" i="27"/>
  <c r="P55" i="28"/>
  <c r="M120" i="27"/>
  <c r="P63" i="28"/>
  <c r="N71" i="28"/>
  <c r="M108" i="27"/>
  <c r="P51" i="28"/>
  <c r="K102" i="27"/>
  <c r="N45" i="28"/>
  <c r="K110" i="27"/>
  <c r="N53" i="28"/>
  <c r="K118" i="27"/>
  <c r="N61" i="28"/>
  <c r="K103" i="27"/>
  <c r="N46" i="28"/>
  <c r="M99" i="27"/>
  <c r="P42" i="28"/>
  <c r="P26" i="28"/>
  <c r="K98" i="27"/>
  <c r="N41" i="28"/>
  <c r="M100" i="27"/>
  <c r="P43" i="28"/>
  <c r="K109" i="27"/>
  <c r="N52" i="28"/>
  <c r="M145" i="27"/>
  <c r="S58" i="28"/>
  <c r="Q14" i="28"/>
  <c r="S20" i="28"/>
  <c r="S11" i="28"/>
  <c r="S27" i="28"/>
  <c r="K135" i="27"/>
  <c r="Q48" i="28"/>
  <c r="K143" i="27"/>
  <c r="Q56" i="28"/>
  <c r="K151" i="27"/>
  <c r="Q64" i="28"/>
  <c r="Q10" i="28"/>
  <c r="Q71" i="28"/>
  <c r="S16" i="28"/>
  <c r="M143" i="27"/>
  <c r="S56" i="28"/>
  <c r="M151" i="27"/>
  <c r="S64" i="28"/>
  <c r="K139" i="27"/>
  <c r="R126" i="27"/>
  <c r="K131" i="27"/>
  <c r="K147" i="27"/>
  <c r="E126" i="27"/>
  <c r="K141" i="27"/>
  <c r="K149" i="27"/>
  <c r="M127" i="27"/>
  <c r="M134" i="27"/>
  <c r="G126" i="27"/>
  <c r="K91" i="27"/>
  <c r="M9" i="27"/>
  <c r="M12" i="27"/>
  <c r="K72" i="27"/>
  <c r="K75" i="27"/>
  <c r="M78" i="27"/>
  <c r="K88" i="27"/>
  <c r="M89" i="27"/>
  <c r="K80" i="27"/>
  <c r="K87" i="27"/>
  <c r="K50" i="27"/>
  <c r="K38" i="27"/>
  <c r="M52" i="27"/>
  <c r="M40" i="27"/>
  <c r="M56" i="27"/>
  <c r="K48" i="27"/>
  <c r="M39" i="27"/>
  <c r="M47" i="27"/>
  <c r="K54" i="27"/>
  <c r="M14" i="27"/>
  <c r="K21" i="27"/>
  <c r="K9" i="27"/>
  <c r="M19" i="27"/>
  <c r="K10" i="27"/>
  <c r="K26" i="27"/>
  <c r="M10" i="27"/>
  <c r="K17" i="27"/>
  <c r="M11" i="27"/>
  <c r="M27" i="27"/>
  <c r="K18" i="27"/>
  <c r="M24" i="27"/>
  <c r="K15" i="27"/>
  <c r="K31" i="27"/>
  <c r="M20" i="27"/>
  <c r="K100" i="27"/>
  <c r="K108" i="27"/>
  <c r="K116" i="27"/>
  <c r="M113" i="27"/>
  <c r="M109" i="27"/>
  <c r="K107" i="27"/>
  <c r="K105" i="27"/>
  <c r="R127" i="27"/>
  <c r="M150" i="27"/>
  <c r="J96" i="27"/>
  <c r="M90" i="27"/>
  <c r="M85" i="27"/>
  <c r="K128" i="27"/>
  <c r="K148" i="27"/>
  <c r="K150" i="27"/>
  <c r="K134" i="27"/>
  <c r="K146" i="27"/>
  <c r="K142" i="27"/>
  <c r="M129" i="27"/>
  <c r="M137" i="27"/>
  <c r="M128" i="27"/>
  <c r="M136" i="27"/>
  <c r="M144" i="27"/>
  <c r="K127" i="27"/>
  <c r="H126" i="27"/>
  <c r="K137" i="27"/>
  <c r="K145" i="27"/>
  <c r="K136" i="27"/>
  <c r="K144" i="27"/>
  <c r="M131" i="27"/>
  <c r="M147" i="27"/>
  <c r="M138" i="27"/>
  <c r="K130" i="27"/>
  <c r="K138" i="27"/>
  <c r="M133" i="27"/>
  <c r="M141" i="27"/>
  <c r="M149" i="27"/>
  <c r="M132" i="27"/>
  <c r="M140" i="27"/>
  <c r="M148" i="27"/>
  <c r="K132" i="27"/>
  <c r="K140" i="27"/>
  <c r="M142" i="27"/>
  <c r="K115" i="27"/>
  <c r="M98" i="27"/>
  <c r="H96" i="27"/>
  <c r="M102" i="27"/>
  <c r="M110" i="27"/>
  <c r="M118" i="27"/>
  <c r="G96" i="27"/>
  <c r="K101" i="27"/>
  <c r="K121" i="27"/>
  <c r="M105" i="27"/>
  <c r="M121" i="27"/>
  <c r="K97" i="27"/>
  <c r="M103" i="27"/>
  <c r="M101" i="27"/>
  <c r="M117" i="27"/>
  <c r="M106" i="27"/>
  <c r="M114" i="27"/>
  <c r="K113" i="27"/>
  <c r="K104" i="27"/>
  <c r="K112" i="27"/>
  <c r="K120" i="27"/>
  <c r="E96" i="27"/>
  <c r="R97" i="27"/>
  <c r="R96" i="27"/>
  <c r="M88" i="27"/>
  <c r="M73" i="27"/>
  <c r="K69" i="27"/>
  <c r="M67" i="27"/>
  <c r="M77" i="27"/>
  <c r="K84" i="27"/>
  <c r="M82" i="27"/>
  <c r="K74" i="27"/>
  <c r="K90" i="27"/>
  <c r="M72" i="27"/>
  <c r="K85" i="27"/>
  <c r="M80" i="27"/>
  <c r="K71" i="27"/>
  <c r="K77" i="27"/>
  <c r="M87" i="27"/>
  <c r="J66" i="27"/>
  <c r="M81" i="27"/>
  <c r="K78" i="27"/>
  <c r="M69" i="27"/>
  <c r="E66" i="27"/>
  <c r="M84" i="27"/>
  <c r="K81" i="27"/>
  <c r="M68" i="27"/>
  <c r="H66" i="27"/>
  <c r="K70" i="27"/>
  <c r="K86" i="27"/>
  <c r="R66" i="27"/>
  <c r="R67" i="27"/>
  <c r="K67" i="27"/>
  <c r="G66" i="27"/>
  <c r="K53" i="27"/>
  <c r="K40" i="27"/>
  <c r="K56" i="27"/>
  <c r="K46" i="27"/>
  <c r="K41" i="27"/>
  <c r="K52" i="27"/>
  <c r="K45" i="27"/>
  <c r="K42" i="27"/>
  <c r="K58" i="27"/>
  <c r="H36" i="27"/>
  <c r="M50" i="27"/>
  <c r="M44" i="27"/>
  <c r="M60" i="27"/>
  <c r="M55" i="27"/>
  <c r="M48" i="27"/>
  <c r="M54" i="27"/>
  <c r="R36" i="27"/>
  <c r="J36" i="27"/>
  <c r="M38" i="27"/>
  <c r="M46" i="27"/>
  <c r="M43" i="27"/>
  <c r="M59" i="27"/>
  <c r="K37" i="27"/>
  <c r="R37" i="27"/>
  <c r="M37" i="27"/>
  <c r="G36" i="27"/>
  <c r="E36" i="27"/>
  <c r="K25" i="27"/>
  <c r="K19" i="27"/>
  <c r="M22" i="27"/>
  <c r="M23" i="27"/>
  <c r="K14" i="27"/>
  <c r="K30" i="27"/>
  <c r="M29" i="27"/>
  <c r="M30" i="27"/>
  <c r="K29" i="27"/>
  <c r="K11" i="27"/>
  <c r="K27" i="27"/>
  <c r="J6" i="27"/>
  <c r="K13" i="27"/>
  <c r="M15" i="27"/>
  <c r="M31" i="27"/>
  <c r="K22" i="27"/>
  <c r="M28" i="27"/>
  <c r="H6" i="27"/>
  <c r="M16" i="27"/>
  <c r="M7" i="27"/>
  <c r="K23" i="27"/>
  <c r="G6" i="27"/>
  <c r="R7" i="27"/>
  <c r="E6" i="27"/>
  <c r="R6" i="27"/>
  <c r="K7" i="27"/>
  <c r="W29" i="33" l="1"/>
  <c r="E119" i="28"/>
  <c r="E23" i="28" s="1"/>
  <c r="G107" i="33"/>
  <c r="K92" i="33"/>
  <c r="H104" i="28"/>
  <c r="L93" i="33"/>
  <c r="J105" i="28"/>
  <c r="L103" i="33"/>
  <c r="J115" i="28"/>
  <c r="L105" i="33"/>
  <c r="J117" i="28"/>
  <c r="K100" i="33"/>
  <c r="K13" i="33" s="1"/>
  <c r="H112" i="28"/>
  <c r="K111" i="33"/>
  <c r="H123" i="28"/>
  <c r="H27" i="28" s="1"/>
  <c r="K104" i="28"/>
  <c r="O92" i="33"/>
  <c r="K107" i="28"/>
  <c r="K11" i="28" s="1"/>
  <c r="O95" i="33"/>
  <c r="M121" i="28"/>
  <c r="M25" i="28" s="1"/>
  <c r="P109" i="33"/>
  <c r="M118" i="28"/>
  <c r="M22" i="28" s="1"/>
  <c r="P106" i="33"/>
  <c r="K108" i="28"/>
  <c r="K12" i="28" s="1"/>
  <c r="O96" i="33"/>
  <c r="K127" i="28"/>
  <c r="K31" i="28" s="1"/>
  <c r="O115" i="33"/>
  <c r="M114" i="28"/>
  <c r="M18" i="28" s="1"/>
  <c r="P102" i="33"/>
  <c r="M125" i="28"/>
  <c r="M29" i="28" s="1"/>
  <c r="P113" i="33"/>
  <c r="N127" i="28"/>
  <c r="N31" i="28" s="1"/>
  <c r="S115" i="33"/>
  <c r="P121" i="28"/>
  <c r="P25" i="28" s="1"/>
  <c r="T109" i="33"/>
  <c r="T22" i="33" s="1"/>
  <c r="P110" i="28"/>
  <c r="P14" i="28" s="1"/>
  <c r="T98" i="33"/>
  <c r="T11" i="33" s="1"/>
  <c r="N128" i="28"/>
  <c r="N32" i="28" s="1"/>
  <c r="S116" i="33"/>
  <c r="P117" i="28"/>
  <c r="P21" i="28" s="1"/>
  <c r="T105" i="33"/>
  <c r="T18" i="33" s="1"/>
  <c r="N122" i="28"/>
  <c r="N26" i="28" s="1"/>
  <c r="S110" i="33"/>
  <c r="S23" i="33" s="1"/>
  <c r="S125" i="28"/>
  <c r="S29" i="28" s="1"/>
  <c r="X113" i="33"/>
  <c r="S118" i="28"/>
  <c r="S22" i="28" s="1"/>
  <c r="X106" i="33"/>
  <c r="S115" i="28"/>
  <c r="S19" i="28" s="1"/>
  <c r="X103" i="33"/>
  <c r="Q113" i="28"/>
  <c r="W101" i="33"/>
  <c r="Q104" i="28"/>
  <c r="W92" i="33"/>
  <c r="S114" i="28"/>
  <c r="S18" i="28" s="1"/>
  <c r="X102" i="33"/>
  <c r="Q111" i="28"/>
  <c r="W99" i="33"/>
  <c r="M122" i="28"/>
  <c r="M26" i="28" s="1"/>
  <c r="P110" i="33"/>
  <c r="P120" i="28"/>
  <c r="P24" i="28" s="1"/>
  <c r="T108" i="33"/>
  <c r="T21" i="33" s="1"/>
  <c r="E115" i="28"/>
  <c r="E19" i="28" s="1"/>
  <c r="G103" i="33"/>
  <c r="E106" i="28"/>
  <c r="E10" i="28" s="1"/>
  <c r="G94" i="33"/>
  <c r="L102" i="33"/>
  <c r="J114" i="28"/>
  <c r="L95" i="33"/>
  <c r="L8" i="33" s="1"/>
  <c r="J107" i="28"/>
  <c r="K124" i="28"/>
  <c r="K28" i="28" s="1"/>
  <c r="O112" i="33"/>
  <c r="M115" i="28"/>
  <c r="M19" i="28" s="1"/>
  <c r="P103" i="33"/>
  <c r="S104" i="28"/>
  <c r="S8" i="28" s="1"/>
  <c r="X92" i="33"/>
  <c r="Q124" i="28"/>
  <c r="W112" i="33"/>
  <c r="S128" i="28"/>
  <c r="X116" i="33"/>
  <c r="X29" i="33" s="1"/>
  <c r="Q120" i="28"/>
  <c r="W108" i="33"/>
  <c r="W21" i="33" s="1"/>
  <c r="P127" i="28"/>
  <c r="T115" i="33"/>
  <c r="T28" i="33" s="1"/>
  <c r="P111" i="28"/>
  <c r="T99" i="33"/>
  <c r="T12" i="33" s="1"/>
  <c r="P114" i="28"/>
  <c r="P18" i="28" s="1"/>
  <c r="T102" i="33"/>
  <c r="B56" i="33"/>
  <c r="B48" i="33"/>
  <c r="B40" i="33"/>
  <c r="B35" i="33"/>
  <c r="G6" i="33"/>
  <c r="X25" i="33"/>
  <c r="L9" i="33"/>
  <c r="K102" i="33"/>
  <c r="H114" i="28"/>
  <c r="E13" i="28"/>
  <c r="C64" i="33"/>
  <c r="B51" i="33"/>
  <c r="G22" i="33"/>
  <c r="B43" i="33"/>
  <c r="G14" i="33"/>
  <c r="G33" i="33"/>
  <c r="B34" i="33"/>
  <c r="C80" i="33"/>
  <c r="C72" i="33"/>
  <c r="B84" i="33"/>
  <c r="B68" i="33"/>
  <c r="C41" i="33"/>
  <c r="X15" i="33"/>
  <c r="K12" i="33"/>
  <c r="H39" i="28"/>
  <c r="K104" i="33"/>
  <c r="H116" i="28"/>
  <c r="H20" i="28" s="1"/>
  <c r="E25" i="28"/>
  <c r="L19" i="33"/>
  <c r="G39" i="28"/>
  <c r="G71" i="28"/>
  <c r="P22" i="33"/>
  <c r="P14" i="33"/>
  <c r="O25" i="33"/>
  <c r="O17" i="33"/>
  <c r="O9" i="33"/>
  <c r="K30" i="28"/>
  <c r="K24" i="28"/>
  <c r="K62" i="33"/>
  <c r="K24" i="33"/>
  <c r="K110" i="33"/>
  <c r="H122" i="28"/>
  <c r="H26" i="28" s="1"/>
  <c r="J19" i="28"/>
  <c r="P62" i="33"/>
  <c r="O14" i="33"/>
  <c r="O6" i="33"/>
  <c r="P23" i="33"/>
  <c r="P15" i="33"/>
  <c r="S20" i="33"/>
  <c r="X18" i="33"/>
  <c r="X19" i="33"/>
  <c r="S71" i="28"/>
  <c r="M20" i="28"/>
  <c r="K20" i="28"/>
  <c r="K20" i="33"/>
  <c r="H9" i="28"/>
  <c r="E17" i="28"/>
  <c r="L114" i="33"/>
  <c r="L27" i="33" s="1"/>
  <c r="J126" i="28"/>
  <c r="K95" i="33"/>
  <c r="H107" i="28"/>
  <c r="H11" i="28" s="1"/>
  <c r="M117" i="28"/>
  <c r="M21" i="28" s="1"/>
  <c r="P105" i="33"/>
  <c r="K111" i="28"/>
  <c r="K15" i="28" s="1"/>
  <c r="O99" i="33"/>
  <c r="M104" i="28"/>
  <c r="P92" i="33"/>
  <c r="N119" i="28"/>
  <c r="N23" i="28" s="1"/>
  <c r="S107" i="33"/>
  <c r="P113" i="28"/>
  <c r="P17" i="28" s="1"/>
  <c r="T101" i="33"/>
  <c r="T14" i="33" s="1"/>
  <c r="N104" i="28"/>
  <c r="S92" i="33"/>
  <c r="N108" i="28"/>
  <c r="N12" i="28" s="1"/>
  <c r="S96" i="33"/>
  <c r="P109" i="28"/>
  <c r="P13" i="28" s="1"/>
  <c r="T97" i="33"/>
  <c r="T10" i="33" s="1"/>
  <c r="S119" i="28"/>
  <c r="S23" i="28" s="1"/>
  <c r="X107" i="33"/>
  <c r="S117" i="28"/>
  <c r="S21" i="28" s="1"/>
  <c r="X105" i="33"/>
  <c r="S110" i="28"/>
  <c r="S14" i="28" s="1"/>
  <c r="X98" i="33"/>
  <c r="S124" i="28"/>
  <c r="S28" i="28" s="1"/>
  <c r="X112" i="33"/>
  <c r="Q122" i="28"/>
  <c r="W110" i="33"/>
  <c r="S121" i="28"/>
  <c r="S25" i="28" s="1"/>
  <c r="X109" i="33"/>
  <c r="S106" i="28"/>
  <c r="S10" i="28" s="1"/>
  <c r="X94" i="33"/>
  <c r="Q127" i="28"/>
  <c r="W115" i="33"/>
  <c r="M127" i="28"/>
  <c r="M31" i="28" s="1"/>
  <c r="P115" i="33"/>
  <c r="N112" i="28"/>
  <c r="N16" i="28" s="1"/>
  <c r="S100" i="33"/>
  <c r="N123" i="28"/>
  <c r="N27" i="28" s="1"/>
  <c r="S111" i="33"/>
  <c r="S24" i="33" s="1"/>
  <c r="E128" i="28"/>
  <c r="E32" i="28" s="1"/>
  <c r="G116" i="33"/>
  <c r="E123" i="28"/>
  <c r="E27" i="28" s="1"/>
  <c r="G111" i="33"/>
  <c r="E118" i="28"/>
  <c r="E22" i="28" s="1"/>
  <c r="G106" i="33"/>
  <c r="G19" i="33" s="1"/>
  <c r="L94" i="33"/>
  <c r="J106" i="28"/>
  <c r="L107" i="33"/>
  <c r="J119" i="28"/>
  <c r="K117" i="28"/>
  <c r="K21" i="28" s="1"/>
  <c r="O105" i="33"/>
  <c r="K112" i="28"/>
  <c r="K16" i="28" s="1"/>
  <c r="O100" i="33"/>
  <c r="K128" i="28"/>
  <c r="K32" i="28" s="1"/>
  <c r="O116" i="33"/>
  <c r="Q126" i="28"/>
  <c r="W114" i="33"/>
  <c r="W27" i="33" s="1"/>
  <c r="Q108" i="28"/>
  <c r="W96" i="33"/>
  <c r="S122" i="28"/>
  <c r="S26" i="28" s="1"/>
  <c r="X110" i="33"/>
  <c r="X23" i="33" s="1"/>
  <c r="P107" i="28"/>
  <c r="T95" i="33"/>
  <c r="T8" i="33" s="1"/>
  <c r="N105" i="28"/>
  <c r="S93" i="33"/>
  <c r="S6" i="33" s="1"/>
  <c r="P106" i="28"/>
  <c r="T94" i="33"/>
  <c r="T7" i="33" s="1"/>
  <c r="N125" i="28"/>
  <c r="S113" i="33"/>
  <c r="S26" i="33" s="1"/>
  <c r="N109" i="28"/>
  <c r="S97" i="33"/>
  <c r="S10" i="33" s="1"/>
  <c r="P118" i="28"/>
  <c r="T106" i="33"/>
  <c r="T19" i="33" s="1"/>
  <c r="N106" i="28"/>
  <c r="S94" i="33"/>
  <c r="S7" i="33" s="1"/>
  <c r="N121" i="28"/>
  <c r="S109" i="33"/>
  <c r="S22" i="33" s="1"/>
  <c r="N124" i="28"/>
  <c r="S112" i="33"/>
  <c r="S25" i="33" s="1"/>
  <c r="C102" i="33"/>
  <c r="C106" i="33"/>
  <c r="P28" i="33"/>
  <c r="O62" i="33"/>
  <c r="L7" i="33"/>
  <c r="L96" i="33"/>
  <c r="J108" i="28"/>
  <c r="J8" i="28"/>
  <c r="J39" i="28"/>
  <c r="H16" i="28"/>
  <c r="E71" i="28"/>
  <c r="O28" i="33"/>
  <c r="O20" i="33"/>
  <c r="O12" i="33"/>
  <c r="P13" i="33"/>
  <c r="P33" i="33"/>
  <c r="P5" i="33"/>
  <c r="W33" i="33"/>
  <c r="W5" i="33"/>
  <c r="X14" i="33"/>
  <c r="W12" i="33"/>
  <c r="L62" i="33"/>
  <c r="K99" i="33"/>
  <c r="H111" i="28"/>
  <c r="H15" i="28" s="1"/>
  <c r="K98" i="33"/>
  <c r="K11" i="33" s="1"/>
  <c r="H110" i="28"/>
  <c r="H14" i="28" s="1"/>
  <c r="K33" i="33"/>
  <c r="L23" i="33"/>
  <c r="L106" i="33"/>
  <c r="J118" i="28"/>
  <c r="B87" i="33"/>
  <c r="B79" i="33"/>
  <c r="B71" i="33"/>
  <c r="C34" i="33"/>
  <c r="H33" i="33"/>
  <c r="C54" i="33"/>
  <c r="C46" i="33"/>
  <c r="C38" i="33"/>
  <c r="B54" i="33"/>
  <c r="G25" i="33"/>
  <c r="B46" i="33"/>
  <c r="C79" i="33"/>
  <c r="C63" i="33"/>
  <c r="H62" i="33"/>
  <c r="S9" i="33"/>
  <c r="X20" i="33"/>
  <c r="X13" i="33"/>
  <c r="J71" i="28"/>
  <c r="J18" i="28"/>
  <c r="L104" i="33"/>
  <c r="L17" i="33" s="1"/>
  <c r="J116" i="28"/>
  <c r="L16" i="33"/>
  <c r="C82" i="33"/>
  <c r="C74" i="33"/>
  <c r="C66" i="33"/>
  <c r="B86" i="33"/>
  <c r="B78" i="33"/>
  <c r="B70" i="33"/>
  <c r="C57" i="33"/>
  <c r="C49" i="33"/>
  <c r="B69" i="33"/>
  <c r="B53" i="33"/>
  <c r="G24" i="33"/>
  <c r="B45" i="33"/>
  <c r="G16" i="33"/>
  <c r="B37" i="33"/>
  <c r="G8" i="33"/>
  <c r="T15" i="33"/>
  <c r="S28" i="33"/>
  <c r="J14" i="28"/>
  <c r="L13" i="33"/>
  <c r="K106" i="33"/>
  <c r="K19" i="33" s="1"/>
  <c r="H118" i="28"/>
  <c r="H22" i="28" s="1"/>
  <c r="J21" i="28"/>
  <c r="E124" i="28"/>
  <c r="E28" i="28" s="1"/>
  <c r="G112" i="33"/>
  <c r="K107" i="33"/>
  <c r="H119" i="28"/>
  <c r="E104" i="28"/>
  <c r="G92" i="33"/>
  <c r="E108" i="28"/>
  <c r="E12" i="28" s="1"/>
  <c r="G96" i="33"/>
  <c r="G9" i="33" s="1"/>
  <c r="E127" i="28"/>
  <c r="E31" i="28" s="1"/>
  <c r="G115" i="33"/>
  <c r="E116" i="28"/>
  <c r="E20" i="28" s="1"/>
  <c r="G104" i="33"/>
  <c r="L92" i="33"/>
  <c r="J104" i="28"/>
  <c r="L98" i="33"/>
  <c r="C98" i="33" s="1"/>
  <c r="J110" i="28"/>
  <c r="L115" i="33"/>
  <c r="L28" i="33" s="1"/>
  <c r="J127" i="28"/>
  <c r="K113" i="33"/>
  <c r="K26" i="33" s="1"/>
  <c r="H125" i="28"/>
  <c r="K96" i="33"/>
  <c r="K9" i="33" s="1"/>
  <c r="H108" i="28"/>
  <c r="K108" i="33"/>
  <c r="K21" i="33" s="1"/>
  <c r="H120" i="28"/>
  <c r="M105" i="28"/>
  <c r="M9" i="28" s="1"/>
  <c r="P93" i="33"/>
  <c r="P6" i="33" s="1"/>
  <c r="M106" i="28"/>
  <c r="M10" i="28" s="1"/>
  <c r="P94" i="33"/>
  <c r="P7" i="33" s="1"/>
  <c r="M124" i="28"/>
  <c r="M28" i="28" s="1"/>
  <c r="P112" i="33"/>
  <c r="K122" i="28"/>
  <c r="K26" i="28" s="1"/>
  <c r="O110" i="33"/>
  <c r="O23" i="33" s="1"/>
  <c r="M119" i="28"/>
  <c r="M23" i="28" s="1"/>
  <c r="P107" i="33"/>
  <c r="P20" i="33" s="1"/>
  <c r="K106" i="28"/>
  <c r="K10" i="28" s="1"/>
  <c r="O94" i="33"/>
  <c r="O7" i="33" s="1"/>
  <c r="N111" i="28"/>
  <c r="N15" i="28" s="1"/>
  <c r="S99" i="33"/>
  <c r="S12" i="33" s="1"/>
  <c r="P124" i="28"/>
  <c r="P28" i="28" s="1"/>
  <c r="T112" i="33"/>
  <c r="T25" i="33" s="1"/>
  <c r="P128" i="28"/>
  <c r="P32" i="28" s="1"/>
  <c r="T116" i="33"/>
  <c r="T29" i="33" s="1"/>
  <c r="Q117" i="28"/>
  <c r="W105" i="33"/>
  <c r="W18" i="33" s="1"/>
  <c r="S109" i="28"/>
  <c r="S13" i="28" s="1"/>
  <c r="X97" i="33"/>
  <c r="Q115" i="28"/>
  <c r="W103" i="33"/>
  <c r="W16" i="33" s="1"/>
  <c r="S108" i="28"/>
  <c r="S12" i="28" s="1"/>
  <c r="X96" i="33"/>
  <c r="X9" i="33" s="1"/>
  <c r="Q114" i="28"/>
  <c r="W102" i="33"/>
  <c r="W15" i="33" s="1"/>
  <c r="S113" i="28"/>
  <c r="S17" i="28" s="1"/>
  <c r="X101" i="33"/>
  <c r="Q119" i="28"/>
  <c r="W107" i="33"/>
  <c r="Q125" i="28"/>
  <c r="W113" i="33"/>
  <c r="W26" i="33" s="1"/>
  <c r="N114" i="28"/>
  <c r="N18" i="28" s="1"/>
  <c r="S102" i="33"/>
  <c r="S15" i="33" s="1"/>
  <c r="N115" i="28"/>
  <c r="N19" i="28" s="1"/>
  <c r="S103" i="33"/>
  <c r="E112" i="28"/>
  <c r="E16" i="28" s="1"/>
  <c r="G100" i="33"/>
  <c r="E107" i="28"/>
  <c r="E11" i="28" s="1"/>
  <c r="G95" i="33"/>
  <c r="K103" i="33"/>
  <c r="H115" i="28"/>
  <c r="K93" i="33"/>
  <c r="B93" i="33" s="1"/>
  <c r="H105" i="28"/>
  <c r="M126" i="28"/>
  <c r="M30" i="28" s="1"/>
  <c r="P114" i="33"/>
  <c r="K109" i="28"/>
  <c r="K13" i="28" s="1"/>
  <c r="O97" i="33"/>
  <c r="Q118" i="28"/>
  <c r="W106" i="33"/>
  <c r="W19" i="33" s="1"/>
  <c r="S120" i="28"/>
  <c r="S24" i="28" s="1"/>
  <c r="X108" i="33"/>
  <c r="X21" i="33" s="1"/>
  <c r="Q128" i="28"/>
  <c r="W116" i="33"/>
  <c r="Q112" i="28"/>
  <c r="Q103" i="28" s="1"/>
  <c r="W100" i="33"/>
  <c r="W13" i="33" s="1"/>
  <c r="P119" i="28"/>
  <c r="T107" i="33"/>
  <c r="T20" i="33" s="1"/>
  <c r="N118" i="28"/>
  <c r="N22" i="28" s="1"/>
  <c r="S106" i="33"/>
  <c r="S19" i="33" s="1"/>
  <c r="G18" i="28"/>
  <c r="G14" i="28"/>
  <c r="G22" i="28"/>
  <c r="G26" i="28"/>
  <c r="B52" i="33"/>
  <c r="B44" i="33"/>
  <c r="B36" i="33"/>
  <c r="G7" i="33"/>
  <c r="B38" i="33"/>
  <c r="X16" i="33"/>
  <c r="W14" i="33"/>
  <c r="X17" i="33"/>
  <c r="H19" i="28"/>
  <c r="L112" i="33"/>
  <c r="L25" i="33" s="1"/>
  <c r="J124" i="28"/>
  <c r="J28" i="28" s="1"/>
  <c r="H18" i="28"/>
  <c r="K18" i="33"/>
  <c r="L33" i="33"/>
  <c r="E29" i="28"/>
  <c r="E21" i="28"/>
  <c r="C43" i="33"/>
  <c r="B63" i="33"/>
  <c r="G62" i="33"/>
  <c r="B55" i="33"/>
  <c r="G26" i="33"/>
  <c r="B47" i="33"/>
  <c r="G18" i="33"/>
  <c r="B39" i="33"/>
  <c r="G10" i="33"/>
  <c r="C84" i="33"/>
  <c r="C76" i="33"/>
  <c r="B65" i="33"/>
  <c r="B80" i="33"/>
  <c r="B72" i="33"/>
  <c r="B64" i="33"/>
  <c r="X7" i="33"/>
  <c r="W25" i="33"/>
  <c r="W9" i="33"/>
  <c r="J10" i="28"/>
  <c r="J9" i="28"/>
  <c r="J22" i="28"/>
  <c r="K115" i="33"/>
  <c r="K28" i="33" s="1"/>
  <c r="H127" i="28"/>
  <c r="H31" i="28" s="1"/>
  <c r="J24" i="28"/>
  <c r="K114" i="33"/>
  <c r="K27" i="33" s="1"/>
  <c r="H126" i="28"/>
  <c r="H30" i="28" s="1"/>
  <c r="J23" i="28"/>
  <c r="L26" i="33"/>
  <c r="L97" i="33"/>
  <c r="L10" i="33" s="1"/>
  <c r="J109" i="28"/>
  <c r="J13" i="28" s="1"/>
  <c r="E9" i="28"/>
  <c r="K10" i="33"/>
  <c r="P26" i="33"/>
  <c r="P18" i="33"/>
  <c r="O29" i="33"/>
  <c r="O21" i="33"/>
  <c r="O13" i="33"/>
  <c r="O33" i="33"/>
  <c r="O5" i="33"/>
  <c r="T62" i="33"/>
  <c r="S29" i="33"/>
  <c r="M24" i="28"/>
  <c r="M11" i="28"/>
  <c r="K8" i="33"/>
  <c r="O18" i="33"/>
  <c r="O10" i="33"/>
  <c r="P27" i="33"/>
  <c r="P19" i="33"/>
  <c r="S16" i="33"/>
  <c r="X26" i="33"/>
  <c r="X10" i="33"/>
  <c r="W28" i="33"/>
  <c r="X27" i="33"/>
  <c r="X11" i="33"/>
  <c r="K14" i="28"/>
  <c r="L29" i="33"/>
  <c r="L100" i="33"/>
  <c r="J112" i="28"/>
  <c r="J16" i="28" s="1"/>
  <c r="J31" i="28"/>
  <c r="H25" i="28"/>
  <c r="K112" i="33"/>
  <c r="K25" i="33" s="1"/>
  <c r="H124" i="28"/>
  <c r="H28" i="28" s="1"/>
  <c r="L18" i="33"/>
  <c r="K29" i="33"/>
  <c r="L110" i="33"/>
  <c r="C110" i="33" s="1"/>
  <c r="J122" i="28"/>
  <c r="J26" i="28" s="1"/>
  <c r="E120" i="28"/>
  <c r="E24" i="28" s="1"/>
  <c r="G108" i="33"/>
  <c r="B108" i="33" s="1"/>
  <c r="E110" i="28"/>
  <c r="E14" i="28" s="1"/>
  <c r="G98" i="33"/>
  <c r="G11" i="33" s="1"/>
  <c r="B11" i="33" s="1"/>
  <c r="E126" i="28"/>
  <c r="E30" i="28" s="1"/>
  <c r="G114" i="33"/>
  <c r="B114" i="33" s="1"/>
  <c r="E111" i="28"/>
  <c r="E15" i="28" s="1"/>
  <c r="G99" i="33"/>
  <c r="B99" i="33" s="1"/>
  <c r="E122" i="28"/>
  <c r="E26" i="28" s="1"/>
  <c r="G110" i="33"/>
  <c r="B110" i="33" s="1"/>
  <c r="L101" i="33"/>
  <c r="L14" i="33" s="1"/>
  <c r="J113" i="28"/>
  <c r="L109" i="33"/>
  <c r="L22" i="33" s="1"/>
  <c r="J121" i="28"/>
  <c r="J25" i="28" s="1"/>
  <c r="L99" i="33"/>
  <c r="L12" i="33" s="1"/>
  <c r="J111" i="28"/>
  <c r="J15" i="28" s="1"/>
  <c r="K97" i="33"/>
  <c r="H109" i="28"/>
  <c r="H13" i="28" s="1"/>
  <c r="K101" i="33"/>
  <c r="H113" i="28"/>
  <c r="H17" i="28" s="1"/>
  <c r="K123" i="28"/>
  <c r="K27" i="28" s="1"/>
  <c r="O111" i="33"/>
  <c r="O24" i="33" s="1"/>
  <c r="K118" i="28"/>
  <c r="K22" i="28" s="1"/>
  <c r="O106" i="33"/>
  <c r="K115" i="28"/>
  <c r="K19" i="28" s="1"/>
  <c r="O103" i="33"/>
  <c r="K114" i="28"/>
  <c r="K18" i="28" s="1"/>
  <c r="O102" i="33"/>
  <c r="O15" i="33" s="1"/>
  <c r="M109" i="28"/>
  <c r="M13" i="28" s="1"/>
  <c r="P97" i="33"/>
  <c r="P10" i="33" s="1"/>
  <c r="K121" i="28"/>
  <c r="K25" i="28" s="1"/>
  <c r="O109" i="33"/>
  <c r="O22" i="33" s="1"/>
  <c r="M110" i="28"/>
  <c r="M14" i="28" s="1"/>
  <c r="P98" i="33"/>
  <c r="P11" i="33" s="1"/>
  <c r="N120" i="28"/>
  <c r="N24" i="28" s="1"/>
  <c r="S108" i="33"/>
  <c r="S21" i="33" s="1"/>
  <c r="P108" i="28"/>
  <c r="P12" i="28" s="1"/>
  <c r="T96" i="33"/>
  <c r="T9" i="33" s="1"/>
  <c r="P112" i="28"/>
  <c r="P16" i="28" s="1"/>
  <c r="T100" i="33"/>
  <c r="T13" i="33" s="1"/>
  <c r="P125" i="28"/>
  <c r="P29" i="28" s="1"/>
  <c r="T113" i="33"/>
  <c r="T26" i="33" s="1"/>
  <c r="P105" i="28"/>
  <c r="P9" i="28" s="1"/>
  <c r="T93" i="33"/>
  <c r="T6" i="33" s="1"/>
  <c r="Q109" i="28"/>
  <c r="W97" i="33"/>
  <c r="W10" i="33" s="1"/>
  <c r="S126" i="28"/>
  <c r="S30" i="28" s="1"/>
  <c r="X114" i="33"/>
  <c r="Q107" i="28"/>
  <c r="W95" i="33"/>
  <c r="W8" i="33" s="1"/>
  <c r="Q121" i="28"/>
  <c r="W109" i="33"/>
  <c r="W22" i="33" s="1"/>
  <c r="S105" i="28"/>
  <c r="S9" i="28" s="1"/>
  <c r="X93" i="33"/>
  <c r="Q123" i="28"/>
  <c r="W111" i="33"/>
  <c r="W24" i="33" s="1"/>
  <c r="Q105" i="28"/>
  <c r="W93" i="33"/>
  <c r="W6" i="33" s="1"/>
  <c r="S127" i="28"/>
  <c r="S31" i="28" s="1"/>
  <c r="X115" i="33"/>
  <c r="P116" i="28"/>
  <c r="P20" i="28" s="1"/>
  <c r="T104" i="33"/>
  <c r="T17" i="33" s="1"/>
  <c r="N107" i="28"/>
  <c r="N11" i="28" s="1"/>
  <c r="S95" i="33"/>
  <c r="S8" i="33" s="1"/>
  <c r="E114" i="28"/>
  <c r="E18" i="28" s="1"/>
  <c r="G102" i="33"/>
  <c r="B102" i="33" s="1"/>
  <c r="K109" i="33"/>
  <c r="H121" i="28"/>
  <c r="L111" i="33"/>
  <c r="L24" i="33" s="1"/>
  <c r="J123" i="28"/>
  <c r="J27" i="28" s="1"/>
  <c r="K105" i="33"/>
  <c r="B105" i="33" s="1"/>
  <c r="H117" i="28"/>
  <c r="H21" i="28" s="1"/>
  <c r="K125" i="28"/>
  <c r="K29" i="28" s="1"/>
  <c r="O113" i="33"/>
  <c r="B113" i="33" s="1"/>
  <c r="S111" i="28"/>
  <c r="S15" i="28" s="1"/>
  <c r="X99" i="33"/>
  <c r="Q116" i="28"/>
  <c r="W104" i="33"/>
  <c r="W17" i="33" s="1"/>
  <c r="S32" i="28"/>
  <c r="N116" i="28"/>
  <c r="S104" i="33"/>
  <c r="S17" i="33" s="1"/>
  <c r="N110" i="28"/>
  <c r="N103" i="28" s="1"/>
  <c r="S98" i="33"/>
  <c r="S11" i="33" s="1"/>
  <c r="N117" i="28"/>
  <c r="S105" i="33"/>
  <c r="S18" i="33" s="1"/>
  <c r="P115" i="28"/>
  <c r="T103" i="33"/>
  <c r="T16" i="33" s="1"/>
  <c r="P126" i="28"/>
  <c r="T114" i="33"/>
  <c r="T27" i="33" s="1"/>
  <c r="N126" i="28"/>
  <c r="N30" i="28" s="1"/>
  <c r="S114" i="33"/>
  <c r="S27" i="33" s="1"/>
  <c r="P104" i="28"/>
  <c r="T92" i="33"/>
  <c r="N113" i="28"/>
  <c r="N17" i="28" s="1"/>
  <c r="S101" i="33"/>
  <c r="S14" i="33" s="1"/>
  <c r="P123" i="28"/>
  <c r="T111" i="33"/>
  <c r="T24" i="33" s="1"/>
  <c r="C93" i="33"/>
  <c r="C103" i="33"/>
  <c r="C111" i="33"/>
  <c r="P16" i="33"/>
  <c r="O19" i="33"/>
  <c r="M27" i="28"/>
  <c r="M17" i="28"/>
  <c r="K16" i="33"/>
  <c r="J12" i="28"/>
  <c r="K15" i="33"/>
  <c r="J11" i="28"/>
  <c r="H24" i="28"/>
  <c r="J17" i="28"/>
  <c r="E39" i="28"/>
  <c r="O16" i="33"/>
  <c r="O8" i="33"/>
  <c r="P25" i="33"/>
  <c r="X22" i="33"/>
  <c r="X6" i="33"/>
  <c r="W20" i="33"/>
  <c r="M32" i="28"/>
  <c r="M15" i="28"/>
  <c r="L6" i="33"/>
  <c r="L21" i="33"/>
  <c r="L20" i="33"/>
  <c r="K14" i="33"/>
  <c r="K17" i="33"/>
  <c r="L113" i="33"/>
  <c r="J125" i="28"/>
  <c r="J29" i="28" s="1"/>
  <c r="B109" i="33"/>
  <c r="H29" i="28"/>
  <c r="B83" i="33"/>
  <c r="B75" i="33"/>
  <c r="B67" i="33"/>
  <c r="C58" i="33"/>
  <c r="C50" i="33"/>
  <c r="C42" i="33"/>
  <c r="B58" i="33"/>
  <c r="G29" i="33"/>
  <c r="B29" i="33" s="1"/>
  <c r="B50" i="33"/>
  <c r="B42" i="33"/>
  <c r="G13" i="33"/>
  <c r="C83" i="33"/>
  <c r="C75" i="33"/>
  <c r="C67" i="33"/>
  <c r="S13" i="33"/>
  <c r="S5" i="33"/>
  <c r="S33" i="33"/>
  <c r="X28" i="33"/>
  <c r="X12" i="33"/>
  <c r="X33" i="33"/>
  <c r="X5" i="33"/>
  <c r="W62" i="33"/>
  <c r="W23" i="33"/>
  <c r="W7" i="33"/>
  <c r="H8" i="28"/>
  <c r="H71" i="28"/>
  <c r="J20" i="28"/>
  <c r="K23" i="33"/>
  <c r="K94" i="33"/>
  <c r="K7" i="33" s="1"/>
  <c r="H106" i="28"/>
  <c r="H10" i="28" s="1"/>
  <c r="C86" i="33"/>
  <c r="C78" i="33"/>
  <c r="C70" i="33"/>
  <c r="C68" i="33"/>
  <c r="B82" i="33"/>
  <c r="B74" i="33"/>
  <c r="B66" i="33"/>
  <c r="C53" i="33"/>
  <c r="C45" i="33"/>
  <c r="B57" i="33"/>
  <c r="G28" i="33"/>
  <c r="B49" i="33"/>
  <c r="B41" i="33"/>
  <c r="G12" i="33"/>
  <c r="C35" i="33"/>
  <c r="X62" i="33"/>
  <c r="J30" i="28"/>
  <c r="H23" i="28"/>
  <c r="L116" i="33"/>
  <c r="J128" i="28"/>
  <c r="J32" i="28" s="1"/>
  <c r="K22" i="33"/>
  <c r="L15" i="33"/>
  <c r="H12" i="28"/>
  <c r="B101" i="33"/>
  <c r="K116" i="33"/>
  <c r="H128" i="28"/>
  <c r="H32" i="28" s="1"/>
  <c r="G121" i="28"/>
  <c r="G25" i="28" s="1"/>
  <c r="H109" i="33"/>
  <c r="C109" i="33" s="1"/>
  <c r="G116" i="28"/>
  <c r="G20" i="28" s="1"/>
  <c r="H104" i="33"/>
  <c r="G109" i="28"/>
  <c r="G13" i="28" s="1"/>
  <c r="H97" i="33"/>
  <c r="H6" i="33"/>
  <c r="H16" i="33"/>
  <c r="H24" i="33"/>
  <c r="G112" i="28"/>
  <c r="G16" i="28" s="1"/>
  <c r="H100" i="33"/>
  <c r="C100" i="33" s="1"/>
  <c r="G108" i="28"/>
  <c r="G12" i="28" s="1"/>
  <c r="H96" i="33"/>
  <c r="C96" i="33" s="1"/>
  <c r="G111" i="28"/>
  <c r="G15" i="28" s="1"/>
  <c r="H99" i="33"/>
  <c r="C99" i="33" s="1"/>
  <c r="G125" i="28"/>
  <c r="G29" i="28" s="1"/>
  <c r="H113" i="33"/>
  <c r="C113" i="33" s="1"/>
  <c r="G113" i="28"/>
  <c r="G17" i="28" s="1"/>
  <c r="H101" i="33"/>
  <c r="C101" i="33" s="1"/>
  <c r="G128" i="28"/>
  <c r="G32" i="28" s="1"/>
  <c r="H116" i="33"/>
  <c r="C116" i="33" s="1"/>
  <c r="G126" i="28"/>
  <c r="G30" i="28" s="1"/>
  <c r="H114" i="33"/>
  <c r="C114" i="33" s="1"/>
  <c r="G119" i="28"/>
  <c r="G23" i="28" s="1"/>
  <c r="H107" i="33"/>
  <c r="C107" i="33" s="1"/>
  <c r="G124" i="28"/>
  <c r="G28" i="28" s="1"/>
  <c r="H112" i="33"/>
  <c r="H15" i="33"/>
  <c r="H11" i="33"/>
  <c r="H19" i="33"/>
  <c r="H23" i="33"/>
  <c r="G104" i="28"/>
  <c r="H92" i="33"/>
  <c r="C92" i="33" s="1"/>
  <c r="G127" i="28"/>
  <c r="G31" i="28" s="1"/>
  <c r="H115" i="33"/>
  <c r="G120" i="28"/>
  <c r="G24" i="28" s="1"/>
  <c r="H108" i="33"/>
  <c r="C108" i="33" s="1"/>
  <c r="G117" i="28"/>
  <c r="G21" i="28" s="1"/>
  <c r="H105" i="33"/>
  <c r="C105" i="33" s="1"/>
  <c r="G107" i="28"/>
  <c r="G11" i="28" s="1"/>
  <c r="H95" i="33"/>
  <c r="C95" i="33" s="1"/>
  <c r="G106" i="28"/>
  <c r="G10" i="28" s="1"/>
  <c r="H94" i="33"/>
  <c r="C94" i="33" s="1"/>
  <c r="N20" i="28"/>
  <c r="P19" i="28"/>
  <c r="N29" i="28"/>
  <c r="N13" i="28"/>
  <c r="P22" i="28"/>
  <c r="N25" i="28"/>
  <c r="N28" i="28"/>
  <c r="P23" i="28"/>
  <c r="P11" i="28"/>
  <c r="N9" i="28"/>
  <c r="P10" i="28"/>
  <c r="N21" i="28"/>
  <c r="P30" i="28"/>
  <c r="N10" i="28"/>
  <c r="N39" i="28"/>
  <c r="P31" i="28"/>
  <c r="P15" i="28"/>
  <c r="P8" i="28"/>
  <c r="P27" i="28"/>
  <c r="N8" i="28"/>
  <c r="K8" i="28"/>
  <c r="M8" i="28"/>
  <c r="M7" i="28" s="1"/>
  <c r="E8" i="28"/>
  <c r="Q21" i="28"/>
  <c r="Q18" i="28"/>
  <c r="Q31" i="28"/>
  <c r="Q11" i="28"/>
  <c r="Q32" i="28"/>
  <c r="Q30" i="28"/>
  <c r="Q39" i="28"/>
  <c r="Q15" i="28"/>
  <c r="Q28" i="28"/>
  <c r="Q12" i="28"/>
  <c r="Q29" i="28"/>
  <c r="S39" i="28"/>
  <c r="Q17" i="28"/>
  <c r="Q8" i="28"/>
  <c r="Q13" i="28"/>
  <c r="Q26" i="28"/>
  <c r="Q19" i="28"/>
  <c r="Q24" i="28"/>
  <c r="Q22" i="28"/>
  <c r="Q23" i="28"/>
  <c r="Q27" i="28"/>
  <c r="Q20" i="28"/>
  <c r="Q25" i="28"/>
  <c r="Q9" i="28"/>
  <c r="M66" i="27"/>
  <c r="K36" i="27"/>
  <c r="T36" i="27" s="1"/>
  <c r="O36" i="27" s="1"/>
  <c r="S96" i="27"/>
  <c r="S67" i="27"/>
  <c r="K126" i="27"/>
  <c r="T126" i="27" s="1"/>
  <c r="O126" i="27" s="1"/>
  <c r="M126" i="27"/>
  <c r="T127" i="27" s="1"/>
  <c r="O127" i="27" s="1"/>
  <c r="S127" i="27"/>
  <c r="S126" i="27"/>
  <c r="K96" i="27"/>
  <c r="T96" i="27" s="1"/>
  <c r="O96" i="27" s="1"/>
  <c r="S97" i="27"/>
  <c r="M96" i="27"/>
  <c r="T97" i="27" s="1"/>
  <c r="O97" i="27" s="1"/>
  <c r="K66" i="27"/>
  <c r="T66" i="27" s="1"/>
  <c r="O66" i="27" s="1"/>
  <c r="T67" i="27"/>
  <c r="O67" i="27" s="1"/>
  <c r="S66" i="27"/>
  <c r="S37" i="27"/>
  <c r="S36" i="27"/>
  <c r="M36" i="27"/>
  <c r="T37" i="27" s="1"/>
  <c r="O37" i="27" s="1"/>
  <c r="M6" i="27"/>
  <c r="T7" i="27" s="1"/>
  <c r="O7" i="27" s="1"/>
  <c r="S7" i="27"/>
  <c r="K6" i="27"/>
  <c r="T6" i="27" s="1"/>
  <c r="O6" i="27" s="1"/>
  <c r="S6" i="27"/>
  <c r="B9" i="33" l="1"/>
  <c r="B19" i="33"/>
  <c r="S7" i="28"/>
  <c r="Q16" i="28"/>
  <c r="M103" i="28"/>
  <c r="K7" i="28"/>
  <c r="C19" i="33"/>
  <c r="C97" i="33"/>
  <c r="S4" i="33"/>
  <c r="B97" i="33"/>
  <c r="B18" i="33"/>
  <c r="L11" i="33"/>
  <c r="C11" i="33" s="1"/>
  <c r="G15" i="33"/>
  <c r="B15" i="33" s="1"/>
  <c r="B95" i="33"/>
  <c r="J103" i="28"/>
  <c r="B115" i="33"/>
  <c r="B92" i="33"/>
  <c r="G91" i="33"/>
  <c r="B112" i="33"/>
  <c r="B16" i="33"/>
  <c r="P4" i="33"/>
  <c r="B111" i="33"/>
  <c r="P91" i="33"/>
  <c r="B6" i="33"/>
  <c r="B94" i="33"/>
  <c r="W91" i="33"/>
  <c r="O91" i="33"/>
  <c r="H103" i="28"/>
  <c r="C24" i="33"/>
  <c r="B13" i="33"/>
  <c r="O26" i="33"/>
  <c r="O4" i="33" s="1"/>
  <c r="B62" i="33"/>
  <c r="L91" i="33"/>
  <c r="K6" i="33"/>
  <c r="C62" i="33"/>
  <c r="B25" i="33"/>
  <c r="B14" i="33"/>
  <c r="K91" i="33"/>
  <c r="E103" i="28"/>
  <c r="N14" i="28"/>
  <c r="N7" i="28" s="1"/>
  <c r="C15" i="33"/>
  <c r="C16" i="33"/>
  <c r="C104" i="33"/>
  <c r="B28" i="33"/>
  <c r="H7" i="28"/>
  <c r="T91" i="33"/>
  <c r="T5" i="33"/>
  <c r="T4" i="33" s="1"/>
  <c r="B10" i="33"/>
  <c r="B7" i="33"/>
  <c r="G23" i="33"/>
  <c r="B23" i="33" s="1"/>
  <c r="B100" i="33"/>
  <c r="B104" i="33"/>
  <c r="B96" i="33"/>
  <c r="B8" i="33"/>
  <c r="B24" i="33"/>
  <c r="K5" i="33"/>
  <c r="K4" i="33" s="1"/>
  <c r="W4" i="33"/>
  <c r="B106" i="33"/>
  <c r="B116" i="33"/>
  <c r="S91" i="33"/>
  <c r="G5" i="33"/>
  <c r="G27" i="33"/>
  <c r="B27" i="33" s="1"/>
  <c r="X91" i="33"/>
  <c r="B103" i="33"/>
  <c r="G20" i="33"/>
  <c r="B20" i="33" s="1"/>
  <c r="B107" i="33"/>
  <c r="S103" i="28"/>
  <c r="E7" i="28"/>
  <c r="K103" i="28"/>
  <c r="C115" i="33"/>
  <c r="C23" i="33"/>
  <c r="C112" i="33"/>
  <c r="C6" i="33"/>
  <c r="B12" i="33"/>
  <c r="X4" i="33"/>
  <c r="G21" i="33"/>
  <c r="B21" i="33" s="1"/>
  <c r="B98" i="33"/>
  <c r="L5" i="33"/>
  <c r="G17" i="33"/>
  <c r="B17" i="33" s="1"/>
  <c r="C33" i="33"/>
  <c r="J7" i="28"/>
  <c r="B33" i="33"/>
  <c r="B22" i="33"/>
  <c r="G103" i="28"/>
  <c r="G8" i="28"/>
  <c r="H8" i="33"/>
  <c r="C8" i="33" s="1"/>
  <c r="H21" i="33"/>
  <c r="C21" i="33" s="1"/>
  <c r="H5" i="33"/>
  <c r="C5" i="33" s="1"/>
  <c r="H91" i="33"/>
  <c r="H20" i="33"/>
  <c r="C20" i="33" s="1"/>
  <c r="H26" i="33"/>
  <c r="C26" i="33" s="1"/>
  <c r="H7" i="33"/>
  <c r="C7" i="33" s="1"/>
  <c r="H18" i="33"/>
  <c r="C18" i="33" s="1"/>
  <c r="H28" i="33"/>
  <c r="C28" i="33" s="1"/>
  <c r="H25" i="33"/>
  <c r="C25" i="33" s="1"/>
  <c r="H27" i="33"/>
  <c r="C27" i="33" s="1"/>
  <c r="H14" i="33"/>
  <c r="C14" i="33" s="1"/>
  <c r="H12" i="33"/>
  <c r="C12" i="33" s="1"/>
  <c r="H13" i="33"/>
  <c r="C13" i="33" s="1"/>
  <c r="H10" i="33"/>
  <c r="C10" i="33" s="1"/>
  <c r="H22" i="33"/>
  <c r="C22" i="33" s="1"/>
  <c r="H29" i="33"/>
  <c r="C29" i="33" s="1"/>
  <c r="H9" i="33"/>
  <c r="C9" i="33" s="1"/>
  <c r="H17" i="33"/>
  <c r="C17" i="33" s="1"/>
  <c r="P7" i="28"/>
  <c r="Q7" i="28"/>
  <c r="A122" i="27"/>
  <c r="A92" i="27"/>
  <c r="A62" i="27"/>
  <c r="A32" i="27"/>
  <c r="A2" i="27"/>
  <c r="B91" i="33" l="1"/>
  <c r="L4" i="33"/>
  <c r="B5" i="33"/>
  <c r="G4" i="33"/>
  <c r="B26" i="33"/>
  <c r="G7" i="28"/>
  <c r="H4" i="33"/>
  <c r="C91" i="33"/>
  <c r="F163" i="10"/>
  <c r="G163" i="10"/>
  <c r="H5" i="8"/>
  <c r="H5" i="7"/>
  <c r="B4" i="33" l="1"/>
  <c r="C4" i="33"/>
  <c r="H163" i="10"/>
  <c r="G128" i="9"/>
  <c r="F128" i="9"/>
  <c r="G233" i="8"/>
  <c r="F233" i="8"/>
  <c r="G155" i="7"/>
  <c r="F155" i="7"/>
  <c r="G153" i="6"/>
  <c r="F153" i="6"/>
  <c r="D151" i="5"/>
  <c r="S32" i="4" s="1"/>
  <c r="D150" i="5"/>
  <c r="S31" i="4" s="1"/>
  <c r="D149" i="5"/>
  <c r="S30" i="4" s="1"/>
  <c r="D148" i="5"/>
  <c r="S29" i="4" s="1"/>
  <c r="D147" i="5"/>
  <c r="S28" i="4" s="1"/>
  <c r="D146" i="5"/>
  <c r="S27" i="4" s="1"/>
  <c r="D145" i="5"/>
  <c r="S26" i="4" s="1"/>
  <c r="D144" i="5"/>
  <c r="S25" i="4" s="1"/>
  <c r="D143" i="5"/>
  <c r="S24" i="4" s="1"/>
  <c r="D142" i="5"/>
  <c r="S23" i="4" s="1"/>
  <c r="D141" i="5"/>
  <c r="S22" i="4" s="1"/>
  <c r="D140" i="5"/>
  <c r="S21" i="4" s="1"/>
  <c r="D139" i="5"/>
  <c r="S20" i="4" s="1"/>
  <c r="D138" i="5"/>
  <c r="S19" i="4" s="1"/>
  <c r="D137" i="5"/>
  <c r="S18" i="4" s="1"/>
  <c r="D136" i="5"/>
  <c r="S17" i="4" s="1"/>
  <c r="D135" i="5"/>
  <c r="S16" i="4" s="1"/>
  <c r="D134" i="5"/>
  <c r="S15" i="4" s="1"/>
  <c r="D133" i="5"/>
  <c r="S14" i="4" s="1"/>
  <c r="D132" i="5"/>
  <c r="S13" i="4" s="1"/>
  <c r="D131" i="5"/>
  <c r="S12" i="4" s="1"/>
  <c r="D130" i="5"/>
  <c r="S11" i="4" s="1"/>
  <c r="D129" i="5"/>
  <c r="S10" i="4" s="1"/>
  <c r="D128" i="5"/>
  <c r="S9" i="4" s="1"/>
  <c r="D127" i="5"/>
  <c r="S8" i="4" s="1"/>
  <c r="D121" i="5"/>
  <c r="P32" i="4" s="1"/>
  <c r="D120" i="5"/>
  <c r="P31" i="4" s="1"/>
  <c r="D119" i="5"/>
  <c r="P30" i="4" s="1"/>
  <c r="D118" i="5"/>
  <c r="P29" i="4" s="1"/>
  <c r="D117" i="5"/>
  <c r="P28" i="4" s="1"/>
  <c r="D116" i="5"/>
  <c r="P27" i="4" s="1"/>
  <c r="D115" i="5"/>
  <c r="P26" i="4" s="1"/>
  <c r="D114" i="5"/>
  <c r="P25" i="4" s="1"/>
  <c r="D113" i="5"/>
  <c r="P24" i="4" s="1"/>
  <c r="D112" i="5"/>
  <c r="P23" i="4" s="1"/>
  <c r="D111" i="5"/>
  <c r="P22" i="4" s="1"/>
  <c r="D110" i="5"/>
  <c r="P21" i="4" s="1"/>
  <c r="D109" i="5"/>
  <c r="P20" i="4" s="1"/>
  <c r="D108" i="5"/>
  <c r="P19" i="4" s="1"/>
  <c r="D107" i="5"/>
  <c r="P18" i="4" s="1"/>
  <c r="D106" i="5"/>
  <c r="P17" i="4" s="1"/>
  <c r="D105" i="5"/>
  <c r="P16" i="4" s="1"/>
  <c r="D104" i="5"/>
  <c r="P15" i="4" s="1"/>
  <c r="D103" i="5"/>
  <c r="P14" i="4" s="1"/>
  <c r="D102" i="5"/>
  <c r="P13" i="4" s="1"/>
  <c r="D101" i="5"/>
  <c r="P12" i="4" s="1"/>
  <c r="D100" i="5"/>
  <c r="P11" i="4" s="1"/>
  <c r="D99" i="5"/>
  <c r="P10" i="4" s="1"/>
  <c r="D98" i="5"/>
  <c r="P9" i="4" s="1"/>
  <c r="D97" i="5"/>
  <c r="P8" i="4" s="1"/>
  <c r="D91" i="5"/>
  <c r="M32" i="4" s="1"/>
  <c r="M31" i="4"/>
  <c r="D89" i="5"/>
  <c r="M30" i="4" s="1"/>
  <c r="D88" i="5"/>
  <c r="M29" i="4" s="1"/>
  <c r="D87" i="5"/>
  <c r="M28" i="4" s="1"/>
  <c r="D86" i="5"/>
  <c r="M27" i="4" s="1"/>
  <c r="M26" i="4"/>
  <c r="D84" i="5"/>
  <c r="M25" i="4" s="1"/>
  <c r="D83" i="5"/>
  <c r="M24" i="4" s="1"/>
  <c r="D82" i="5"/>
  <c r="M23" i="4" s="1"/>
  <c r="D81" i="5"/>
  <c r="M22" i="4" s="1"/>
  <c r="D80" i="5"/>
  <c r="M21" i="4" s="1"/>
  <c r="D79" i="5"/>
  <c r="M20" i="4" s="1"/>
  <c r="D78" i="5"/>
  <c r="M19" i="4" s="1"/>
  <c r="D77" i="5"/>
  <c r="M18" i="4" s="1"/>
  <c r="D76" i="5"/>
  <c r="M17" i="4" s="1"/>
  <c r="D75" i="5"/>
  <c r="M16" i="4" s="1"/>
  <c r="D74" i="5"/>
  <c r="M15" i="4" s="1"/>
  <c r="D73" i="5"/>
  <c r="M14" i="4" s="1"/>
  <c r="D72" i="5"/>
  <c r="M13" i="4" s="1"/>
  <c r="D71" i="5"/>
  <c r="M12" i="4" s="1"/>
  <c r="D70" i="5"/>
  <c r="M11" i="4" s="1"/>
  <c r="D69" i="5"/>
  <c r="M10" i="4" s="1"/>
  <c r="D68" i="5"/>
  <c r="M9" i="4" s="1"/>
  <c r="D67" i="5"/>
  <c r="M8" i="4" s="1"/>
  <c r="D61" i="5"/>
  <c r="J32" i="4" s="1"/>
  <c r="D60" i="5"/>
  <c r="J31" i="4" s="1"/>
  <c r="D59" i="5"/>
  <c r="J30" i="4" s="1"/>
  <c r="D58" i="5"/>
  <c r="J29" i="4" s="1"/>
  <c r="D57" i="5"/>
  <c r="J28" i="4" s="1"/>
  <c r="D56" i="5"/>
  <c r="J27" i="4" s="1"/>
  <c r="D55" i="5"/>
  <c r="J26" i="4" s="1"/>
  <c r="D54" i="5"/>
  <c r="J25" i="4" s="1"/>
  <c r="D53" i="5"/>
  <c r="J24" i="4" s="1"/>
  <c r="D52" i="5"/>
  <c r="J23" i="4" s="1"/>
  <c r="D51" i="5"/>
  <c r="J22" i="4" s="1"/>
  <c r="D50" i="5"/>
  <c r="J21" i="4" s="1"/>
  <c r="D49" i="5"/>
  <c r="J20" i="4" s="1"/>
  <c r="D48" i="5"/>
  <c r="J19" i="4" s="1"/>
  <c r="D47" i="5"/>
  <c r="J18" i="4" s="1"/>
  <c r="D46" i="5"/>
  <c r="J17" i="4" s="1"/>
  <c r="D45" i="5"/>
  <c r="J16" i="4" s="1"/>
  <c r="D44" i="5"/>
  <c r="J15" i="4" s="1"/>
  <c r="D43" i="5"/>
  <c r="J14" i="4" s="1"/>
  <c r="D42" i="5"/>
  <c r="J13" i="4" s="1"/>
  <c r="D41" i="5"/>
  <c r="J12" i="4" s="1"/>
  <c r="D40" i="5"/>
  <c r="J11" i="4" s="1"/>
  <c r="D39" i="5"/>
  <c r="J10" i="4" s="1"/>
  <c r="D38" i="5"/>
  <c r="J9" i="4" s="1"/>
  <c r="D37" i="5"/>
  <c r="J8" i="4" s="1"/>
  <c r="D31" i="5"/>
  <c r="G32" i="4" s="1"/>
  <c r="D30" i="5"/>
  <c r="G31" i="4" s="1"/>
  <c r="D29" i="5"/>
  <c r="G30" i="4" s="1"/>
  <c r="D28" i="5"/>
  <c r="G29" i="4" s="1"/>
  <c r="D27" i="5"/>
  <c r="G28" i="4" s="1"/>
  <c r="D26" i="5"/>
  <c r="G27" i="4" s="1"/>
  <c r="D25" i="5"/>
  <c r="G26" i="4" s="1"/>
  <c r="D24" i="5"/>
  <c r="G25" i="4" s="1"/>
  <c r="D23" i="5"/>
  <c r="G24" i="4" s="1"/>
  <c r="D22" i="5"/>
  <c r="G23" i="4" s="1"/>
  <c r="D21" i="5"/>
  <c r="G22" i="4" s="1"/>
  <c r="D20" i="5"/>
  <c r="G21" i="4" s="1"/>
  <c r="D19" i="5"/>
  <c r="G20" i="4" s="1"/>
  <c r="D18" i="5"/>
  <c r="G19" i="4" s="1"/>
  <c r="D17" i="5"/>
  <c r="G18" i="4" s="1"/>
  <c r="D16" i="5"/>
  <c r="G17" i="4" s="1"/>
  <c r="D15" i="5"/>
  <c r="G16" i="4" s="1"/>
  <c r="D13" i="5"/>
  <c r="G14" i="4" s="1"/>
  <c r="D12" i="5"/>
  <c r="G13" i="4" s="1"/>
  <c r="D11" i="5"/>
  <c r="G12" i="4" s="1"/>
  <c r="D10" i="5"/>
  <c r="G11" i="4" s="1"/>
  <c r="D9" i="5"/>
  <c r="G10" i="4" s="1"/>
  <c r="D8" i="5"/>
  <c r="G9" i="4" s="1"/>
  <c r="D7" i="5"/>
  <c r="H11" i="5" l="1"/>
  <c r="I67" i="33" s="1"/>
  <c r="H85" i="5"/>
  <c r="Q81" i="33" s="1"/>
  <c r="J90" i="5"/>
  <c r="R86" i="33" s="1"/>
  <c r="E85" i="5"/>
  <c r="Q52" i="33" s="1"/>
  <c r="H90" i="5"/>
  <c r="Q86" i="33" s="1"/>
  <c r="G85" i="5"/>
  <c r="R52" i="33" s="1"/>
  <c r="J85" i="5"/>
  <c r="R81" i="33" s="1"/>
  <c r="J117" i="5"/>
  <c r="V83" i="33" s="1"/>
  <c r="J101" i="5"/>
  <c r="V67" i="33" s="1"/>
  <c r="G121" i="5"/>
  <c r="V58" i="33" s="1"/>
  <c r="G101" i="5"/>
  <c r="V38" i="33" s="1"/>
  <c r="G105" i="5"/>
  <c r="V42" i="33" s="1"/>
  <c r="G8" i="4"/>
  <c r="S7" i="4"/>
  <c r="G109" i="5"/>
  <c r="V46" i="33" s="1"/>
  <c r="J109" i="5"/>
  <c r="V75" i="33" s="1"/>
  <c r="J121" i="5"/>
  <c r="V87" i="33" s="1"/>
  <c r="P7" i="4"/>
  <c r="G97" i="5"/>
  <c r="V34" i="33" s="1"/>
  <c r="G113" i="5"/>
  <c r="V50" i="33" s="1"/>
  <c r="J7" i="4"/>
  <c r="M7" i="4"/>
  <c r="H233" i="8"/>
  <c r="G99" i="5"/>
  <c r="V36" i="33" s="1"/>
  <c r="G103" i="5"/>
  <c r="V40" i="33" s="1"/>
  <c r="G107" i="5"/>
  <c r="V44" i="33" s="1"/>
  <c r="G111" i="5"/>
  <c r="V48" i="33" s="1"/>
  <c r="G117" i="5"/>
  <c r="V54" i="33" s="1"/>
  <c r="J97" i="5"/>
  <c r="V63" i="33" s="1"/>
  <c r="J105" i="5"/>
  <c r="V71" i="33" s="1"/>
  <c r="J113" i="5"/>
  <c r="V79" i="33" s="1"/>
  <c r="H128" i="9"/>
  <c r="J119" i="5"/>
  <c r="V85" i="33" s="1"/>
  <c r="G98" i="5"/>
  <c r="V35" i="33" s="1"/>
  <c r="G100" i="5"/>
  <c r="V37" i="33" s="1"/>
  <c r="G102" i="5"/>
  <c r="V39" i="33" s="1"/>
  <c r="G104" i="5"/>
  <c r="V41" i="33" s="1"/>
  <c r="G106" i="5"/>
  <c r="V43" i="33" s="1"/>
  <c r="G108" i="5"/>
  <c r="V45" i="33" s="1"/>
  <c r="G110" i="5"/>
  <c r="V47" i="33" s="1"/>
  <c r="G112" i="5"/>
  <c r="V49" i="33" s="1"/>
  <c r="G115" i="5"/>
  <c r="V52" i="33" s="1"/>
  <c r="G119" i="5"/>
  <c r="V56" i="33" s="1"/>
  <c r="J99" i="5"/>
  <c r="V65" i="33" s="1"/>
  <c r="J103" i="5"/>
  <c r="V69" i="33" s="1"/>
  <c r="J107" i="5"/>
  <c r="V73" i="33" s="1"/>
  <c r="J111" i="5"/>
  <c r="V77" i="33" s="1"/>
  <c r="J115" i="5"/>
  <c r="V81" i="33" s="1"/>
  <c r="J120" i="5"/>
  <c r="V86" i="33" s="1"/>
  <c r="G114" i="5"/>
  <c r="V51" i="33" s="1"/>
  <c r="G116" i="5"/>
  <c r="V53" i="33" s="1"/>
  <c r="G118" i="5"/>
  <c r="V55" i="33" s="1"/>
  <c r="G120" i="5"/>
  <c r="V57" i="33" s="1"/>
  <c r="J98" i="5"/>
  <c r="V64" i="33" s="1"/>
  <c r="J100" i="5"/>
  <c r="V66" i="33" s="1"/>
  <c r="J102" i="5"/>
  <c r="V68" i="33" s="1"/>
  <c r="J104" i="5"/>
  <c r="V70" i="33" s="1"/>
  <c r="J106" i="5"/>
  <c r="V72" i="33" s="1"/>
  <c r="J108" i="5"/>
  <c r="V74" i="33" s="1"/>
  <c r="J110" i="5"/>
  <c r="V76" i="33" s="1"/>
  <c r="J112" i="5"/>
  <c r="V78" i="33" s="1"/>
  <c r="J114" i="5"/>
  <c r="V80" i="33" s="1"/>
  <c r="J116" i="5"/>
  <c r="V82" i="33" s="1"/>
  <c r="J118" i="5"/>
  <c r="V84" i="33" s="1"/>
  <c r="H155" i="7"/>
  <c r="H5" i="10"/>
  <c r="H5" i="6"/>
  <c r="H153" i="6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E26" i="15"/>
  <c r="N26" i="15"/>
  <c r="N27" i="15"/>
  <c r="N28" i="15"/>
  <c r="N29" i="15"/>
  <c r="N30" i="15"/>
  <c r="N31" i="15"/>
  <c r="A32" i="15"/>
  <c r="N32" i="15"/>
  <c r="A33" i="15"/>
  <c r="N33" i="15"/>
  <c r="A34" i="15"/>
  <c r="N34" i="15"/>
  <c r="A35" i="15"/>
  <c r="N35" i="15"/>
  <c r="A36" i="15"/>
  <c r="N36" i="15"/>
  <c r="A37" i="15"/>
  <c r="N37" i="15"/>
  <c r="A38" i="15"/>
  <c r="N38" i="15"/>
  <c r="A39" i="15"/>
  <c r="N39" i="15"/>
  <c r="A40" i="15"/>
  <c r="N40" i="15"/>
  <c r="A41" i="15"/>
  <c r="N41" i="15"/>
  <c r="A42" i="15"/>
  <c r="N42" i="15"/>
  <c r="A43" i="15"/>
  <c r="N43" i="15"/>
  <c r="A44" i="15"/>
  <c r="N44" i="15"/>
  <c r="A45" i="15"/>
  <c r="N45" i="15"/>
  <c r="A46" i="15"/>
  <c r="N46" i="15"/>
  <c r="E47" i="15"/>
  <c r="N47" i="15"/>
  <c r="A48" i="15"/>
  <c r="N48" i="15"/>
  <c r="A49" i="15"/>
  <c r="N49" i="15"/>
  <c r="A50" i="15"/>
  <c r="N50" i="15"/>
  <c r="A51" i="15"/>
  <c r="N51" i="15"/>
  <c r="A52" i="15"/>
  <c r="N52" i="15"/>
  <c r="A53" i="15"/>
  <c r="N53" i="15"/>
  <c r="A54" i="15"/>
  <c r="N54" i="15"/>
  <c r="A55" i="15"/>
  <c r="N55" i="15"/>
  <c r="A56" i="15"/>
  <c r="N56" i="15"/>
  <c r="A57" i="15"/>
  <c r="N57" i="15"/>
  <c r="A58" i="15"/>
  <c r="N58" i="15"/>
  <c r="A59" i="15"/>
  <c r="N59" i="15"/>
  <c r="A60" i="15"/>
  <c r="N60" i="15"/>
  <c r="A61" i="15"/>
  <c r="N61" i="15"/>
  <c r="A62" i="15"/>
  <c r="N62" i="15"/>
  <c r="A63" i="15"/>
  <c r="N63" i="15"/>
  <c r="A64" i="15"/>
  <c r="N64" i="15"/>
  <c r="A65" i="15"/>
  <c r="N65" i="15"/>
  <c r="A66" i="15"/>
  <c r="N66" i="15"/>
  <c r="A67" i="15"/>
  <c r="N67" i="15"/>
  <c r="E68" i="15"/>
  <c r="N68" i="15"/>
  <c r="A69" i="15"/>
  <c r="N69" i="15"/>
  <c r="A70" i="15"/>
  <c r="N70" i="15"/>
  <c r="A71" i="15"/>
  <c r="N71" i="15"/>
  <c r="A72" i="15"/>
  <c r="N72" i="15"/>
  <c r="A73" i="15"/>
  <c r="N73" i="15"/>
  <c r="A74" i="15"/>
  <c r="N74" i="15"/>
  <c r="A75" i="15"/>
  <c r="N75" i="15"/>
  <c r="A76" i="15"/>
  <c r="N76" i="15"/>
  <c r="A77" i="15"/>
  <c r="N77" i="15"/>
  <c r="A78" i="15"/>
  <c r="N78" i="15"/>
  <c r="A79" i="15"/>
  <c r="N79" i="15"/>
  <c r="A80" i="15"/>
  <c r="N80" i="15"/>
  <c r="A81" i="15"/>
  <c r="N81" i="15"/>
  <c r="A82" i="15"/>
  <c r="N82" i="15"/>
  <c r="A83" i="15"/>
  <c r="N83" i="15"/>
  <c r="A84" i="15"/>
  <c r="N84" i="15"/>
  <c r="A85" i="15"/>
  <c r="N85" i="15"/>
  <c r="A86" i="15"/>
  <c r="N86" i="15"/>
  <c r="A87" i="15"/>
  <c r="N87" i="15"/>
  <c r="A88" i="15"/>
  <c r="N88" i="15"/>
  <c r="E89" i="15"/>
  <c r="N89" i="15"/>
  <c r="A90" i="15"/>
  <c r="N90" i="15"/>
  <c r="A91" i="15"/>
  <c r="N91" i="15"/>
  <c r="A92" i="15"/>
  <c r="N92" i="15"/>
  <c r="A93" i="15"/>
  <c r="N93" i="15"/>
  <c r="A94" i="15"/>
  <c r="N94" i="15"/>
  <c r="A95" i="15"/>
  <c r="N95" i="15"/>
  <c r="A96" i="15"/>
  <c r="N96" i="15"/>
  <c r="A97" i="15"/>
  <c r="N97" i="15"/>
  <c r="A98" i="15"/>
  <c r="N98" i="15"/>
  <c r="A99" i="15"/>
  <c r="N99" i="15"/>
  <c r="A100" i="15"/>
  <c r="N100" i="15"/>
  <c r="A101" i="15"/>
  <c r="N101" i="15"/>
  <c r="A102" i="15"/>
  <c r="N102" i="15"/>
  <c r="A103" i="15"/>
  <c r="N103" i="15"/>
  <c r="A104" i="15"/>
  <c r="N104" i="15"/>
  <c r="A105" i="15"/>
  <c r="N105" i="15"/>
  <c r="A106" i="15"/>
  <c r="N106" i="15"/>
  <c r="A107" i="15"/>
  <c r="N107" i="15"/>
  <c r="A108" i="15"/>
  <c r="N108" i="15"/>
  <c r="A109" i="15"/>
  <c r="N109" i="15"/>
  <c r="E110" i="15"/>
  <c r="N110" i="15"/>
  <c r="A111" i="15"/>
  <c r="N111" i="15"/>
  <c r="A112" i="15"/>
  <c r="N112" i="15"/>
  <c r="A113" i="15"/>
  <c r="N113" i="15"/>
  <c r="A114" i="15"/>
  <c r="N114" i="15"/>
  <c r="A115" i="15"/>
  <c r="N115" i="15"/>
  <c r="A116" i="15"/>
  <c r="N116" i="15"/>
  <c r="A117" i="15"/>
  <c r="N117" i="15"/>
  <c r="A118" i="15"/>
  <c r="N118" i="15"/>
  <c r="A119" i="15"/>
  <c r="N119" i="15"/>
  <c r="A120" i="15"/>
  <c r="N120" i="15"/>
  <c r="A121" i="15"/>
  <c r="N121" i="15"/>
  <c r="A122" i="15"/>
  <c r="N122" i="15"/>
  <c r="A123" i="15"/>
  <c r="N123" i="15"/>
  <c r="A124" i="15"/>
  <c r="N124" i="15"/>
  <c r="A125" i="15"/>
  <c r="N125" i="15"/>
  <c r="A126" i="15"/>
  <c r="N126" i="15"/>
  <c r="A127" i="15"/>
  <c r="N127" i="15"/>
  <c r="A128" i="15"/>
  <c r="N128" i="15"/>
  <c r="A129" i="15"/>
  <c r="N129" i="15"/>
  <c r="A130" i="15"/>
  <c r="N130" i="15"/>
  <c r="E131" i="15"/>
  <c r="N131" i="15"/>
  <c r="A132" i="15"/>
  <c r="N132" i="15"/>
  <c r="A133" i="15"/>
  <c r="N133" i="15"/>
  <c r="A134" i="15"/>
  <c r="N134" i="15"/>
  <c r="A135" i="15"/>
  <c r="N135" i="15"/>
  <c r="A136" i="15"/>
  <c r="N136" i="15"/>
  <c r="A137" i="15"/>
  <c r="N137" i="15"/>
  <c r="A138" i="15"/>
  <c r="N138" i="15"/>
  <c r="A139" i="15"/>
  <c r="N139" i="15"/>
  <c r="A140" i="15"/>
  <c r="N140" i="15"/>
  <c r="A141" i="15"/>
  <c r="N141" i="15"/>
  <c r="A142" i="15"/>
  <c r="N142" i="15"/>
  <c r="A143" i="15"/>
  <c r="N143" i="15"/>
  <c r="A144" i="15"/>
  <c r="N144" i="15"/>
  <c r="A145" i="15"/>
  <c r="N145" i="15"/>
  <c r="A146" i="15"/>
  <c r="N146" i="15"/>
  <c r="A147" i="15"/>
  <c r="N147" i="15"/>
  <c r="A148" i="15"/>
  <c r="N148" i="15"/>
  <c r="A149" i="15"/>
  <c r="N149" i="15"/>
  <c r="A150" i="15"/>
  <c r="N150" i="15"/>
  <c r="A151" i="15"/>
  <c r="N151" i="15"/>
  <c r="E152" i="15"/>
  <c r="N152" i="15"/>
  <c r="A153" i="15"/>
  <c r="N153" i="15"/>
  <c r="A154" i="15"/>
  <c r="N154" i="15"/>
  <c r="A155" i="15"/>
  <c r="N155" i="15"/>
  <c r="A156" i="15"/>
  <c r="N156" i="15"/>
  <c r="A157" i="15"/>
  <c r="N157" i="15"/>
  <c r="A158" i="15"/>
  <c r="N158" i="15"/>
  <c r="A159" i="15"/>
  <c r="N159" i="15"/>
  <c r="A160" i="15"/>
  <c r="N160" i="15"/>
  <c r="A161" i="15"/>
  <c r="N161" i="15"/>
  <c r="A162" i="15"/>
  <c r="N162" i="15"/>
  <c r="A163" i="15"/>
  <c r="N163" i="15"/>
  <c r="A164" i="15"/>
  <c r="N164" i="15"/>
  <c r="A165" i="15"/>
  <c r="N165" i="15"/>
  <c r="A166" i="15"/>
  <c r="N166" i="15"/>
  <c r="A167" i="15"/>
  <c r="N167" i="15"/>
  <c r="A168" i="15"/>
  <c r="N168" i="15"/>
  <c r="A169" i="15"/>
  <c r="N169" i="15"/>
  <c r="A170" i="15"/>
  <c r="N170" i="15"/>
  <c r="A171" i="15"/>
  <c r="N171" i="15"/>
  <c r="A172" i="15"/>
  <c r="N172" i="15"/>
  <c r="E173" i="15"/>
  <c r="N173" i="15"/>
  <c r="A174" i="15"/>
  <c r="N174" i="15"/>
  <c r="A175" i="15"/>
  <c r="N175" i="15"/>
  <c r="A176" i="15"/>
  <c r="N176" i="15"/>
  <c r="A177" i="15"/>
  <c r="N177" i="15"/>
  <c r="A178" i="15"/>
  <c r="N178" i="15"/>
  <c r="A179" i="15"/>
  <c r="N179" i="15"/>
  <c r="A180" i="15"/>
  <c r="N180" i="15"/>
  <c r="A181" i="15"/>
  <c r="N181" i="15"/>
  <c r="A182" i="15"/>
  <c r="N182" i="15"/>
  <c r="A183" i="15"/>
  <c r="N183" i="15"/>
  <c r="A184" i="15"/>
  <c r="N184" i="15"/>
  <c r="A185" i="15"/>
  <c r="N185" i="15"/>
  <c r="A186" i="15"/>
  <c r="N186" i="15"/>
  <c r="A187" i="15"/>
  <c r="N187" i="15"/>
  <c r="A188" i="15"/>
  <c r="N188" i="15"/>
  <c r="A189" i="15"/>
  <c r="N189" i="15"/>
  <c r="A190" i="15"/>
  <c r="N190" i="15"/>
  <c r="A191" i="15"/>
  <c r="N191" i="15"/>
  <c r="A192" i="15"/>
  <c r="N192" i="15"/>
  <c r="A193" i="15"/>
  <c r="N193" i="15"/>
  <c r="E194" i="15"/>
  <c r="N194" i="15"/>
  <c r="A195" i="15"/>
  <c r="N195" i="15"/>
  <c r="A196" i="15"/>
  <c r="N196" i="15"/>
  <c r="A197" i="15"/>
  <c r="N197" i="15"/>
  <c r="A198" i="15"/>
  <c r="N198" i="15"/>
  <c r="A199" i="15"/>
  <c r="N199" i="15"/>
  <c r="A200" i="15"/>
  <c r="N200" i="15"/>
  <c r="A201" i="15"/>
  <c r="N201" i="15"/>
  <c r="A202" i="15"/>
  <c r="N202" i="15"/>
  <c r="A203" i="15"/>
  <c r="N203" i="15"/>
  <c r="A204" i="15"/>
  <c r="N204" i="15"/>
  <c r="A205" i="15"/>
  <c r="N205" i="15"/>
  <c r="A206" i="15"/>
  <c r="N206" i="15"/>
  <c r="A207" i="15"/>
  <c r="N207" i="15"/>
  <c r="A208" i="15"/>
  <c r="N208" i="15"/>
  <c r="A209" i="15"/>
  <c r="N209" i="15"/>
  <c r="A210" i="15"/>
  <c r="N210" i="15"/>
  <c r="A211" i="15"/>
  <c r="N211" i="15"/>
  <c r="A212" i="15"/>
  <c r="N212" i="15"/>
  <c r="A213" i="15"/>
  <c r="N213" i="15"/>
  <c r="A214" i="15"/>
  <c r="N214" i="15"/>
  <c r="E215" i="15"/>
  <c r="N215" i="15"/>
  <c r="A216" i="15"/>
  <c r="N216" i="15"/>
  <c r="A217" i="15"/>
  <c r="N217" i="15"/>
  <c r="A218" i="15"/>
  <c r="N218" i="15"/>
  <c r="A219" i="15"/>
  <c r="N219" i="15"/>
  <c r="A220" i="15"/>
  <c r="N220" i="15"/>
  <c r="A221" i="15"/>
  <c r="N221" i="15"/>
  <c r="A222" i="15"/>
  <c r="N222" i="15"/>
  <c r="A223" i="15"/>
  <c r="N223" i="15"/>
  <c r="A224" i="15"/>
  <c r="N224" i="15"/>
  <c r="A225" i="15"/>
  <c r="N225" i="15"/>
  <c r="A226" i="15"/>
  <c r="N226" i="15"/>
  <c r="A227" i="15"/>
  <c r="N227" i="15"/>
  <c r="A228" i="15"/>
  <c r="N228" i="15"/>
  <c r="A229" i="15"/>
  <c r="N229" i="15"/>
  <c r="A230" i="15"/>
  <c r="N230" i="15"/>
  <c r="A231" i="15"/>
  <c r="N231" i="15"/>
  <c r="A232" i="15"/>
  <c r="N232" i="15"/>
  <c r="A233" i="15"/>
  <c r="N233" i="15"/>
  <c r="A234" i="15"/>
  <c r="N234" i="15"/>
  <c r="A235" i="15"/>
  <c r="N235" i="15"/>
  <c r="E236" i="15"/>
  <c r="N236" i="15"/>
  <c r="A237" i="15"/>
  <c r="N237" i="15"/>
  <c r="A238" i="15"/>
  <c r="N238" i="15"/>
  <c r="A239" i="15"/>
  <c r="N239" i="15"/>
  <c r="A240" i="15"/>
  <c r="N240" i="15"/>
  <c r="A241" i="15"/>
  <c r="N241" i="15"/>
  <c r="A242" i="15"/>
  <c r="N242" i="15"/>
  <c r="A243" i="15"/>
  <c r="N243" i="15"/>
  <c r="A244" i="15"/>
  <c r="N244" i="15"/>
  <c r="A245" i="15"/>
  <c r="N245" i="15"/>
  <c r="A246" i="15"/>
  <c r="N246" i="15"/>
  <c r="A247" i="15"/>
  <c r="N247" i="15"/>
  <c r="A248" i="15"/>
  <c r="N248" i="15"/>
  <c r="A249" i="15"/>
  <c r="N249" i="15"/>
  <c r="A250" i="15"/>
  <c r="N250" i="15"/>
  <c r="A251" i="15"/>
  <c r="N251" i="15"/>
  <c r="A252" i="15"/>
  <c r="N252" i="15"/>
  <c r="A253" i="15"/>
  <c r="N253" i="15"/>
  <c r="A254" i="15"/>
  <c r="N254" i="15"/>
  <c r="A255" i="15"/>
  <c r="N255" i="15"/>
  <c r="A256" i="15"/>
  <c r="N256" i="15"/>
  <c r="E257" i="15"/>
  <c r="N257" i="15"/>
  <c r="A258" i="15"/>
  <c r="N258" i="15"/>
  <c r="A259" i="15"/>
  <c r="N259" i="15"/>
  <c r="A260" i="15"/>
  <c r="N260" i="15"/>
  <c r="A261" i="15"/>
  <c r="N261" i="15"/>
  <c r="A262" i="15"/>
  <c r="N262" i="15"/>
  <c r="A263" i="15"/>
  <c r="N263" i="15"/>
  <c r="A264" i="15"/>
  <c r="N264" i="15"/>
  <c r="A265" i="15"/>
  <c r="N265" i="15"/>
  <c r="A266" i="15"/>
  <c r="N266" i="15"/>
  <c r="A267" i="15"/>
  <c r="N267" i="15"/>
  <c r="A268" i="15"/>
  <c r="N268" i="15"/>
  <c r="A269" i="15"/>
  <c r="N269" i="15"/>
  <c r="A270" i="15"/>
  <c r="N270" i="15"/>
  <c r="A271" i="15"/>
  <c r="N271" i="15"/>
  <c r="A272" i="15"/>
  <c r="N272" i="15"/>
  <c r="A273" i="15"/>
  <c r="N273" i="15"/>
  <c r="A274" i="15"/>
  <c r="N274" i="15"/>
  <c r="A275" i="15"/>
  <c r="N275" i="15"/>
  <c r="A276" i="15"/>
  <c r="N276" i="15"/>
  <c r="A277" i="15"/>
  <c r="N277" i="15"/>
  <c r="E278" i="15"/>
  <c r="N278" i="15"/>
  <c r="A279" i="15"/>
  <c r="N279" i="15"/>
  <c r="A280" i="15"/>
  <c r="N280" i="15"/>
  <c r="A281" i="15"/>
  <c r="N281" i="15"/>
  <c r="A282" i="15"/>
  <c r="N282" i="15"/>
  <c r="A283" i="15"/>
  <c r="N283" i="15"/>
  <c r="A284" i="15"/>
  <c r="N284" i="15"/>
  <c r="A285" i="15"/>
  <c r="N285" i="15"/>
  <c r="A286" i="15"/>
  <c r="N286" i="15"/>
  <c r="A287" i="15"/>
  <c r="N287" i="15"/>
  <c r="A288" i="15"/>
  <c r="N288" i="15"/>
  <c r="A289" i="15"/>
  <c r="N289" i="15"/>
  <c r="A290" i="15"/>
  <c r="N290" i="15"/>
  <c r="A291" i="15"/>
  <c r="N291" i="15"/>
  <c r="A292" i="15"/>
  <c r="N292" i="15"/>
  <c r="A293" i="15"/>
  <c r="N293" i="15"/>
  <c r="A294" i="15"/>
  <c r="N294" i="15"/>
  <c r="A295" i="15"/>
  <c r="N295" i="15"/>
  <c r="A296" i="15"/>
  <c r="N296" i="15"/>
  <c r="A297" i="15"/>
  <c r="N297" i="15"/>
  <c r="A298" i="15"/>
  <c r="N298" i="15"/>
  <c r="E299" i="15"/>
  <c r="N299" i="15"/>
  <c r="A300" i="15"/>
  <c r="N300" i="15"/>
  <c r="A301" i="15"/>
  <c r="N301" i="15"/>
  <c r="A302" i="15"/>
  <c r="N302" i="15"/>
  <c r="A303" i="15"/>
  <c r="N303" i="15"/>
  <c r="A304" i="15"/>
  <c r="N304" i="15"/>
  <c r="A305" i="15"/>
  <c r="N305" i="15"/>
  <c r="A306" i="15"/>
  <c r="N306" i="15"/>
  <c r="A307" i="15"/>
  <c r="N307" i="15"/>
  <c r="A308" i="15"/>
  <c r="N308" i="15"/>
  <c r="A309" i="15"/>
  <c r="N309" i="15"/>
  <c r="A310" i="15"/>
  <c r="N310" i="15"/>
  <c r="A311" i="15"/>
  <c r="N311" i="15"/>
  <c r="A312" i="15"/>
  <c r="N312" i="15"/>
  <c r="A313" i="15"/>
  <c r="N313" i="15"/>
  <c r="A314" i="15"/>
  <c r="N314" i="15"/>
  <c r="A315" i="15"/>
  <c r="N315" i="15"/>
  <c r="A316" i="15"/>
  <c r="N316" i="15"/>
  <c r="A317" i="15"/>
  <c r="N317" i="15"/>
  <c r="A318" i="15"/>
  <c r="N318" i="15"/>
  <c r="A319" i="15"/>
  <c r="N319" i="15"/>
  <c r="E320" i="15"/>
  <c r="N320" i="15"/>
  <c r="A321" i="15"/>
  <c r="N321" i="15"/>
  <c r="A322" i="15"/>
  <c r="N322" i="15"/>
  <c r="A323" i="15"/>
  <c r="N323" i="15"/>
  <c r="A324" i="15"/>
  <c r="N324" i="15"/>
  <c r="A325" i="15"/>
  <c r="N325" i="15"/>
  <c r="A326" i="15"/>
  <c r="N326" i="15"/>
  <c r="A327" i="15"/>
  <c r="N327" i="15"/>
  <c r="A328" i="15"/>
  <c r="N328" i="15"/>
  <c r="A329" i="15"/>
  <c r="N329" i="15"/>
  <c r="A330" i="15"/>
  <c r="N330" i="15"/>
  <c r="A331" i="15"/>
  <c r="N331" i="15"/>
  <c r="A332" i="15"/>
  <c r="N332" i="15"/>
  <c r="A333" i="15"/>
  <c r="N333" i="15"/>
  <c r="A334" i="15"/>
  <c r="N334" i="15"/>
  <c r="A335" i="15"/>
  <c r="N335" i="15"/>
  <c r="A336" i="15"/>
  <c r="N336" i="15"/>
  <c r="A337" i="15"/>
  <c r="N337" i="15"/>
  <c r="A338" i="15"/>
  <c r="N338" i="15"/>
  <c r="A339" i="15"/>
  <c r="N339" i="15"/>
  <c r="A340" i="15"/>
  <c r="N340" i="15"/>
  <c r="E341" i="15"/>
  <c r="N341" i="15"/>
  <c r="A342" i="15"/>
  <c r="N342" i="15"/>
  <c r="A343" i="15"/>
  <c r="N343" i="15"/>
  <c r="A344" i="15"/>
  <c r="N344" i="15"/>
  <c r="A345" i="15"/>
  <c r="N345" i="15"/>
  <c r="A346" i="15"/>
  <c r="N346" i="15"/>
  <c r="A347" i="15"/>
  <c r="N347" i="15"/>
  <c r="A348" i="15"/>
  <c r="N348" i="15"/>
  <c r="A349" i="15"/>
  <c r="N349" i="15"/>
  <c r="A350" i="15"/>
  <c r="N350" i="15"/>
  <c r="A351" i="15"/>
  <c r="N351" i="15"/>
  <c r="A352" i="15"/>
  <c r="N352" i="15"/>
  <c r="A353" i="15"/>
  <c r="N353" i="15"/>
  <c r="A354" i="15"/>
  <c r="N354" i="15"/>
  <c r="A355" i="15"/>
  <c r="N355" i="15"/>
  <c r="A356" i="15"/>
  <c r="N356" i="15"/>
  <c r="A357" i="15"/>
  <c r="N357" i="15"/>
  <c r="A358" i="15"/>
  <c r="N358" i="15"/>
  <c r="A359" i="15"/>
  <c r="N359" i="15"/>
  <c r="A360" i="15"/>
  <c r="N360" i="15"/>
  <c r="A361" i="15"/>
  <c r="N361" i="15"/>
  <c r="E362" i="15"/>
  <c r="N362" i="15"/>
  <c r="A363" i="15"/>
  <c r="N363" i="15"/>
  <c r="A364" i="15"/>
  <c r="N364" i="15"/>
  <c r="A365" i="15"/>
  <c r="N365" i="15"/>
  <c r="A366" i="15"/>
  <c r="N366" i="15"/>
  <c r="A367" i="15"/>
  <c r="N367" i="15"/>
  <c r="A368" i="15"/>
  <c r="N368" i="15"/>
  <c r="A369" i="15"/>
  <c r="N369" i="15"/>
  <c r="A370" i="15"/>
  <c r="N370" i="15"/>
  <c r="A371" i="15"/>
  <c r="N371" i="15"/>
  <c r="A372" i="15"/>
  <c r="N372" i="15"/>
  <c r="A373" i="15"/>
  <c r="N373" i="15"/>
  <c r="A374" i="15"/>
  <c r="N374" i="15"/>
  <c r="A375" i="15"/>
  <c r="N375" i="15"/>
  <c r="A376" i="15"/>
  <c r="N376" i="15"/>
  <c r="A377" i="15"/>
  <c r="N377" i="15"/>
  <c r="A378" i="15"/>
  <c r="N378" i="15"/>
  <c r="A379" i="15"/>
  <c r="N379" i="15"/>
  <c r="A380" i="15"/>
  <c r="N380" i="15"/>
  <c r="A381" i="15"/>
  <c r="N381" i="15"/>
  <c r="A382" i="15"/>
  <c r="N382" i="15"/>
  <c r="E383" i="15"/>
  <c r="N383" i="15"/>
  <c r="A384" i="15"/>
  <c r="N384" i="15"/>
  <c r="A385" i="15"/>
  <c r="N385" i="15"/>
  <c r="A386" i="15"/>
  <c r="N386" i="15"/>
  <c r="A387" i="15"/>
  <c r="N387" i="15"/>
  <c r="A388" i="15"/>
  <c r="N388" i="15"/>
  <c r="A389" i="15"/>
  <c r="N389" i="15"/>
  <c r="A390" i="15"/>
  <c r="N390" i="15"/>
  <c r="A391" i="15"/>
  <c r="N391" i="15"/>
  <c r="A392" i="15"/>
  <c r="N392" i="15"/>
  <c r="A393" i="15"/>
  <c r="N393" i="15"/>
  <c r="A394" i="15"/>
  <c r="N394" i="15"/>
  <c r="A395" i="15"/>
  <c r="N395" i="15"/>
  <c r="A396" i="15"/>
  <c r="N396" i="15"/>
  <c r="A397" i="15"/>
  <c r="N397" i="15"/>
  <c r="A398" i="15"/>
  <c r="N398" i="15"/>
  <c r="A399" i="15"/>
  <c r="N399" i="15"/>
  <c r="A400" i="15"/>
  <c r="N400" i="15"/>
  <c r="A401" i="15"/>
  <c r="N401" i="15"/>
  <c r="A402" i="15"/>
  <c r="N402" i="15"/>
  <c r="A403" i="15"/>
  <c r="N403" i="15"/>
  <c r="E404" i="15"/>
  <c r="N404" i="15"/>
  <c r="A405" i="15"/>
  <c r="N405" i="15"/>
  <c r="A406" i="15"/>
  <c r="N406" i="15"/>
  <c r="A407" i="15"/>
  <c r="N407" i="15"/>
  <c r="A408" i="15"/>
  <c r="N408" i="15"/>
  <c r="A409" i="15"/>
  <c r="N409" i="15"/>
  <c r="A410" i="15"/>
  <c r="N410" i="15"/>
  <c r="A411" i="15"/>
  <c r="N411" i="15"/>
  <c r="A412" i="15"/>
  <c r="N412" i="15"/>
  <c r="A413" i="15"/>
  <c r="N413" i="15"/>
  <c r="A414" i="15"/>
  <c r="N414" i="15"/>
  <c r="A415" i="15"/>
  <c r="N415" i="15"/>
  <c r="A416" i="15"/>
  <c r="N416" i="15"/>
  <c r="A417" i="15"/>
  <c r="N417" i="15"/>
  <c r="A418" i="15"/>
  <c r="N418" i="15"/>
  <c r="A419" i="15"/>
  <c r="N419" i="15"/>
  <c r="A420" i="15"/>
  <c r="N420" i="15"/>
  <c r="A421" i="15"/>
  <c r="N421" i="15"/>
  <c r="A422" i="15"/>
  <c r="N422" i="15"/>
  <c r="A423" i="15"/>
  <c r="N423" i="15"/>
  <c r="A424" i="15"/>
  <c r="N424" i="15"/>
  <c r="E425" i="15"/>
  <c r="N425" i="15"/>
  <c r="A426" i="15"/>
  <c r="N426" i="15"/>
  <c r="A427" i="15"/>
  <c r="N427" i="15"/>
  <c r="A428" i="15"/>
  <c r="N428" i="15"/>
  <c r="A429" i="15"/>
  <c r="N429" i="15"/>
  <c r="A430" i="15"/>
  <c r="N430" i="15"/>
  <c r="A431" i="15"/>
  <c r="N431" i="15"/>
  <c r="A432" i="15"/>
  <c r="N432" i="15"/>
  <c r="A433" i="15"/>
  <c r="N433" i="15"/>
  <c r="A434" i="15"/>
  <c r="N434" i="15"/>
  <c r="A435" i="15"/>
  <c r="N435" i="15"/>
  <c r="A436" i="15"/>
  <c r="N436" i="15"/>
  <c r="A437" i="15"/>
  <c r="N437" i="15"/>
  <c r="A438" i="15"/>
  <c r="N438" i="15"/>
  <c r="A439" i="15"/>
  <c r="N439" i="15"/>
  <c r="A440" i="15"/>
  <c r="N440" i="15"/>
  <c r="A441" i="15"/>
  <c r="N441" i="15"/>
  <c r="A442" i="15"/>
  <c r="N442" i="15"/>
  <c r="A443" i="15"/>
  <c r="N443" i="15"/>
  <c r="A444" i="15"/>
  <c r="N444" i="15"/>
  <c r="A445" i="15"/>
  <c r="N445" i="15"/>
  <c r="E446" i="15"/>
  <c r="N446" i="15"/>
  <c r="A447" i="15"/>
  <c r="N447" i="15"/>
  <c r="A448" i="15"/>
  <c r="N448" i="15"/>
  <c r="A449" i="15"/>
  <c r="N449" i="15"/>
  <c r="A450" i="15"/>
  <c r="N450" i="15"/>
  <c r="A451" i="15"/>
  <c r="N451" i="15"/>
  <c r="A452" i="15"/>
  <c r="N452" i="15"/>
  <c r="A453" i="15"/>
  <c r="N453" i="15"/>
  <c r="A454" i="15"/>
  <c r="N454" i="15"/>
  <c r="A455" i="15"/>
  <c r="N455" i="15"/>
  <c r="A456" i="15"/>
  <c r="N456" i="15"/>
  <c r="A457" i="15"/>
  <c r="N457" i="15"/>
  <c r="A458" i="15"/>
  <c r="N458" i="15"/>
  <c r="A459" i="15"/>
  <c r="N459" i="15"/>
  <c r="A460" i="15"/>
  <c r="N460" i="15"/>
  <c r="A461" i="15"/>
  <c r="N461" i="15"/>
  <c r="A462" i="15"/>
  <c r="N462" i="15"/>
  <c r="A463" i="15"/>
  <c r="N463" i="15"/>
  <c r="A464" i="15"/>
  <c r="N464" i="15"/>
  <c r="A465" i="15"/>
  <c r="N465" i="15"/>
  <c r="A466" i="15"/>
  <c r="N466" i="15"/>
  <c r="E467" i="15"/>
  <c r="N467" i="15"/>
  <c r="A468" i="15"/>
  <c r="N468" i="15"/>
  <c r="A469" i="15"/>
  <c r="N469" i="15"/>
  <c r="A470" i="15"/>
  <c r="N470" i="15"/>
  <c r="A471" i="15"/>
  <c r="N471" i="15"/>
  <c r="A472" i="15"/>
  <c r="N472" i="15"/>
  <c r="A473" i="15"/>
  <c r="N473" i="15"/>
  <c r="A474" i="15"/>
  <c r="N474" i="15"/>
  <c r="A475" i="15"/>
  <c r="N475" i="15"/>
  <c r="A476" i="15"/>
  <c r="N476" i="15"/>
  <c r="A477" i="15"/>
  <c r="N477" i="15"/>
  <c r="A478" i="15"/>
  <c r="N478" i="15"/>
  <c r="A479" i="15"/>
  <c r="N479" i="15"/>
  <c r="A480" i="15"/>
  <c r="N480" i="15"/>
  <c r="A481" i="15"/>
  <c r="N481" i="15"/>
  <c r="A482" i="15"/>
  <c r="N482" i="15"/>
  <c r="A483" i="15"/>
  <c r="N483" i="15"/>
  <c r="A484" i="15"/>
  <c r="N484" i="15"/>
  <c r="A485" i="15"/>
  <c r="N485" i="15"/>
  <c r="A486" i="15"/>
  <c r="N486" i="15"/>
  <c r="A487" i="15"/>
  <c r="N487" i="15"/>
  <c r="E488" i="15"/>
  <c r="N488" i="15"/>
  <c r="A489" i="15"/>
  <c r="N489" i="15"/>
  <c r="A490" i="15"/>
  <c r="N490" i="15"/>
  <c r="A491" i="15"/>
  <c r="N491" i="15"/>
  <c r="A492" i="15"/>
  <c r="N492" i="15"/>
  <c r="A493" i="15"/>
  <c r="N493" i="15"/>
  <c r="A494" i="15"/>
  <c r="N494" i="15"/>
  <c r="A495" i="15"/>
  <c r="N495" i="15"/>
  <c r="A496" i="15"/>
  <c r="N496" i="15"/>
  <c r="A497" i="15"/>
  <c r="N497" i="15"/>
  <c r="A498" i="15"/>
  <c r="N498" i="15"/>
  <c r="A499" i="15"/>
  <c r="N499" i="15"/>
  <c r="A500" i="15"/>
  <c r="N500" i="15"/>
  <c r="A501" i="15"/>
  <c r="N501" i="15"/>
  <c r="A502" i="15"/>
  <c r="N502" i="15"/>
  <c r="A503" i="15"/>
  <c r="N503" i="15"/>
  <c r="A504" i="15"/>
  <c r="N504" i="15"/>
  <c r="A505" i="15"/>
  <c r="N505" i="15"/>
  <c r="A506" i="15"/>
  <c r="N506" i="15"/>
  <c r="A507" i="15"/>
  <c r="N507" i="15"/>
  <c r="A508" i="15"/>
  <c r="N508" i="15"/>
  <c r="E509" i="15"/>
  <c r="N509" i="15"/>
  <c r="A510" i="15"/>
  <c r="N510" i="15"/>
  <c r="A511" i="15"/>
  <c r="N511" i="15"/>
  <c r="A512" i="15"/>
  <c r="N512" i="15"/>
  <c r="A513" i="15"/>
  <c r="N513" i="15"/>
  <c r="A514" i="15"/>
  <c r="N514" i="15"/>
  <c r="A515" i="15"/>
  <c r="N515" i="15"/>
  <c r="A516" i="15"/>
  <c r="N516" i="15"/>
  <c r="A517" i="15"/>
  <c r="N517" i="15"/>
  <c r="A518" i="15"/>
  <c r="N518" i="15"/>
  <c r="A519" i="15"/>
  <c r="N519" i="15"/>
  <c r="A520" i="15"/>
  <c r="N520" i="15"/>
  <c r="A521" i="15"/>
  <c r="N521" i="15"/>
  <c r="A522" i="15"/>
  <c r="N522" i="15"/>
  <c r="A523" i="15"/>
  <c r="N523" i="15"/>
  <c r="A524" i="15"/>
  <c r="N524" i="15"/>
  <c r="A525" i="15"/>
  <c r="N525" i="15"/>
  <c r="A526" i="15"/>
  <c r="N526" i="15"/>
  <c r="A527" i="15"/>
  <c r="N527" i="15"/>
  <c r="A528" i="15"/>
  <c r="N528" i="15"/>
  <c r="A529" i="15"/>
  <c r="N529" i="15"/>
  <c r="E530" i="15"/>
  <c r="N530" i="15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E26" i="11"/>
  <c r="N26" i="11"/>
  <c r="N27" i="11"/>
  <c r="N28" i="11"/>
  <c r="N29" i="11"/>
  <c r="N30" i="11"/>
  <c r="N31" i="11"/>
  <c r="A32" i="11"/>
  <c r="N32" i="11"/>
  <c r="A33" i="11"/>
  <c r="N33" i="11"/>
  <c r="A34" i="11"/>
  <c r="N34" i="11"/>
  <c r="A35" i="11"/>
  <c r="N35" i="11"/>
  <c r="A36" i="11"/>
  <c r="N36" i="11"/>
  <c r="A37" i="11"/>
  <c r="N37" i="11"/>
  <c r="A38" i="11"/>
  <c r="N38" i="11"/>
  <c r="A39" i="11"/>
  <c r="N39" i="11"/>
  <c r="A40" i="11"/>
  <c r="N40" i="11"/>
  <c r="A41" i="11"/>
  <c r="N41" i="11"/>
  <c r="A42" i="11"/>
  <c r="N42" i="11"/>
  <c r="A43" i="11"/>
  <c r="N43" i="11"/>
  <c r="A44" i="11"/>
  <c r="N44" i="11"/>
  <c r="A45" i="11"/>
  <c r="N45" i="11"/>
  <c r="A46" i="11"/>
  <c r="N46" i="11"/>
  <c r="E47" i="11"/>
  <c r="N47" i="11"/>
  <c r="A48" i="11"/>
  <c r="N48" i="11"/>
  <c r="A49" i="11"/>
  <c r="N49" i="11"/>
  <c r="A50" i="11"/>
  <c r="N50" i="11"/>
  <c r="A51" i="11"/>
  <c r="N51" i="11"/>
  <c r="A52" i="11"/>
  <c r="N52" i="11"/>
  <c r="A53" i="11"/>
  <c r="N53" i="11"/>
  <c r="A54" i="11"/>
  <c r="N54" i="11"/>
  <c r="A55" i="11"/>
  <c r="N55" i="11"/>
  <c r="A56" i="11"/>
  <c r="N56" i="11"/>
  <c r="A57" i="11"/>
  <c r="N57" i="11"/>
  <c r="A58" i="11"/>
  <c r="N58" i="11"/>
  <c r="A59" i="11"/>
  <c r="N59" i="11"/>
  <c r="A60" i="11"/>
  <c r="N60" i="11"/>
  <c r="A61" i="11"/>
  <c r="N61" i="11"/>
  <c r="A62" i="11"/>
  <c r="N62" i="11"/>
  <c r="A63" i="11"/>
  <c r="N63" i="11"/>
  <c r="A64" i="11"/>
  <c r="N64" i="11"/>
  <c r="A65" i="11"/>
  <c r="N65" i="11"/>
  <c r="A66" i="11"/>
  <c r="N66" i="11"/>
  <c r="A67" i="11"/>
  <c r="N67" i="11"/>
  <c r="E68" i="11"/>
  <c r="N68" i="11"/>
  <c r="A69" i="11"/>
  <c r="N69" i="11"/>
  <c r="A70" i="11"/>
  <c r="N70" i="11"/>
  <c r="A71" i="11"/>
  <c r="N71" i="11"/>
  <c r="A72" i="11"/>
  <c r="N72" i="11"/>
  <c r="A73" i="11"/>
  <c r="N73" i="11"/>
  <c r="A74" i="11"/>
  <c r="N74" i="11"/>
  <c r="A75" i="11"/>
  <c r="N75" i="11"/>
  <c r="A76" i="11"/>
  <c r="N76" i="11"/>
  <c r="A77" i="11"/>
  <c r="N77" i="11"/>
  <c r="A78" i="11"/>
  <c r="N78" i="11"/>
  <c r="A79" i="11"/>
  <c r="N79" i="11"/>
  <c r="A80" i="11"/>
  <c r="N80" i="11"/>
  <c r="A81" i="11"/>
  <c r="N81" i="11"/>
  <c r="A82" i="11"/>
  <c r="N82" i="11"/>
  <c r="A83" i="11"/>
  <c r="N83" i="11"/>
  <c r="A84" i="11"/>
  <c r="N84" i="11"/>
  <c r="A85" i="11"/>
  <c r="N85" i="11"/>
  <c r="A86" i="11"/>
  <c r="N86" i="11"/>
  <c r="A87" i="11"/>
  <c r="N87" i="11"/>
  <c r="A88" i="11"/>
  <c r="N88" i="11"/>
  <c r="E89" i="11"/>
  <c r="N89" i="11"/>
  <c r="A90" i="11"/>
  <c r="N90" i="11"/>
  <c r="A91" i="11"/>
  <c r="N91" i="11"/>
  <c r="A92" i="11"/>
  <c r="N92" i="11"/>
  <c r="A93" i="11"/>
  <c r="N93" i="11"/>
  <c r="A94" i="11"/>
  <c r="N94" i="11"/>
  <c r="A95" i="11"/>
  <c r="N95" i="11"/>
  <c r="A96" i="11"/>
  <c r="N96" i="11"/>
  <c r="A97" i="11"/>
  <c r="N97" i="11"/>
  <c r="A98" i="11"/>
  <c r="N98" i="11"/>
  <c r="A99" i="11"/>
  <c r="N99" i="11"/>
  <c r="A100" i="11"/>
  <c r="N100" i="11"/>
  <c r="A101" i="11"/>
  <c r="N101" i="11"/>
  <c r="A102" i="11"/>
  <c r="N102" i="11"/>
  <c r="A103" i="11"/>
  <c r="N103" i="11"/>
  <c r="A104" i="11"/>
  <c r="N104" i="11"/>
  <c r="A105" i="11"/>
  <c r="N105" i="11"/>
  <c r="A106" i="11"/>
  <c r="N106" i="11"/>
  <c r="A107" i="11"/>
  <c r="N107" i="11"/>
  <c r="A108" i="11"/>
  <c r="N108" i="11"/>
  <c r="A109" i="11"/>
  <c r="N109" i="11"/>
  <c r="E110" i="11"/>
  <c r="N110" i="11"/>
  <c r="A111" i="11"/>
  <c r="N111" i="11"/>
  <c r="A112" i="11"/>
  <c r="N112" i="11"/>
  <c r="A113" i="11"/>
  <c r="N113" i="11"/>
  <c r="A114" i="11"/>
  <c r="N114" i="11"/>
  <c r="A115" i="11"/>
  <c r="N115" i="11"/>
  <c r="A116" i="11"/>
  <c r="N116" i="11"/>
  <c r="A117" i="11"/>
  <c r="N117" i="11"/>
  <c r="A118" i="11"/>
  <c r="N118" i="11"/>
  <c r="A119" i="11"/>
  <c r="N119" i="11"/>
  <c r="A120" i="11"/>
  <c r="N120" i="11"/>
  <c r="A121" i="11"/>
  <c r="N121" i="11"/>
  <c r="A122" i="11"/>
  <c r="N122" i="11"/>
  <c r="A123" i="11"/>
  <c r="N123" i="11"/>
  <c r="A124" i="11"/>
  <c r="N124" i="11"/>
  <c r="A125" i="11"/>
  <c r="N125" i="11"/>
  <c r="A126" i="11"/>
  <c r="N126" i="11"/>
  <c r="A127" i="11"/>
  <c r="N127" i="11"/>
  <c r="A128" i="11"/>
  <c r="N128" i="11"/>
  <c r="A129" i="11"/>
  <c r="N129" i="11"/>
  <c r="A130" i="11"/>
  <c r="N130" i="11"/>
  <c r="E131" i="11"/>
  <c r="N131" i="11"/>
  <c r="A132" i="11"/>
  <c r="N132" i="11"/>
  <c r="A133" i="11"/>
  <c r="N133" i="11"/>
  <c r="A134" i="11"/>
  <c r="N134" i="11"/>
  <c r="A135" i="11"/>
  <c r="N135" i="11"/>
  <c r="A136" i="11"/>
  <c r="N136" i="11"/>
  <c r="A137" i="11"/>
  <c r="N137" i="11"/>
  <c r="A138" i="11"/>
  <c r="N138" i="11"/>
  <c r="A139" i="11"/>
  <c r="N139" i="11"/>
  <c r="A140" i="11"/>
  <c r="N140" i="11"/>
  <c r="A141" i="11"/>
  <c r="N141" i="11"/>
  <c r="A142" i="11"/>
  <c r="N142" i="11"/>
  <c r="A143" i="11"/>
  <c r="N143" i="11"/>
  <c r="A144" i="11"/>
  <c r="N144" i="11"/>
  <c r="A145" i="11"/>
  <c r="N145" i="11"/>
  <c r="A146" i="11"/>
  <c r="N146" i="11"/>
  <c r="A147" i="11"/>
  <c r="N147" i="11"/>
  <c r="A148" i="11"/>
  <c r="N148" i="11"/>
  <c r="A149" i="11"/>
  <c r="N149" i="11"/>
  <c r="A150" i="11"/>
  <c r="N150" i="11"/>
  <c r="A151" i="11"/>
  <c r="N151" i="11"/>
  <c r="E152" i="11"/>
  <c r="N152" i="11"/>
  <c r="A153" i="11"/>
  <c r="N153" i="11"/>
  <c r="A154" i="11"/>
  <c r="N154" i="11"/>
  <c r="A155" i="11"/>
  <c r="N155" i="11"/>
  <c r="A156" i="11"/>
  <c r="N156" i="11"/>
  <c r="A157" i="11"/>
  <c r="N157" i="11"/>
  <c r="A158" i="11"/>
  <c r="N158" i="11"/>
  <c r="A159" i="11"/>
  <c r="N159" i="11"/>
  <c r="A160" i="11"/>
  <c r="N160" i="11"/>
  <c r="A161" i="11"/>
  <c r="N161" i="11"/>
  <c r="A162" i="11"/>
  <c r="N162" i="11"/>
  <c r="A163" i="11"/>
  <c r="N163" i="11"/>
  <c r="A164" i="11"/>
  <c r="N164" i="11"/>
  <c r="A165" i="11"/>
  <c r="N165" i="11"/>
  <c r="A166" i="11"/>
  <c r="N166" i="11"/>
  <c r="A167" i="11"/>
  <c r="N167" i="11"/>
  <c r="A168" i="11"/>
  <c r="N168" i="11"/>
  <c r="A169" i="11"/>
  <c r="N169" i="11"/>
  <c r="A170" i="11"/>
  <c r="N170" i="11"/>
  <c r="A171" i="11"/>
  <c r="N171" i="11"/>
  <c r="A172" i="11"/>
  <c r="N172" i="11"/>
  <c r="E173" i="11"/>
  <c r="N173" i="11"/>
  <c r="A174" i="11"/>
  <c r="N174" i="11"/>
  <c r="A175" i="11"/>
  <c r="N175" i="11"/>
  <c r="A176" i="11"/>
  <c r="N176" i="11"/>
  <c r="A177" i="11"/>
  <c r="N177" i="11"/>
  <c r="A178" i="11"/>
  <c r="N178" i="11"/>
  <c r="A179" i="11"/>
  <c r="N179" i="11"/>
  <c r="A180" i="11"/>
  <c r="N180" i="11"/>
  <c r="A181" i="11"/>
  <c r="N181" i="11"/>
  <c r="A182" i="11"/>
  <c r="N182" i="11"/>
  <c r="A183" i="11"/>
  <c r="N183" i="11"/>
  <c r="A184" i="11"/>
  <c r="N184" i="11"/>
  <c r="A185" i="11"/>
  <c r="N185" i="11"/>
  <c r="A186" i="11"/>
  <c r="N186" i="11"/>
  <c r="A187" i="11"/>
  <c r="N187" i="11"/>
  <c r="A188" i="11"/>
  <c r="N188" i="11"/>
  <c r="A189" i="11"/>
  <c r="N189" i="11"/>
  <c r="A190" i="11"/>
  <c r="N190" i="11"/>
  <c r="A191" i="11"/>
  <c r="N191" i="11"/>
  <c r="A192" i="11"/>
  <c r="N192" i="11"/>
  <c r="A193" i="11"/>
  <c r="N193" i="11"/>
  <c r="E194" i="11"/>
  <c r="N194" i="11"/>
  <c r="A195" i="11"/>
  <c r="N195" i="11"/>
  <c r="A196" i="11"/>
  <c r="N196" i="11"/>
  <c r="A197" i="11"/>
  <c r="N197" i="11"/>
  <c r="A198" i="11"/>
  <c r="N198" i="11"/>
  <c r="A199" i="11"/>
  <c r="N199" i="11"/>
  <c r="A200" i="11"/>
  <c r="N200" i="11"/>
  <c r="A201" i="11"/>
  <c r="N201" i="11"/>
  <c r="A202" i="11"/>
  <c r="N202" i="11"/>
  <c r="A203" i="11"/>
  <c r="N203" i="11"/>
  <c r="A204" i="11"/>
  <c r="N204" i="11"/>
  <c r="A205" i="11"/>
  <c r="N205" i="11"/>
  <c r="A206" i="11"/>
  <c r="N206" i="11"/>
  <c r="A207" i="11"/>
  <c r="N207" i="11"/>
  <c r="A208" i="11"/>
  <c r="N208" i="11"/>
  <c r="A209" i="11"/>
  <c r="N209" i="11"/>
  <c r="A210" i="11"/>
  <c r="N210" i="11"/>
  <c r="A211" i="11"/>
  <c r="N211" i="11"/>
  <c r="A212" i="11"/>
  <c r="N212" i="11"/>
  <c r="A213" i="11"/>
  <c r="N213" i="11"/>
  <c r="A214" i="11"/>
  <c r="N214" i="11"/>
  <c r="E215" i="11"/>
  <c r="N215" i="11"/>
  <c r="A216" i="11"/>
  <c r="N216" i="11"/>
  <c r="A217" i="11"/>
  <c r="N217" i="11"/>
  <c r="A218" i="11"/>
  <c r="N218" i="11"/>
  <c r="A219" i="11"/>
  <c r="N219" i="11"/>
  <c r="A220" i="11"/>
  <c r="N220" i="11"/>
  <c r="A221" i="11"/>
  <c r="N221" i="11"/>
  <c r="A222" i="11"/>
  <c r="N222" i="11"/>
  <c r="A223" i="11"/>
  <c r="N223" i="11"/>
  <c r="A224" i="11"/>
  <c r="N224" i="11"/>
  <c r="A225" i="11"/>
  <c r="N225" i="11"/>
  <c r="A226" i="11"/>
  <c r="N226" i="11"/>
  <c r="A227" i="11"/>
  <c r="N227" i="11"/>
  <c r="A228" i="11"/>
  <c r="N228" i="11"/>
  <c r="A229" i="11"/>
  <c r="N229" i="11"/>
  <c r="A230" i="11"/>
  <c r="N230" i="11"/>
  <c r="A231" i="11"/>
  <c r="N231" i="11"/>
  <c r="A232" i="11"/>
  <c r="N232" i="11"/>
  <c r="A233" i="11"/>
  <c r="N233" i="11"/>
  <c r="A234" i="11"/>
  <c r="N234" i="11"/>
  <c r="A235" i="11"/>
  <c r="N235" i="11"/>
  <c r="E236" i="11"/>
  <c r="N236" i="11"/>
  <c r="A237" i="11"/>
  <c r="N237" i="11"/>
  <c r="A238" i="11"/>
  <c r="N238" i="11"/>
  <c r="A239" i="11"/>
  <c r="N239" i="11"/>
  <c r="A240" i="11"/>
  <c r="N240" i="11"/>
  <c r="A241" i="11"/>
  <c r="N241" i="11"/>
  <c r="A242" i="11"/>
  <c r="N242" i="11"/>
  <c r="A243" i="11"/>
  <c r="N243" i="11"/>
  <c r="A244" i="11"/>
  <c r="N244" i="11"/>
  <c r="A245" i="11"/>
  <c r="N245" i="11"/>
  <c r="A246" i="11"/>
  <c r="N246" i="11"/>
  <c r="A247" i="11"/>
  <c r="N247" i="11"/>
  <c r="A248" i="11"/>
  <c r="N248" i="11"/>
  <c r="A249" i="11"/>
  <c r="N249" i="11"/>
  <c r="A250" i="11"/>
  <c r="N250" i="11"/>
  <c r="A251" i="11"/>
  <c r="N251" i="11"/>
  <c r="A252" i="11"/>
  <c r="N252" i="11"/>
  <c r="A253" i="11"/>
  <c r="N253" i="11"/>
  <c r="A254" i="11"/>
  <c r="N254" i="11"/>
  <c r="A255" i="11"/>
  <c r="N255" i="11"/>
  <c r="A256" i="11"/>
  <c r="N256" i="11"/>
  <c r="E257" i="11"/>
  <c r="N257" i="11"/>
  <c r="A258" i="11"/>
  <c r="N258" i="11"/>
  <c r="A259" i="11"/>
  <c r="N259" i="11"/>
  <c r="A260" i="11"/>
  <c r="N260" i="11"/>
  <c r="A261" i="11"/>
  <c r="N261" i="11"/>
  <c r="A262" i="11"/>
  <c r="N262" i="11"/>
  <c r="A263" i="11"/>
  <c r="N263" i="11"/>
  <c r="A264" i="11"/>
  <c r="N264" i="11"/>
  <c r="A265" i="11"/>
  <c r="N265" i="11"/>
  <c r="A266" i="11"/>
  <c r="N266" i="11"/>
  <c r="A267" i="11"/>
  <c r="N267" i="11"/>
  <c r="A268" i="11"/>
  <c r="N268" i="11"/>
  <c r="A269" i="11"/>
  <c r="N269" i="11"/>
  <c r="A270" i="11"/>
  <c r="N270" i="11"/>
  <c r="A271" i="11"/>
  <c r="N271" i="11"/>
  <c r="A272" i="11"/>
  <c r="N272" i="11"/>
  <c r="A273" i="11"/>
  <c r="N273" i="11"/>
  <c r="A274" i="11"/>
  <c r="N274" i="11"/>
  <c r="A275" i="11"/>
  <c r="N275" i="11"/>
  <c r="A276" i="11"/>
  <c r="N276" i="11"/>
  <c r="A277" i="11"/>
  <c r="N277" i="11"/>
  <c r="E278" i="11"/>
  <c r="N278" i="11"/>
  <c r="A279" i="11"/>
  <c r="N279" i="11"/>
  <c r="A280" i="11"/>
  <c r="N280" i="11"/>
  <c r="A281" i="11"/>
  <c r="N281" i="11"/>
  <c r="A282" i="11"/>
  <c r="N282" i="11"/>
  <c r="A283" i="11"/>
  <c r="N283" i="11"/>
  <c r="A284" i="11"/>
  <c r="N284" i="11"/>
  <c r="A285" i="11"/>
  <c r="N285" i="11"/>
  <c r="A286" i="11"/>
  <c r="N286" i="11"/>
  <c r="A287" i="11"/>
  <c r="N287" i="11"/>
  <c r="A288" i="11"/>
  <c r="N288" i="11"/>
  <c r="A289" i="11"/>
  <c r="N289" i="11"/>
  <c r="A290" i="11"/>
  <c r="N290" i="11"/>
  <c r="A291" i="11"/>
  <c r="N291" i="11"/>
  <c r="A292" i="11"/>
  <c r="N292" i="11"/>
  <c r="A293" i="11"/>
  <c r="N293" i="11"/>
  <c r="A294" i="11"/>
  <c r="N294" i="11"/>
  <c r="A295" i="11"/>
  <c r="N295" i="11"/>
  <c r="A296" i="11"/>
  <c r="N296" i="11"/>
  <c r="A297" i="11"/>
  <c r="N297" i="11"/>
  <c r="A298" i="11"/>
  <c r="N298" i="11"/>
  <c r="E299" i="11"/>
  <c r="N299" i="11"/>
  <c r="A300" i="11"/>
  <c r="N300" i="11"/>
  <c r="A301" i="11"/>
  <c r="N301" i="11"/>
  <c r="A302" i="11"/>
  <c r="N302" i="11"/>
  <c r="A303" i="11"/>
  <c r="N303" i="11"/>
  <c r="A304" i="11"/>
  <c r="N304" i="11"/>
  <c r="A305" i="11"/>
  <c r="N305" i="11"/>
  <c r="A306" i="11"/>
  <c r="N306" i="11"/>
  <c r="A307" i="11"/>
  <c r="N307" i="11"/>
  <c r="A308" i="11"/>
  <c r="N308" i="11"/>
  <c r="A309" i="11"/>
  <c r="N309" i="11"/>
  <c r="A310" i="11"/>
  <c r="N310" i="11"/>
  <c r="A311" i="11"/>
  <c r="N311" i="11"/>
  <c r="A312" i="11"/>
  <c r="N312" i="11"/>
  <c r="A313" i="11"/>
  <c r="N313" i="11"/>
  <c r="A314" i="11"/>
  <c r="N314" i="11"/>
  <c r="A315" i="11"/>
  <c r="N315" i="11"/>
  <c r="A316" i="11"/>
  <c r="N316" i="11"/>
  <c r="A317" i="11"/>
  <c r="N317" i="11"/>
  <c r="A318" i="11"/>
  <c r="N318" i="11"/>
  <c r="A319" i="11"/>
  <c r="N319" i="11"/>
  <c r="E320" i="11"/>
  <c r="N320" i="11"/>
  <c r="A321" i="11"/>
  <c r="N321" i="11"/>
  <c r="A322" i="11"/>
  <c r="N322" i="11"/>
  <c r="A323" i="11"/>
  <c r="N323" i="11"/>
  <c r="A324" i="11"/>
  <c r="N324" i="11"/>
  <c r="A325" i="11"/>
  <c r="N325" i="11"/>
  <c r="A326" i="11"/>
  <c r="N326" i="11"/>
  <c r="A327" i="11"/>
  <c r="N327" i="11"/>
  <c r="A328" i="11"/>
  <c r="N328" i="11"/>
  <c r="A329" i="11"/>
  <c r="N329" i="11"/>
  <c r="A330" i="11"/>
  <c r="N330" i="11"/>
  <c r="A331" i="11"/>
  <c r="N331" i="11"/>
  <c r="A332" i="11"/>
  <c r="N332" i="11"/>
  <c r="A333" i="11"/>
  <c r="N333" i="11"/>
  <c r="A334" i="11"/>
  <c r="N334" i="11"/>
  <c r="A335" i="11"/>
  <c r="N335" i="11"/>
  <c r="A336" i="11"/>
  <c r="N336" i="11"/>
  <c r="A337" i="11"/>
  <c r="N337" i="11"/>
  <c r="A338" i="11"/>
  <c r="N338" i="11"/>
  <c r="A339" i="11"/>
  <c r="N339" i="11"/>
  <c r="A340" i="11"/>
  <c r="N340" i="11"/>
  <c r="E341" i="11"/>
  <c r="N341" i="11"/>
  <c r="A342" i="11"/>
  <c r="N342" i="11"/>
  <c r="A343" i="11"/>
  <c r="N343" i="11"/>
  <c r="A344" i="11"/>
  <c r="N344" i="11"/>
  <c r="A345" i="11"/>
  <c r="N345" i="11"/>
  <c r="A346" i="11"/>
  <c r="N346" i="11"/>
  <c r="A347" i="11"/>
  <c r="N347" i="11"/>
  <c r="A348" i="11"/>
  <c r="N348" i="11"/>
  <c r="A349" i="11"/>
  <c r="N349" i="11"/>
  <c r="A350" i="11"/>
  <c r="N350" i="11"/>
  <c r="A351" i="11"/>
  <c r="N351" i="11"/>
  <c r="A352" i="11"/>
  <c r="N352" i="11"/>
  <c r="A353" i="11"/>
  <c r="N353" i="11"/>
  <c r="A354" i="11"/>
  <c r="N354" i="11"/>
  <c r="A355" i="11"/>
  <c r="N355" i="11"/>
  <c r="A356" i="11"/>
  <c r="N356" i="11"/>
  <c r="A357" i="11"/>
  <c r="N357" i="11"/>
  <c r="A358" i="11"/>
  <c r="N358" i="11"/>
  <c r="A359" i="11"/>
  <c r="N359" i="11"/>
  <c r="A360" i="11"/>
  <c r="N360" i="11"/>
  <c r="A361" i="11"/>
  <c r="N361" i="11"/>
  <c r="E362" i="11"/>
  <c r="N362" i="11"/>
  <c r="A363" i="11"/>
  <c r="N363" i="11"/>
  <c r="A364" i="11"/>
  <c r="N364" i="11"/>
  <c r="A365" i="11"/>
  <c r="N365" i="11"/>
  <c r="A366" i="11"/>
  <c r="N366" i="11"/>
  <c r="A367" i="11"/>
  <c r="N367" i="11"/>
  <c r="A368" i="11"/>
  <c r="N368" i="11"/>
  <c r="A369" i="11"/>
  <c r="N369" i="11"/>
  <c r="A370" i="11"/>
  <c r="N370" i="11"/>
  <c r="A371" i="11"/>
  <c r="N371" i="11"/>
  <c r="A372" i="11"/>
  <c r="N372" i="11"/>
  <c r="A373" i="11"/>
  <c r="N373" i="11"/>
  <c r="A374" i="11"/>
  <c r="N374" i="11"/>
  <c r="A375" i="11"/>
  <c r="N375" i="11"/>
  <c r="A376" i="11"/>
  <c r="N376" i="11"/>
  <c r="A377" i="11"/>
  <c r="N377" i="11"/>
  <c r="A378" i="11"/>
  <c r="N378" i="11"/>
  <c r="A379" i="11"/>
  <c r="N379" i="11"/>
  <c r="A380" i="11"/>
  <c r="N380" i="11"/>
  <c r="A381" i="11"/>
  <c r="N381" i="11"/>
  <c r="A382" i="11"/>
  <c r="N382" i="11"/>
  <c r="E383" i="11"/>
  <c r="N383" i="11"/>
  <c r="A384" i="11"/>
  <c r="N384" i="11"/>
  <c r="A385" i="11"/>
  <c r="N385" i="11"/>
  <c r="A386" i="11"/>
  <c r="N386" i="11"/>
  <c r="A387" i="11"/>
  <c r="N387" i="11"/>
  <c r="A388" i="11"/>
  <c r="N388" i="11"/>
  <c r="A389" i="11"/>
  <c r="N389" i="11"/>
  <c r="A390" i="11"/>
  <c r="N390" i="11"/>
  <c r="A391" i="11"/>
  <c r="N391" i="11"/>
  <c r="A392" i="11"/>
  <c r="N392" i="11"/>
  <c r="A393" i="11"/>
  <c r="N393" i="11"/>
  <c r="A394" i="11"/>
  <c r="N394" i="11"/>
  <c r="A395" i="11"/>
  <c r="N395" i="11"/>
  <c r="A396" i="11"/>
  <c r="N396" i="11"/>
  <c r="A397" i="11"/>
  <c r="N397" i="11"/>
  <c r="A398" i="11"/>
  <c r="N398" i="11"/>
  <c r="A399" i="11"/>
  <c r="N399" i="11"/>
  <c r="A400" i="11"/>
  <c r="N400" i="11"/>
  <c r="A401" i="11"/>
  <c r="N401" i="11"/>
  <c r="A402" i="11"/>
  <c r="N402" i="11"/>
  <c r="A403" i="11"/>
  <c r="N403" i="11"/>
  <c r="E404" i="11"/>
  <c r="N404" i="11"/>
  <c r="A405" i="11"/>
  <c r="N405" i="11"/>
  <c r="A406" i="11"/>
  <c r="N406" i="11"/>
  <c r="A407" i="11"/>
  <c r="N407" i="11"/>
  <c r="A408" i="11"/>
  <c r="N408" i="11"/>
  <c r="A409" i="11"/>
  <c r="N409" i="11"/>
  <c r="A410" i="11"/>
  <c r="N410" i="11"/>
  <c r="A411" i="11"/>
  <c r="N411" i="11"/>
  <c r="A412" i="11"/>
  <c r="N412" i="11"/>
  <c r="A413" i="11"/>
  <c r="N413" i="11"/>
  <c r="A414" i="11"/>
  <c r="N414" i="11"/>
  <c r="A415" i="11"/>
  <c r="N415" i="11"/>
  <c r="A416" i="11"/>
  <c r="N416" i="11"/>
  <c r="A417" i="11"/>
  <c r="N417" i="11"/>
  <c r="A418" i="11"/>
  <c r="N418" i="11"/>
  <c r="A419" i="11"/>
  <c r="N419" i="11"/>
  <c r="A420" i="11"/>
  <c r="N420" i="11"/>
  <c r="A421" i="11"/>
  <c r="N421" i="11"/>
  <c r="A422" i="11"/>
  <c r="N422" i="11"/>
  <c r="A423" i="11"/>
  <c r="N423" i="11"/>
  <c r="A424" i="11"/>
  <c r="N424" i="11"/>
  <c r="E425" i="11"/>
  <c r="N425" i="11"/>
  <c r="A426" i="11"/>
  <c r="N426" i="11"/>
  <c r="A427" i="11"/>
  <c r="N427" i="11"/>
  <c r="A428" i="11"/>
  <c r="N428" i="11"/>
  <c r="A429" i="11"/>
  <c r="N429" i="11"/>
  <c r="A430" i="11"/>
  <c r="N430" i="11"/>
  <c r="A431" i="11"/>
  <c r="N431" i="11"/>
  <c r="A432" i="11"/>
  <c r="N432" i="11"/>
  <c r="A433" i="11"/>
  <c r="N433" i="11"/>
  <c r="A434" i="11"/>
  <c r="N434" i="11"/>
  <c r="A435" i="11"/>
  <c r="N435" i="11"/>
  <c r="A436" i="11"/>
  <c r="N436" i="11"/>
  <c r="A437" i="11"/>
  <c r="N437" i="11"/>
  <c r="A438" i="11"/>
  <c r="N438" i="11"/>
  <c r="A439" i="11"/>
  <c r="N439" i="11"/>
  <c r="A440" i="11"/>
  <c r="N440" i="11"/>
  <c r="A441" i="11"/>
  <c r="N441" i="11"/>
  <c r="A442" i="11"/>
  <c r="N442" i="11"/>
  <c r="A443" i="11"/>
  <c r="N443" i="11"/>
  <c r="A444" i="11"/>
  <c r="N444" i="11"/>
  <c r="A445" i="11"/>
  <c r="N445" i="11"/>
  <c r="E446" i="11"/>
  <c r="N446" i="11"/>
  <c r="A447" i="11"/>
  <c r="N447" i="11"/>
  <c r="A448" i="11"/>
  <c r="N448" i="11"/>
  <c r="A449" i="11"/>
  <c r="N449" i="11"/>
  <c r="A450" i="11"/>
  <c r="N450" i="11"/>
  <c r="A451" i="11"/>
  <c r="N451" i="11"/>
  <c r="A452" i="11"/>
  <c r="N452" i="11"/>
  <c r="A453" i="11"/>
  <c r="N453" i="11"/>
  <c r="A454" i="11"/>
  <c r="N454" i="11"/>
  <c r="A455" i="11"/>
  <c r="N455" i="11"/>
  <c r="A456" i="11"/>
  <c r="N456" i="11"/>
  <c r="A457" i="11"/>
  <c r="N457" i="11"/>
  <c r="A458" i="11"/>
  <c r="N458" i="11"/>
  <c r="A459" i="11"/>
  <c r="N459" i="11"/>
  <c r="A460" i="11"/>
  <c r="N460" i="11"/>
  <c r="A461" i="11"/>
  <c r="N461" i="11"/>
  <c r="A462" i="11"/>
  <c r="N462" i="11"/>
  <c r="A463" i="11"/>
  <c r="N463" i="11"/>
  <c r="A464" i="11"/>
  <c r="N464" i="11"/>
  <c r="A465" i="11"/>
  <c r="N465" i="11"/>
  <c r="A466" i="11"/>
  <c r="N466" i="11"/>
  <c r="E467" i="11"/>
  <c r="N467" i="11"/>
  <c r="A468" i="11"/>
  <c r="N468" i="11"/>
  <c r="A469" i="11"/>
  <c r="N469" i="11"/>
  <c r="A470" i="11"/>
  <c r="N470" i="11"/>
  <c r="A471" i="11"/>
  <c r="N471" i="11"/>
  <c r="A472" i="11"/>
  <c r="N472" i="11"/>
  <c r="A473" i="11"/>
  <c r="N473" i="11"/>
  <c r="A474" i="11"/>
  <c r="N474" i="11"/>
  <c r="A475" i="11"/>
  <c r="N475" i="11"/>
  <c r="A476" i="11"/>
  <c r="N476" i="11"/>
  <c r="A477" i="11"/>
  <c r="N477" i="11"/>
  <c r="A478" i="11"/>
  <c r="N478" i="11"/>
  <c r="A479" i="11"/>
  <c r="N479" i="11"/>
  <c r="A480" i="11"/>
  <c r="N480" i="11"/>
  <c r="A481" i="11"/>
  <c r="N481" i="11"/>
  <c r="A482" i="11"/>
  <c r="N482" i="11"/>
  <c r="A483" i="11"/>
  <c r="N483" i="11"/>
  <c r="A484" i="11"/>
  <c r="N484" i="11"/>
  <c r="A485" i="11"/>
  <c r="N485" i="11"/>
  <c r="A486" i="11"/>
  <c r="N486" i="11"/>
  <c r="A487" i="11"/>
  <c r="N487" i="11"/>
  <c r="E488" i="11"/>
  <c r="N488" i="11"/>
  <c r="A489" i="11"/>
  <c r="N489" i="11"/>
  <c r="A490" i="11"/>
  <c r="N490" i="11"/>
  <c r="A491" i="11"/>
  <c r="N491" i="11"/>
  <c r="A492" i="11"/>
  <c r="N492" i="11"/>
  <c r="A493" i="11"/>
  <c r="N493" i="11"/>
  <c r="A494" i="11"/>
  <c r="N494" i="11"/>
  <c r="A495" i="11"/>
  <c r="N495" i="11"/>
  <c r="A496" i="11"/>
  <c r="N496" i="11"/>
  <c r="A497" i="11"/>
  <c r="N497" i="11"/>
  <c r="A498" i="11"/>
  <c r="N498" i="11"/>
  <c r="A499" i="11"/>
  <c r="N499" i="11"/>
  <c r="A500" i="11"/>
  <c r="N500" i="11"/>
  <c r="A501" i="11"/>
  <c r="N501" i="11"/>
  <c r="A502" i="11"/>
  <c r="N502" i="11"/>
  <c r="A503" i="11"/>
  <c r="N503" i="11"/>
  <c r="A504" i="11"/>
  <c r="N504" i="11"/>
  <c r="A505" i="11"/>
  <c r="N505" i="11"/>
  <c r="A506" i="11"/>
  <c r="N506" i="11"/>
  <c r="A507" i="11"/>
  <c r="N507" i="11"/>
  <c r="A508" i="11"/>
  <c r="N508" i="11"/>
  <c r="E509" i="11"/>
  <c r="N509" i="11"/>
  <c r="A510" i="11"/>
  <c r="N510" i="11"/>
  <c r="A511" i="11"/>
  <c r="N511" i="11"/>
  <c r="A512" i="11"/>
  <c r="N512" i="11"/>
  <c r="A513" i="11"/>
  <c r="N513" i="11"/>
  <c r="A514" i="11"/>
  <c r="N514" i="11"/>
  <c r="A515" i="11"/>
  <c r="N515" i="11"/>
  <c r="A516" i="11"/>
  <c r="N516" i="11"/>
  <c r="A517" i="11"/>
  <c r="N517" i="11"/>
  <c r="A518" i="11"/>
  <c r="N518" i="11"/>
  <c r="A519" i="11"/>
  <c r="N519" i="11"/>
  <c r="A520" i="11"/>
  <c r="N520" i="11"/>
  <c r="A521" i="11"/>
  <c r="N521" i="11"/>
  <c r="A522" i="11"/>
  <c r="N522" i="11"/>
  <c r="A523" i="11"/>
  <c r="N523" i="11"/>
  <c r="A524" i="11"/>
  <c r="N524" i="11"/>
  <c r="A525" i="11"/>
  <c r="N525" i="11"/>
  <c r="A526" i="11"/>
  <c r="N526" i="11"/>
  <c r="A527" i="11"/>
  <c r="N527" i="11"/>
  <c r="A528" i="11"/>
  <c r="N528" i="11"/>
  <c r="A529" i="11"/>
  <c r="N529" i="11"/>
  <c r="E530" i="11"/>
  <c r="N530" i="11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E26" i="12"/>
  <c r="N26" i="12"/>
  <c r="N27" i="12"/>
  <c r="N28" i="12"/>
  <c r="N29" i="12"/>
  <c r="N30" i="12"/>
  <c r="N31" i="12"/>
  <c r="A32" i="12"/>
  <c r="N32" i="12"/>
  <c r="A33" i="12"/>
  <c r="N33" i="12"/>
  <c r="A34" i="12"/>
  <c r="N34" i="12"/>
  <c r="A35" i="12"/>
  <c r="N35" i="12"/>
  <c r="A36" i="12"/>
  <c r="N36" i="12"/>
  <c r="A37" i="12"/>
  <c r="N37" i="12"/>
  <c r="A38" i="12"/>
  <c r="N38" i="12"/>
  <c r="A39" i="12"/>
  <c r="N39" i="12"/>
  <c r="A40" i="12"/>
  <c r="N40" i="12"/>
  <c r="A41" i="12"/>
  <c r="N41" i="12"/>
  <c r="A42" i="12"/>
  <c r="N42" i="12"/>
  <c r="A43" i="12"/>
  <c r="N43" i="12"/>
  <c r="A44" i="12"/>
  <c r="N44" i="12"/>
  <c r="A45" i="12"/>
  <c r="N45" i="12"/>
  <c r="A46" i="12"/>
  <c r="N46" i="12"/>
  <c r="E47" i="12"/>
  <c r="N47" i="12"/>
  <c r="A48" i="12"/>
  <c r="N48" i="12"/>
  <c r="A49" i="12"/>
  <c r="N49" i="12"/>
  <c r="A50" i="12"/>
  <c r="N50" i="12"/>
  <c r="A51" i="12"/>
  <c r="N51" i="12"/>
  <c r="A52" i="12"/>
  <c r="N52" i="12"/>
  <c r="A53" i="12"/>
  <c r="N53" i="12"/>
  <c r="A54" i="12"/>
  <c r="N54" i="12"/>
  <c r="A55" i="12"/>
  <c r="N55" i="12"/>
  <c r="A56" i="12"/>
  <c r="N56" i="12"/>
  <c r="A57" i="12"/>
  <c r="N57" i="12"/>
  <c r="A58" i="12"/>
  <c r="N58" i="12"/>
  <c r="A59" i="12"/>
  <c r="N59" i="12"/>
  <c r="A60" i="12"/>
  <c r="N60" i="12"/>
  <c r="A61" i="12"/>
  <c r="N61" i="12"/>
  <c r="A62" i="12"/>
  <c r="N62" i="12"/>
  <c r="A63" i="12"/>
  <c r="N63" i="12"/>
  <c r="A64" i="12"/>
  <c r="N64" i="12"/>
  <c r="A65" i="12"/>
  <c r="N65" i="12"/>
  <c r="A66" i="12"/>
  <c r="N66" i="12"/>
  <c r="A67" i="12"/>
  <c r="N67" i="12"/>
  <c r="E68" i="12"/>
  <c r="N68" i="12"/>
  <c r="A69" i="12"/>
  <c r="N69" i="12"/>
  <c r="A70" i="12"/>
  <c r="N70" i="12"/>
  <c r="A71" i="12"/>
  <c r="N71" i="12"/>
  <c r="A72" i="12"/>
  <c r="N72" i="12"/>
  <c r="A73" i="12"/>
  <c r="N73" i="12"/>
  <c r="A74" i="12"/>
  <c r="N74" i="12"/>
  <c r="A75" i="12"/>
  <c r="N75" i="12"/>
  <c r="A76" i="12"/>
  <c r="N76" i="12"/>
  <c r="A77" i="12"/>
  <c r="N77" i="12"/>
  <c r="A78" i="12"/>
  <c r="N78" i="12"/>
  <c r="A79" i="12"/>
  <c r="N79" i="12"/>
  <c r="A80" i="12"/>
  <c r="N80" i="12"/>
  <c r="A81" i="12"/>
  <c r="N81" i="12"/>
  <c r="A82" i="12"/>
  <c r="N82" i="12"/>
  <c r="A83" i="12"/>
  <c r="N83" i="12"/>
  <c r="A84" i="12"/>
  <c r="N84" i="12"/>
  <c r="A85" i="12"/>
  <c r="N85" i="12"/>
  <c r="A86" i="12"/>
  <c r="N86" i="12"/>
  <c r="A87" i="12"/>
  <c r="N87" i="12"/>
  <c r="A88" i="12"/>
  <c r="N88" i="12"/>
  <c r="E89" i="12"/>
  <c r="N89" i="12"/>
  <c r="A90" i="12"/>
  <c r="N90" i="12"/>
  <c r="A91" i="12"/>
  <c r="N91" i="12"/>
  <c r="A92" i="12"/>
  <c r="N92" i="12"/>
  <c r="A93" i="12"/>
  <c r="N93" i="12"/>
  <c r="A94" i="12"/>
  <c r="N94" i="12"/>
  <c r="A95" i="12"/>
  <c r="N95" i="12"/>
  <c r="A96" i="12"/>
  <c r="N96" i="12"/>
  <c r="A97" i="12"/>
  <c r="N97" i="12"/>
  <c r="A98" i="12"/>
  <c r="N98" i="12"/>
  <c r="A99" i="12"/>
  <c r="N99" i="12"/>
  <c r="A100" i="12"/>
  <c r="N100" i="12"/>
  <c r="A101" i="12"/>
  <c r="N101" i="12"/>
  <c r="A102" i="12"/>
  <c r="N102" i="12"/>
  <c r="A103" i="12"/>
  <c r="N103" i="12"/>
  <c r="A104" i="12"/>
  <c r="N104" i="12"/>
  <c r="A105" i="12"/>
  <c r="N105" i="12"/>
  <c r="A106" i="12"/>
  <c r="N106" i="12"/>
  <c r="A107" i="12"/>
  <c r="N107" i="12"/>
  <c r="A108" i="12"/>
  <c r="N108" i="12"/>
  <c r="A109" i="12"/>
  <c r="N109" i="12"/>
  <c r="E110" i="12"/>
  <c r="N110" i="12"/>
  <c r="A111" i="12"/>
  <c r="N111" i="12"/>
  <c r="A112" i="12"/>
  <c r="N112" i="12"/>
  <c r="A113" i="12"/>
  <c r="N113" i="12"/>
  <c r="A114" i="12"/>
  <c r="N114" i="12"/>
  <c r="A115" i="12"/>
  <c r="N115" i="12"/>
  <c r="A116" i="12"/>
  <c r="N116" i="12"/>
  <c r="A117" i="12"/>
  <c r="N117" i="12"/>
  <c r="A118" i="12"/>
  <c r="N118" i="12"/>
  <c r="A119" i="12"/>
  <c r="N119" i="12"/>
  <c r="A120" i="12"/>
  <c r="N120" i="12"/>
  <c r="A121" i="12"/>
  <c r="N121" i="12"/>
  <c r="A122" i="12"/>
  <c r="N122" i="12"/>
  <c r="A123" i="12"/>
  <c r="N123" i="12"/>
  <c r="A124" i="12"/>
  <c r="N124" i="12"/>
  <c r="A125" i="12"/>
  <c r="N125" i="12"/>
  <c r="A126" i="12"/>
  <c r="N126" i="12"/>
  <c r="A127" i="12"/>
  <c r="N127" i="12"/>
  <c r="A128" i="12"/>
  <c r="N128" i="12"/>
  <c r="A129" i="12"/>
  <c r="N129" i="12"/>
  <c r="A130" i="12"/>
  <c r="N130" i="12"/>
  <c r="E131" i="12"/>
  <c r="N131" i="12"/>
  <c r="A132" i="12"/>
  <c r="N132" i="12"/>
  <c r="A133" i="12"/>
  <c r="N133" i="12"/>
  <c r="A134" i="12"/>
  <c r="N134" i="12"/>
  <c r="A135" i="12"/>
  <c r="N135" i="12"/>
  <c r="A136" i="12"/>
  <c r="N136" i="12"/>
  <c r="A137" i="12"/>
  <c r="N137" i="12"/>
  <c r="A138" i="12"/>
  <c r="N138" i="12"/>
  <c r="A139" i="12"/>
  <c r="N139" i="12"/>
  <c r="A140" i="12"/>
  <c r="N140" i="12"/>
  <c r="A141" i="12"/>
  <c r="N141" i="12"/>
  <c r="A142" i="12"/>
  <c r="N142" i="12"/>
  <c r="A143" i="12"/>
  <c r="N143" i="12"/>
  <c r="A144" i="12"/>
  <c r="N144" i="12"/>
  <c r="A145" i="12"/>
  <c r="N145" i="12"/>
  <c r="A146" i="12"/>
  <c r="N146" i="12"/>
  <c r="A147" i="12"/>
  <c r="N147" i="12"/>
  <c r="A148" i="12"/>
  <c r="N148" i="12"/>
  <c r="A149" i="12"/>
  <c r="N149" i="12"/>
  <c r="A150" i="12"/>
  <c r="N150" i="12"/>
  <c r="A151" i="12"/>
  <c r="N151" i="12"/>
  <c r="E152" i="12"/>
  <c r="N152" i="12"/>
  <c r="A153" i="12"/>
  <c r="N153" i="12"/>
  <c r="A154" i="12"/>
  <c r="N154" i="12"/>
  <c r="A155" i="12"/>
  <c r="N155" i="12"/>
  <c r="A156" i="12"/>
  <c r="N156" i="12"/>
  <c r="A157" i="12"/>
  <c r="N157" i="12"/>
  <c r="A158" i="12"/>
  <c r="N158" i="12"/>
  <c r="A159" i="12"/>
  <c r="N159" i="12"/>
  <c r="A160" i="12"/>
  <c r="N160" i="12"/>
  <c r="A161" i="12"/>
  <c r="N161" i="12"/>
  <c r="A162" i="12"/>
  <c r="N162" i="12"/>
  <c r="A163" i="12"/>
  <c r="N163" i="12"/>
  <c r="A164" i="12"/>
  <c r="N164" i="12"/>
  <c r="A165" i="12"/>
  <c r="N165" i="12"/>
  <c r="A166" i="12"/>
  <c r="N166" i="12"/>
  <c r="A167" i="12"/>
  <c r="N167" i="12"/>
  <c r="A168" i="12"/>
  <c r="N168" i="12"/>
  <c r="A169" i="12"/>
  <c r="N169" i="12"/>
  <c r="A170" i="12"/>
  <c r="N170" i="12"/>
  <c r="A171" i="12"/>
  <c r="N171" i="12"/>
  <c r="A172" i="12"/>
  <c r="N172" i="12"/>
  <c r="E173" i="12"/>
  <c r="N173" i="12"/>
  <c r="A174" i="12"/>
  <c r="N174" i="12"/>
  <c r="A175" i="12"/>
  <c r="N175" i="12"/>
  <c r="A176" i="12"/>
  <c r="N176" i="12"/>
  <c r="A177" i="12"/>
  <c r="N177" i="12"/>
  <c r="A178" i="12"/>
  <c r="N178" i="12"/>
  <c r="A179" i="12"/>
  <c r="N179" i="12"/>
  <c r="A180" i="12"/>
  <c r="N180" i="12"/>
  <c r="A181" i="12"/>
  <c r="N181" i="12"/>
  <c r="A182" i="12"/>
  <c r="N182" i="12"/>
  <c r="A183" i="12"/>
  <c r="N183" i="12"/>
  <c r="A184" i="12"/>
  <c r="N184" i="12"/>
  <c r="A185" i="12"/>
  <c r="N185" i="12"/>
  <c r="A186" i="12"/>
  <c r="N186" i="12"/>
  <c r="A187" i="12"/>
  <c r="N187" i="12"/>
  <c r="A188" i="12"/>
  <c r="N188" i="12"/>
  <c r="A189" i="12"/>
  <c r="N189" i="12"/>
  <c r="A190" i="12"/>
  <c r="N190" i="12"/>
  <c r="A191" i="12"/>
  <c r="N191" i="12"/>
  <c r="A192" i="12"/>
  <c r="N192" i="12"/>
  <c r="A193" i="12"/>
  <c r="N193" i="12"/>
  <c r="E194" i="12"/>
  <c r="N194" i="12"/>
  <c r="A195" i="12"/>
  <c r="N195" i="12"/>
  <c r="A196" i="12"/>
  <c r="N196" i="12"/>
  <c r="A197" i="12"/>
  <c r="N197" i="12"/>
  <c r="A198" i="12"/>
  <c r="N198" i="12"/>
  <c r="A199" i="12"/>
  <c r="N199" i="12"/>
  <c r="A200" i="12"/>
  <c r="N200" i="12"/>
  <c r="A201" i="12"/>
  <c r="N201" i="12"/>
  <c r="A202" i="12"/>
  <c r="N202" i="12"/>
  <c r="A203" i="12"/>
  <c r="N203" i="12"/>
  <c r="A204" i="12"/>
  <c r="N204" i="12"/>
  <c r="A205" i="12"/>
  <c r="N205" i="12"/>
  <c r="A206" i="12"/>
  <c r="N206" i="12"/>
  <c r="A207" i="12"/>
  <c r="N207" i="12"/>
  <c r="A208" i="12"/>
  <c r="N208" i="12"/>
  <c r="A209" i="12"/>
  <c r="N209" i="12"/>
  <c r="A210" i="12"/>
  <c r="N210" i="12"/>
  <c r="A211" i="12"/>
  <c r="N211" i="12"/>
  <c r="A212" i="12"/>
  <c r="N212" i="12"/>
  <c r="A213" i="12"/>
  <c r="N213" i="12"/>
  <c r="A214" i="12"/>
  <c r="N214" i="12"/>
  <c r="E215" i="12"/>
  <c r="N215" i="12"/>
  <c r="A216" i="12"/>
  <c r="N216" i="12"/>
  <c r="A217" i="12"/>
  <c r="N217" i="12"/>
  <c r="A218" i="12"/>
  <c r="N218" i="12"/>
  <c r="A219" i="12"/>
  <c r="N219" i="12"/>
  <c r="A220" i="12"/>
  <c r="N220" i="12"/>
  <c r="A221" i="12"/>
  <c r="N221" i="12"/>
  <c r="A222" i="12"/>
  <c r="N222" i="12"/>
  <c r="A223" i="12"/>
  <c r="N223" i="12"/>
  <c r="A224" i="12"/>
  <c r="N224" i="12"/>
  <c r="A225" i="12"/>
  <c r="N225" i="12"/>
  <c r="A226" i="12"/>
  <c r="N226" i="12"/>
  <c r="A227" i="12"/>
  <c r="N227" i="12"/>
  <c r="A228" i="12"/>
  <c r="N228" i="12"/>
  <c r="A229" i="12"/>
  <c r="N229" i="12"/>
  <c r="A230" i="12"/>
  <c r="N230" i="12"/>
  <c r="A231" i="12"/>
  <c r="N231" i="12"/>
  <c r="A232" i="12"/>
  <c r="N232" i="12"/>
  <c r="A233" i="12"/>
  <c r="N233" i="12"/>
  <c r="A234" i="12"/>
  <c r="N234" i="12"/>
  <c r="A235" i="12"/>
  <c r="N235" i="12"/>
  <c r="E236" i="12"/>
  <c r="N236" i="12"/>
  <c r="A237" i="12"/>
  <c r="N237" i="12"/>
  <c r="A238" i="12"/>
  <c r="N238" i="12"/>
  <c r="A239" i="12"/>
  <c r="N239" i="12"/>
  <c r="A240" i="12"/>
  <c r="N240" i="12"/>
  <c r="A241" i="12"/>
  <c r="N241" i="12"/>
  <c r="A242" i="12"/>
  <c r="N242" i="12"/>
  <c r="A243" i="12"/>
  <c r="N243" i="12"/>
  <c r="A244" i="12"/>
  <c r="N244" i="12"/>
  <c r="A245" i="12"/>
  <c r="N245" i="12"/>
  <c r="A246" i="12"/>
  <c r="N246" i="12"/>
  <c r="A247" i="12"/>
  <c r="N247" i="12"/>
  <c r="A248" i="12"/>
  <c r="N248" i="12"/>
  <c r="A249" i="12"/>
  <c r="N249" i="12"/>
  <c r="A250" i="12"/>
  <c r="N250" i="12"/>
  <c r="A251" i="12"/>
  <c r="N251" i="12"/>
  <c r="A252" i="12"/>
  <c r="N252" i="12"/>
  <c r="A253" i="12"/>
  <c r="N253" i="12"/>
  <c r="A254" i="12"/>
  <c r="N254" i="12"/>
  <c r="A255" i="12"/>
  <c r="N255" i="12"/>
  <c r="A256" i="12"/>
  <c r="N256" i="12"/>
  <c r="E257" i="12"/>
  <c r="N257" i="12"/>
  <c r="A258" i="12"/>
  <c r="N258" i="12"/>
  <c r="A259" i="12"/>
  <c r="N259" i="12"/>
  <c r="A260" i="12"/>
  <c r="N260" i="12"/>
  <c r="A261" i="12"/>
  <c r="N261" i="12"/>
  <c r="A262" i="12"/>
  <c r="N262" i="12"/>
  <c r="A263" i="12"/>
  <c r="N263" i="12"/>
  <c r="A264" i="12"/>
  <c r="N264" i="12"/>
  <c r="A265" i="12"/>
  <c r="N265" i="12"/>
  <c r="A266" i="12"/>
  <c r="N266" i="12"/>
  <c r="A267" i="12"/>
  <c r="N267" i="12"/>
  <c r="A268" i="12"/>
  <c r="N268" i="12"/>
  <c r="A269" i="12"/>
  <c r="N269" i="12"/>
  <c r="A270" i="12"/>
  <c r="N270" i="12"/>
  <c r="A271" i="12"/>
  <c r="N271" i="12"/>
  <c r="A272" i="12"/>
  <c r="N272" i="12"/>
  <c r="A273" i="12"/>
  <c r="N273" i="12"/>
  <c r="A274" i="12"/>
  <c r="N274" i="12"/>
  <c r="A275" i="12"/>
  <c r="N275" i="12"/>
  <c r="A276" i="12"/>
  <c r="N276" i="12"/>
  <c r="A277" i="12"/>
  <c r="N277" i="12"/>
  <c r="E278" i="12"/>
  <c r="N278" i="12"/>
  <c r="A279" i="12"/>
  <c r="N279" i="12"/>
  <c r="A280" i="12"/>
  <c r="N280" i="12"/>
  <c r="A281" i="12"/>
  <c r="N281" i="12"/>
  <c r="A282" i="12"/>
  <c r="N282" i="12"/>
  <c r="A283" i="12"/>
  <c r="N283" i="12"/>
  <c r="A284" i="12"/>
  <c r="N284" i="12"/>
  <c r="A285" i="12"/>
  <c r="N285" i="12"/>
  <c r="A286" i="12"/>
  <c r="N286" i="12"/>
  <c r="A287" i="12"/>
  <c r="N287" i="12"/>
  <c r="A288" i="12"/>
  <c r="N288" i="12"/>
  <c r="A289" i="12"/>
  <c r="N289" i="12"/>
  <c r="A290" i="12"/>
  <c r="N290" i="12"/>
  <c r="A291" i="12"/>
  <c r="N291" i="12"/>
  <c r="A292" i="12"/>
  <c r="N292" i="12"/>
  <c r="A293" i="12"/>
  <c r="N293" i="12"/>
  <c r="A294" i="12"/>
  <c r="N294" i="12"/>
  <c r="A295" i="12"/>
  <c r="N295" i="12"/>
  <c r="A296" i="12"/>
  <c r="N296" i="12"/>
  <c r="A297" i="12"/>
  <c r="N297" i="12"/>
  <c r="A298" i="12"/>
  <c r="N298" i="12"/>
  <c r="E299" i="12"/>
  <c r="N299" i="12"/>
  <c r="A300" i="12"/>
  <c r="N300" i="12"/>
  <c r="A301" i="12"/>
  <c r="N301" i="12"/>
  <c r="A302" i="12"/>
  <c r="N302" i="12"/>
  <c r="A303" i="12"/>
  <c r="N303" i="12"/>
  <c r="A304" i="12"/>
  <c r="N304" i="12"/>
  <c r="A305" i="12"/>
  <c r="N305" i="12"/>
  <c r="A306" i="12"/>
  <c r="N306" i="12"/>
  <c r="A307" i="12"/>
  <c r="N307" i="12"/>
  <c r="A308" i="12"/>
  <c r="N308" i="12"/>
  <c r="A309" i="12"/>
  <c r="N309" i="12"/>
  <c r="A310" i="12"/>
  <c r="N310" i="12"/>
  <c r="A311" i="12"/>
  <c r="N311" i="12"/>
  <c r="A312" i="12"/>
  <c r="N312" i="12"/>
  <c r="A313" i="12"/>
  <c r="N313" i="12"/>
  <c r="A314" i="12"/>
  <c r="N314" i="12"/>
  <c r="A315" i="12"/>
  <c r="N315" i="12"/>
  <c r="A316" i="12"/>
  <c r="N316" i="12"/>
  <c r="A317" i="12"/>
  <c r="N317" i="12"/>
  <c r="A318" i="12"/>
  <c r="N318" i="12"/>
  <c r="A319" i="12"/>
  <c r="N319" i="12"/>
  <c r="E320" i="12"/>
  <c r="N320" i="12"/>
  <c r="A321" i="12"/>
  <c r="N321" i="12"/>
  <c r="A322" i="12"/>
  <c r="N322" i="12"/>
  <c r="A323" i="12"/>
  <c r="N323" i="12"/>
  <c r="A324" i="12"/>
  <c r="N324" i="12"/>
  <c r="A325" i="12"/>
  <c r="N325" i="12"/>
  <c r="A326" i="12"/>
  <c r="N326" i="12"/>
  <c r="A327" i="12"/>
  <c r="N327" i="12"/>
  <c r="A328" i="12"/>
  <c r="N328" i="12"/>
  <c r="A329" i="12"/>
  <c r="N329" i="12"/>
  <c r="A330" i="12"/>
  <c r="N330" i="12"/>
  <c r="A331" i="12"/>
  <c r="N331" i="12"/>
  <c r="A332" i="12"/>
  <c r="N332" i="12"/>
  <c r="A333" i="12"/>
  <c r="N333" i="12"/>
  <c r="A334" i="12"/>
  <c r="N334" i="12"/>
  <c r="A335" i="12"/>
  <c r="N335" i="12"/>
  <c r="A336" i="12"/>
  <c r="N336" i="12"/>
  <c r="A337" i="12"/>
  <c r="N337" i="12"/>
  <c r="A338" i="12"/>
  <c r="N338" i="12"/>
  <c r="A339" i="12"/>
  <c r="N339" i="12"/>
  <c r="A340" i="12"/>
  <c r="N340" i="12"/>
  <c r="E341" i="12"/>
  <c r="N341" i="12"/>
  <c r="A342" i="12"/>
  <c r="N342" i="12"/>
  <c r="A343" i="12"/>
  <c r="N343" i="12"/>
  <c r="A344" i="12"/>
  <c r="N344" i="12"/>
  <c r="A345" i="12"/>
  <c r="N345" i="12"/>
  <c r="A346" i="12"/>
  <c r="N346" i="12"/>
  <c r="A347" i="12"/>
  <c r="N347" i="12"/>
  <c r="A348" i="12"/>
  <c r="N348" i="12"/>
  <c r="A349" i="12"/>
  <c r="N349" i="12"/>
  <c r="A350" i="12"/>
  <c r="N350" i="12"/>
  <c r="A351" i="12"/>
  <c r="N351" i="12"/>
  <c r="A352" i="12"/>
  <c r="N352" i="12"/>
  <c r="A353" i="12"/>
  <c r="N353" i="12"/>
  <c r="A354" i="12"/>
  <c r="N354" i="12"/>
  <c r="A355" i="12"/>
  <c r="N355" i="12"/>
  <c r="A356" i="12"/>
  <c r="N356" i="12"/>
  <c r="A357" i="12"/>
  <c r="N357" i="12"/>
  <c r="A358" i="12"/>
  <c r="N358" i="12"/>
  <c r="A359" i="12"/>
  <c r="N359" i="12"/>
  <c r="A360" i="12"/>
  <c r="N360" i="12"/>
  <c r="A361" i="12"/>
  <c r="N361" i="12"/>
  <c r="E362" i="12"/>
  <c r="N362" i="12"/>
  <c r="A363" i="12"/>
  <c r="N363" i="12"/>
  <c r="A364" i="12"/>
  <c r="N364" i="12"/>
  <c r="A365" i="12"/>
  <c r="N365" i="12"/>
  <c r="A366" i="12"/>
  <c r="N366" i="12"/>
  <c r="A367" i="12"/>
  <c r="N367" i="12"/>
  <c r="A368" i="12"/>
  <c r="N368" i="12"/>
  <c r="A369" i="12"/>
  <c r="N369" i="12"/>
  <c r="A370" i="12"/>
  <c r="N370" i="12"/>
  <c r="A371" i="12"/>
  <c r="N371" i="12"/>
  <c r="A372" i="12"/>
  <c r="N372" i="12"/>
  <c r="A373" i="12"/>
  <c r="N373" i="12"/>
  <c r="A374" i="12"/>
  <c r="N374" i="12"/>
  <c r="A375" i="12"/>
  <c r="N375" i="12"/>
  <c r="A376" i="12"/>
  <c r="N376" i="12"/>
  <c r="A377" i="12"/>
  <c r="N377" i="12"/>
  <c r="A378" i="12"/>
  <c r="N378" i="12"/>
  <c r="A379" i="12"/>
  <c r="N379" i="12"/>
  <c r="A380" i="12"/>
  <c r="N380" i="12"/>
  <c r="A381" i="12"/>
  <c r="N381" i="12"/>
  <c r="A382" i="12"/>
  <c r="N382" i="12"/>
  <c r="E383" i="12"/>
  <c r="N383" i="12"/>
  <c r="A384" i="12"/>
  <c r="N384" i="12"/>
  <c r="A385" i="12"/>
  <c r="N385" i="12"/>
  <c r="A386" i="12"/>
  <c r="N386" i="12"/>
  <c r="A387" i="12"/>
  <c r="N387" i="12"/>
  <c r="A388" i="12"/>
  <c r="N388" i="12"/>
  <c r="A389" i="12"/>
  <c r="N389" i="12"/>
  <c r="A390" i="12"/>
  <c r="N390" i="12"/>
  <c r="A391" i="12"/>
  <c r="N391" i="12"/>
  <c r="A392" i="12"/>
  <c r="N392" i="12"/>
  <c r="A393" i="12"/>
  <c r="N393" i="12"/>
  <c r="A394" i="12"/>
  <c r="N394" i="12"/>
  <c r="A395" i="12"/>
  <c r="N395" i="12"/>
  <c r="A396" i="12"/>
  <c r="N396" i="12"/>
  <c r="A397" i="12"/>
  <c r="N397" i="12"/>
  <c r="A398" i="12"/>
  <c r="N398" i="12"/>
  <c r="A399" i="12"/>
  <c r="N399" i="12"/>
  <c r="A400" i="12"/>
  <c r="N400" i="12"/>
  <c r="A401" i="12"/>
  <c r="N401" i="12"/>
  <c r="A402" i="12"/>
  <c r="N402" i="12"/>
  <c r="A403" i="12"/>
  <c r="N403" i="12"/>
  <c r="E404" i="12"/>
  <c r="N404" i="12"/>
  <c r="A405" i="12"/>
  <c r="N405" i="12"/>
  <c r="A406" i="12"/>
  <c r="N406" i="12"/>
  <c r="A407" i="12"/>
  <c r="N407" i="12"/>
  <c r="A408" i="12"/>
  <c r="N408" i="12"/>
  <c r="A409" i="12"/>
  <c r="N409" i="12"/>
  <c r="A410" i="12"/>
  <c r="N410" i="12"/>
  <c r="A411" i="12"/>
  <c r="N411" i="12"/>
  <c r="A412" i="12"/>
  <c r="N412" i="12"/>
  <c r="A413" i="12"/>
  <c r="N413" i="12"/>
  <c r="A414" i="12"/>
  <c r="N414" i="12"/>
  <c r="A415" i="12"/>
  <c r="N415" i="12"/>
  <c r="A416" i="12"/>
  <c r="N416" i="12"/>
  <c r="A417" i="12"/>
  <c r="N417" i="12"/>
  <c r="A418" i="12"/>
  <c r="N418" i="12"/>
  <c r="A419" i="12"/>
  <c r="N419" i="12"/>
  <c r="A420" i="12"/>
  <c r="N420" i="12"/>
  <c r="A421" i="12"/>
  <c r="N421" i="12"/>
  <c r="A422" i="12"/>
  <c r="N422" i="12"/>
  <c r="A423" i="12"/>
  <c r="N423" i="12"/>
  <c r="A424" i="12"/>
  <c r="N424" i="12"/>
  <c r="E425" i="12"/>
  <c r="N425" i="12"/>
  <c r="A426" i="12"/>
  <c r="N426" i="12"/>
  <c r="A427" i="12"/>
  <c r="N427" i="12"/>
  <c r="A428" i="12"/>
  <c r="N428" i="12"/>
  <c r="A429" i="12"/>
  <c r="N429" i="12"/>
  <c r="A430" i="12"/>
  <c r="N430" i="12"/>
  <c r="A431" i="12"/>
  <c r="N431" i="12"/>
  <c r="A432" i="12"/>
  <c r="N432" i="12"/>
  <c r="A433" i="12"/>
  <c r="N433" i="12"/>
  <c r="A434" i="12"/>
  <c r="N434" i="12"/>
  <c r="A435" i="12"/>
  <c r="N435" i="12"/>
  <c r="A436" i="12"/>
  <c r="N436" i="12"/>
  <c r="A437" i="12"/>
  <c r="N437" i="12"/>
  <c r="A438" i="12"/>
  <c r="N438" i="12"/>
  <c r="A439" i="12"/>
  <c r="N439" i="12"/>
  <c r="A440" i="12"/>
  <c r="N440" i="12"/>
  <c r="A441" i="12"/>
  <c r="N441" i="12"/>
  <c r="A442" i="12"/>
  <c r="N442" i="12"/>
  <c r="A443" i="12"/>
  <c r="N443" i="12"/>
  <c r="A444" i="12"/>
  <c r="N444" i="12"/>
  <c r="A445" i="12"/>
  <c r="N445" i="12"/>
  <c r="E446" i="12"/>
  <c r="N446" i="12"/>
  <c r="A447" i="12"/>
  <c r="N447" i="12"/>
  <c r="A448" i="12"/>
  <c r="N448" i="12"/>
  <c r="A449" i="12"/>
  <c r="N449" i="12"/>
  <c r="A450" i="12"/>
  <c r="N450" i="12"/>
  <c r="A451" i="12"/>
  <c r="N451" i="12"/>
  <c r="A452" i="12"/>
  <c r="N452" i="12"/>
  <c r="A453" i="12"/>
  <c r="N453" i="12"/>
  <c r="A454" i="12"/>
  <c r="N454" i="12"/>
  <c r="A455" i="12"/>
  <c r="N455" i="12"/>
  <c r="A456" i="12"/>
  <c r="N456" i="12"/>
  <c r="A457" i="12"/>
  <c r="N457" i="12"/>
  <c r="A458" i="12"/>
  <c r="N458" i="12"/>
  <c r="A459" i="12"/>
  <c r="N459" i="12"/>
  <c r="A460" i="12"/>
  <c r="N460" i="12"/>
  <c r="A461" i="12"/>
  <c r="N461" i="12"/>
  <c r="A462" i="12"/>
  <c r="N462" i="12"/>
  <c r="A463" i="12"/>
  <c r="N463" i="12"/>
  <c r="A464" i="12"/>
  <c r="N464" i="12"/>
  <c r="A465" i="12"/>
  <c r="N465" i="12"/>
  <c r="A466" i="12"/>
  <c r="N466" i="12"/>
  <c r="E467" i="12"/>
  <c r="N467" i="12"/>
  <c r="A468" i="12"/>
  <c r="N468" i="12"/>
  <c r="A469" i="12"/>
  <c r="N469" i="12"/>
  <c r="A470" i="12"/>
  <c r="N470" i="12"/>
  <c r="A471" i="12"/>
  <c r="N471" i="12"/>
  <c r="A472" i="12"/>
  <c r="N472" i="12"/>
  <c r="A473" i="12"/>
  <c r="N473" i="12"/>
  <c r="A474" i="12"/>
  <c r="N474" i="12"/>
  <c r="A475" i="12"/>
  <c r="N475" i="12"/>
  <c r="A476" i="12"/>
  <c r="N476" i="12"/>
  <c r="A477" i="12"/>
  <c r="N477" i="12"/>
  <c r="A478" i="12"/>
  <c r="N478" i="12"/>
  <c r="A479" i="12"/>
  <c r="N479" i="12"/>
  <c r="A480" i="12"/>
  <c r="N480" i="12"/>
  <c r="A481" i="12"/>
  <c r="N481" i="12"/>
  <c r="A482" i="12"/>
  <c r="N482" i="12"/>
  <c r="A483" i="12"/>
  <c r="N483" i="12"/>
  <c r="A484" i="12"/>
  <c r="N484" i="12"/>
  <c r="A485" i="12"/>
  <c r="N485" i="12"/>
  <c r="A486" i="12"/>
  <c r="N486" i="12"/>
  <c r="A487" i="12"/>
  <c r="N487" i="12"/>
  <c r="E488" i="12"/>
  <c r="N488" i="12"/>
  <c r="A489" i="12"/>
  <c r="N489" i="12"/>
  <c r="A490" i="12"/>
  <c r="N490" i="12"/>
  <c r="A491" i="12"/>
  <c r="N491" i="12"/>
  <c r="A492" i="12"/>
  <c r="N492" i="12"/>
  <c r="A493" i="12"/>
  <c r="N493" i="12"/>
  <c r="A494" i="12"/>
  <c r="N494" i="12"/>
  <c r="A495" i="12"/>
  <c r="N495" i="12"/>
  <c r="A496" i="12"/>
  <c r="N496" i="12"/>
  <c r="A497" i="12"/>
  <c r="N497" i="12"/>
  <c r="A498" i="12"/>
  <c r="N498" i="12"/>
  <c r="A499" i="12"/>
  <c r="N499" i="12"/>
  <c r="A500" i="12"/>
  <c r="N500" i="12"/>
  <c r="A501" i="12"/>
  <c r="N501" i="12"/>
  <c r="A502" i="12"/>
  <c r="N502" i="12"/>
  <c r="A503" i="12"/>
  <c r="N503" i="12"/>
  <c r="A504" i="12"/>
  <c r="N504" i="12"/>
  <c r="A505" i="12"/>
  <c r="N505" i="12"/>
  <c r="A506" i="12"/>
  <c r="N506" i="12"/>
  <c r="A507" i="12"/>
  <c r="N507" i="12"/>
  <c r="A508" i="12"/>
  <c r="N508" i="12"/>
  <c r="E509" i="12"/>
  <c r="N509" i="12"/>
  <c r="A510" i="12"/>
  <c r="N510" i="12"/>
  <c r="A511" i="12"/>
  <c r="N511" i="12"/>
  <c r="A512" i="12"/>
  <c r="N512" i="12"/>
  <c r="A513" i="12"/>
  <c r="N513" i="12"/>
  <c r="A514" i="12"/>
  <c r="N514" i="12"/>
  <c r="A515" i="12"/>
  <c r="N515" i="12"/>
  <c r="A516" i="12"/>
  <c r="N516" i="12"/>
  <c r="A517" i="12"/>
  <c r="N517" i="12"/>
  <c r="A518" i="12"/>
  <c r="N518" i="12"/>
  <c r="A519" i="12"/>
  <c r="N519" i="12"/>
  <c r="A520" i="12"/>
  <c r="N520" i="12"/>
  <c r="A521" i="12"/>
  <c r="N521" i="12"/>
  <c r="A522" i="12"/>
  <c r="N522" i="12"/>
  <c r="A523" i="12"/>
  <c r="N523" i="12"/>
  <c r="A524" i="12"/>
  <c r="N524" i="12"/>
  <c r="A525" i="12"/>
  <c r="N525" i="12"/>
  <c r="A526" i="12"/>
  <c r="N526" i="12"/>
  <c r="A527" i="12"/>
  <c r="N527" i="12"/>
  <c r="A528" i="12"/>
  <c r="N528" i="12"/>
  <c r="A529" i="12"/>
  <c r="N529" i="12"/>
  <c r="E530" i="12"/>
  <c r="N530" i="12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E26" i="13"/>
  <c r="N26" i="13"/>
  <c r="N27" i="13"/>
  <c r="N28" i="13"/>
  <c r="N29" i="13"/>
  <c r="N30" i="13"/>
  <c r="N31" i="13"/>
  <c r="A32" i="13"/>
  <c r="N32" i="13"/>
  <c r="A33" i="13"/>
  <c r="N33" i="13"/>
  <c r="A34" i="13"/>
  <c r="N34" i="13"/>
  <c r="A35" i="13"/>
  <c r="N35" i="13"/>
  <c r="A36" i="13"/>
  <c r="N36" i="13"/>
  <c r="A37" i="13"/>
  <c r="N37" i="13"/>
  <c r="A38" i="13"/>
  <c r="N38" i="13"/>
  <c r="A39" i="13"/>
  <c r="N39" i="13"/>
  <c r="A40" i="13"/>
  <c r="N40" i="13"/>
  <c r="A41" i="13"/>
  <c r="N41" i="13"/>
  <c r="A42" i="13"/>
  <c r="N42" i="13"/>
  <c r="A43" i="13"/>
  <c r="N43" i="13"/>
  <c r="A44" i="13"/>
  <c r="N44" i="13"/>
  <c r="A45" i="13"/>
  <c r="N45" i="13"/>
  <c r="A46" i="13"/>
  <c r="N46" i="13"/>
  <c r="E47" i="13"/>
  <c r="N47" i="13"/>
  <c r="A48" i="13"/>
  <c r="N48" i="13"/>
  <c r="A49" i="13"/>
  <c r="N49" i="13"/>
  <c r="A50" i="13"/>
  <c r="N50" i="13"/>
  <c r="A51" i="13"/>
  <c r="N51" i="13"/>
  <c r="A52" i="13"/>
  <c r="N52" i="13"/>
  <c r="A53" i="13"/>
  <c r="N53" i="13"/>
  <c r="A54" i="13"/>
  <c r="N54" i="13"/>
  <c r="A55" i="13"/>
  <c r="N55" i="13"/>
  <c r="A56" i="13"/>
  <c r="N56" i="13"/>
  <c r="A57" i="13"/>
  <c r="N57" i="13"/>
  <c r="A58" i="13"/>
  <c r="N58" i="13"/>
  <c r="A59" i="13"/>
  <c r="N59" i="13"/>
  <c r="A60" i="13"/>
  <c r="N60" i="13"/>
  <c r="A61" i="13"/>
  <c r="N61" i="13"/>
  <c r="A62" i="13"/>
  <c r="N62" i="13"/>
  <c r="A63" i="13"/>
  <c r="N63" i="13"/>
  <c r="A64" i="13"/>
  <c r="N64" i="13"/>
  <c r="A65" i="13"/>
  <c r="N65" i="13"/>
  <c r="A66" i="13"/>
  <c r="N66" i="13"/>
  <c r="A67" i="13"/>
  <c r="N67" i="13"/>
  <c r="E68" i="13"/>
  <c r="N68" i="13"/>
  <c r="A69" i="13"/>
  <c r="N69" i="13"/>
  <c r="A70" i="13"/>
  <c r="N70" i="13"/>
  <c r="A71" i="13"/>
  <c r="N71" i="13"/>
  <c r="A72" i="13"/>
  <c r="N72" i="13"/>
  <c r="A73" i="13"/>
  <c r="N73" i="13"/>
  <c r="A74" i="13"/>
  <c r="N74" i="13"/>
  <c r="A75" i="13"/>
  <c r="N75" i="13"/>
  <c r="A76" i="13"/>
  <c r="N76" i="13"/>
  <c r="A77" i="13"/>
  <c r="N77" i="13"/>
  <c r="A78" i="13"/>
  <c r="N78" i="13"/>
  <c r="A79" i="13"/>
  <c r="N79" i="13"/>
  <c r="A80" i="13"/>
  <c r="N80" i="13"/>
  <c r="A81" i="13"/>
  <c r="N81" i="13"/>
  <c r="A82" i="13"/>
  <c r="N82" i="13"/>
  <c r="A83" i="13"/>
  <c r="N83" i="13"/>
  <c r="A84" i="13"/>
  <c r="N84" i="13"/>
  <c r="A85" i="13"/>
  <c r="N85" i="13"/>
  <c r="A86" i="13"/>
  <c r="N86" i="13"/>
  <c r="A87" i="13"/>
  <c r="N87" i="13"/>
  <c r="A88" i="13"/>
  <c r="N88" i="13"/>
  <c r="E89" i="13"/>
  <c r="N89" i="13"/>
  <c r="A90" i="13"/>
  <c r="N90" i="13"/>
  <c r="A91" i="13"/>
  <c r="N91" i="13"/>
  <c r="A92" i="13"/>
  <c r="N92" i="13"/>
  <c r="A93" i="13"/>
  <c r="N93" i="13"/>
  <c r="A94" i="13"/>
  <c r="N94" i="13"/>
  <c r="A95" i="13"/>
  <c r="N95" i="13"/>
  <c r="A96" i="13"/>
  <c r="N96" i="13"/>
  <c r="A97" i="13"/>
  <c r="N97" i="13"/>
  <c r="A98" i="13"/>
  <c r="N98" i="13"/>
  <c r="A99" i="13"/>
  <c r="N99" i="13"/>
  <c r="A100" i="13"/>
  <c r="N100" i="13"/>
  <c r="A101" i="13"/>
  <c r="N101" i="13"/>
  <c r="A102" i="13"/>
  <c r="N102" i="13"/>
  <c r="A103" i="13"/>
  <c r="N103" i="13"/>
  <c r="A104" i="13"/>
  <c r="N104" i="13"/>
  <c r="A105" i="13"/>
  <c r="N105" i="13"/>
  <c r="A106" i="13"/>
  <c r="N106" i="13"/>
  <c r="A107" i="13"/>
  <c r="N107" i="13"/>
  <c r="A108" i="13"/>
  <c r="N108" i="13"/>
  <c r="A109" i="13"/>
  <c r="N109" i="13"/>
  <c r="E110" i="13"/>
  <c r="N110" i="13"/>
  <c r="A111" i="13"/>
  <c r="N111" i="13"/>
  <c r="A112" i="13"/>
  <c r="N112" i="13"/>
  <c r="A113" i="13"/>
  <c r="N113" i="13"/>
  <c r="A114" i="13"/>
  <c r="N114" i="13"/>
  <c r="A115" i="13"/>
  <c r="N115" i="13"/>
  <c r="A116" i="13"/>
  <c r="N116" i="13"/>
  <c r="A117" i="13"/>
  <c r="N117" i="13"/>
  <c r="A118" i="13"/>
  <c r="N118" i="13"/>
  <c r="A119" i="13"/>
  <c r="N119" i="13"/>
  <c r="A120" i="13"/>
  <c r="N120" i="13"/>
  <c r="A121" i="13"/>
  <c r="N121" i="13"/>
  <c r="A122" i="13"/>
  <c r="N122" i="13"/>
  <c r="A123" i="13"/>
  <c r="N123" i="13"/>
  <c r="A124" i="13"/>
  <c r="N124" i="13"/>
  <c r="A125" i="13"/>
  <c r="N125" i="13"/>
  <c r="A126" i="13"/>
  <c r="N126" i="13"/>
  <c r="A127" i="13"/>
  <c r="N127" i="13"/>
  <c r="A128" i="13"/>
  <c r="N128" i="13"/>
  <c r="A129" i="13"/>
  <c r="N129" i="13"/>
  <c r="A130" i="13"/>
  <c r="N130" i="13"/>
  <c r="E131" i="13"/>
  <c r="N131" i="13"/>
  <c r="A132" i="13"/>
  <c r="N132" i="13"/>
  <c r="A133" i="13"/>
  <c r="N133" i="13"/>
  <c r="A134" i="13"/>
  <c r="N134" i="13"/>
  <c r="A135" i="13"/>
  <c r="N135" i="13"/>
  <c r="A136" i="13"/>
  <c r="N136" i="13"/>
  <c r="A137" i="13"/>
  <c r="N137" i="13"/>
  <c r="A138" i="13"/>
  <c r="N138" i="13"/>
  <c r="A139" i="13"/>
  <c r="N139" i="13"/>
  <c r="A140" i="13"/>
  <c r="N140" i="13"/>
  <c r="A141" i="13"/>
  <c r="N141" i="13"/>
  <c r="A142" i="13"/>
  <c r="N142" i="13"/>
  <c r="A143" i="13"/>
  <c r="N143" i="13"/>
  <c r="A144" i="13"/>
  <c r="N144" i="13"/>
  <c r="A145" i="13"/>
  <c r="N145" i="13"/>
  <c r="A146" i="13"/>
  <c r="N146" i="13"/>
  <c r="A147" i="13"/>
  <c r="N147" i="13"/>
  <c r="A148" i="13"/>
  <c r="N148" i="13"/>
  <c r="A149" i="13"/>
  <c r="N149" i="13"/>
  <c r="A150" i="13"/>
  <c r="N150" i="13"/>
  <c r="A151" i="13"/>
  <c r="N151" i="13"/>
  <c r="E152" i="13"/>
  <c r="N152" i="13"/>
  <c r="A153" i="13"/>
  <c r="N153" i="13"/>
  <c r="A154" i="13"/>
  <c r="N154" i="13"/>
  <c r="A155" i="13"/>
  <c r="N155" i="13"/>
  <c r="A156" i="13"/>
  <c r="N156" i="13"/>
  <c r="A157" i="13"/>
  <c r="N157" i="13"/>
  <c r="A158" i="13"/>
  <c r="N158" i="13"/>
  <c r="A159" i="13"/>
  <c r="N159" i="13"/>
  <c r="A160" i="13"/>
  <c r="N160" i="13"/>
  <c r="A161" i="13"/>
  <c r="N161" i="13"/>
  <c r="A162" i="13"/>
  <c r="N162" i="13"/>
  <c r="A163" i="13"/>
  <c r="N163" i="13"/>
  <c r="A164" i="13"/>
  <c r="N164" i="13"/>
  <c r="A165" i="13"/>
  <c r="N165" i="13"/>
  <c r="A166" i="13"/>
  <c r="N166" i="13"/>
  <c r="A167" i="13"/>
  <c r="N167" i="13"/>
  <c r="A168" i="13"/>
  <c r="N168" i="13"/>
  <c r="A169" i="13"/>
  <c r="N169" i="13"/>
  <c r="A170" i="13"/>
  <c r="N170" i="13"/>
  <c r="A171" i="13"/>
  <c r="N171" i="13"/>
  <c r="A172" i="13"/>
  <c r="N172" i="13"/>
  <c r="E173" i="13"/>
  <c r="N173" i="13"/>
  <c r="A174" i="13"/>
  <c r="N174" i="13"/>
  <c r="A175" i="13"/>
  <c r="N175" i="13"/>
  <c r="A176" i="13"/>
  <c r="N176" i="13"/>
  <c r="A177" i="13"/>
  <c r="N177" i="13"/>
  <c r="A178" i="13"/>
  <c r="N178" i="13"/>
  <c r="A179" i="13"/>
  <c r="N179" i="13"/>
  <c r="A180" i="13"/>
  <c r="N180" i="13"/>
  <c r="A181" i="13"/>
  <c r="N181" i="13"/>
  <c r="A182" i="13"/>
  <c r="N182" i="13"/>
  <c r="A183" i="13"/>
  <c r="N183" i="13"/>
  <c r="A184" i="13"/>
  <c r="N184" i="13"/>
  <c r="A185" i="13"/>
  <c r="N185" i="13"/>
  <c r="A186" i="13"/>
  <c r="N186" i="13"/>
  <c r="A187" i="13"/>
  <c r="N187" i="13"/>
  <c r="A188" i="13"/>
  <c r="N188" i="13"/>
  <c r="A189" i="13"/>
  <c r="N189" i="13"/>
  <c r="A190" i="13"/>
  <c r="N190" i="13"/>
  <c r="A191" i="13"/>
  <c r="N191" i="13"/>
  <c r="A192" i="13"/>
  <c r="N192" i="13"/>
  <c r="A193" i="13"/>
  <c r="N193" i="13"/>
  <c r="E194" i="13"/>
  <c r="N194" i="13"/>
  <c r="A195" i="13"/>
  <c r="N195" i="13"/>
  <c r="A196" i="13"/>
  <c r="N196" i="13"/>
  <c r="A197" i="13"/>
  <c r="N197" i="13"/>
  <c r="A198" i="13"/>
  <c r="N198" i="13"/>
  <c r="A199" i="13"/>
  <c r="N199" i="13"/>
  <c r="A200" i="13"/>
  <c r="N200" i="13"/>
  <c r="A201" i="13"/>
  <c r="N201" i="13"/>
  <c r="A202" i="13"/>
  <c r="N202" i="13"/>
  <c r="A203" i="13"/>
  <c r="N203" i="13"/>
  <c r="A204" i="13"/>
  <c r="N204" i="13"/>
  <c r="A205" i="13"/>
  <c r="N205" i="13"/>
  <c r="A206" i="13"/>
  <c r="N206" i="13"/>
  <c r="A207" i="13"/>
  <c r="N207" i="13"/>
  <c r="A208" i="13"/>
  <c r="N208" i="13"/>
  <c r="A209" i="13"/>
  <c r="N209" i="13"/>
  <c r="A210" i="13"/>
  <c r="N210" i="13"/>
  <c r="A211" i="13"/>
  <c r="N211" i="13"/>
  <c r="A212" i="13"/>
  <c r="N212" i="13"/>
  <c r="A213" i="13"/>
  <c r="N213" i="13"/>
  <c r="A214" i="13"/>
  <c r="N214" i="13"/>
  <c r="E215" i="13"/>
  <c r="N215" i="13"/>
  <c r="A216" i="13"/>
  <c r="N216" i="13"/>
  <c r="A217" i="13"/>
  <c r="N217" i="13"/>
  <c r="A218" i="13"/>
  <c r="N218" i="13"/>
  <c r="A219" i="13"/>
  <c r="N219" i="13"/>
  <c r="A220" i="13"/>
  <c r="N220" i="13"/>
  <c r="A221" i="13"/>
  <c r="N221" i="13"/>
  <c r="A222" i="13"/>
  <c r="N222" i="13"/>
  <c r="A223" i="13"/>
  <c r="N223" i="13"/>
  <c r="A224" i="13"/>
  <c r="N224" i="13"/>
  <c r="A225" i="13"/>
  <c r="N225" i="13"/>
  <c r="A226" i="13"/>
  <c r="N226" i="13"/>
  <c r="A227" i="13"/>
  <c r="N227" i="13"/>
  <c r="A228" i="13"/>
  <c r="N228" i="13"/>
  <c r="A229" i="13"/>
  <c r="N229" i="13"/>
  <c r="A230" i="13"/>
  <c r="N230" i="13"/>
  <c r="A231" i="13"/>
  <c r="N231" i="13"/>
  <c r="A232" i="13"/>
  <c r="N232" i="13"/>
  <c r="A233" i="13"/>
  <c r="N233" i="13"/>
  <c r="A234" i="13"/>
  <c r="N234" i="13"/>
  <c r="A235" i="13"/>
  <c r="N235" i="13"/>
  <c r="E236" i="13"/>
  <c r="N236" i="13"/>
  <c r="A237" i="13"/>
  <c r="N237" i="13"/>
  <c r="A238" i="13"/>
  <c r="N238" i="13"/>
  <c r="A239" i="13"/>
  <c r="N239" i="13"/>
  <c r="A240" i="13"/>
  <c r="N240" i="13"/>
  <c r="A241" i="13"/>
  <c r="N241" i="13"/>
  <c r="A242" i="13"/>
  <c r="N242" i="13"/>
  <c r="A243" i="13"/>
  <c r="N243" i="13"/>
  <c r="A244" i="13"/>
  <c r="N244" i="13"/>
  <c r="A245" i="13"/>
  <c r="N245" i="13"/>
  <c r="A246" i="13"/>
  <c r="N246" i="13"/>
  <c r="A247" i="13"/>
  <c r="N247" i="13"/>
  <c r="A248" i="13"/>
  <c r="N248" i="13"/>
  <c r="A249" i="13"/>
  <c r="N249" i="13"/>
  <c r="A250" i="13"/>
  <c r="N250" i="13"/>
  <c r="A251" i="13"/>
  <c r="N251" i="13"/>
  <c r="A252" i="13"/>
  <c r="N252" i="13"/>
  <c r="A253" i="13"/>
  <c r="N253" i="13"/>
  <c r="A254" i="13"/>
  <c r="N254" i="13"/>
  <c r="A255" i="13"/>
  <c r="N255" i="13"/>
  <c r="A256" i="13"/>
  <c r="N256" i="13"/>
  <c r="E257" i="13"/>
  <c r="N257" i="13"/>
  <c r="A258" i="13"/>
  <c r="N258" i="13"/>
  <c r="A259" i="13"/>
  <c r="N259" i="13"/>
  <c r="A260" i="13"/>
  <c r="N260" i="13"/>
  <c r="A261" i="13"/>
  <c r="N261" i="13"/>
  <c r="A262" i="13"/>
  <c r="N262" i="13"/>
  <c r="A263" i="13"/>
  <c r="N263" i="13"/>
  <c r="A264" i="13"/>
  <c r="N264" i="13"/>
  <c r="A265" i="13"/>
  <c r="N265" i="13"/>
  <c r="A266" i="13"/>
  <c r="N266" i="13"/>
  <c r="A267" i="13"/>
  <c r="N267" i="13"/>
  <c r="A268" i="13"/>
  <c r="N268" i="13"/>
  <c r="A269" i="13"/>
  <c r="N269" i="13"/>
  <c r="A270" i="13"/>
  <c r="N270" i="13"/>
  <c r="A271" i="13"/>
  <c r="N271" i="13"/>
  <c r="A272" i="13"/>
  <c r="N272" i="13"/>
  <c r="A273" i="13"/>
  <c r="N273" i="13"/>
  <c r="A274" i="13"/>
  <c r="N274" i="13"/>
  <c r="A275" i="13"/>
  <c r="N275" i="13"/>
  <c r="A276" i="13"/>
  <c r="N276" i="13"/>
  <c r="A277" i="13"/>
  <c r="N277" i="13"/>
  <c r="E278" i="13"/>
  <c r="N278" i="13"/>
  <c r="A279" i="13"/>
  <c r="N279" i="13"/>
  <c r="A280" i="13"/>
  <c r="N280" i="13"/>
  <c r="A281" i="13"/>
  <c r="N281" i="13"/>
  <c r="A282" i="13"/>
  <c r="N282" i="13"/>
  <c r="A283" i="13"/>
  <c r="N283" i="13"/>
  <c r="A284" i="13"/>
  <c r="N284" i="13"/>
  <c r="A285" i="13"/>
  <c r="N285" i="13"/>
  <c r="A286" i="13"/>
  <c r="N286" i="13"/>
  <c r="A287" i="13"/>
  <c r="N287" i="13"/>
  <c r="A288" i="13"/>
  <c r="N288" i="13"/>
  <c r="A289" i="13"/>
  <c r="N289" i="13"/>
  <c r="A290" i="13"/>
  <c r="N290" i="13"/>
  <c r="A291" i="13"/>
  <c r="N291" i="13"/>
  <c r="A292" i="13"/>
  <c r="N292" i="13"/>
  <c r="A293" i="13"/>
  <c r="N293" i="13"/>
  <c r="A294" i="13"/>
  <c r="N294" i="13"/>
  <c r="A295" i="13"/>
  <c r="N295" i="13"/>
  <c r="A296" i="13"/>
  <c r="N296" i="13"/>
  <c r="A297" i="13"/>
  <c r="N297" i="13"/>
  <c r="A298" i="13"/>
  <c r="N298" i="13"/>
  <c r="E299" i="13"/>
  <c r="N299" i="13"/>
  <c r="A300" i="13"/>
  <c r="N300" i="13"/>
  <c r="A301" i="13"/>
  <c r="N301" i="13"/>
  <c r="A302" i="13"/>
  <c r="N302" i="13"/>
  <c r="A303" i="13"/>
  <c r="N303" i="13"/>
  <c r="A304" i="13"/>
  <c r="N304" i="13"/>
  <c r="A305" i="13"/>
  <c r="N305" i="13"/>
  <c r="A306" i="13"/>
  <c r="N306" i="13"/>
  <c r="A307" i="13"/>
  <c r="N307" i="13"/>
  <c r="A308" i="13"/>
  <c r="N308" i="13"/>
  <c r="A309" i="13"/>
  <c r="N309" i="13"/>
  <c r="A310" i="13"/>
  <c r="N310" i="13"/>
  <c r="A311" i="13"/>
  <c r="N311" i="13"/>
  <c r="A312" i="13"/>
  <c r="N312" i="13"/>
  <c r="A313" i="13"/>
  <c r="N313" i="13"/>
  <c r="A314" i="13"/>
  <c r="N314" i="13"/>
  <c r="A315" i="13"/>
  <c r="N315" i="13"/>
  <c r="A316" i="13"/>
  <c r="N316" i="13"/>
  <c r="A317" i="13"/>
  <c r="N317" i="13"/>
  <c r="A318" i="13"/>
  <c r="N318" i="13"/>
  <c r="A319" i="13"/>
  <c r="N319" i="13"/>
  <c r="E320" i="13"/>
  <c r="N320" i="13"/>
  <c r="A321" i="13"/>
  <c r="N321" i="13"/>
  <c r="A322" i="13"/>
  <c r="N322" i="13"/>
  <c r="A323" i="13"/>
  <c r="N323" i="13"/>
  <c r="A324" i="13"/>
  <c r="N324" i="13"/>
  <c r="A325" i="13"/>
  <c r="N325" i="13"/>
  <c r="A326" i="13"/>
  <c r="N326" i="13"/>
  <c r="A327" i="13"/>
  <c r="N327" i="13"/>
  <c r="A328" i="13"/>
  <c r="N328" i="13"/>
  <c r="A329" i="13"/>
  <c r="N329" i="13"/>
  <c r="A330" i="13"/>
  <c r="N330" i="13"/>
  <c r="A331" i="13"/>
  <c r="N331" i="13"/>
  <c r="A332" i="13"/>
  <c r="N332" i="13"/>
  <c r="A333" i="13"/>
  <c r="N333" i="13"/>
  <c r="A334" i="13"/>
  <c r="N334" i="13"/>
  <c r="A335" i="13"/>
  <c r="N335" i="13"/>
  <c r="A336" i="13"/>
  <c r="N336" i="13"/>
  <c r="A337" i="13"/>
  <c r="N337" i="13"/>
  <c r="A338" i="13"/>
  <c r="N338" i="13"/>
  <c r="A339" i="13"/>
  <c r="N339" i="13"/>
  <c r="A340" i="13"/>
  <c r="N340" i="13"/>
  <c r="E341" i="13"/>
  <c r="N341" i="13"/>
  <c r="A342" i="13"/>
  <c r="N342" i="13"/>
  <c r="A343" i="13"/>
  <c r="N343" i="13"/>
  <c r="A344" i="13"/>
  <c r="N344" i="13"/>
  <c r="A345" i="13"/>
  <c r="N345" i="13"/>
  <c r="A346" i="13"/>
  <c r="N346" i="13"/>
  <c r="A347" i="13"/>
  <c r="N347" i="13"/>
  <c r="A348" i="13"/>
  <c r="N348" i="13"/>
  <c r="A349" i="13"/>
  <c r="N349" i="13"/>
  <c r="A350" i="13"/>
  <c r="N350" i="13"/>
  <c r="A351" i="13"/>
  <c r="N351" i="13"/>
  <c r="A352" i="13"/>
  <c r="N352" i="13"/>
  <c r="A353" i="13"/>
  <c r="N353" i="13"/>
  <c r="A354" i="13"/>
  <c r="N354" i="13"/>
  <c r="A355" i="13"/>
  <c r="N355" i="13"/>
  <c r="A356" i="13"/>
  <c r="N356" i="13"/>
  <c r="A357" i="13"/>
  <c r="N357" i="13"/>
  <c r="A358" i="13"/>
  <c r="N358" i="13"/>
  <c r="A359" i="13"/>
  <c r="N359" i="13"/>
  <c r="A360" i="13"/>
  <c r="N360" i="13"/>
  <c r="A361" i="13"/>
  <c r="N361" i="13"/>
  <c r="E362" i="13"/>
  <c r="N362" i="13"/>
  <c r="A363" i="13"/>
  <c r="N363" i="13"/>
  <c r="A364" i="13"/>
  <c r="N364" i="13"/>
  <c r="A365" i="13"/>
  <c r="N365" i="13"/>
  <c r="A366" i="13"/>
  <c r="N366" i="13"/>
  <c r="A367" i="13"/>
  <c r="N367" i="13"/>
  <c r="A368" i="13"/>
  <c r="N368" i="13"/>
  <c r="A369" i="13"/>
  <c r="N369" i="13"/>
  <c r="A370" i="13"/>
  <c r="N370" i="13"/>
  <c r="A371" i="13"/>
  <c r="N371" i="13"/>
  <c r="A372" i="13"/>
  <c r="N372" i="13"/>
  <c r="A373" i="13"/>
  <c r="N373" i="13"/>
  <c r="A374" i="13"/>
  <c r="N374" i="13"/>
  <c r="A375" i="13"/>
  <c r="N375" i="13"/>
  <c r="A376" i="13"/>
  <c r="N376" i="13"/>
  <c r="A377" i="13"/>
  <c r="N377" i="13"/>
  <c r="A378" i="13"/>
  <c r="N378" i="13"/>
  <c r="A379" i="13"/>
  <c r="N379" i="13"/>
  <c r="A380" i="13"/>
  <c r="N380" i="13"/>
  <c r="A381" i="13"/>
  <c r="N381" i="13"/>
  <c r="A382" i="13"/>
  <c r="N382" i="13"/>
  <c r="E383" i="13"/>
  <c r="N383" i="13"/>
  <c r="A384" i="13"/>
  <c r="N384" i="13"/>
  <c r="A385" i="13"/>
  <c r="N385" i="13"/>
  <c r="A386" i="13"/>
  <c r="N386" i="13"/>
  <c r="A387" i="13"/>
  <c r="N387" i="13"/>
  <c r="A388" i="13"/>
  <c r="N388" i="13"/>
  <c r="A389" i="13"/>
  <c r="N389" i="13"/>
  <c r="A390" i="13"/>
  <c r="N390" i="13"/>
  <c r="A391" i="13"/>
  <c r="N391" i="13"/>
  <c r="A392" i="13"/>
  <c r="N392" i="13"/>
  <c r="A393" i="13"/>
  <c r="N393" i="13"/>
  <c r="A394" i="13"/>
  <c r="N394" i="13"/>
  <c r="A395" i="13"/>
  <c r="N395" i="13"/>
  <c r="A396" i="13"/>
  <c r="N396" i="13"/>
  <c r="A397" i="13"/>
  <c r="N397" i="13"/>
  <c r="A398" i="13"/>
  <c r="N398" i="13"/>
  <c r="A399" i="13"/>
  <c r="N399" i="13"/>
  <c r="A400" i="13"/>
  <c r="N400" i="13"/>
  <c r="A401" i="13"/>
  <c r="N401" i="13"/>
  <c r="A402" i="13"/>
  <c r="N402" i="13"/>
  <c r="A403" i="13"/>
  <c r="N403" i="13"/>
  <c r="E404" i="13"/>
  <c r="N404" i="13"/>
  <c r="A405" i="13"/>
  <c r="N405" i="13"/>
  <c r="A406" i="13"/>
  <c r="N406" i="13"/>
  <c r="A407" i="13"/>
  <c r="N407" i="13"/>
  <c r="A408" i="13"/>
  <c r="N408" i="13"/>
  <c r="A409" i="13"/>
  <c r="N409" i="13"/>
  <c r="A410" i="13"/>
  <c r="N410" i="13"/>
  <c r="A411" i="13"/>
  <c r="N411" i="13"/>
  <c r="A412" i="13"/>
  <c r="N412" i="13"/>
  <c r="A413" i="13"/>
  <c r="N413" i="13"/>
  <c r="A414" i="13"/>
  <c r="N414" i="13"/>
  <c r="A415" i="13"/>
  <c r="N415" i="13"/>
  <c r="A416" i="13"/>
  <c r="N416" i="13"/>
  <c r="A417" i="13"/>
  <c r="N417" i="13"/>
  <c r="A418" i="13"/>
  <c r="N418" i="13"/>
  <c r="A419" i="13"/>
  <c r="N419" i="13"/>
  <c r="A420" i="13"/>
  <c r="N420" i="13"/>
  <c r="A421" i="13"/>
  <c r="N421" i="13"/>
  <c r="A422" i="13"/>
  <c r="N422" i="13"/>
  <c r="A423" i="13"/>
  <c r="N423" i="13"/>
  <c r="A424" i="13"/>
  <c r="N424" i="13"/>
  <c r="E425" i="13"/>
  <c r="N425" i="13"/>
  <c r="A426" i="13"/>
  <c r="N426" i="13"/>
  <c r="A427" i="13"/>
  <c r="N427" i="13"/>
  <c r="A428" i="13"/>
  <c r="N428" i="13"/>
  <c r="A429" i="13"/>
  <c r="N429" i="13"/>
  <c r="A430" i="13"/>
  <c r="N430" i="13"/>
  <c r="A431" i="13"/>
  <c r="N431" i="13"/>
  <c r="A432" i="13"/>
  <c r="N432" i="13"/>
  <c r="A433" i="13"/>
  <c r="N433" i="13"/>
  <c r="A434" i="13"/>
  <c r="N434" i="13"/>
  <c r="A435" i="13"/>
  <c r="N435" i="13"/>
  <c r="A436" i="13"/>
  <c r="N436" i="13"/>
  <c r="A437" i="13"/>
  <c r="N437" i="13"/>
  <c r="A438" i="13"/>
  <c r="N438" i="13"/>
  <c r="A439" i="13"/>
  <c r="N439" i="13"/>
  <c r="A440" i="13"/>
  <c r="N440" i="13"/>
  <c r="A441" i="13"/>
  <c r="N441" i="13"/>
  <c r="A442" i="13"/>
  <c r="N442" i="13"/>
  <c r="A443" i="13"/>
  <c r="N443" i="13"/>
  <c r="A444" i="13"/>
  <c r="N444" i="13"/>
  <c r="A445" i="13"/>
  <c r="N445" i="13"/>
  <c r="E446" i="13"/>
  <c r="N446" i="13"/>
  <c r="A447" i="13"/>
  <c r="N447" i="13"/>
  <c r="A448" i="13"/>
  <c r="N448" i="13"/>
  <c r="A449" i="13"/>
  <c r="N449" i="13"/>
  <c r="A450" i="13"/>
  <c r="N450" i="13"/>
  <c r="A451" i="13"/>
  <c r="N451" i="13"/>
  <c r="A452" i="13"/>
  <c r="N452" i="13"/>
  <c r="A453" i="13"/>
  <c r="N453" i="13"/>
  <c r="A454" i="13"/>
  <c r="N454" i="13"/>
  <c r="A455" i="13"/>
  <c r="N455" i="13"/>
  <c r="A456" i="13"/>
  <c r="N456" i="13"/>
  <c r="A457" i="13"/>
  <c r="N457" i="13"/>
  <c r="A458" i="13"/>
  <c r="N458" i="13"/>
  <c r="A459" i="13"/>
  <c r="N459" i="13"/>
  <c r="A460" i="13"/>
  <c r="N460" i="13"/>
  <c r="A461" i="13"/>
  <c r="N461" i="13"/>
  <c r="A462" i="13"/>
  <c r="N462" i="13"/>
  <c r="A463" i="13"/>
  <c r="N463" i="13"/>
  <c r="A464" i="13"/>
  <c r="N464" i="13"/>
  <c r="A465" i="13"/>
  <c r="N465" i="13"/>
  <c r="A466" i="13"/>
  <c r="N466" i="13"/>
  <c r="E467" i="13"/>
  <c r="N467" i="13"/>
  <c r="A468" i="13"/>
  <c r="N468" i="13"/>
  <c r="A469" i="13"/>
  <c r="N469" i="13"/>
  <c r="A470" i="13"/>
  <c r="N470" i="13"/>
  <c r="A471" i="13"/>
  <c r="N471" i="13"/>
  <c r="A472" i="13"/>
  <c r="N472" i="13"/>
  <c r="A473" i="13"/>
  <c r="N473" i="13"/>
  <c r="A474" i="13"/>
  <c r="N474" i="13"/>
  <c r="A475" i="13"/>
  <c r="N475" i="13"/>
  <c r="A476" i="13"/>
  <c r="N476" i="13"/>
  <c r="A477" i="13"/>
  <c r="N477" i="13"/>
  <c r="A478" i="13"/>
  <c r="N478" i="13"/>
  <c r="A479" i="13"/>
  <c r="N479" i="13"/>
  <c r="A480" i="13"/>
  <c r="N480" i="13"/>
  <c r="A481" i="13"/>
  <c r="N481" i="13"/>
  <c r="A482" i="13"/>
  <c r="N482" i="13"/>
  <c r="A483" i="13"/>
  <c r="N483" i="13"/>
  <c r="A484" i="13"/>
  <c r="N484" i="13"/>
  <c r="A485" i="13"/>
  <c r="N485" i="13"/>
  <c r="A486" i="13"/>
  <c r="N486" i="13"/>
  <c r="A487" i="13"/>
  <c r="N487" i="13"/>
  <c r="E488" i="13"/>
  <c r="N488" i="13"/>
  <c r="A489" i="13"/>
  <c r="N489" i="13"/>
  <c r="A490" i="13"/>
  <c r="N490" i="13"/>
  <c r="A491" i="13"/>
  <c r="N491" i="13"/>
  <c r="A492" i="13"/>
  <c r="N492" i="13"/>
  <c r="A493" i="13"/>
  <c r="N493" i="13"/>
  <c r="A494" i="13"/>
  <c r="N494" i="13"/>
  <c r="A495" i="13"/>
  <c r="N495" i="13"/>
  <c r="A496" i="13"/>
  <c r="N496" i="13"/>
  <c r="A497" i="13"/>
  <c r="N497" i="13"/>
  <c r="A498" i="13"/>
  <c r="N498" i="13"/>
  <c r="A499" i="13"/>
  <c r="N499" i="13"/>
  <c r="A500" i="13"/>
  <c r="N500" i="13"/>
  <c r="A501" i="13"/>
  <c r="N501" i="13"/>
  <c r="A502" i="13"/>
  <c r="N502" i="13"/>
  <c r="A503" i="13"/>
  <c r="N503" i="13"/>
  <c r="A504" i="13"/>
  <c r="N504" i="13"/>
  <c r="A505" i="13"/>
  <c r="N505" i="13"/>
  <c r="A506" i="13"/>
  <c r="N506" i="13"/>
  <c r="A507" i="13"/>
  <c r="N507" i="13"/>
  <c r="A508" i="13"/>
  <c r="N508" i="13"/>
  <c r="E509" i="13"/>
  <c r="N509" i="13"/>
  <c r="A510" i="13"/>
  <c r="N510" i="13"/>
  <c r="A511" i="13"/>
  <c r="N511" i="13"/>
  <c r="A512" i="13"/>
  <c r="N512" i="13"/>
  <c r="A513" i="13"/>
  <c r="N513" i="13"/>
  <c r="A514" i="13"/>
  <c r="N514" i="13"/>
  <c r="A515" i="13"/>
  <c r="N515" i="13"/>
  <c r="A516" i="13"/>
  <c r="N516" i="13"/>
  <c r="A517" i="13"/>
  <c r="N517" i="13"/>
  <c r="A518" i="13"/>
  <c r="N518" i="13"/>
  <c r="A519" i="13"/>
  <c r="N519" i="13"/>
  <c r="A520" i="13"/>
  <c r="N520" i="13"/>
  <c r="A521" i="13"/>
  <c r="N521" i="13"/>
  <c r="A522" i="13"/>
  <c r="N522" i="13"/>
  <c r="A523" i="13"/>
  <c r="N523" i="13"/>
  <c r="A524" i="13"/>
  <c r="N524" i="13"/>
  <c r="A525" i="13"/>
  <c r="N525" i="13"/>
  <c r="A526" i="13"/>
  <c r="N526" i="13"/>
  <c r="A527" i="13"/>
  <c r="N527" i="13"/>
  <c r="A528" i="13"/>
  <c r="N528" i="13"/>
  <c r="A529" i="13"/>
  <c r="N529" i="13"/>
  <c r="E530" i="13"/>
  <c r="N530" i="13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E26" i="14"/>
  <c r="N26" i="14"/>
  <c r="N27" i="14"/>
  <c r="N28" i="14"/>
  <c r="N29" i="14"/>
  <c r="N30" i="14"/>
  <c r="N31" i="14"/>
  <c r="A32" i="14"/>
  <c r="N32" i="14"/>
  <c r="A33" i="14"/>
  <c r="N33" i="14"/>
  <c r="A34" i="14"/>
  <c r="N34" i="14"/>
  <c r="A35" i="14"/>
  <c r="N35" i="14"/>
  <c r="A36" i="14"/>
  <c r="N36" i="14"/>
  <c r="A37" i="14"/>
  <c r="N37" i="14"/>
  <c r="A38" i="14"/>
  <c r="N38" i="14"/>
  <c r="A39" i="14"/>
  <c r="N39" i="14"/>
  <c r="A40" i="14"/>
  <c r="N40" i="14"/>
  <c r="A41" i="14"/>
  <c r="N41" i="14"/>
  <c r="A42" i="14"/>
  <c r="N42" i="14"/>
  <c r="A43" i="14"/>
  <c r="N43" i="14"/>
  <c r="A44" i="14"/>
  <c r="N44" i="14"/>
  <c r="A45" i="14"/>
  <c r="N45" i="14"/>
  <c r="A46" i="14"/>
  <c r="N46" i="14"/>
  <c r="E47" i="14"/>
  <c r="N47" i="14"/>
  <c r="A48" i="14"/>
  <c r="N48" i="14"/>
  <c r="A49" i="14"/>
  <c r="N49" i="14"/>
  <c r="A50" i="14"/>
  <c r="N50" i="14"/>
  <c r="A51" i="14"/>
  <c r="N51" i="14"/>
  <c r="A52" i="14"/>
  <c r="N52" i="14"/>
  <c r="A53" i="14"/>
  <c r="N53" i="14"/>
  <c r="A54" i="14"/>
  <c r="N54" i="14"/>
  <c r="A55" i="14"/>
  <c r="N55" i="14"/>
  <c r="A56" i="14"/>
  <c r="N56" i="14"/>
  <c r="A57" i="14"/>
  <c r="N57" i="14"/>
  <c r="A58" i="14"/>
  <c r="N58" i="14"/>
  <c r="A59" i="14"/>
  <c r="N59" i="14"/>
  <c r="A60" i="14"/>
  <c r="N60" i="14"/>
  <c r="A61" i="14"/>
  <c r="N61" i="14"/>
  <c r="A62" i="14"/>
  <c r="N62" i="14"/>
  <c r="A63" i="14"/>
  <c r="N63" i="14"/>
  <c r="A64" i="14"/>
  <c r="N64" i="14"/>
  <c r="A65" i="14"/>
  <c r="N65" i="14"/>
  <c r="A66" i="14"/>
  <c r="N66" i="14"/>
  <c r="A67" i="14"/>
  <c r="N67" i="14"/>
  <c r="E68" i="14"/>
  <c r="N68" i="14"/>
  <c r="A69" i="14"/>
  <c r="N69" i="14"/>
  <c r="A70" i="14"/>
  <c r="N70" i="14"/>
  <c r="A71" i="14"/>
  <c r="N71" i="14"/>
  <c r="A72" i="14"/>
  <c r="N72" i="14"/>
  <c r="A73" i="14"/>
  <c r="N73" i="14"/>
  <c r="A74" i="14"/>
  <c r="N74" i="14"/>
  <c r="A75" i="14"/>
  <c r="N75" i="14"/>
  <c r="A76" i="14"/>
  <c r="N76" i="14"/>
  <c r="A77" i="14"/>
  <c r="N77" i="14"/>
  <c r="A78" i="14"/>
  <c r="N78" i="14"/>
  <c r="A79" i="14"/>
  <c r="N79" i="14"/>
  <c r="A80" i="14"/>
  <c r="N80" i="14"/>
  <c r="A81" i="14"/>
  <c r="N81" i="14"/>
  <c r="A82" i="14"/>
  <c r="N82" i="14"/>
  <c r="A83" i="14"/>
  <c r="N83" i="14"/>
  <c r="A84" i="14"/>
  <c r="N84" i="14"/>
  <c r="A85" i="14"/>
  <c r="N85" i="14"/>
  <c r="A86" i="14"/>
  <c r="N86" i="14"/>
  <c r="A87" i="14"/>
  <c r="N87" i="14"/>
  <c r="A88" i="14"/>
  <c r="N88" i="14"/>
  <c r="E89" i="14"/>
  <c r="N89" i="14"/>
  <c r="A90" i="14"/>
  <c r="N90" i="14"/>
  <c r="A91" i="14"/>
  <c r="N91" i="14"/>
  <c r="A92" i="14"/>
  <c r="N92" i="14"/>
  <c r="A93" i="14"/>
  <c r="N93" i="14"/>
  <c r="A94" i="14"/>
  <c r="N94" i="14"/>
  <c r="A95" i="14"/>
  <c r="N95" i="14"/>
  <c r="A96" i="14"/>
  <c r="N96" i="14"/>
  <c r="A97" i="14"/>
  <c r="N97" i="14"/>
  <c r="A98" i="14"/>
  <c r="N98" i="14"/>
  <c r="A99" i="14"/>
  <c r="N99" i="14"/>
  <c r="A100" i="14"/>
  <c r="N100" i="14"/>
  <c r="A101" i="14"/>
  <c r="N101" i="14"/>
  <c r="A102" i="14"/>
  <c r="N102" i="14"/>
  <c r="A103" i="14"/>
  <c r="N103" i="14"/>
  <c r="A104" i="14"/>
  <c r="N104" i="14"/>
  <c r="A105" i="14"/>
  <c r="N105" i="14"/>
  <c r="A106" i="14"/>
  <c r="N106" i="14"/>
  <c r="A107" i="14"/>
  <c r="N107" i="14"/>
  <c r="A108" i="14"/>
  <c r="N108" i="14"/>
  <c r="A109" i="14"/>
  <c r="N109" i="14"/>
  <c r="E110" i="14"/>
  <c r="N110" i="14"/>
  <c r="A111" i="14"/>
  <c r="N111" i="14"/>
  <c r="A112" i="14"/>
  <c r="N112" i="14"/>
  <c r="A113" i="14"/>
  <c r="N113" i="14"/>
  <c r="A114" i="14"/>
  <c r="N114" i="14"/>
  <c r="A115" i="14"/>
  <c r="N115" i="14"/>
  <c r="A116" i="14"/>
  <c r="N116" i="14"/>
  <c r="A117" i="14"/>
  <c r="N117" i="14"/>
  <c r="A118" i="14"/>
  <c r="N118" i="14"/>
  <c r="A119" i="14"/>
  <c r="N119" i="14"/>
  <c r="A120" i="14"/>
  <c r="N120" i="14"/>
  <c r="A121" i="14"/>
  <c r="N121" i="14"/>
  <c r="A122" i="14"/>
  <c r="N122" i="14"/>
  <c r="A123" i="14"/>
  <c r="N123" i="14"/>
  <c r="A124" i="14"/>
  <c r="N124" i="14"/>
  <c r="A125" i="14"/>
  <c r="N125" i="14"/>
  <c r="A126" i="14"/>
  <c r="N126" i="14"/>
  <c r="A127" i="14"/>
  <c r="N127" i="14"/>
  <c r="A128" i="14"/>
  <c r="N128" i="14"/>
  <c r="A129" i="14"/>
  <c r="N129" i="14"/>
  <c r="A130" i="14"/>
  <c r="N130" i="14"/>
  <c r="E131" i="14"/>
  <c r="N131" i="14"/>
  <c r="A132" i="14"/>
  <c r="N132" i="14"/>
  <c r="A133" i="14"/>
  <c r="N133" i="14"/>
  <c r="A134" i="14"/>
  <c r="N134" i="14"/>
  <c r="A135" i="14"/>
  <c r="N135" i="14"/>
  <c r="A136" i="14"/>
  <c r="N136" i="14"/>
  <c r="A137" i="14"/>
  <c r="N137" i="14"/>
  <c r="A138" i="14"/>
  <c r="N138" i="14"/>
  <c r="A139" i="14"/>
  <c r="N139" i="14"/>
  <c r="A140" i="14"/>
  <c r="N140" i="14"/>
  <c r="A141" i="14"/>
  <c r="N141" i="14"/>
  <c r="A142" i="14"/>
  <c r="N142" i="14"/>
  <c r="A143" i="14"/>
  <c r="N143" i="14"/>
  <c r="A144" i="14"/>
  <c r="N144" i="14"/>
  <c r="A145" i="14"/>
  <c r="N145" i="14"/>
  <c r="A146" i="14"/>
  <c r="N146" i="14"/>
  <c r="A147" i="14"/>
  <c r="N147" i="14"/>
  <c r="A148" i="14"/>
  <c r="N148" i="14"/>
  <c r="A149" i="14"/>
  <c r="N149" i="14"/>
  <c r="A150" i="14"/>
  <c r="N150" i="14"/>
  <c r="A151" i="14"/>
  <c r="N151" i="14"/>
  <c r="E152" i="14"/>
  <c r="N152" i="14"/>
  <c r="A153" i="14"/>
  <c r="N153" i="14"/>
  <c r="A154" i="14"/>
  <c r="N154" i="14"/>
  <c r="A155" i="14"/>
  <c r="N155" i="14"/>
  <c r="A156" i="14"/>
  <c r="N156" i="14"/>
  <c r="A157" i="14"/>
  <c r="N157" i="14"/>
  <c r="A158" i="14"/>
  <c r="N158" i="14"/>
  <c r="A159" i="14"/>
  <c r="N159" i="14"/>
  <c r="A160" i="14"/>
  <c r="N160" i="14"/>
  <c r="A161" i="14"/>
  <c r="N161" i="14"/>
  <c r="A162" i="14"/>
  <c r="N162" i="14"/>
  <c r="A163" i="14"/>
  <c r="N163" i="14"/>
  <c r="A164" i="14"/>
  <c r="N164" i="14"/>
  <c r="A165" i="14"/>
  <c r="N165" i="14"/>
  <c r="A166" i="14"/>
  <c r="N166" i="14"/>
  <c r="A167" i="14"/>
  <c r="N167" i="14"/>
  <c r="A168" i="14"/>
  <c r="N168" i="14"/>
  <c r="A169" i="14"/>
  <c r="N169" i="14"/>
  <c r="A170" i="14"/>
  <c r="N170" i="14"/>
  <c r="A171" i="14"/>
  <c r="N171" i="14"/>
  <c r="A172" i="14"/>
  <c r="N172" i="14"/>
  <c r="E173" i="14"/>
  <c r="N173" i="14"/>
  <c r="A174" i="14"/>
  <c r="N174" i="14"/>
  <c r="A175" i="14"/>
  <c r="N175" i="14"/>
  <c r="A176" i="14"/>
  <c r="N176" i="14"/>
  <c r="A177" i="14"/>
  <c r="N177" i="14"/>
  <c r="A178" i="14"/>
  <c r="N178" i="14"/>
  <c r="A179" i="14"/>
  <c r="N179" i="14"/>
  <c r="A180" i="14"/>
  <c r="N180" i="14"/>
  <c r="A181" i="14"/>
  <c r="N181" i="14"/>
  <c r="A182" i="14"/>
  <c r="N182" i="14"/>
  <c r="A183" i="14"/>
  <c r="N183" i="14"/>
  <c r="A184" i="14"/>
  <c r="N184" i="14"/>
  <c r="A185" i="14"/>
  <c r="N185" i="14"/>
  <c r="A186" i="14"/>
  <c r="N186" i="14"/>
  <c r="A187" i="14"/>
  <c r="N187" i="14"/>
  <c r="A188" i="14"/>
  <c r="N188" i="14"/>
  <c r="A189" i="14"/>
  <c r="N189" i="14"/>
  <c r="A190" i="14"/>
  <c r="N190" i="14"/>
  <c r="A191" i="14"/>
  <c r="N191" i="14"/>
  <c r="A192" i="14"/>
  <c r="N192" i="14"/>
  <c r="A193" i="14"/>
  <c r="N193" i="14"/>
  <c r="E194" i="14"/>
  <c r="N194" i="14"/>
  <c r="A195" i="14"/>
  <c r="N195" i="14"/>
  <c r="A196" i="14"/>
  <c r="N196" i="14"/>
  <c r="A197" i="14"/>
  <c r="N197" i="14"/>
  <c r="A198" i="14"/>
  <c r="N198" i="14"/>
  <c r="A199" i="14"/>
  <c r="N199" i="14"/>
  <c r="A200" i="14"/>
  <c r="N200" i="14"/>
  <c r="A201" i="14"/>
  <c r="N201" i="14"/>
  <c r="A202" i="14"/>
  <c r="N202" i="14"/>
  <c r="A203" i="14"/>
  <c r="N203" i="14"/>
  <c r="A204" i="14"/>
  <c r="N204" i="14"/>
  <c r="A205" i="14"/>
  <c r="N205" i="14"/>
  <c r="A206" i="14"/>
  <c r="N206" i="14"/>
  <c r="A207" i="14"/>
  <c r="N207" i="14"/>
  <c r="A208" i="14"/>
  <c r="N208" i="14"/>
  <c r="A209" i="14"/>
  <c r="N209" i="14"/>
  <c r="A210" i="14"/>
  <c r="N210" i="14"/>
  <c r="A211" i="14"/>
  <c r="N211" i="14"/>
  <c r="A212" i="14"/>
  <c r="N212" i="14"/>
  <c r="A213" i="14"/>
  <c r="N213" i="14"/>
  <c r="A214" i="14"/>
  <c r="N214" i="14"/>
  <c r="E215" i="14"/>
  <c r="N215" i="14"/>
  <c r="A216" i="14"/>
  <c r="N216" i="14"/>
  <c r="A217" i="14"/>
  <c r="N217" i="14"/>
  <c r="A218" i="14"/>
  <c r="N218" i="14"/>
  <c r="A219" i="14"/>
  <c r="N219" i="14"/>
  <c r="A220" i="14"/>
  <c r="N220" i="14"/>
  <c r="A221" i="14"/>
  <c r="N221" i="14"/>
  <c r="A222" i="14"/>
  <c r="N222" i="14"/>
  <c r="A223" i="14"/>
  <c r="N223" i="14"/>
  <c r="A224" i="14"/>
  <c r="N224" i="14"/>
  <c r="A225" i="14"/>
  <c r="N225" i="14"/>
  <c r="A226" i="14"/>
  <c r="N226" i="14"/>
  <c r="A227" i="14"/>
  <c r="N227" i="14"/>
  <c r="A228" i="14"/>
  <c r="N228" i="14"/>
  <c r="A229" i="14"/>
  <c r="N229" i="14"/>
  <c r="A230" i="14"/>
  <c r="N230" i="14"/>
  <c r="A231" i="14"/>
  <c r="N231" i="14"/>
  <c r="A232" i="14"/>
  <c r="N232" i="14"/>
  <c r="A233" i="14"/>
  <c r="N233" i="14"/>
  <c r="A234" i="14"/>
  <c r="N234" i="14"/>
  <c r="A235" i="14"/>
  <c r="N235" i="14"/>
  <c r="E236" i="14"/>
  <c r="N236" i="14"/>
  <c r="A237" i="14"/>
  <c r="N237" i="14"/>
  <c r="A238" i="14"/>
  <c r="N238" i="14"/>
  <c r="A239" i="14"/>
  <c r="N239" i="14"/>
  <c r="A240" i="14"/>
  <c r="N240" i="14"/>
  <c r="A241" i="14"/>
  <c r="N241" i="14"/>
  <c r="A242" i="14"/>
  <c r="N242" i="14"/>
  <c r="A243" i="14"/>
  <c r="N243" i="14"/>
  <c r="A244" i="14"/>
  <c r="N244" i="14"/>
  <c r="A245" i="14"/>
  <c r="N245" i="14"/>
  <c r="A246" i="14"/>
  <c r="N246" i="14"/>
  <c r="A247" i="14"/>
  <c r="N247" i="14"/>
  <c r="A248" i="14"/>
  <c r="N248" i="14"/>
  <c r="A249" i="14"/>
  <c r="N249" i="14"/>
  <c r="A250" i="14"/>
  <c r="N250" i="14"/>
  <c r="A251" i="14"/>
  <c r="N251" i="14"/>
  <c r="A252" i="14"/>
  <c r="N252" i="14"/>
  <c r="A253" i="14"/>
  <c r="N253" i="14"/>
  <c r="A254" i="14"/>
  <c r="N254" i="14"/>
  <c r="A255" i="14"/>
  <c r="N255" i="14"/>
  <c r="A256" i="14"/>
  <c r="N256" i="14"/>
  <c r="E257" i="14"/>
  <c r="N257" i="14"/>
  <c r="A258" i="14"/>
  <c r="N258" i="14"/>
  <c r="A259" i="14"/>
  <c r="N259" i="14"/>
  <c r="A260" i="14"/>
  <c r="N260" i="14"/>
  <c r="A261" i="14"/>
  <c r="N261" i="14"/>
  <c r="A262" i="14"/>
  <c r="N262" i="14"/>
  <c r="A263" i="14"/>
  <c r="N263" i="14"/>
  <c r="A264" i="14"/>
  <c r="N264" i="14"/>
  <c r="A265" i="14"/>
  <c r="N265" i="14"/>
  <c r="A266" i="14"/>
  <c r="N266" i="14"/>
  <c r="A267" i="14"/>
  <c r="N267" i="14"/>
  <c r="A268" i="14"/>
  <c r="N268" i="14"/>
  <c r="A269" i="14"/>
  <c r="N269" i="14"/>
  <c r="A270" i="14"/>
  <c r="N270" i="14"/>
  <c r="A271" i="14"/>
  <c r="N271" i="14"/>
  <c r="A272" i="14"/>
  <c r="N272" i="14"/>
  <c r="A273" i="14"/>
  <c r="N273" i="14"/>
  <c r="A274" i="14"/>
  <c r="N274" i="14"/>
  <c r="A275" i="14"/>
  <c r="N275" i="14"/>
  <c r="A276" i="14"/>
  <c r="N276" i="14"/>
  <c r="A277" i="14"/>
  <c r="N277" i="14"/>
  <c r="E278" i="14"/>
  <c r="N278" i="14"/>
  <c r="A279" i="14"/>
  <c r="N279" i="14"/>
  <c r="A280" i="14"/>
  <c r="N280" i="14"/>
  <c r="A281" i="14"/>
  <c r="N281" i="14"/>
  <c r="A282" i="14"/>
  <c r="N282" i="14"/>
  <c r="A283" i="14"/>
  <c r="N283" i="14"/>
  <c r="A284" i="14"/>
  <c r="N284" i="14"/>
  <c r="A285" i="14"/>
  <c r="N285" i="14"/>
  <c r="A286" i="14"/>
  <c r="N286" i="14"/>
  <c r="A287" i="14"/>
  <c r="N287" i="14"/>
  <c r="A288" i="14"/>
  <c r="N288" i="14"/>
  <c r="A289" i="14"/>
  <c r="N289" i="14"/>
  <c r="A290" i="14"/>
  <c r="N290" i="14"/>
  <c r="A291" i="14"/>
  <c r="N291" i="14"/>
  <c r="A292" i="14"/>
  <c r="N292" i="14"/>
  <c r="A293" i="14"/>
  <c r="N293" i="14"/>
  <c r="A294" i="14"/>
  <c r="N294" i="14"/>
  <c r="A295" i="14"/>
  <c r="N295" i="14"/>
  <c r="A296" i="14"/>
  <c r="N296" i="14"/>
  <c r="A297" i="14"/>
  <c r="N297" i="14"/>
  <c r="A298" i="14"/>
  <c r="N298" i="14"/>
  <c r="E299" i="14"/>
  <c r="N299" i="14"/>
  <c r="A300" i="14"/>
  <c r="N300" i="14"/>
  <c r="A301" i="14"/>
  <c r="N301" i="14"/>
  <c r="A302" i="14"/>
  <c r="N302" i="14"/>
  <c r="A303" i="14"/>
  <c r="N303" i="14"/>
  <c r="A304" i="14"/>
  <c r="N304" i="14"/>
  <c r="A305" i="14"/>
  <c r="N305" i="14"/>
  <c r="A306" i="14"/>
  <c r="N306" i="14"/>
  <c r="A307" i="14"/>
  <c r="N307" i="14"/>
  <c r="A308" i="14"/>
  <c r="N308" i="14"/>
  <c r="A309" i="14"/>
  <c r="N309" i="14"/>
  <c r="A310" i="14"/>
  <c r="N310" i="14"/>
  <c r="A311" i="14"/>
  <c r="N311" i="14"/>
  <c r="A312" i="14"/>
  <c r="N312" i="14"/>
  <c r="A313" i="14"/>
  <c r="N313" i="14"/>
  <c r="A314" i="14"/>
  <c r="N314" i="14"/>
  <c r="A315" i="14"/>
  <c r="N315" i="14"/>
  <c r="A316" i="14"/>
  <c r="N316" i="14"/>
  <c r="A317" i="14"/>
  <c r="N317" i="14"/>
  <c r="A318" i="14"/>
  <c r="N318" i="14"/>
  <c r="A319" i="14"/>
  <c r="N319" i="14"/>
  <c r="E320" i="14"/>
  <c r="N320" i="14"/>
  <c r="A321" i="14"/>
  <c r="N321" i="14"/>
  <c r="A322" i="14"/>
  <c r="N322" i="14"/>
  <c r="A323" i="14"/>
  <c r="N323" i="14"/>
  <c r="A324" i="14"/>
  <c r="N324" i="14"/>
  <c r="A325" i="14"/>
  <c r="N325" i="14"/>
  <c r="A326" i="14"/>
  <c r="N326" i="14"/>
  <c r="A327" i="14"/>
  <c r="N327" i="14"/>
  <c r="A328" i="14"/>
  <c r="N328" i="14"/>
  <c r="A329" i="14"/>
  <c r="N329" i="14"/>
  <c r="A330" i="14"/>
  <c r="N330" i="14"/>
  <c r="A331" i="14"/>
  <c r="N331" i="14"/>
  <c r="A332" i="14"/>
  <c r="N332" i="14"/>
  <c r="A333" i="14"/>
  <c r="N333" i="14"/>
  <c r="A334" i="14"/>
  <c r="N334" i="14"/>
  <c r="A335" i="14"/>
  <c r="N335" i="14"/>
  <c r="A336" i="14"/>
  <c r="N336" i="14"/>
  <c r="A337" i="14"/>
  <c r="N337" i="14"/>
  <c r="A338" i="14"/>
  <c r="N338" i="14"/>
  <c r="A339" i="14"/>
  <c r="N339" i="14"/>
  <c r="A340" i="14"/>
  <c r="N340" i="14"/>
  <c r="E341" i="14"/>
  <c r="N341" i="14"/>
  <c r="A342" i="14"/>
  <c r="N342" i="14"/>
  <c r="A343" i="14"/>
  <c r="N343" i="14"/>
  <c r="A344" i="14"/>
  <c r="N344" i="14"/>
  <c r="A345" i="14"/>
  <c r="N345" i="14"/>
  <c r="A346" i="14"/>
  <c r="N346" i="14"/>
  <c r="A347" i="14"/>
  <c r="N347" i="14"/>
  <c r="A348" i="14"/>
  <c r="N348" i="14"/>
  <c r="A349" i="14"/>
  <c r="N349" i="14"/>
  <c r="A350" i="14"/>
  <c r="N350" i="14"/>
  <c r="A351" i="14"/>
  <c r="N351" i="14"/>
  <c r="A352" i="14"/>
  <c r="N352" i="14"/>
  <c r="A353" i="14"/>
  <c r="N353" i="14"/>
  <c r="A354" i="14"/>
  <c r="N354" i="14"/>
  <c r="A355" i="14"/>
  <c r="N355" i="14"/>
  <c r="A356" i="14"/>
  <c r="N356" i="14"/>
  <c r="A357" i="14"/>
  <c r="N357" i="14"/>
  <c r="A358" i="14"/>
  <c r="N358" i="14"/>
  <c r="A359" i="14"/>
  <c r="N359" i="14"/>
  <c r="A360" i="14"/>
  <c r="N360" i="14"/>
  <c r="A361" i="14"/>
  <c r="N361" i="14"/>
  <c r="E362" i="14"/>
  <c r="N362" i="14"/>
  <c r="A363" i="14"/>
  <c r="N363" i="14"/>
  <c r="A364" i="14"/>
  <c r="N364" i="14"/>
  <c r="A365" i="14"/>
  <c r="N365" i="14"/>
  <c r="A366" i="14"/>
  <c r="N366" i="14"/>
  <c r="A367" i="14"/>
  <c r="N367" i="14"/>
  <c r="A368" i="14"/>
  <c r="N368" i="14"/>
  <c r="A369" i="14"/>
  <c r="N369" i="14"/>
  <c r="A370" i="14"/>
  <c r="N370" i="14"/>
  <c r="A371" i="14"/>
  <c r="N371" i="14"/>
  <c r="A372" i="14"/>
  <c r="N372" i="14"/>
  <c r="A373" i="14"/>
  <c r="N373" i="14"/>
  <c r="A374" i="14"/>
  <c r="N374" i="14"/>
  <c r="A375" i="14"/>
  <c r="N375" i="14"/>
  <c r="A376" i="14"/>
  <c r="N376" i="14"/>
  <c r="A377" i="14"/>
  <c r="N377" i="14"/>
  <c r="A378" i="14"/>
  <c r="N378" i="14"/>
  <c r="A379" i="14"/>
  <c r="N379" i="14"/>
  <c r="A380" i="14"/>
  <c r="N380" i="14"/>
  <c r="A381" i="14"/>
  <c r="N381" i="14"/>
  <c r="A382" i="14"/>
  <c r="N382" i="14"/>
  <c r="E383" i="14"/>
  <c r="N383" i="14"/>
  <c r="A384" i="14"/>
  <c r="N384" i="14"/>
  <c r="A385" i="14"/>
  <c r="N385" i="14"/>
  <c r="A386" i="14"/>
  <c r="N386" i="14"/>
  <c r="A387" i="14"/>
  <c r="N387" i="14"/>
  <c r="A388" i="14"/>
  <c r="N388" i="14"/>
  <c r="A389" i="14"/>
  <c r="N389" i="14"/>
  <c r="A390" i="14"/>
  <c r="N390" i="14"/>
  <c r="A391" i="14"/>
  <c r="N391" i="14"/>
  <c r="A392" i="14"/>
  <c r="N392" i="14"/>
  <c r="A393" i="14"/>
  <c r="N393" i="14"/>
  <c r="A394" i="14"/>
  <c r="N394" i="14"/>
  <c r="A395" i="14"/>
  <c r="N395" i="14"/>
  <c r="A396" i="14"/>
  <c r="N396" i="14"/>
  <c r="A397" i="14"/>
  <c r="N397" i="14"/>
  <c r="A398" i="14"/>
  <c r="N398" i="14"/>
  <c r="A399" i="14"/>
  <c r="N399" i="14"/>
  <c r="A400" i="14"/>
  <c r="N400" i="14"/>
  <c r="A401" i="14"/>
  <c r="N401" i="14"/>
  <c r="A402" i="14"/>
  <c r="N402" i="14"/>
  <c r="A403" i="14"/>
  <c r="N403" i="14"/>
  <c r="E404" i="14"/>
  <c r="N404" i="14"/>
  <c r="A405" i="14"/>
  <c r="N405" i="14"/>
  <c r="A406" i="14"/>
  <c r="N406" i="14"/>
  <c r="A407" i="14"/>
  <c r="N407" i="14"/>
  <c r="A408" i="14"/>
  <c r="N408" i="14"/>
  <c r="A409" i="14"/>
  <c r="N409" i="14"/>
  <c r="A410" i="14"/>
  <c r="N410" i="14"/>
  <c r="A411" i="14"/>
  <c r="N411" i="14"/>
  <c r="A412" i="14"/>
  <c r="N412" i="14"/>
  <c r="A413" i="14"/>
  <c r="N413" i="14"/>
  <c r="A414" i="14"/>
  <c r="N414" i="14"/>
  <c r="A415" i="14"/>
  <c r="N415" i="14"/>
  <c r="A416" i="14"/>
  <c r="N416" i="14"/>
  <c r="A417" i="14"/>
  <c r="N417" i="14"/>
  <c r="A418" i="14"/>
  <c r="N418" i="14"/>
  <c r="A419" i="14"/>
  <c r="N419" i="14"/>
  <c r="A420" i="14"/>
  <c r="N420" i="14"/>
  <c r="A421" i="14"/>
  <c r="N421" i="14"/>
  <c r="A422" i="14"/>
  <c r="N422" i="14"/>
  <c r="A423" i="14"/>
  <c r="N423" i="14"/>
  <c r="A424" i="14"/>
  <c r="N424" i="14"/>
  <c r="E425" i="14"/>
  <c r="N425" i="14"/>
  <c r="A426" i="14"/>
  <c r="N426" i="14"/>
  <c r="A427" i="14"/>
  <c r="N427" i="14"/>
  <c r="A428" i="14"/>
  <c r="N428" i="14"/>
  <c r="A429" i="14"/>
  <c r="N429" i="14"/>
  <c r="A430" i="14"/>
  <c r="N430" i="14"/>
  <c r="A431" i="14"/>
  <c r="N431" i="14"/>
  <c r="A432" i="14"/>
  <c r="N432" i="14"/>
  <c r="A433" i="14"/>
  <c r="N433" i="14"/>
  <c r="A434" i="14"/>
  <c r="N434" i="14"/>
  <c r="A435" i="14"/>
  <c r="N435" i="14"/>
  <c r="A436" i="14"/>
  <c r="N436" i="14"/>
  <c r="A437" i="14"/>
  <c r="N437" i="14"/>
  <c r="A438" i="14"/>
  <c r="N438" i="14"/>
  <c r="A439" i="14"/>
  <c r="N439" i="14"/>
  <c r="A440" i="14"/>
  <c r="N440" i="14"/>
  <c r="A441" i="14"/>
  <c r="N441" i="14"/>
  <c r="A442" i="14"/>
  <c r="N442" i="14"/>
  <c r="A443" i="14"/>
  <c r="N443" i="14"/>
  <c r="A444" i="14"/>
  <c r="N444" i="14"/>
  <c r="A445" i="14"/>
  <c r="N445" i="14"/>
  <c r="E446" i="14"/>
  <c r="N446" i="14"/>
  <c r="A447" i="14"/>
  <c r="N447" i="14"/>
  <c r="A448" i="14"/>
  <c r="N448" i="14"/>
  <c r="A449" i="14"/>
  <c r="N449" i="14"/>
  <c r="A450" i="14"/>
  <c r="N450" i="14"/>
  <c r="A451" i="14"/>
  <c r="N451" i="14"/>
  <c r="A452" i="14"/>
  <c r="N452" i="14"/>
  <c r="A453" i="14"/>
  <c r="N453" i="14"/>
  <c r="A454" i="14"/>
  <c r="N454" i="14"/>
  <c r="A455" i="14"/>
  <c r="N455" i="14"/>
  <c r="A456" i="14"/>
  <c r="N456" i="14"/>
  <c r="A457" i="14"/>
  <c r="N457" i="14"/>
  <c r="A458" i="14"/>
  <c r="N458" i="14"/>
  <c r="A459" i="14"/>
  <c r="N459" i="14"/>
  <c r="A460" i="14"/>
  <c r="N460" i="14"/>
  <c r="A461" i="14"/>
  <c r="N461" i="14"/>
  <c r="A462" i="14"/>
  <c r="N462" i="14"/>
  <c r="A463" i="14"/>
  <c r="N463" i="14"/>
  <c r="A464" i="14"/>
  <c r="N464" i="14"/>
  <c r="A465" i="14"/>
  <c r="N465" i="14"/>
  <c r="A466" i="14"/>
  <c r="N466" i="14"/>
  <c r="E467" i="14"/>
  <c r="N467" i="14"/>
  <c r="A468" i="14"/>
  <c r="N468" i="14"/>
  <c r="A469" i="14"/>
  <c r="N469" i="14"/>
  <c r="A470" i="14"/>
  <c r="N470" i="14"/>
  <c r="A471" i="14"/>
  <c r="N471" i="14"/>
  <c r="A472" i="14"/>
  <c r="N472" i="14"/>
  <c r="A473" i="14"/>
  <c r="N473" i="14"/>
  <c r="A474" i="14"/>
  <c r="N474" i="14"/>
  <c r="A475" i="14"/>
  <c r="N475" i="14"/>
  <c r="A476" i="14"/>
  <c r="N476" i="14"/>
  <c r="A477" i="14"/>
  <c r="N477" i="14"/>
  <c r="A478" i="14"/>
  <c r="N478" i="14"/>
  <c r="A479" i="14"/>
  <c r="N479" i="14"/>
  <c r="A480" i="14"/>
  <c r="N480" i="14"/>
  <c r="A481" i="14"/>
  <c r="N481" i="14"/>
  <c r="A482" i="14"/>
  <c r="N482" i="14"/>
  <c r="A483" i="14"/>
  <c r="N483" i="14"/>
  <c r="A484" i="14"/>
  <c r="N484" i="14"/>
  <c r="A485" i="14"/>
  <c r="N485" i="14"/>
  <c r="A486" i="14"/>
  <c r="N486" i="14"/>
  <c r="A487" i="14"/>
  <c r="N487" i="14"/>
  <c r="E488" i="14"/>
  <c r="N488" i="14"/>
  <c r="A489" i="14"/>
  <c r="N489" i="14"/>
  <c r="A490" i="14"/>
  <c r="N490" i="14"/>
  <c r="A491" i="14"/>
  <c r="N491" i="14"/>
  <c r="A492" i="14"/>
  <c r="N492" i="14"/>
  <c r="A493" i="14"/>
  <c r="N493" i="14"/>
  <c r="A494" i="14"/>
  <c r="N494" i="14"/>
  <c r="A495" i="14"/>
  <c r="N495" i="14"/>
  <c r="A496" i="14"/>
  <c r="N496" i="14"/>
  <c r="A497" i="14"/>
  <c r="N497" i="14"/>
  <c r="A498" i="14"/>
  <c r="N498" i="14"/>
  <c r="A499" i="14"/>
  <c r="N499" i="14"/>
  <c r="A500" i="14"/>
  <c r="N500" i="14"/>
  <c r="A501" i="14"/>
  <c r="N501" i="14"/>
  <c r="A502" i="14"/>
  <c r="N502" i="14"/>
  <c r="A503" i="14"/>
  <c r="N503" i="14"/>
  <c r="A504" i="14"/>
  <c r="N504" i="14"/>
  <c r="A505" i="14"/>
  <c r="N505" i="14"/>
  <c r="A506" i="14"/>
  <c r="N506" i="14"/>
  <c r="A507" i="14"/>
  <c r="N507" i="14"/>
  <c r="A508" i="14"/>
  <c r="N508" i="14"/>
  <c r="E509" i="14"/>
  <c r="N509" i="14"/>
  <c r="A510" i="14"/>
  <c r="N510" i="14"/>
  <c r="A511" i="14"/>
  <c r="N511" i="14"/>
  <c r="A512" i="14"/>
  <c r="N512" i="14"/>
  <c r="A513" i="14"/>
  <c r="N513" i="14"/>
  <c r="A514" i="14"/>
  <c r="N514" i="14"/>
  <c r="A515" i="14"/>
  <c r="N515" i="14"/>
  <c r="A516" i="14"/>
  <c r="N516" i="14"/>
  <c r="A517" i="14"/>
  <c r="N517" i="14"/>
  <c r="A518" i="14"/>
  <c r="N518" i="14"/>
  <c r="A519" i="14"/>
  <c r="N519" i="14"/>
  <c r="A520" i="14"/>
  <c r="N520" i="14"/>
  <c r="A521" i="14"/>
  <c r="N521" i="14"/>
  <c r="A522" i="14"/>
  <c r="N522" i="14"/>
  <c r="A523" i="14"/>
  <c r="N523" i="14"/>
  <c r="A524" i="14"/>
  <c r="N524" i="14"/>
  <c r="A525" i="14"/>
  <c r="N525" i="14"/>
  <c r="A526" i="14"/>
  <c r="N526" i="14"/>
  <c r="A527" i="14"/>
  <c r="N527" i="14"/>
  <c r="A528" i="14"/>
  <c r="N528" i="14"/>
  <c r="A529" i="14"/>
  <c r="N529" i="14"/>
  <c r="E530" i="14"/>
  <c r="N530" i="14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296" i="7"/>
  <c r="A297" i="7"/>
  <c r="A298" i="7"/>
  <c r="F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F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F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F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F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F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F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F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F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F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F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F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F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F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F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F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F635" i="7"/>
  <c r="K2" i="5"/>
  <c r="B7" i="5"/>
  <c r="B8" i="5"/>
  <c r="E9" i="4" s="1"/>
  <c r="B9" i="5"/>
  <c r="E10" i="4" s="1"/>
  <c r="B10" i="5"/>
  <c r="E11" i="4" s="1"/>
  <c r="E12" i="4"/>
  <c r="B12" i="5"/>
  <c r="E13" i="4" s="1"/>
  <c r="B13" i="5"/>
  <c r="E14" i="4" s="1"/>
  <c r="E15" i="4"/>
  <c r="B15" i="5"/>
  <c r="E16" i="4" s="1"/>
  <c r="B16" i="5"/>
  <c r="E17" i="4" s="1"/>
  <c r="B17" i="5"/>
  <c r="E18" i="4" s="1"/>
  <c r="B18" i="5"/>
  <c r="E19" i="4" s="1"/>
  <c r="B19" i="5"/>
  <c r="E20" i="4" s="1"/>
  <c r="B20" i="5"/>
  <c r="E21" i="4" s="1"/>
  <c r="B21" i="5"/>
  <c r="E22" i="4" s="1"/>
  <c r="B22" i="5"/>
  <c r="E23" i="4" s="1"/>
  <c r="B23" i="5"/>
  <c r="E24" i="4" s="1"/>
  <c r="B24" i="5"/>
  <c r="E25" i="4" s="1"/>
  <c r="B25" i="5"/>
  <c r="E26" i="4" s="1"/>
  <c r="B26" i="5"/>
  <c r="E27" i="4" s="1"/>
  <c r="B27" i="5"/>
  <c r="E28" i="4" s="1"/>
  <c r="B28" i="5"/>
  <c r="E29" i="4" s="1"/>
  <c r="B29" i="5"/>
  <c r="E30" i="4" s="1"/>
  <c r="B30" i="5"/>
  <c r="E31" i="4" s="1"/>
  <c r="B31" i="5"/>
  <c r="E32" i="4" s="1"/>
  <c r="K32" i="5"/>
  <c r="B37" i="5"/>
  <c r="H8" i="4" s="1"/>
  <c r="B38" i="5"/>
  <c r="H9" i="4" s="1"/>
  <c r="B39" i="5"/>
  <c r="H10" i="4" s="1"/>
  <c r="B40" i="5"/>
  <c r="H11" i="4" s="1"/>
  <c r="B41" i="5"/>
  <c r="H12" i="4" s="1"/>
  <c r="B42" i="5"/>
  <c r="H13" i="4" s="1"/>
  <c r="B43" i="5"/>
  <c r="H14" i="4" s="1"/>
  <c r="B44" i="5"/>
  <c r="H15" i="4" s="1"/>
  <c r="B45" i="5"/>
  <c r="H16" i="4" s="1"/>
  <c r="B46" i="5"/>
  <c r="H17" i="4" s="1"/>
  <c r="B47" i="5"/>
  <c r="H18" i="4" s="1"/>
  <c r="B48" i="5"/>
  <c r="H19" i="4" s="1"/>
  <c r="B49" i="5"/>
  <c r="H20" i="4" s="1"/>
  <c r="B50" i="5"/>
  <c r="H21" i="4" s="1"/>
  <c r="B51" i="5"/>
  <c r="H22" i="4" s="1"/>
  <c r="B52" i="5"/>
  <c r="H23" i="4" s="1"/>
  <c r="B53" i="5"/>
  <c r="H24" i="4" s="1"/>
  <c r="B54" i="5"/>
  <c r="H25" i="4" s="1"/>
  <c r="B55" i="5"/>
  <c r="H26" i="4" s="1"/>
  <c r="B56" i="5"/>
  <c r="H27" i="4" s="1"/>
  <c r="B57" i="5"/>
  <c r="H28" i="4" s="1"/>
  <c r="B58" i="5"/>
  <c r="H29" i="4" s="1"/>
  <c r="B59" i="5"/>
  <c r="H30" i="4" s="1"/>
  <c r="B60" i="5"/>
  <c r="H31" i="4" s="1"/>
  <c r="B61" i="5"/>
  <c r="H32" i="4" s="1"/>
  <c r="K62" i="5"/>
  <c r="B67" i="5"/>
  <c r="K8" i="4" s="1"/>
  <c r="B68" i="5"/>
  <c r="K9" i="4" s="1"/>
  <c r="B69" i="5"/>
  <c r="K10" i="4" s="1"/>
  <c r="B70" i="5"/>
  <c r="K11" i="4" s="1"/>
  <c r="B71" i="5"/>
  <c r="K12" i="4" s="1"/>
  <c r="B72" i="5"/>
  <c r="K13" i="4" s="1"/>
  <c r="B73" i="5"/>
  <c r="K14" i="4" s="1"/>
  <c r="B74" i="5"/>
  <c r="K15" i="4" s="1"/>
  <c r="B75" i="5"/>
  <c r="K16" i="4" s="1"/>
  <c r="B76" i="5"/>
  <c r="K17" i="4" s="1"/>
  <c r="B77" i="5"/>
  <c r="K18" i="4" s="1"/>
  <c r="B78" i="5"/>
  <c r="K19" i="4" s="1"/>
  <c r="B79" i="5"/>
  <c r="K20" i="4" s="1"/>
  <c r="B80" i="5"/>
  <c r="K21" i="4" s="1"/>
  <c r="B81" i="5"/>
  <c r="K22" i="4" s="1"/>
  <c r="B82" i="5"/>
  <c r="K23" i="4" s="1"/>
  <c r="B83" i="5"/>
  <c r="K24" i="4" s="1"/>
  <c r="B84" i="5"/>
  <c r="K25" i="4" s="1"/>
  <c r="K26" i="4"/>
  <c r="B86" i="5"/>
  <c r="K27" i="4" s="1"/>
  <c r="B87" i="5"/>
  <c r="K28" i="4" s="1"/>
  <c r="B88" i="5"/>
  <c r="K29" i="4" s="1"/>
  <c r="B89" i="5"/>
  <c r="K30" i="4" s="1"/>
  <c r="K31" i="4"/>
  <c r="B91" i="5"/>
  <c r="K32" i="4" s="1"/>
  <c r="K92" i="5"/>
  <c r="B97" i="5"/>
  <c r="N8" i="4" s="1"/>
  <c r="B98" i="5"/>
  <c r="N9" i="4" s="1"/>
  <c r="B99" i="5"/>
  <c r="N10" i="4" s="1"/>
  <c r="B100" i="5"/>
  <c r="N11" i="4" s="1"/>
  <c r="B101" i="5"/>
  <c r="N12" i="4" s="1"/>
  <c r="B102" i="5"/>
  <c r="N13" i="4" s="1"/>
  <c r="B103" i="5"/>
  <c r="N14" i="4" s="1"/>
  <c r="B104" i="5"/>
  <c r="N15" i="4" s="1"/>
  <c r="B105" i="5"/>
  <c r="N16" i="4" s="1"/>
  <c r="B106" i="5"/>
  <c r="N17" i="4" s="1"/>
  <c r="B107" i="5"/>
  <c r="N18" i="4" s="1"/>
  <c r="B108" i="5"/>
  <c r="N19" i="4" s="1"/>
  <c r="B109" i="5"/>
  <c r="N20" i="4" s="1"/>
  <c r="B110" i="5"/>
  <c r="N21" i="4" s="1"/>
  <c r="B111" i="5"/>
  <c r="N22" i="4" s="1"/>
  <c r="B112" i="5"/>
  <c r="N23" i="4" s="1"/>
  <c r="B113" i="5"/>
  <c r="N24" i="4" s="1"/>
  <c r="B114" i="5"/>
  <c r="N25" i="4" s="1"/>
  <c r="B115" i="5"/>
  <c r="N26" i="4" s="1"/>
  <c r="B116" i="5"/>
  <c r="N27" i="4" s="1"/>
  <c r="B117" i="5"/>
  <c r="N28" i="4" s="1"/>
  <c r="B118" i="5"/>
  <c r="N29" i="4" s="1"/>
  <c r="B119" i="5"/>
  <c r="N30" i="4" s="1"/>
  <c r="B120" i="5"/>
  <c r="N31" i="4" s="1"/>
  <c r="B121" i="5"/>
  <c r="N32" i="4" s="1"/>
  <c r="K122" i="5"/>
  <c r="B127" i="5"/>
  <c r="Q8" i="4" s="1"/>
  <c r="B128" i="5"/>
  <c r="Q9" i="4" s="1"/>
  <c r="B129" i="5"/>
  <c r="Q10" i="4" s="1"/>
  <c r="B130" i="5"/>
  <c r="Q11" i="4" s="1"/>
  <c r="B131" i="5"/>
  <c r="Q12" i="4" s="1"/>
  <c r="B132" i="5"/>
  <c r="Q13" i="4" s="1"/>
  <c r="B133" i="5"/>
  <c r="Q14" i="4" s="1"/>
  <c r="B134" i="5"/>
  <c r="Q15" i="4" s="1"/>
  <c r="B135" i="5"/>
  <c r="Q16" i="4" s="1"/>
  <c r="B136" i="5"/>
  <c r="Q17" i="4" s="1"/>
  <c r="B137" i="5"/>
  <c r="Q18" i="4" s="1"/>
  <c r="B138" i="5"/>
  <c r="Q19" i="4" s="1"/>
  <c r="B139" i="5"/>
  <c r="Q20" i="4" s="1"/>
  <c r="B140" i="5"/>
  <c r="Q21" i="4" s="1"/>
  <c r="B141" i="5"/>
  <c r="Q22" i="4" s="1"/>
  <c r="B142" i="5"/>
  <c r="Q23" i="4" s="1"/>
  <c r="B143" i="5"/>
  <c r="Q24" i="4" s="1"/>
  <c r="B144" i="5"/>
  <c r="Q25" i="4" s="1"/>
  <c r="B145" i="5"/>
  <c r="Q26" i="4" s="1"/>
  <c r="B146" i="5"/>
  <c r="Q27" i="4" s="1"/>
  <c r="B147" i="5"/>
  <c r="Q28" i="4" s="1"/>
  <c r="B148" i="5"/>
  <c r="Q29" i="4" s="1"/>
  <c r="B149" i="5"/>
  <c r="Q30" i="4" s="1"/>
  <c r="B150" i="5"/>
  <c r="Q31" i="4" s="1"/>
  <c r="B151" i="5"/>
  <c r="Q32" i="4" s="1"/>
  <c r="K152" i="5"/>
  <c r="B157" i="5"/>
  <c r="T8" i="28" s="1"/>
  <c r="D157" i="5"/>
  <c r="V8" i="28" s="1"/>
  <c r="B158" i="5"/>
  <c r="D158" i="5"/>
  <c r="B159" i="5"/>
  <c r="D159" i="5"/>
  <c r="B160" i="5"/>
  <c r="D160" i="5"/>
  <c r="V11" i="28" s="1"/>
  <c r="B161" i="5"/>
  <c r="D161" i="5"/>
  <c r="B162" i="5"/>
  <c r="T13" i="28" s="1"/>
  <c r="D162" i="5"/>
  <c r="B163" i="5"/>
  <c r="D163" i="5"/>
  <c r="V14" i="28" s="1"/>
  <c r="B164" i="5"/>
  <c r="D164" i="5"/>
  <c r="B165" i="5"/>
  <c r="D165" i="5"/>
  <c r="B166" i="5"/>
  <c r="D166" i="5"/>
  <c r="B167" i="5"/>
  <c r="D167" i="5"/>
  <c r="B168" i="5"/>
  <c r="T19" i="28" s="1"/>
  <c r="D168" i="5"/>
  <c r="B169" i="5"/>
  <c r="D169" i="5"/>
  <c r="B170" i="5"/>
  <c r="D170" i="5"/>
  <c r="B171" i="5"/>
  <c r="D171" i="5"/>
  <c r="B172" i="5"/>
  <c r="D172" i="5"/>
  <c r="B173" i="5"/>
  <c r="D173" i="5"/>
  <c r="B174" i="5"/>
  <c r="D174" i="5"/>
  <c r="B175" i="5"/>
  <c r="T26" i="28" s="1"/>
  <c r="D175" i="5"/>
  <c r="B176" i="5"/>
  <c r="D176" i="5"/>
  <c r="B177" i="5"/>
  <c r="D177" i="5"/>
  <c r="V28" i="28" s="1"/>
  <c r="B178" i="5"/>
  <c r="D178" i="5"/>
  <c r="B179" i="5"/>
  <c r="D179" i="5"/>
  <c r="V30" i="28" s="1"/>
  <c r="B180" i="5"/>
  <c r="D180" i="5"/>
  <c r="G180" i="5"/>
  <c r="B181" i="5"/>
  <c r="D181" i="5"/>
  <c r="K182" i="5"/>
  <c r="B187" i="5"/>
  <c r="W8" i="28" s="1"/>
  <c r="D187" i="5"/>
  <c r="Y8" i="28" s="1"/>
  <c r="B188" i="5"/>
  <c r="D188" i="5"/>
  <c r="B189" i="5"/>
  <c r="D189" i="5"/>
  <c r="B190" i="5"/>
  <c r="D190" i="5"/>
  <c r="H190" i="5"/>
  <c r="B191" i="5"/>
  <c r="D191" i="5"/>
  <c r="B192" i="5"/>
  <c r="D192" i="5"/>
  <c r="B193" i="5"/>
  <c r="D193" i="5"/>
  <c r="B194" i="5"/>
  <c r="D194" i="5"/>
  <c r="B195" i="5"/>
  <c r="D195" i="5"/>
  <c r="G195" i="5"/>
  <c r="B196" i="5"/>
  <c r="D196" i="5"/>
  <c r="B197" i="5"/>
  <c r="D197" i="5"/>
  <c r="B198" i="5"/>
  <c r="D198" i="5"/>
  <c r="B199" i="5"/>
  <c r="D199" i="5"/>
  <c r="B200" i="5"/>
  <c r="D200" i="5"/>
  <c r="B201" i="5"/>
  <c r="D201" i="5"/>
  <c r="B202" i="5"/>
  <c r="D202" i="5"/>
  <c r="Y23" i="28" s="1"/>
  <c r="B203" i="5"/>
  <c r="D203" i="5"/>
  <c r="B204" i="5"/>
  <c r="D204" i="5"/>
  <c r="B205" i="5"/>
  <c r="D205" i="5"/>
  <c r="B206" i="5"/>
  <c r="D206" i="5"/>
  <c r="B207" i="5"/>
  <c r="D207" i="5"/>
  <c r="B208" i="5"/>
  <c r="D208" i="5"/>
  <c r="B209" i="5"/>
  <c r="D209" i="5"/>
  <c r="B210" i="5"/>
  <c r="W31" i="28" s="1"/>
  <c r="D210" i="5"/>
  <c r="Y31" i="28" s="1"/>
  <c r="B211" i="5"/>
  <c r="D211" i="5"/>
  <c r="K212" i="5"/>
  <c r="B217" i="5"/>
  <c r="D217" i="5"/>
  <c r="B218" i="5"/>
  <c r="Z9" i="28" s="1"/>
  <c r="D218" i="5"/>
  <c r="B219" i="5"/>
  <c r="D219" i="5"/>
  <c r="AB10" i="28" s="1"/>
  <c r="B220" i="5"/>
  <c r="D220" i="5"/>
  <c r="B221" i="5"/>
  <c r="D221" i="5"/>
  <c r="B222" i="5"/>
  <c r="D222" i="5"/>
  <c r="AB13" i="28" s="1"/>
  <c r="B223" i="5"/>
  <c r="D223" i="5"/>
  <c r="B224" i="5"/>
  <c r="Z15" i="28" s="1"/>
  <c r="D224" i="5"/>
  <c r="B225" i="5"/>
  <c r="D225" i="5"/>
  <c r="B226" i="5"/>
  <c r="D226" i="5"/>
  <c r="B227" i="5"/>
  <c r="D227" i="5"/>
  <c r="B228" i="5"/>
  <c r="D228" i="5"/>
  <c r="B229" i="5"/>
  <c r="Z20" i="28" s="1"/>
  <c r="D229" i="5"/>
  <c r="AB20" i="28" s="1"/>
  <c r="B230" i="5"/>
  <c r="D230" i="5"/>
  <c r="G230" i="5"/>
  <c r="AB53" i="28" s="1"/>
  <c r="B231" i="5"/>
  <c r="D231" i="5"/>
  <c r="B232" i="5"/>
  <c r="D232" i="5"/>
  <c r="B233" i="5"/>
  <c r="D233" i="5"/>
  <c r="B234" i="5"/>
  <c r="D234" i="5"/>
  <c r="B235" i="5"/>
  <c r="D235" i="5"/>
  <c r="B236" i="5"/>
  <c r="D236" i="5"/>
  <c r="B237" i="5"/>
  <c r="Z28" i="28" s="1"/>
  <c r="D237" i="5"/>
  <c r="B238" i="5"/>
  <c r="D238" i="5"/>
  <c r="B239" i="5"/>
  <c r="D239" i="5"/>
  <c r="B240" i="5"/>
  <c r="D240" i="5"/>
  <c r="B241" i="5"/>
  <c r="D241" i="5"/>
  <c r="H241" i="5"/>
  <c r="K242" i="5"/>
  <c r="B247" i="5"/>
  <c r="D247" i="5"/>
  <c r="H247" i="5"/>
  <c r="AC104" i="28" s="1"/>
  <c r="B248" i="5"/>
  <c r="AC9" i="28" s="1"/>
  <c r="D248" i="5"/>
  <c r="B249" i="5"/>
  <c r="D249" i="5"/>
  <c r="AE10" i="28" s="1"/>
  <c r="B250" i="5"/>
  <c r="D250" i="5"/>
  <c r="B251" i="5"/>
  <c r="AC12" i="28" s="1"/>
  <c r="D251" i="5"/>
  <c r="B252" i="5"/>
  <c r="D252" i="5"/>
  <c r="B253" i="5"/>
  <c r="D253" i="5"/>
  <c r="B254" i="5"/>
  <c r="AC15" i="28" s="1"/>
  <c r="D254" i="5"/>
  <c r="B255" i="5"/>
  <c r="D255" i="5"/>
  <c r="B256" i="5"/>
  <c r="D256" i="5"/>
  <c r="B257" i="5"/>
  <c r="D257" i="5"/>
  <c r="B258" i="5"/>
  <c r="D258" i="5"/>
  <c r="B259" i="5"/>
  <c r="D259" i="5"/>
  <c r="B260" i="5"/>
  <c r="D260" i="5"/>
  <c r="B261" i="5"/>
  <c r="D261" i="5"/>
  <c r="B262" i="5"/>
  <c r="D262" i="5"/>
  <c r="B263" i="5"/>
  <c r="D263" i="5"/>
  <c r="AE24" i="28" s="1"/>
  <c r="B264" i="5"/>
  <c r="D264" i="5"/>
  <c r="B265" i="5"/>
  <c r="AC26" i="28" s="1"/>
  <c r="D265" i="5"/>
  <c r="AE26" i="28" s="1"/>
  <c r="B266" i="5"/>
  <c r="D266" i="5"/>
  <c r="B267" i="5"/>
  <c r="D267" i="5"/>
  <c r="B268" i="5"/>
  <c r="D268" i="5"/>
  <c r="H268" i="5"/>
  <c r="B269" i="5"/>
  <c r="D269" i="5"/>
  <c r="B270" i="5"/>
  <c r="AC31" i="28" s="1"/>
  <c r="D270" i="5"/>
  <c r="B271" i="5"/>
  <c r="D271" i="5"/>
  <c r="K272" i="5"/>
  <c r="B277" i="5"/>
  <c r="D277" i="5"/>
  <c r="B278" i="5"/>
  <c r="AF9" i="28" s="1"/>
  <c r="D278" i="5"/>
  <c r="B279" i="5"/>
  <c r="D279" i="5"/>
  <c r="AH10" i="28" s="1"/>
  <c r="B280" i="5"/>
  <c r="D280" i="5"/>
  <c r="B281" i="5"/>
  <c r="D281" i="5"/>
  <c r="B282" i="5"/>
  <c r="D282" i="5"/>
  <c r="B283" i="5"/>
  <c r="AF14" i="28" s="1"/>
  <c r="D283" i="5"/>
  <c r="B284" i="5"/>
  <c r="D284" i="5"/>
  <c r="B285" i="5"/>
  <c r="D285" i="5"/>
  <c r="AH16" i="28" s="1"/>
  <c r="B286" i="5"/>
  <c r="D286" i="5"/>
  <c r="B287" i="5"/>
  <c r="D287" i="5"/>
  <c r="B288" i="5"/>
  <c r="D288" i="5"/>
  <c r="B289" i="5"/>
  <c r="D289" i="5"/>
  <c r="B290" i="5"/>
  <c r="D290" i="5"/>
  <c r="AH21" i="28" s="1"/>
  <c r="B291" i="5"/>
  <c r="D291" i="5"/>
  <c r="B292" i="5"/>
  <c r="D292" i="5"/>
  <c r="B293" i="5"/>
  <c r="D293" i="5"/>
  <c r="B294" i="5"/>
  <c r="D294" i="5"/>
  <c r="B295" i="5"/>
  <c r="D295" i="5"/>
  <c r="H295" i="5"/>
  <c r="B296" i="5"/>
  <c r="D296" i="5"/>
  <c r="B297" i="5"/>
  <c r="AF28" i="28" s="1"/>
  <c r="D297" i="5"/>
  <c r="B298" i="5"/>
  <c r="D298" i="5"/>
  <c r="B299" i="5"/>
  <c r="D299" i="5"/>
  <c r="B300" i="5"/>
  <c r="D300" i="5"/>
  <c r="B301" i="5"/>
  <c r="D301" i="5"/>
  <c r="A162" i="10"/>
  <c r="A164" i="10"/>
  <c r="A165" i="10"/>
  <c r="A166" i="10"/>
  <c r="A167" i="10"/>
  <c r="A168" i="10"/>
  <c r="A169" i="10"/>
  <c r="A170" i="10"/>
  <c r="A171" i="10"/>
  <c r="A172" i="10"/>
  <c r="A173" i="10"/>
  <c r="A174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F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F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F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F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F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F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F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F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F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F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F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F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F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F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F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F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F532" i="10"/>
  <c r="A533" i="10"/>
  <c r="A534" i="10"/>
  <c r="A535" i="10"/>
  <c r="A536" i="10"/>
  <c r="A537" i="10"/>
  <c r="A538" i="10"/>
  <c r="A539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F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F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F595" i="10"/>
  <c r="E71" i="5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F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F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F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F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F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F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F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F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F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F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F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F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F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F527" i="8"/>
  <c r="E107" i="5"/>
  <c r="E247" i="5"/>
  <c r="AC40" i="28" s="1"/>
  <c r="J248" i="5"/>
  <c r="E250" i="5"/>
  <c r="E251" i="5"/>
  <c r="E266" i="5"/>
  <c r="AC59" i="28" s="1"/>
  <c r="E267" i="5"/>
  <c r="J268" i="5"/>
  <c r="J270" i="5"/>
  <c r="E218" i="5"/>
  <c r="E219" i="5"/>
  <c r="E234" i="5"/>
  <c r="E235" i="5"/>
  <c r="J234" i="5"/>
  <c r="J236" i="5"/>
  <c r="E279" i="5"/>
  <c r="AF42" i="28" s="1"/>
  <c r="E295" i="5"/>
  <c r="J292" i="5"/>
  <c r="H284" i="5"/>
  <c r="G208" i="5"/>
  <c r="H207" i="5"/>
  <c r="G299" i="5"/>
  <c r="H267" i="5"/>
  <c r="G264" i="5"/>
  <c r="G229" i="5"/>
  <c r="H228" i="5"/>
  <c r="G190" i="5"/>
  <c r="H189" i="5"/>
  <c r="H112" i="5"/>
  <c r="E45" i="5"/>
  <c r="E53" i="5"/>
  <c r="E61" i="5"/>
  <c r="H48" i="5"/>
  <c r="H10" i="5"/>
  <c r="H8" i="5"/>
  <c r="J167" i="5"/>
  <c r="E164" i="5"/>
  <c r="T47" i="28" s="1"/>
  <c r="E180" i="5"/>
  <c r="G297" i="5"/>
  <c r="H253" i="5"/>
  <c r="H234" i="5"/>
  <c r="G196" i="5"/>
  <c r="Y49" i="28" s="1"/>
  <c r="H180" i="5"/>
  <c r="H270" i="5"/>
  <c r="H254" i="5"/>
  <c r="G240" i="5"/>
  <c r="G224" i="5"/>
  <c r="J217" i="5"/>
  <c r="AB104" i="28" s="1"/>
  <c r="G189" i="5"/>
  <c r="J210" i="5"/>
  <c r="J189" i="5"/>
  <c r="E210" i="5"/>
  <c r="E203" i="5"/>
  <c r="E199" i="5"/>
  <c r="E193" i="5"/>
  <c r="W46" i="28" s="1"/>
  <c r="E189" i="5"/>
  <c r="W42" i="28" s="1"/>
  <c r="J203" i="5"/>
  <c r="Y120" i="28" s="1"/>
  <c r="J195" i="5"/>
  <c r="Y112" i="28" s="1"/>
  <c r="E113" i="5"/>
  <c r="H110" i="5"/>
  <c r="F210" i="9"/>
  <c r="E115" i="5"/>
  <c r="E99" i="5"/>
  <c r="H107" i="5"/>
  <c r="E121" i="5"/>
  <c r="E105" i="5"/>
  <c r="E117" i="5"/>
  <c r="E109" i="5"/>
  <c r="E101" i="5"/>
  <c r="H102" i="5"/>
  <c r="E119" i="5"/>
  <c r="E111" i="5"/>
  <c r="E103" i="5"/>
  <c r="E47" i="5"/>
  <c r="H37" i="5"/>
  <c r="E59" i="5"/>
  <c r="E51" i="5"/>
  <c r="E43" i="5"/>
  <c r="H56" i="5"/>
  <c r="E55" i="5"/>
  <c r="E57" i="5"/>
  <c r="E49" i="5"/>
  <c r="E41" i="5"/>
  <c r="H88" i="5"/>
  <c r="H41" i="5"/>
  <c r="H45" i="5"/>
  <c r="H49" i="5"/>
  <c r="H53" i="5"/>
  <c r="H57" i="5"/>
  <c r="H61" i="5"/>
  <c r="H40" i="5"/>
  <c r="H46" i="5"/>
  <c r="H50" i="5"/>
  <c r="H54" i="5"/>
  <c r="E38" i="5"/>
  <c r="E40" i="5"/>
  <c r="E42" i="5"/>
  <c r="E44" i="5"/>
  <c r="E46" i="5"/>
  <c r="E48" i="5"/>
  <c r="E50" i="5"/>
  <c r="E52" i="5"/>
  <c r="E54" i="5"/>
  <c r="E56" i="5"/>
  <c r="E58" i="5"/>
  <c r="E60" i="5"/>
  <c r="E37" i="5"/>
  <c r="M34" i="33" s="1"/>
  <c r="H44" i="5"/>
  <c r="H52" i="5"/>
  <c r="H60" i="5"/>
  <c r="H39" i="5"/>
  <c r="H43" i="5"/>
  <c r="H47" i="5"/>
  <c r="H51" i="5"/>
  <c r="H55" i="5"/>
  <c r="H59" i="5"/>
  <c r="H38" i="5"/>
  <c r="H42" i="5"/>
  <c r="H58" i="5"/>
  <c r="H101" i="5"/>
  <c r="H105" i="5"/>
  <c r="H109" i="5"/>
  <c r="H118" i="5"/>
  <c r="H106" i="5"/>
  <c r="H97" i="5"/>
  <c r="H108" i="5"/>
  <c r="H113" i="5"/>
  <c r="H117" i="5"/>
  <c r="H121" i="5"/>
  <c r="E97" i="5"/>
  <c r="E98" i="5"/>
  <c r="E100" i="5"/>
  <c r="E102" i="5"/>
  <c r="E104" i="5"/>
  <c r="E106" i="5"/>
  <c r="E108" i="5"/>
  <c r="U45" i="33" s="1"/>
  <c r="E110" i="5"/>
  <c r="E112" i="5"/>
  <c r="E114" i="5"/>
  <c r="E116" i="5"/>
  <c r="E118" i="5"/>
  <c r="E120" i="5"/>
  <c r="H120" i="5"/>
  <c r="H104" i="5"/>
  <c r="H115" i="5"/>
  <c r="H99" i="5"/>
  <c r="H98" i="5"/>
  <c r="H116" i="5"/>
  <c r="H100" i="5"/>
  <c r="H114" i="5"/>
  <c r="H119" i="5"/>
  <c r="H111" i="5"/>
  <c r="H103" i="5"/>
  <c r="H16" i="5"/>
  <c r="H24" i="5"/>
  <c r="H28" i="5"/>
  <c r="E7" i="5"/>
  <c r="E9" i="5"/>
  <c r="E11" i="5"/>
  <c r="E13" i="5"/>
  <c r="E15" i="5"/>
  <c r="E17" i="5"/>
  <c r="E19" i="5"/>
  <c r="E21" i="5"/>
  <c r="E23" i="5"/>
  <c r="E25" i="5"/>
  <c r="E27" i="5"/>
  <c r="E29" i="5"/>
  <c r="E31" i="5"/>
  <c r="H15" i="5"/>
  <c r="H19" i="5"/>
  <c r="H21" i="5"/>
  <c r="H25" i="5"/>
  <c r="H7" i="5"/>
  <c r="H12" i="5"/>
  <c r="H14" i="5"/>
  <c r="H9" i="5"/>
  <c r="H20" i="5"/>
  <c r="E8" i="5"/>
  <c r="E10" i="5"/>
  <c r="E12" i="5"/>
  <c r="I39" i="33" s="1"/>
  <c r="E14" i="5"/>
  <c r="I41" i="33" s="1"/>
  <c r="E16" i="5"/>
  <c r="E18" i="5"/>
  <c r="E20" i="5"/>
  <c r="E22" i="5"/>
  <c r="E24" i="5"/>
  <c r="I51" i="33" s="1"/>
  <c r="E26" i="5"/>
  <c r="E28" i="5"/>
  <c r="E30" i="5"/>
  <c r="H13" i="5"/>
  <c r="H17" i="5"/>
  <c r="H23" i="5"/>
  <c r="H27" i="5"/>
  <c r="H29" i="5"/>
  <c r="H31" i="5"/>
  <c r="H30" i="5"/>
  <c r="H26" i="5"/>
  <c r="H22" i="5"/>
  <c r="H18" i="5"/>
  <c r="Q67" i="5"/>
  <c r="E39" i="5"/>
  <c r="D36" i="5"/>
  <c r="F175" i="10"/>
  <c r="D66" i="5"/>
  <c r="D126" i="5"/>
  <c r="M99" i="5"/>
  <c r="V94" i="33" s="1"/>
  <c r="E108" i="4" l="1"/>
  <c r="W56" i="4"/>
  <c r="W56" i="28"/>
  <c r="Y42" i="4"/>
  <c r="Y42" i="28"/>
  <c r="AC111" i="4"/>
  <c r="AC111" i="28"/>
  <c r="T63" i="4"/>
  <c r="T63" i="28"/>
  <c r="Z115" i="4"/>
  <c r="Z115" i="28"/>
  <c r="AH62" i="4"/>
  <c r="AH62" i="28"/>
  <c r="AH119" i="4"/>
  <c r="AH119" i="28"/>
  <c r="AB121" i="4"/>
  <c r="AB121" i="28"/>
  <c r="Z41" i="4"/>
  <c r="Z41" i="28"/>
  <c r="AF31" i="4"/>
  <c r="AF31" i="28"/>
  <c r="AF29" i="4"/>
  <c r="AF29" i="28"/>
  <c r="AF27" i="4"/>
  <c r="AF27" i="28"/>
  <c r="AH25" i="4"/>
  <c r="AH25" i="28"/>
  <c r="AH23" i="4"/>
  <c r="AH23" i="28"/>
  <c r="AH19" i="4"/>
  <c r="AH19" i="28"/>
  <c r="AH17" i="4"/>
  <c r="AH17" i="28"/>
  <c r="AH15" i="4"/>
  <c r="AH15" i="28"/>
  <c r="AH13" i="4"/>
  <c r="AH13" i="28"/>
  <c r="AH11" i="4"/>
  <c r="AH11" i="28"/>
  <c r="AH9" i="4"/>
  <c r="AH9" i="28"/>
  <c r="AE29" i="4"/>
  <c r="AE29" i="28"/>
  <c r="AE27" i="4"/>
  <c r="AE27" i="28"/>
  <c r="AE25" i="4"/>
  <c r="AE25" i="28"/>
  <c r="AE23" i="4"/>
  <c r="AE23" i="28"/>
  <c r="AE21" i="4"/>
  <c r="AE21" i="28"/>
  <c r="AE19" i="4"/>
  <c r="AE19" i="28"/>
  <c r="AE17" i="4"/>
  <c r="AE17" i="28"/>
  <c r="AE15" i="4"/>
  <c r="AE15" i="28"/>
  <c r="AE13" i="4"/>
  <c r="AE13" i="28"/>
  <c r="AE11" i="4"/>
  <c r="AE11" i="28"/>
  <c r="AE9" i="4"/>
  <c r="AE9" i="28"/>
  <c r="AC8" i="4"/>
  <c r="AC8" i="28"/>
  <c r="Z32" i="4"/>
  <c r="Z32" i="28"/>
  <c r="Z30" i="4"/>
  <c r="Z30" i="28"/>
  <c r="Z26" i="4"/>
  <c r="Z26" i="28"/>
  <c r="Z24" i="4"/>
  <c r="Z24" i="28"/>
  <c r="Z22" i="4"/>
  <c r="Z22" i="28"/>
  <c r="AB18" i="4"/>
  <c r="AB18" i="28"/>
  <c r="AB16" i="4"/>
  <c r="AB16" i="28"/>
  <c r="AB14" i="4"/>
  <c r="AB14" i="28"/>
  <c r="AB12" i="4"/>
  <c r="AB12" i="28"/>
  <c r="AB8" i="4"/>
  <c r="AB8" i="28"/>
  <c r="W32" i="4"/>
  <c r="W32" i="28"/>
  <c r="W30" i="4"/>
  <c r="W30" i="28"/>
  <c r="W28" i="4"/>
  <c r="W28" i="28"/>
  <c r="W26" i="4"/>
  <c r="W26" i="28"/>
  <c r="W24" i="4"/>
  <c r="W24" i="28"/>
  <c r="W22" i="4"/>
  <c r="W22" i="28"/>
  <c r="W20" i="4"/>
  <c r="W20" i="28"/>
  <c r="W18" i="4"/>
  <c r="W18" i="28"/>
  <c r="Y16" i="4"/>
  <c r="Y16" i="28"/>
  <c r="Y14" i="4"/>
  <c r="Y14" i="28"/>
  <c r="Y12" i="4"/>
  <c r="Y12" i="28"/>
  <c r="W11" i="4"/>
  <c r="W11" i="28"/>
  <c r="W9" i="4"/>
  <c r="W9" i="28"/>
  <c r="V32" i="4"/>
  <c r="V32" i="28"/>
  <c r="T31" i="4"/>
  <c r="T31" i="28"/>
  <c r="T29" i="4"/>
  <c r="T29" i="28"/>
  <c r="T27" i="4"/>
  <c r="T27" i="28"/>
  <c r="T25" i="4"/>
  <c r="T25" i="28"/>
  <c r="T23" i="4"/>
  <c r="T23" i="28"/>
  <c r="T21" i="4"/>
  <c r="T21" i="28"/>
  <c r="T17" i="4"/>
  <c r="T17" i="28"/>
  <c r="T15" i="4"/>
  <c r="T15" i="28"/>
  <c r="T11" i="4"/>
  <c r="T11" i="28"/>
  <c r="T9" i="4"/>
  <c r="T9" i="28"/>
  <c r="B9" i="28" s="1"/>
  <c r="B6" i="18" s="1"/>
  <c r="H241" i="27"/>
  <c r="E240" i="27"/>
  <c r="H239" i="27"/>
  <c r="E238" i="27"/>
  <c r="K238" i="27" s="1"/>
  <c r="H237" i="27"/>
  <c r="E236" i="27"/>
  <c r="H235" i="27"/>
  <c r="E234" i="27"/>
  <c r="K234" i="27" s="1"/>
  <c r="H233" i="27"/>
  <c r="E232" i="27"/>
  <c r="H231" i="27"/>
  <c r="E230" i="27"/>
  <c r="K230" i="27" s="1"/>
  <c r="H229" i="27"/>
  <c r="E228" i="27"/>
  <c r="H227" i="27"/>
  <c r="E226" i="27"/>
  <c r="K226" i="27" s="1"/>
  <c r="H225" i="27"/>
  <c r="E224" i="27"/>
  <c r="H223" i="27"/>
  <c r="E222" i="27"/>
  <c r="K222" i="27" s="1"/>
  <c r="H221" i="27"/>
  <c r="E220" i="27"/>
  <c r="H219" i="27"/>
  <c r="E218" i="27"/>
  <c r="K218" i="27" s="1"/>
  <c r="J217" i="27"/>
  <c r="H217" i="27"/>
  <c r="G241" i="27"/>
  <c r="J240" i="27"/>
  <c r="G239" i="27"/>
  <c r="J238" i="27"/>
  <c r="G237" i="27"/>
  <c r="J236" i="27"/>
  <c r="G235" i="27"/>
  <c r="J234" i="27"/>
  <c r="G233" i="27"/>
  <c r="J232" i="27"/>
  <c r="G231" i="27"/>
  <c r="J230" i="27"/>
  <c r="G229" i="27"/>
  <c r="J228" i="27"/>
  <c r="G227" i="27"/>
  <c r="J226" i="27"/>
  <c r="G225" i="27"/>
  <c r="J224" i="27"/>
  <c r="G223" i="27"/>
  <c r="J222" i="27"/>
  <c r="G221" i="27"/>
  <c r="J220" i="27"/>
  <c r="G219" i="27"/>
  <c r="J218" i="27"/>
  <c r="E241" i="27"/>
  <c r="K241" i="27" s="1"/>
  <c r="H240" i="27"/>
  <c r="E239" i="27"/>
  <c r="K239" i="27" s="1"/>
  <c r="H238" i="27"/>
  <c r="E237" i="27"/>
  <c r="K237" i="27" s="1"/>
  <c r="H236" i="27"/>
  <c r="E235" i="27"/>
  <c r="K235" i="27" s="1"/>
  <c r="H234" i="27"/>
  <c r="E233" i="27"/>
  <c r="K233" i="27" s="1"/>
  <c r="H232" i="27"/>
  <c r="E231" i="27"/>
  <c r="K231" i="27" s="1"/>
  <c r="H230" i="27"/>
  <c r="E229" i="27"/>
  <c r="K229" i="27" s="1"/>
  <c r="H228" i="27"/>
  <c r="E227" i="27"/>
  <c r="K227" i="27" s="1"/>
  <c r="H226" i="27"/>
  <c r="E225" i="27"/>
  <c r="K225" i="27" s="1"/>
  <c r="H224" i="27"/>
  <c r="E223" i="27"/>
  <c r="K223" i="27" s="1"/>
  <c r="H222" i="27"/>
  <c r="E221" i="27"/>
  <c r="K221" i="27" s="1"/>
  <c r="H220" i="27"/>
  <c r="E219" i="27"/>
  <c r="K219" i="27" s="1"/>
  <c r="H218" i="27"/>
  <c r="G217" i="27"/>
  <c r="J241" i="27"/>
  <c r="G240" i="27"/>
  <c r="M240" i="27" s="1"/>
  <c r="J239" i="27"/>
  <c r="G238" i="27"/>
  <c r="M238" i="27" s="1"/>
  <c r="J237" i="27"/>
  <c r="G236" i="27"/>
  <c r="M236" i="27" s="1"/>
  <c r="J235" i="27"/>
  <c r="G234" i="27"/>
  <c r="M234" i="27" s="1"/>
  <c r="J233" i="27"/>
  <c r="G232" i="27"/>
  <c r="M232" i="27" s="1"/>
  <c r="J231" i="27"/>
  <c r="G230" i="27"/>
  <c r="M230" i="27" s="1"/>
  <c r="J229" i="27"/>
  <c r="G228" i="27"/>
  <c r="M228" i="27" s="1"/>
  <c r="J227" i="27"/>
  <c r="G226" i="27"/>
  <c r="M226" i="27" s="1"/>
  <c r="J225" i="27"/>
  <c r="G224" i="27"/>
  <c r="M224" i="27" s="1"/>
  <c r="J223" i="27"/>
  <c r="G222" i="27"/>
  <c r="M222" i="27" s="1"/>
  <c r="J221" i="27"/>
  <c r="G220" i="27"/>
  <c r="M220" i="27" s="1"/>
  <c r="J219" i="27"/>
  <c r="G218" i="27"/>
  <c r="M218" i="27" s="1"/>
  <c r="E217" i="27"/>
  <c r="W63" i="4"/>
  <c r="W63" i="28"/>
  <c r="AC127" i="4"/>
  <c r="AC127" i="28"/>
  <c r="Z121" i="4"/>
  <c r="Z121" i="28"/>
  <c r="AB52" i="4"/>
  <c r="AB52" i="28"/>
  <c r="W124" i="4"/>
  <c r="W124" i="28"/>
  <c r="AF58" i="4"/>
  <c r="AF58" i="28"/>
  <c r="Z58" i="4"/>
  <c r="Z58" i="28"/>
  <c r="AE127" i="4"/>
  <c r="AE127" i="28"/>
  <c r="AC44" i="4"/>
  <c r="AC44" i="28"/>
  <c r="AH32" i="4"/>
  <c r="AH32" i="28"/>
  <c r="AH30" i="4"/>
  <c r="AH30" i="28"/>
  <c r="AH28" i="4"/>
  <c r="AH28" i="28"/>
  <c r="AF122" i="4"/>
  <c r="AF122" i="28"/>
  <c r="AF25" i="4"/>
  <c r="AF25" i="28"/>
  <c r="AF23" i="4"/>
  <c r="AF23" i="28"/>
  <c r="AF21" i="4"/>
  <c r="AF21" i="28"/>
  <c r="AF19" i="4"/>
  <c r="AF19" i="28"/>
  <c r="AF17" i="4"/>
  <c r="AF17" i="28"/>
  <c r="AF15" i="4"/>
  <c r="AF15" i="28"/>
  <c r="AF13" i="4"/>
  <c r="AF13" i="28"/>
  <c r="AF11" i="4"/>
  <c r="AF11" i="28"/>
  <c r="AE32" i="4"/>
  <c r="AE32" i="28"/>
  <c r="AE30" i="4"/>
  <c r="AE30" i="28"/>
  <c r="AC29" i="4"/>
  <c r="AC29" i="28"/>
  <c r="AC27" i="4"/>
  <c r="AC27" i="28"/>
  <c r="AC25" i="4"/>
  <c r="AC25" i="28"/>
  <c r="AC23" i="4"/>
  <c r="AC23" i="28"/>
  <c r="AC21" i="4"/>
  <c r="AC21" i="28"/>
  <c r="AC19" i="4"/>
  <c r="AC19" i="28"/>
  <c r="AC17" i="4"/>
  <c r="AC17" i="28"/>
  <c r="AC13" i="4"/>
  <c r="AC13" i="28"/>
  <c r="AC11" i="4"/>
  <c r="AC11" i="28"/>
  <c r="AB31" i="4"/>
  <c r="AB31" i="28"/>
  <c r="AB29" i="4"/>
  <c r="AB29" i="28"/>
  <c r="AB27" i="4"/>
  <c r="AB27" i="28"/>
  <c r="AB25" i="4"/>
  <c r="AB25" i="28"/>
  <c r="AB23" i="4"/>
  <c r="AB23" i="28"/>
  <c r="Z18" i="4"/>
  <c r="Z18" i="28"/>
  <c r="Z16" i="4"/>
  <c r="Z16" i="28"/>
  <c r="Z14" i="4"/>
  <c r="Z14" i="28"/>
  <c r="Z12" i="4"/>
  <c r="Z12" i="28"/>
  <c r="Z10" i="4"/>
  <c r="Z10" i="28"/>
  <c r="Z8" i="4"/>
  <c r="Z8" i="28"/>
  <c r="Y29" i="4"/>
  <c r="Y29" i="28"/>
  <c r="Y27" i="4"/>
  <c r="Y27" i="28"/>
  <c r="Y25" i="4"/>
  <c r="Y25" i="28"/>
  <c r="Y21" i="4"/>
  <c r="Y21" i="28"/>
  <c r="Y19" i="4"/>
  <c r="Y19" i="28"/>
  <c r="Y17" i="4"/>
  <c r="Y17" i="28"/>
  <c r="W16" i="4"/>
  <c r="W16" i="28"/>
  <c r="W14" i="4"/>
  <c r="W14" i="28"/>
  <c r="W12" i="4"/>
  <c r="W12" i="28"/>
  <c r="Y10" i="4"/>
  <c r="Y10" i="28"/>
  <c r="T32" i="4"/>
  <c r="T32" i="28"/>
  <c r="V26" i="4"/>
  <c r="V26" i="28"/>
  <c r="V24" i="4"/>
  <c r="V24" i="28"/>
  <c r="V22" i="4"/>
  <c r="V22" i="28"/>
  <c r="V20" i="4"/>
  <c r="V20" i="28"/>
  <c r="V18" i="4"/>
  <c r="V18" i="28"/>
  <c r="V16" i="4"/>
  <c r="V16" i="28"/>
  <c r="D16" i="28" s="1"/>
  <c r="C13" i="18" s="1"/>
  <c r="V12" i="4"/>
  <c r="V12" i="28"/>
  <c r="V10" i="4"/>
  <c r="V10" i="28"/>
  <c r="J211" i="27"/>
  <c r="G210" i="27"/>
  <c r="J209" i="27"/>
  <c r="H208" i="27"/>
  <c r="G207" i="27"/>
  <c r="J206" i="27"/>
  <c r="G205" i="27"/>
  <c r="E204" i="27"/>
  <c r="J203" i="27"/>
  <c r="G202" i="27"/>
  <c r="J201" i="27"/>
  <c r="H200" i="27"/>
  <c r="G199" i="27"/>
  <c r="J198" i="27"/>
  <c r="G197" i="27"/>
  <c r="E196" i="27"/>
  <c r="J195" i="27"/>
  <c r="G194" i="27"/>
  <c r="J193" i="27"/>
  <c r="H192" i="27"/>
  <c r="G191" i="27"/>
  <c r="J190" i="27"/>
  <c r="G189" i="27"/>
  <c r="E188" i="27"/>
  <c r="H187" i="27"/>
  <c r="E210" i="27"/>
  <c r="H209" i="27"/>
  <c r="J204" i="27"/>
  <c r="H203" i="27"/>
  <c r="E199" i="27"/>
  <c r="E194" i="27"/>
  <c r="H193" i="27"/>
  <c r="G192" i="27"/>
  <c r="E191" i="27"/>
  <c r="H190" i="27"/>
  <c r="E189" i="27"/>
  <c r="H211" i="27"/>
  <c r="G208" i="27"/>
  <c r="E207" i="27"/>
  <c r="E202" i="27"/>
  <c r="K202" i="27" s="1"/>
  <c r="H201" i="27"/>
  <c r="G200" i="27"/>
  <c r="H198" i="27"/>
  <c r="E197" i="27"/>
  <c r="J196" i="27"/>
  <c r="H195" i="27"/>
  <c r="J188" i="27"/>
  <c r="G187" i="27"/>
  <c r="G211" i="27"/>
  <c r="M211" i="27" s="1"/>
  <c r="J210" i="27"/>
  <c r="G209" i="27"/>
  <c r="M209" i="27" s="1"/>
  <c r="E208" i="27"/>
  <c r="K208" i="27" s="1"/>
  <c r="J207" i="27"/>
  <c r="G206" i="27"/>
  <c r="M206" i="27" s="1"/>
  <c r="J205" i="27"/>
  <c r="H204" i="27"/>
  <c r="G203" i="27"/>
  <c r="M203" i="27" s="1"/>
  <c r="J202" i="27"/>
  <c r="G201" i="27"/>
  <c r="M201" i="27" s="1"/>
  <c r="E200" i="27"/>
  <c r="K200" i="27" s="1"/>
  <c r="J199" i="27"/>
  <c r="G198" i="27"/>
  <c r="M198" i="27" s="1"/>
  <c r="J197" i="27"/>
  <c r="H196" i="27"/>
  <c r="G195" i="27"/>
  <c r="M195" i="27" s="1"/>
  <c r="J194" i="27"/>
  <c r="G193" i="27"/>
  <c r="M193" i="27" s="1"/>
  <c r="E192" i="27"/>
  <c r="K192" i="27" s="1"/>
  <c r="J191" i="27"/>
  <c r="G190" i="27"/>
  <c r="M190" i="27" s="1"/>
  <c r="J189" i="27"/>
  <c r="H188" i="27"/>
  <c r="E187" i="27"/>
  <c r="E211" i="27"/>
  <c r="H210" i="27"/>
  <c r="E209" i="27"/>
  <c r="K209" i="27" s="1"/>
  <c r="J208" i="27"/>
  <c r="H207" i="27"/>
  <c r="E206" i="27"/>
  <c r="H205" i="27"/>
  <c r="G204" i="27"/>
  <c r="M204" i="27" s="1"/>
  <c r="E203" i="27"/>
  <c r="H202" i="27"/>
  <c r="E201" i="27"/>
  <c r="J200" i="27"/>
  <c r="H199" i="27"/>
  <c r="E198" i="27"/>
  <c r="K198" i="27" s="1"/>
  <c r="H197" i="27"/>
  <c r="G196" i="27"/>
  <c r="M196" i="27" s="1"/>
  <c r="E195" i="27"/>
  <c r="K195" i="27" s="1"/>
  <c r="H194" i="27"/>
  <c r="E193" i="27"/>
  <c r="K193" i="27" s="1"/>
  <c r="J192" i="27"/>
  <c r="H191" i="27"/>
  <c r="E190" i="27"/>
  <c r="K190" i="27" s="1"/>
  <c r="H189" i="27"/>
  <c r="G188" i="27"/>
  <c r="M188" i="27" s="1"/>
  <c r="J187" i="27"/>
  <c r="H206" i="27"/>
  <c r="E205" i="27"/>
  <c r="K205" i="27" s="1"/>
  <c r="K234" i="5"/>
  <c r="Y106" i="4"/>
  <c r="Y106" i="28"/>
  <c r="AB47" i="4"/>
  <c r="AB47" i="28"/>
  <c r="AC110" i="4"/>
  <c r="AC110" i="28"/>
  <c r="V114" i="4"/>
  <c r="V114" i="28"/>
  <c r="W106" i="4"/>
  <c r="W106" i="28"/>
  <c r="AE57" i="4"/>
  <c r="AE57" i="28"/>
  <c r="Y61" i="4"/>
  <c r="Y61" i="28"/>
  <c r="Z57" i="4"/>
  <c r="Z57" i="28"/>
  <c r="AE125" i="4"/>
  <c r="AE125" i="28"/>
  <c r="AC43" i="4"/>
  <c r="AC43" i="28"/>
  <c r="AF32" i="4"/>
  <c r="AF32" i="28"/>
  <c r="AF30" i="4"/>
  <c r="AF30" i="28"/>
  <c r="AH26" i="4"/>
  <c r="AH26" i="28"/>
  <c r="AH24" i="4"/>
  <c r="AH24" i="28"/>
  <c r="AH22" i="4"/>
  <c r="AH22" i="28"/>
  <c r="AH20" i="4"/>
  <c r="AH20" i="28"/>
  <c r="AH18" i="4"/>
  <c r="AH18" i="28"/>
  <c r="AH14" i="4"/>
  <c r="AH14" i="28"/>
  <c r="AH12" i="4"/>
  <c r="AH12" i="28"/>
  <c r="AH8" i="4"/>
  <c r="AH8" i="28"/>
  <c r="AC32" i="4"/>
  <c r="AC32" i="28"/>
  <c r="AC30" i="4"/>
  <c r="AC30" i="28"/>
  <c r="AE28" i="4"/>
  <c r="AE28" i="28"/>
  <c r="AE22" i="4"/>
  <c r="AE22" i="28"/>
  <c r="AE20" i="4"/>
  <c r="AE20" i="28"/>
  <c r="AE18" i="4"/>
  <c r="AE18" i="28"/>
  <c r="AE16" i="4"/>
  <c r="AE16" i="28"/>
  <c r="AE14" i="4"/>
  <c r="AE14" i="28"/>
  <c r="D14" i="28" s="1"/>
  <c r="C11" i="18" s="1"/>
  <c r="AE12" i="4"/>
  <c r="AE12" i="28"/>
  <c r="Z128" i="4"/>
  <c r="Z128" i="28"/>
  <c r="Z31" i="4"/>
  <c r="Z31" i="28"/>
  <c r="Z29" i="4"/>
  <c r="Z29" i="28"/>
  <c r="Z27" i="4"/>
  <c r="Z27" i="28"/>
  <c r="Z25" i="4"/>
  <c r="Z25" i="28"/>
  <c r="Z23" i="4"/>
  <c r="Z23" i="28"/>
  <c r="AB21" i="4"/>
  <c r="AB21" i="28"/>
  <c r="AB19" i="4"/>
  <c r="AB19" i="28"/>
  <c r="AB17" i="4"/>
  <c r="AB17" i="28"/>
  <c r="AB15" i="4"/>
  <c r="AB15" i="28"/>
  <c r="AB11" i="4"/>
  <c r="AB11" i="28"/>
  <c r="AB9" i="4"/>
  <c r="AB9" i="28"/>
  <c r="W29" i="4"/>
  <c r="W29" i="28"/>
  <c r="W27" i="4"/>
  <c r="W27" i="28"/>
  <c r="W25" i="4"/>
  <c r="W25" i="28"/>
  <c r="W23" i="4"/>
  <c r="W23" i="28"/>
  <c r="W21" i="4"/>
  <c r="W21" i="28"/>
  <c r="W19" i="4"/>
  <c r="W19" i="28"/>
  <c r="B19" i="28" s="1"/>
  <c r="B16" i="18" s="1"/>
  <c r="W17" i="4"/>
  <c r="W17" i="28"/>
  <c r="Y15" i="4"/>
  <c r="Y15" i="28"/>
  <c r="Y13" i="4"/>
  <c r="Y13" i="28"/>
  <c r="W107" i="4"/>
  <c r="W107" i="28"/>
  <c r="W10" i="4"/>
  <c r="W10" i="28"/>
  <c r="W7" i="28" s="1"/>
  <c r="V63" i="4"/>
  <c r="V63" i="28"/>
  <c r="T30" i="4"/>
  <c r="T30" i="28"/>
  <c r="T28" i="4"/>
  <c r="T28" i="28"/>
  <c r="T24" i="4"/>
  <c r="T24" i="28"/>
  <c r="T22" i="4"/>
  <c r="T22" i="28"/>
  <c r="T20" i="4"/>
  <c r="T20" i="28"/>
  <c r="T18" i="4"/>
  <c r="T18" i="28"/>
  <c r="T16" i="4"/>
  <c r="T16" i="28"/>
  <c r="T14" i="4"/>
  <c r="T14" i="28"/>
  <c r="T12" i="4"/>
  <c r="T12" i="28"/>
  <c r="T10" i="4"/>
  <c r="T10" i="28"/>
  <c r="T7" i="28" s="1"/>
  <c r="G164" i="5"/>
  <c r="V47" i="28" s="1"/>
  <c r="G181" i="27"/>
  <c r="J180" i="27"/>
  <c r="G179" i="27"/>
  <c r="E178" i="27"/>
  <c r="J177" i="27"/>
  <c r="G176" i="27"/>
  <c r="J175" i="27"/>
  <c r="H174" i="27"/>
  <c r="G173" i="27"/>
  <c r="J172" i="27"/>
  <c r="G171" i="27"/>
  <c r="E170" i="27"/>
  <c r="J169" i="27"/>
  <c r="G168" i="27"/>
  <c r="J167" i="27"/>
  <c r="H166" i="27"/>
  <c r="G165" i="27"/>
  <c r="J164" i="27"/>
  <c r="G163" i="27"/>
  <c r="E162" i="27"/>
  <c r="J161" i="27"/>
  <c r="G160" i="27"/>
  <c r="J159" i="27"/>
  <c r="H158" i="27"/>
  <c r="E157" i="27"/>
  <c r="J178" i="27"/>
  <c r="H177" i="27"/>
  <c r="E173" i="27"/>
  <c r="K173" i="27" s="1"/>
  <c r="E168" i="27"/>
  <c r="H167" i="27"/>
  <c r="G166" i="27"/>
  <c r="E165" i="27"/>
  <c r="K165" i="27" s="1"/>
  <c r="H180" i="27"/>
  <c r="E176" i="27"/>
  <c r="H175" i="27"/>
  <c r="G174" i="27"/>
  <c r="M174" i="27" s="1"/>
  <c r="H172" i="27"/>
  <c r="E171" i="27"/>
  <c r="J162" i="27"/>
  <c r="H161" i="27"/>
  <c r="E160" i="27"/>
  <c r="H159" i="27"/>
  <c r="G158" i="27"/>
  <c r="J157" i="27"/>
  <c r="J156" i="27" s="1"/>
  <c r="J181" i="27"/>
  <c r="G180" i="27"/>
  <c r="M180" i="27" s="1"/>
  <c r="J179" i="27"/>
  <c r="H178" i="27"/>
  <c r="G177" i="27"/>
  <c r="M177" i="27" s="1"/>
  <c r="J176" i="27"/>
  <c r="G175" i="27"/>
  <c r="M175" i="27" s="1"/>
  <c r="E174" i="27"/>
  <c r="K174" i="27" s="1"/>
  <c r="J173" i="27"/>
  <c r="G172" i="27"/>
  <c r="M172" i="27" s="1"/>
  <c r="J171" i="27"/>
  <c r="H170" i="27"/>
  <c r="G169" i="27"/>
  <c r="M169" i="27" s="1"/>
  <c r="J168" i="27"/>
  <c r="G167" i="27"/>
  <c r="M167" i="27" s="1"/>
  <c r="E166" i="27"/>
  <c r="K166" i="27" s="1"/>
  <c r="J165" i="27"/>
  <c r="G164" i="27"/>
  <c r="M164" i="27" s="1"/>
  <c r="J163" i="27"/>
  <c r="H162" i="27"/>
  <c r="G161" i="27"/>
  <c r="M161" i="27" s="1"/>
  <c r="J160" i="27"/>
  <c r="G159" i="27"/>
  <c r="M159" i="27" s="1"/>
  <c r="E158" i="27"/>
  <c r="H157" i="27"/>
  <c r="H181" i="27"/>
  <c r="E180" i="27"/>
  <c r="K180" i="27" s="1"/>
  <c r="H179" i="27"/>
  <c r="G178" i="27"/>
  <c r="M178" i="27" s="1"/>
  <c r="E177" i="27"/>
  <c r="H176" i="27"/>
  <c r="E175" i="27"/>
  <c r="K175" i="27" s="1"/>
  <c r="J174" i="27"/>
  <c r="H173" i="27"/>
  <c r="E172" i="27"/>
  <c r="K172" i="27" s="1"/>
  <c r="H171" i="27"/>
  <c r="G170" i="27"/>
  <c r="E169" i="27"/>
  <c r="H168" i="27"/>
  <c r="E167" i="27"/>
  <c r="K167" i="27" s="1"/>
  <c r="J166" i="27"/>
  <c r="H165" i="27"/>
  <c r="E164" i="27"/>
  <c r="H163" i="27"/>
  <c r="G162" i="27"/>
  <c r="M162" i="27" s="1"/>
  <c r="E161" i="27"/>
  <c r="H160" i="27"/>
  <c r="E159" i="27"/>
  <c r="K159" i="27" s="1"/>
  <c r="J158" i="27"/>
  <c r="G157" i="27"/>
  <c r="E181" i="27"/>
  <c r="K181" i="27" s="1"/>
  <c r="E179" i="27"/>
  <c r="K179" i="27" s="1"/>
  <c r="J170" i="27"/>
  <c r="H169" i="27"/>
  <c r="H164" i="27"/>
  <c r="E163" i="27"/>
  <c r="K163" i="27" s="1"/>
  <c r="H279" i="5"/>
  <c r="W52" i="4"/>
  <c r="W52" i="28"/>
  <c r="Y127" i="4"/>
  <c r="Y127" i="28"/>
  <c r="AB63" i="4"/>
  <c r="AB63" i="28"/>
  <c r="T127" i="4"/>
  <c r="T127" i="28"/>
  <c r="AH60" i="4"/>
  <c r="AH60" i="28"/>
  <c r="Y43" i="4"/>
  <c r="Y43" i="28"/>
  <c r="AC124" i="4"/>
  <c r="AC124" i="28"/>
  <c r="AF111" i="4"/>
  <c r="AF111" i="28"/>
  <c r="AB123" i="4"/>
  <c r="AB123" i="28"/>
  <c r="Z42" i="4"/>
  <c r="Z42" i="28"/>
  <c r="AC60" i="4"/>
  <c r="AC60" i="28"/>
  <c r="AE105" i="4"/>
  <c r="AE105" i="28"/>
  <c r="AH31" i="4"/>
  <c r="AH31" i="28"/>
  <c r="AH29" i="4"/>
  <c r="AH29" i="28"/>
  <c r="AH27" i="4"/>
  <c r="AH27" i="28"/>
  <c r="AF26" i="4"/>
  <c r="AF26" i="28"/>
  <c r="B26" i="28" s="1"/>
  <c r="B23" i="18" s="1"/>
  <c r="AF24" i="4"/>
  <c r="AF24" i="28"/>
  <c r="AF22" i="4"/>
  <c r="AF22" i="28"/>
  <c r="AF20" i="4"/>
  <c r="AF20" i="28"/>
  <c r="AF18" i="4"/>
  <c r="AF18" i="28"/>
  <c r="AF16" i="4"/>
  <c r="AF16" i="28"/>
  <c r="AF12" i="4"/>
  <c r="AF12" i="28"/>
  <c r="AF10" i="4"/>
  <c r="AF10" i="28"/>
  <c r="AF8" i="4"/>
  <c r="AF8" i="28"/>
  <c r="B8" i="28" s="1"/>
  <c r="AE31" i="4"/>
  <c r="AE31" i="28"/>
  <c r="AC125" i="4"/>
  <c r="AC125" i="28"/>
  <c r="AC28" i="4"/>
  <c r="AC28" i="28"/>
  <c r="AC24" i="4"/>
  <c r="AC24" i="28"/>
  <c r="AC22" i="4"/>
  <c r="AC22" i="28"/>
  <c r="AC20" i="4"/>
  <c r="AC20" i="28"/>
  <c r="AC18" i="4"/>
  <c r="AC18" i="28"/>
  <c r="AC16" i="4"/>
  <c r="AC16" i="28"/>
  <c r="AC14" i="4"/>
  <c r="AC14" i="28"/>
  <c r="AC10" i="4"/>
  <c r="AC10" i="28"/>
  <c r="AE8" i="4"/>
  <c r="AE8" i="28"/>
  <c r="AE7" i="28" s="1"/>
  <c r="AB32" i="4"/>
  <c r="AB32" i="28"/>
  <c r="AB30" i="4"/>
  <c r="AB30" i="28"/>
  <c r="AB28" i="4"/>
  <c r="AB28" i="28"/>
  <c r="AB26" i="4"/>
  <c r="AB26" i="28"/>
  <c r="AB24" i="4"/>
  <c r="AB24" i="28"/>
  <c r="AB22" i="4"/>
  <c r="AB22" i="28"/>
  <c r="Z21" i="4"/>
  <c r="Z21" i="28"/>
  <c r="Z19" i="4"/>
  <c r="Z19" i="28"/>
  <c r="Z17" i="4"/>
  <c r="Z17" i="28"/>
  <c r="Z13" i="4"/>
  <c r="Z13" i="28"/>
  <c r="Z11" i="4"/>
  <c r="Z11" i="28"/>
  <c r="Y32" i="4"/>
  <c r="Y32" i="28"/>
  <c r="Y30" i="4"/>
  <c r="Y30" i="28"/>
  <c r="D30" i="28" s="1"/>
  <c r="C27" i="18" s="1"/>
  <c r="Y28" i="4"/>
  <c r="Y28" i="28"/>
  <c r="D28" i="28" s="1"/>
  <c r="C25" i="18" s="1"/>
  <c r="Y26" i="4"/>
  <c r="Y26" i="28"/>
  <c r="Y24" i="4"/>
  <c r="Y24" i="28"/>
  <c r="Y22" i="4"/>
  <c r="Y22" i="28"/>
  <c r="Y20" i="4"/>
  <c r="Y20" i="28"/>
  <c r="Y18" i="4"/>
  <c r="Y18" i="28"/>
  <c r="Y48" i="4"/>
  <c r="Y48" i="28"/>
  <c r="W15" i="4"/>
  <c r="W15" i="28"/>
  <c r="W13" i="4"/>
  <c r="W13" i="28"/>
  <c r="B13" i="28" s="1"/>
  <c r="B10" i="18" s="1"/>
  <c r="Y11" i="4"/>
  <c r="Y11" i="28"/>
  <c r="Y9" i="4"/>
  <c r="Y9" i="28"/>
  <c r="Y7" i="28" s="1"/>
  <c r="V31" i="4"/>
  <c r="V31" i="28"/>
  <c r="V29" i="4"/>
  <c r="V29" i="28"/>
  <c r="D29" i="28" s="1"/>
  <c r="C26" i="18" s="1"/>
  <c r="V27" i="4"/>
  <c r="V27" i="28"/>
  <c r="V25" i="4"/>
  <c r="V25" i="28"/>
  <c r="D25" i="28" s="1"/>
  <c r="C22" i="18" s="1"/>
  <c r="V23" i="4"/>
  <c r="V23" i="28"/>
  <c r="D23" i="28" s="1"/>
  <c r="C20" i="18" s="1"/>
  <c r="V21" i="4"/>
  <c r="V21" i="28"/>
  <c r="D21" i="28" s="1"/>
  <c r="C18" i="18" s="1"/>
  <c r="V19" i="4"/>
  <c r="V19" i="28"/>
  <c r="D19" i="28" s="1"/>
  <c r="C16" i="18" s="1"/>
  <c r="V17" i="4"/>
  <c r="V17" i="28"/>
  <c r="D17" i="28" s="1"/>
  <c r="C14" i="18" s="1"/>
  <c r="V15" i="4"/>
  <c r="V15" i="28"/>
  <c r="D15" i="28" s="1"/>
  <c r="C12" i="18" s="1"/>
  <c r="V13" i="4"/>
  <c r="V13" i="28"/>
  <c r="D13" i="28" s="1"/>
  <c r="C10" i="18" s="1"/>
  <c r="D11" i="28"/>
  <c r="C8" i="18" s="1"/>
  <c r="V9" i="4"/>
  <c r="V9" i="28"/>
  <c r="G271" i="27"/>
  <c r="J270" i="27"/>
  <c r="G269" i="27"/>
  <c r="J268" i="27"/>
  <c r="G267" i="27"/>
  <c r="J266" i="27"/>
  <c r="G265" i="27"/>
  <c r="J264" i="27"/>
  <c r="G263" i="27"/>
  <c r="J262" i="27"/>
  <c r="G261" i="27"/>
  <c r="J260" i="27"/>
  <c r="G259" i="27"/>
  <c r="J258" i="27"/>
  <c r="G257" i="27"/>
  <c r="J256" i="27"/>
  <c r="G255" i="27"/>
  <c r="J254" i="27"/>
  <c r="G253" i="27"/>
  <c r="J252" i="27"/>
  <c r="G251" i="27"/>
  <c r="J250" i="27"/>
  <c r="G249" i="27"/>
  <c r="J248" i="27"/>
  <c r="H247" i="27"/>
  <c r="E271" i="27"/>
  <c r="K271" i="27" s="1"/>
  <c r="H270" i="27"/>
  <c r="E269" i="27"/>
  <c r="H268" i="27"/>
  <c r="E267" i="27"/>
  <c r="K267" i="27" s="1"/>
  <c r="H266" i="27"/>
  <c r="E265" i="27"/>
  <c r="H264" i="27"/>
  <c r="E263" i="27"/>
  <c r="K263" i="27" s="1"/>
  <c r="H262" i="27"/>
  <c r="E261" i="27"/>
  <c r="H260" i="27"/>
  <c r="E259" i="27"/>
  <c r="K259" i="27" s="1"/>
  <c r="H258" i="27"/>
  <c r="E257" i="27"/>
  <c r="H256" i="27"/>
  <c r="E255" i="27"/>
  <c r="K255" i="27" s="1"/>
  <c r="H254" i="27"/>
  <c r="E253" i="27"/>
  <c r="H252" i="27"/>
  <c r="E251" i="27"/>
  <c r="K251" i="27" s="1"/>
  <c r="H250" i="27"/>
  <c r="E249" i="27"/>
  <c r="H248" i="27"/>
  <c r="G247" i="27"/>
  <c r="J271" i="27"/>
  <c r="G270" i="27"/>
  <c r="J269" i="27"/>
  <c r="G268" i="27"/>
  <c r="M268" i="27" s="1"/>
  <c r="J267" i="27"/>
  <c r="G266" i="27"/>
  <c r="J265" i="27"/>
  <c r="G264" i="27"/>
  <c r="M264" i="27" s="1"/>
  <c r="J263" i="27"/>
  <c r="G262" i="27"/>
  <c r="J261" i="27"/>
  <c r="G260" i="27"/>
  <c r="M260" i="27" s="1"/>
  <c r="J259" i="27"/>
  <c r="G258" i="27"/>
  <c r="J257" i="27"/>
  <c r="G256" i="27"/>
  <c r="M256" i="27" s="1"/>
  <c r="J255" i="27"/>
  <c r="G254" i="27"/>
  <c r="J253" i="27"/>
  <c r="G252" i="27"/>
  <c r="M252" i="27" s="1"/>
  <c r="J251" i="27"/>
  <c r="G250" i="27"/>
  <c r="J249" i="27"/>
  <c r="G248" i="27"/>
  <c r="M248" i="27" s="1"/>
  <c r="E247" i="27"/>
  <c r="H271" i="27"/>
  <c r="E270" i="27"/>
  <c r="K270" i="27" s="1"/>
  <c r="H269" i="27"/>
  <c r="E268" i="27"/>
  <c r="K268" i="27" s="1"/>
  <c r="H267" i="27"/>
  <c r="E266" i="27"/>
  <c r="K266" i="27" s="1"/>
  <c r="H265" i="27"/>
  <c r="E264" i="27"/>
  <c r="K264" i="27" s="1"/>
  <c r="H263" i="27"/>
  <c r="E262" i="27"/>
  <c r="K262" i="27" s="1"/>
  <c r="H261" i="27"/>
  <c r="E260" i="27"/>
  <c r="K260" i="27" s="1"/>
  <c r="H259" i="27"/>
  <c r="E258" i="27"/>
  <c r="K258" i="27" s="1"/>
  <c r="H257" i="27"/>
  <c r="E256" i="27"/>
  <c r="K256" i="27" s="1"/>
  <c r="H255" i="27"/>
  <c r="E254" i="27"/>
  <c r="K254" i="27" s="1"/>
  <c r="H253" i="27"/>
  <c r="E252" i="27"/>
  <c r="K252" i="27" s="1"/>
  <c r="H251" i="27"/>
  <c r="E250" i="27"/>
  <c r="K250" i="27" s="1"/>
  <c r="H249" i="27"/>
  <c r="E248" i="27"/>
  <c r="K248" i="27" s="1"/>
  <c r="J247" i="27"/>
  <c r="J301" i="27"/>
  <c r="G300" i="27"/>
  <c r="M300" i="27" s="1"/>
  <c r="J299" i="27"/>
  <c r="G298" i="27"/>
  <c r="J297" i="27"/>
  <c r="G296" i="27"/>
  <c r="M296" i="27" s="1"/>
  <c r="J295" i="27"/>
  <c r="G294" i="27"/>
  <c r="J293" i="27"/>
  <c r="G292" i="27"/>
  <c r="M292" i="27" s="1"/>
  <c r="J291" i="27"/>
  <c r="G290" i="27"/>
  <c r="J289" i="27"/>
  <c r="G288" i="27"/>
  <c r="M288" i="27" s="1"/>
  <c r="J287" i="27"/>
  <c r="G286" i="27"/>
  <c r="J285" i="27"/>
  <c r="G284" i="27"/>
  <c r="M284" i="27" s="1"/>
  <c r="J283" i="27"/>
  <c r="G282" i="27"/>
  <c r="J281" i="27"/>
  <c r="G280" i="27"/>
  <c r="M280" i="27" s="1"/>
  <c r="J279" i="27"/>
  <c r="H301" i="27"/>
  <c r="E300" i="27"/>
  <c r="K300" i="27" s="1"/>
  <c r="H299" i="27"/>
  <c r="E298" i="27"/>
  <c r="H297" i="27"/>
  <c r="E296" i="27"/>
  <c r="K296" i="27" s="1"/>
  <c r="H295" i="27"/>
  <c r="E294" i="27"/>
  <c r="H293" i="27"/>
  <c r="E292" i="27"/>
  <c r="K292" i="27" s="1"/>
  <c r="H291" i="27"/>
  <c r="E290" i="27"/>
  <c r="H289" i="27"/>
  <c r="E288" i="27"/>
  <c r="K288" i="27" s="1"/>
  <c r="H287" i="27"/>
  <c r="E286" i="27"/>
  <c r="H285" i="27"/>
  <c r="E284" i="27"/>
  <c r="H283" i="27"/>
  <c r="G301" i="27"/>
  <c r="J300" i="27"/>
  <c r="G299" i="27"/>
  <c r="M299" i="27" s="1"/>
  <c r="J298" i="27"/>
  <c r="G297" i="27"/>
  <c r="J296" i="27"/>
  <c r="G295" i="27"/>
  <c r="M295" i="27" s="1"/>
  <c r="J294" i="27"/>
  <c r="G293" i="27"/>
  <c r="J292" i="27"/>
  <c r="G291" i="27"/>
  <c r="M291" i="27" s="1"/>
  <c r="J290" i="27"/>
  <c r="G289" i="27"/>
  <c r="J288" i="27"/>
  <c r="G287" i="27"/>
  <c r="M287" i="27" s="1"/>
  <c r="J286" i="27"/>
  <c r="G285" i="27"/>
  <c r="J284" i="27"/>
  <c r="G283" i="27"/>
  <c r="M283" i="27" s="1"/>
  <c r="J282" i="27"/>
  <c r="E301" i="27"/>
  <c r="K301" i="27" s="1"/>
  <c r="H300" i="27"/>
  <c r="E299" i="27"/>
  <c r="H298" i="27"/>
  <c r="E297" i="27"/>
  <c r="K297" i="27" s="1"/>
  <c r="H296" i="27"/>
  <c r="E295" i="27"/>
  <c r="H294" i="27"/>
  <c r="E293" i="27"/>
  <c r="K293" i="27" s="1"/>
  <c r="H292" i="27"/>
  <c r="E291" i="27"/>
  <c r="H290" i="27"/>
  <c r="E289" i="27"/>
  <c r="K289" i="27" s="1"/>
  <c r="H288" i="27"/>
  <c r="E287" i="27"/>
  <c r="H286" i="27"/>
  <c r="H282" i="27"/>
  <c r="H281" i="27"/>
  <c r="E279" i="27"/>
  <c r="H278" i="27"/>
  <c r="G277" i="27"/>
  <c r="E283" i="27"/>
  <c r="E282" i="27"/>
  <c r="K282" i="27" s="1"/>
  <c r="G281" i="27"/>
  <c r="M281" i="27" s="1"/>
  <c r="J280" i="27"/>
  <c r="G278" i="27"/>
  <c r="E277" i="27"/>
  <c r="H284" i="27"/>
  <c r="E281" i="27"/>
  <c r="K281" i="27" s="1"/>
  <c r="H280" i="27"/>
  <c r="H279" i="27"/>
  <c r="E278" i="27"/>
  <c r="K278" i="27" s="1"/>
  <c r="J277" i="27"/>
  <c r="E285" i="27"/>
  <c r="K285" i="27" s="1"/>
  <c r="E280" i="27"/>
  <c r="K280" i="27" s="1"/>
  <c r="G279" i="27"/>
  <c r="M279" i="27" s="1"/>
  <c r="J278" i="27"/>
  <c r="H277" i="27"/>
  <c r="N105" i="4"/>
  <c r="U64" i="33"/>
  <c r="N127" i="4"/>
  <c r="U86" i="33"/>
  <c r="N57" i="4"/>
  <c r="U51" i="33"/>
  <c r="N49" i="4"/>
  <c r="U43" i="33"/>
  <c r="N41" i="4"/>
  <c r="U35" i="33"/>
  <c r="N120" i="4"/>
  <c r="U79" i="33"/>
  <c r="N125" i="4"/>
  <c r="U84" i="33"/>
  <c r="N62" i="4"/>
  <c r="U56" i="33"/>
  <c r="N60" i="4"/>
  <c r="U54" i="33"/>
  <c r="N42" i="4"/>
  <c r="U36" i="33"/>
  <c r="N56" i="4"/>
  <c r="U50" i="33"/>
  <c r="N119" i="4"/>
  <c r="U78" i="33"/>
  <c r="N50" i="4"/>
  <c r="U44" i="33"/>
  <c r="V62" i="33"/>
  <c r="N118" i="4"/>
  <c r="U77" i="33"/>
  <c r="N123" i="4"/>
  <c r="U82" i="33"/>
  <c r="N111" i="4"/>
  <c r="U70" i="33"/>
  <c r="N59" i="4"/>
  <c r="U53" i="33"/>
  <c r="N43" i="4"/>
  <c r="U37" i="33"/>
  <c r="N124" i="4"/>
  <c r="U83" i="33"/>
  <c r="N113" i="4"/>
  <c r="U72" i="33"/>
  <c r="N108" i="4"/>
  <c r="U67" i="33"/>
  <c r="N54" i="4"/>
  <c r="U48" i="33"/>
  <c r="N52" i="4"/>
  <c r="U46" i="33"/>
  <c r="N114" i="4"/>
  <c r="U73" i="33"/>
  <c r="N117" i="4"/>
  <c r="U76" i="33"/>
  <c r="N110" i="4"/>
  <c r="U69" i="33"/>
  <c r="N107" i="4"/>
  <c r="U66" i="33"/>
  <c r="N122" i="4"/>
  <c r="U81" i="33"/>
  <c r="N61" i="4"/>
  <c r="U55" i="33"/>
  <c r="N53" i="4"/>
  <c r="U47" i="33"/>
  <c r="N45" i="4"/>
  <c r="U39" i="33"/>
  <c r="N128" i="4"/>
  <c r="U87" i="33"/>
  <c r="N104" i="4"/>
  <c r="U63" i="33"/>
  <c r="N112" i="4"/>
  <c r="U71" i="33"/>
  <c r="N46" i="4"/>
  <c r="U40" i="33"/>
  <c r="N44" i="4"/>
  <c r="U38" i="33"/>
  <c r="N64" i="4"/>
  <c r="U58" i="33"/>
  <c r="V33" i="33"/>
  <c r="N126" i="4"/>
  <c r="U85" i="33"/>
  <c r="N121" i="4"/>
  <c r="U80" i="33"/>
  <c r="N106" i="4"/>
  <c r="U65" i="33"/>
  <c r="N63" i="4"/>
  <c r="U57" i="33"/>
  <c r="N55" i="4"/>
  <c r="U49" i="33"/>
  <c r="N47" i="4"/>
  <c r="U41" i="33"/>
  <c r="N40" i="4"/>
  <c r="U34" i="33"/>
  <c r="N115" i="4"/>
  <c r="U74" i="33"/>
  <c r="N116" i="4"/>
  <c r="U75" i="33"/>
  <c r="N109" i="4"/>
  <c r="U68" i="33"/>
  <c r="N48" i="4"/>
  <c r="U42" i="33"/>
  <c r="N58" i="4"/>
  <c r="U52" i="33"/>
  <c r="V7" i="33"/>
  <c r="K44" i="4"/>
  <c r="Q38" i="33"/>
  <c r="K125" i="4"/>
  <c r="Q84" i="33"/>
  <c r="H110" i="4"/>
  <c r="M69" i="33"/>
  <c r="H51" i="4"/>
  <c r="M45" i="33"/>
  <c r="H120" i="4"/>
  <c r="M79" i="33"/>
  <c r="H62" i="4"/>
  <c r="M56" i="33"/>
  <c r="H125" i="4"/>
  <c r="M84" i="33"/>
  <c r="H122" i="4"/>
  <c r="M81" i="33"/>
  <c r="H106" i="4"/>
  <c r="M65" i="33"/>
  <c r="H57" i="4"/>
  <c r="M51" i="33"/>
  <c r="H49" i="4"/>
  <c r="M43" i="33"/>
  <c r="H41" i="4"/>
  <c r="M35" i="33"/>
  <c r="H107" i="4"/>
  <c r="M66" i="33"/>
  <c r="H116" i="4"/>
  <c r="M75" i="33"/>
  <c r="H44" i="4"/>
  <c r="M38" i="33"/>
  <c r="H123" i="4"/>
  <c r="M82" i="33"/>
  <c r="H104" i="4"/>
  <c r="M63" i="33"/>
  <c r="H115" i="4"/>
  <c r="M74" i="33"/>
  <c r="H126" i="4"/>
  <c r="M85" i="33"/>
  <c r="H59" i="4"/>
  <c r="M53" i="33"/>
  <c r="H113" i="4"/>
  <c r="M72" i="33"/>
  <c r="H105" i="4"/>
  <c r="M64" i="33"/>
  <c r="H114" i="4"/>
  <c r="M73" i="33"/>
  <c r="H119" i="4"/>
  <c r="M78" i="33"/>
  <c r="H61" i="4"/>
  <c r="M55" i="33"/>
  <c r="H53" i="4"/>
  <c r="M47" i="33"/>
  <c r="H45" i="4"/>
  <c r="M39" i="33"/>
  <c r="H117" i="4"/>
  <c r="M76" i="33"/>
  <c r="H124" i="4"/>
  <c r="M83" i="33"/>
  <c r="H108" i="4"/>
  <c r="M67" i="33"/>
  <c r="H60" i="4"/>
  <c r="M54" i="33"/>
  <c r="H54" i="4"/>
  <c r="M48" i="33"/>
  <c r="H56" i="4"/>
  <c r="M50" i="33"/>
  <c r="H111" i="4"/>
  <c r="M70" i="33"/>
  <c r="H43" i="4"/>
  <c r="M37" i="33"/>
  <c r="H58" i="4"/>
  <c r="M52" i="33"/>
  <c r="H48" i="4"/>
  <c r="M42" i="33"/>
  <c r="H42" i="4"/>
  <c r="M36" i="33"/>
  <c r="H109" i="4"/>
  <c r="M68" i="33"/>
  <c r="H118" i="4"/>
  <c r="M77" i="33"/>
  <c r="H127" i="4"/>
  <c r="M86" i="33"/>
  <c r="H63" i="4"/>
  <c r="M57" i="33"/>
  <c r="H55" i="4"/>
  <c r="M49" i="33"/>
  <c r="H47" i="4"/>
  <c r="M41" i="33"/>
  <c r="H121" i="4"/>
  <c r="M80" i="33"/>
  <c r="H128" i="4"/>
  <c r="M87" i="33"/>
  <c r="H112" i="4"/>
  <c r="M71" i="33"/>
  <c r="H52" i="4"/>
  <c r="M46" i="33"/>
  <c r="H46" i="4"/>
  <c r="M40" i="33"/>
  <c r="H50" i="4"/>
  <c r="M44" i="33"/>
  <c r="H64" i="4"/>
  <c r="M58" i="33"/>
  <c r="E8" i="4"/>
  <c r="E7" i="4" s="1"/>
  <c r="B6" i="5"/>
  <c r="E123" i="4"/>
  <c r="I82" i="33"/>
  <c r="E124" i="4"/>
  <c r="I83" i="33"/>
  <c r="E63" i="4"/>
  <c r="I57" i="33"/>
  <c r="E55" i="4"/>
  <c r="I49" i="33"/>
  <c r="E117" i="4"/>
  <c r="I76" i="33"/>
  <c r="E104" i="4"/>
  <c r="I63" i="33"/>
  <c r="E112" i="4"/>
  <c r="I71" i="33"/>
  <c r="E58" i="4"/>
  <c r="I52" i="33"/>
  <c r="E50" i="4"/>
  <c r="I44" i="33"/>
  <c r="E42" i="4"/>
  <c r="I36" i="33"/>
  <c r="E113" i="4"/>
  <c r="I72" i="33"/>
  <c r="E119" i="4"/>
  <c r="I78" i="33"/>
  <c r="E126" i="4"/>
  <c r="I85" i="33"/>
  <c r="E110" i="4"/>
  <c r="I69" i="33"/>
  <c r="E49" i="4"/>
  <c r="I43" i="33"/>
  <c r="E41" i="4"/>
  <c r="I35" i="33"/>
  <c r="E109" i="4"/>
  <c r="I68" i="33"/>
  <c r="E116" i="4"/>
  <c r="I75" i="33"/>
  <c r="E60" i="4"/>
  <c r="I54" i="33"/>
  <c r="E52" i="4"/>
  <c r="I46" i="33"/>
  <c r="E44" i="4"/>
  <c r="I38" i="33"/>
  <c r="E121" i="4"/>
  <c r="I80" i="33"/>
  <c r="E115" i="4"/>
  <c r="I74" i="33"/>
  <c r="E128" i="4"/>
  <c r="I87" i="33"/>
  <c r="E114" i="4"/>
  <c r="I73" i="33"/>
  <c r="E59" i="4"/>
  <c r="I53" i="33"/>
  <c r="E51" i="4"/>
  <c r="I45" i="33"/>
  <c r="E43" i="4"/>
  <c r="I37" i="33"/>
  <c r="E111" i="4"/>
  <c r="I70" i="33"/>
  <c r="E118" i="4"/>
  <c r="I77" i="33"/>
  <c r="E62" i="4"/>
  <c r="I56" i="33"/>
  <c r="E54" i="4"/>
  <c r="I48" i="33"/>
  <c r="E46" i="4"/>
  <c r="I40" i="33"/>
  <c r="E125" i="4"/>
  <c r="I84" i="33"/>
  <c r="E107" i="4"/>
  <c r="I66" i="33"/>
  <c r="E127" i="4"/>
  <c r="I86" i="33"/>
  <c r="E120" i="4"/>
  <c r="I79" i="33"/>
  <c r="E61" i="4"/>
  <c r="I55" i="33"/>
  <c r="E53" i="4"/>
  <c r="I47" i="33"/>
  <c r="E106" i="4"/>
  <c r="I65" i="33"/>
  <c r="E122" i="4"/>
  <c r="I81" i="33"/>
  <c r="E64" i="4"/>
  <c r="I58" i="33"/>
  <c r="E56" i="4"/>
  <c r="I50" i="33"/>
  <c r="E48" i="4"/>
  <c r="I42" i="33"/>
  <c r="E40" i="4"/>
  <c r="I34" i="33"/>
  <c r="E105" i="4"/>
  <c r="I64" i="33"/>
  <c r="K14" i="5"/>
  <c r="E146" i="5"/>
  <c r="P63" i="4"/>
  <c r="P55" i="4"/>
  <c r="P128" i="4"/>
  <c r="P121" i="4"/>
  <c r="P113" i="4"/>
  <c r="P105" i="4"/>
  <c r="P57" i="4"/>
  <c r="P114" i="4"/>
  <c r="P58" i="4"/>
  <c r="P49" i="4"/>
  <c r="P41" i="4"/>
  <c r="P112" i="4"/>
  <c r="P50" i="4"/>
  <c r="P44" i="4"/>
  <c r="P119" i="4"/>
  <c r="P127" i="4"/>
  <c r="P47" i="4"/>
  <c r="P104" i="4"/>
  <c r="P64" i="4"/>
  <c r="P125" i="4"/>
  <c r="P117" i="4"/>
  <c r="P109" i="4"/>
  <c r="P61" i="4"/>
  <c r="P122" i="4"/>
  <c r="P106" i="4"/>
  <c r="P53" i="4"/>
  <c r="P45" i="4"/>
  <c r="P60" i="4"/>
  <c r="P42" i="4"/>
  <c r="P56" i="4"/>
  <c r="P116" i="4"/>
  <c r="P108" i="4"/>
  <c r="P111" i="4"/>
  <c r="P110" i="4"/>
  <c r="P126" i="4"/>
  <c r="P46" i="4"/>
  <c r="P74" i="4"/>
  <c r="P123" i="4"/>
  <c r="P115" i="4"/>
  <c r="P107" i="4"/>
  <c r="P59" i="4"/>
  <c r="P118" i="4"/>
  <c r="P62" i="4"/>
  <c r="P51" i="4"/>
  <c r="P43" i="4"/>
  <c r="P120" i="4"/>
  <c r="P54" i="4"/>
  <c r="P40" i="4"/>
  <c r="P52" i="4"/>
  <c r="P48" i="4"/>
  <c r="P124" i="4"/>
  <c r="E145" i="5"/>
  <c r="M104" i="5"/>
  <c r="V99" i="33" s="1"/>
  <c r="V12" i="33" s="1"/>
  <c r="M113" i="5"/>
  <c r="V108" i="33" s="1"/>
  <c r="V21" i="33" s="1"/>
  <c r="M107" i="5"/>
  <c r="V102" i="33" s="1"/>
  <c r="V15" i="33" s="1"/>
  <c r="M111" i="5"/>
  <c r="V106" i="33" s="1"/>
  <c r="V19" i="33" s="1"/>
  <c r="K107" i="5"/>
  <c r="M115" i="5"/>
  <c r="V110" i="33" s="1"/>
  <c r="V23" i="33" s="1"/>
  <c r="M116" i="5"/>
  <c r="V111" i="33" s="1"/>
  <c r="V24" i="33" s="1"/>
  <c r="K57" i="5"/>
  <c r="K53" i="5"/>
  <c r="K59" i="5"/>
  <c r="Q36" i="5"/>
  <c r="K45" i="5"/>
  <c r="K56" i="5"/>
  <c r="K21" i="5"/>
  <c r="K23" i="5"/>
  <c r="V47" i="4"/>
  <c r="K24" i="5"/>
  <c r="E57" i="4"/>
  <c r="M195" i="5"/>
  <c r="Y112" i="4"/>
  <c r="AC26" i="4"/>
  <c r="Z20" i="4"/>
  <c r="W8" i="4"/>
  <c r="B186" i="5"/>
  <c r="Q186" i="5"/>
  <c r="K11" i="5"/>
  <c r="K41" i="5"/>
  <c r="K49" i="5"/>
  <c r="Y120" i="4"/>
  <c r="H293" i="5"/>
  <c r="AF120" i="28" s="1"/>
  <c r="J175" i="5"/>
  <c r="E159" i="5"/>
  <c r="T42" i="28" s="1"/>
  <c r="E157" i="5"/>
  <c r="T40" i="28" s="1"/>
  <c r="J290" i="5"/>
  <c r="E278" i="5"/>
  <c r="AF41" i="28" s="1"/>
  <c r="AC59" i="4"/>
  <c r="AC40" i="4"/>
  <c r="K247" i="5"/>
  <c r="AF28" i="4"/>
  <c r="AC31" i="4"/>
  <c r="AE10" i="4"/>
  <c r="AC104" i="4"/>
  <c r="V14" i="4"/>
  <c r="V8" i="4"/>
  <c r="G249" i="5"/>
  <c r="G257" i="5"/>
  <c r="AE50" i="28" s="1"/>
  <c r="G265" i="5"/>
  <c r="J251" i="5"/>
  <c r="J259" i="5"/>
  <c r="J267" i="5"/>
  <c r="E248" i="5"/>
  <c r="AC41" i="28" s="1"/>
  <c r="E252" i="5"/>
  <c r="AC45" i="28" s="1"/>
  <c r="E256" i="5"/>
  <c r="AC49" i="28" s="1"/>
  <c r="E260" i="5"/>
  <c r="AC53" i="28" s="1"/>
  <c r="E264" i="5"/>
  <c r="E268" i="5"/>
  <c r="AC61" i="28" s="1"/>
  <c r="J249" i="5"/>
  <c r="J256" i="5"/>
  <c r="J264" i="5"/>
  <c r="H257" i="5"/>
  <c r="H271" i="5"/>
  <c r="H263" i="5"/>
  <c r="H255" i="5"/>
  <c r="G270" i="5"/>
  <c r="AE63" i="28" s="1"/>
  <c r="H261" i="5"/>
  <c r="J247" i="5"/>
  <c r="AE104" i="28" s="1"/>
  <c r="G263" i="5"/>
  <c r="H258" i="5"/>
  <c r="G251" i="5"/>
  <c r="AE44" i="28" s="1"/>
  <c r="H248" i="5"/>
  <c r="H256" i="5"/>
  <c r="H264" i="5"/>
  <c r="J253" i="5"/>
  <c r="J261" i="5"/>
  <c r="J269" i="5"/>
  <c r="E249" i="5"/>
  <c r="AC42" i="28" s="1"/>
  <c r="E253" i="5"/>
  <c r="AC46" i="28" s="1"/>
  <c r="E257" i="5"/>
  <c r="E261" i="5"/>
  <c r="AC54" i="28" s="1"/>
  <c r="E265" i="5"/>
  <c r="E269" i="5"/>
  <c r="J250" i="5"/>
  <c r="J258" i="5"/>
  <c r="J266" i="5"/>
  <c r="G266" i="5"/>
  <c r="AE59" i="28" s="1"/>
  <c r="G250" i="5"/>
  <c r="AE43" i="28" s="1"/>
  <c r="G268" i="5"/>
  <c r="AE61" i="28" s="1"/>
  <c r="G260" i="5"/>
  <c r="AE53" i="28" s="1"/>
  <c r="G252" i="5"/>
  <c r="AE45" i="28" s="1"/>
  <c r="H269" i="5"/>
  <c r="G254" i="5"/>
  <c r="AE47" i="28" s="1"/>
  <c r="G267" i="5"/>
  <c r="AE60" i="28" s="1"/>
  <c r="H262" i="5"/>
  <c r="AC119" i="28" s="1"/>
  <c r="G255" i="5"/>
  <c r="AE48" i="28" s="1"/>
  <c r="H250" i="5"/>
  <c r="AC107" i="28" s="1"/>
  <c r="H260" i="5"/>
  <c r="J255" i="5"/>
  <c r="J271" i="5"/>
  <c r="E254" i="5"/>
  <c r="E262" i="5"/>
  <c r="E270" i="5"/>
  <c r="J260" i="5"/>
  <c r="H265" i="5"/>
  <c r="H259" i="5"/>
  <c r="G253" i="5"/>
  <c r="AE46" i="28" s="1"/>
  <c r="G269" i="5"/>
  <c r="AE62" i="28" s="1"/>
  <c r="J257" i="5"/>
  <c r="G247" i="5"/>
  <c r="AE40" i="28" s="1"/>
  <c r="E255" i="5"/>
  <c r="AC48" i="28" s="1"/>
  <c r="E263" i="5"/>
  <c r="E271" i="5"/>
  <c r="AC64" i="28" s="1"/>
  <c r="J262" i="5"/>
  <c r="G258" i="5"/>
  <c r="AE51" i="28" s="1"/>
  <c r="G256" i="5"/>
  <c r="AE49" i="28" s="1"/>
  <c r="G271" i="5"/>
  <c r="AE64" i="28" s="1"/>
  <c r="G222" i="5"/>
  <c r="G238" i="5"/>
  <c r="J221" i="5"/>
  <c r="J237" i="5"/>
  <c r="E222" i="5"/>
  <c r="Z45" i="28" s="1"/>
  <c r="E230" i="5"/>
  <c r="Z53" i="28" s="1"/>
  <c r="E238" i="5"/>
  <c r="Z61" i="28" s="1"/>
  <c r="J226" i="5"/>
  <c r="H230" i="5"/>
  <c r="G237" i="5"/>
  <c r="AB60" i="28" s="1"/>
  <c r="G221" i="5"/>
  <c r="AB44" i="28" s="1"/>
  <c r="H218" i="5"/>
  <c r="H223" i="5"/>
  <c r="H233" i="5"/>
  <c r="J223" i="5"/>
  <c r="J239" i="5"/>
  <c r="E223" i="5"/>
  <c r="Z46" i="28" s="1"/>
  <c r="E231" i="5"/>
  <c r="Z54" i="28" s="1"/>
  <c r="E239" i="5"/>
  <c r="Z62" i="28" s="1"/>
  <c r="J228" i="5"/>
  <c r="G223" i="5"/>
  <c r="AB46" i="28" s="1"/>
  <c r="H236" i="5"/>
  <c r="H220" i="5"/>
  <c r="G235" i="5"/>
  <c r="AB58" i="28" s="1"/>
  <c r="H194" i="5"/>
  <c r="H202" i="5"/>
  <c r="H210" i="5"/>
  <c r="G200" i="5"/>
  <c r="G210" i="5"/>
  <c r="G202" i="5"/>
  <c r="G194" i="5"/>
  <c r="J187" i="5"/>
  <c r="Y104" i="28" s="1"/>
  <c r="G204" i="5"/>
  <c r="Y57" i="28" s="1"/>
  <c r="G192" i="5"/>
  <c r="G209" i="5"/>
  <c r="Y62" i="28" s="1"/>
  <c r="G201" i="5"/>
  <c r="Y54" i="28" s="1"/>
  <c r="G193" i="5"/>
  <c r="Y46" i="28" s="1"/>
  <c r="J208" i="5"/>
  <c r="J200" i="5"/>
  <c r="J192" i="5"/>
  <c r="E187" i="5"/>
  <c r="W40" i="28" s="1"/>
  <c r="E208" i="5"/>
  <c r="W61" i="28" s="1"/>
  <c r="E204" i="5"/>
  <c r="W57" i="28" s="1"/>
  <c r="E200" i="5"/>
  <c r="E196" i="5"/>
  <c r="W49" i="28" s="1"/>
  <c r="E192" i="5"/>
  <c r="W45" i="28" s="1"/>
  <c r="E188" i="5"/>
  <c r="J207" i="5"/>
  <c r="J199" i="5"/>
  <c r="G191" i="5"/>
  <c r="Y44" i="28" s="1"/>
  <c r="G199" i="5"/>
  <c r="Y52" i="28" s="1"/>
  <c r="G207" i="5"/>
  <c r="Y60" i="28" s="1"/>
  <c r="H199" i="5"/>
  <c r="H209" i="5"/>
  <c r="H201" i="5"/>
  <c r="H193" i="5"/>
  <c r="H203" i="5"/>
  <c r="H191" i="5"/>
  <c r="H208" i="5"/>
  <c r="H200" i="5"/>
  <c r="H192" i="5"/>
  <c r="J206" i="5"/>
  <c r="J198" i="5"/>
  <c r="J190" i="5"/>
  <c r="G203" i="5"/>
  <c r="G188" i="5"/>
  <c r="G198" i="5"/>
  <c r="Y51" i="28" s="1"/>
  <c r="H195" i="5"/>
  <c r="H204" i="5"/>
  <c r="H188" i="5"/>
  <c r="J202" i="5"/>
  <c r="J188" i="5"/>
  <c r="E207" i="5"/>
  <c r="W60" i="28" s="1"/>
  <c r="E202" i="5"/>
  <c r="W55" i="28" s="1"/>
  <c r="E197" i="5"/>
  <c r="E191" i="5"/>
  <c r="W44" i="28" s="1"/>
  <c r="J211" i="5"/>
  <c r="Y128" i="28" s="1"/>
  <c r="J201" i="5"/>
  <c r="H198" i="5"/>
  <c r="H197" i="5"/>
  <c r="G197" i="5"/>
  <c r="J196" i="5"/>
  <c r="E211" i="5"/>
  <c r="W64" i="28" s="1"/>
  <c r="E206" i="5"/>
  <c r="E201" i="5"/>
  <c r="W54" i="28" s="1"/>
  <c r="E195" i="5"/>
  <c r="W48" i="28" s="1"/>
  <c r="E190" i="5"/>
  <c r="J209" i="5"/>
  <c r="J197" i="5"/>
  <c r="E150" i="5"/>
  <c r="K60" i="5"/>
  <c r="M120" i="5"/>
  <c r="V115" i="33" s="1"/>
  <c r="V28" i="33" s="1"/>
  <c r="K61" i="5"/>
  <c r="K12" i="5"/>
  <c r="E45" i="4"/>
  <c r="J205" i="5"/>
  <c r="E194" i="5"/>
  <c r="W47" i="28" s="1"/>
  <c r="E205" i="5"/>
  <c r="W58" i="28" s="1"/>
  <c r="J194" i="5"/>
  <c r="H196" i="5"/>
  <c r="G228" i="5"/>
  <c r="AB51" i="28" s="1"/>
  <c r="G259" i="5"/>
  <c r="AE52" i="28" s="1"/>
  <c r="H211" i="5"/>
  <c r="G262" i="5"/>
  <c r="AE55" i="28" s="1"/>
  <c r="J170" i="5"/>
  <c r="E172" i="5"/>
  <c r="T55" i="28" s="1"/>
  <c r="J181" i="5"/>
  <c r="G167" i="5"/>
  <c r="V50" i="28" s="1"/>
  <c r="H205" i="5"/>
  <c r="G248" i="5"/>
  <c r="AE41" i="28" s="1"/>
  <c r="G283" i="5"/>
  <c r="AH46" i="28" s="1"/>
  <c r="J191" i="5"/>
  <c r="G239" i="5"/>
  <c r="AB62" i="28" s="1"/>
  <c r="J278" i="5"/>
  <c r="E287" i="5"/>
  <c r="AF50" i="28" s="1"/>
  <c r="J291" i="5"/>
  <c r="J220" i="5"/>
  <c r="E227" i="5"/>
  <c r="J231" i="5"/>
  <c r="J254" i="5"/>
  <c r="E259" i="5"/>
  <c r="AC52" i="28" s="1"/>
  <c r="J265" i="5"/>
  <c r="AH16" i="4"/>
  <c r="AF9" i="4"/>
  <c r="B276" i="5"/>
  <c r="H252" i="5"/>
  <c r="AC12" i="4"/>
  <c r="B12" i="4" s="1"/>
  <c r="D9" i="18" s="1"/>
  <c r="AB13" i="4"/>
  <c r="D216" i="5"/>
  <c r="Y31" i="4"/>
  <c r="M210" i="5"/>
  <c r="H206" i="5"/>
  <c r="T8" i="4"/>
  <c r="B156" i="5"/>
  <c r="K189" i="5"/>
  <c r="W42" i="4"/>
  <c r="AB104" i="4"/>
  <c r="T47" i="4"/>
  <c r="K164" i="5"/>
  <c r="AF42" i="4"/>
  <c r="K279" i="5"/>
  <c r="Q246" i="5"/>
  <c r="AB53" i="4"/>
  <c r="T26" i="4"/>
  <c r="J157" i="5"/>
  <c r="V104" i="28" s="1"/>
  <c r="G160" i="5"/>
  <c r="G168" i="5"/>
  <c r="V51" i="28" s="1"/>
  <c r="D51" i="28" s="1"/>
  <c r="G176" i="5"/>
  <c r="V59" i="28" s="1"/>
  <c r="H176" i="5"/>
  <c r="H174" i="5"/>
  <c r="H166" i="5"/>
  <c r="H158" i="5"/>
  <c r="J161" i="5"/>
  <c r="J169" i="5"/>
  <c r="J177" i="5"/>
  <c r="G157" i="5"/>
  <c r="V40" i="28" s="1"/>
  <c r="E161" i="5"/>
  <c r="T44" i="28" s="1"/>
  <c r="E165" i="5"/>
  <c r="T48" i="28" s="1"/>
  <c r="E169" i="5"/>
  <c r="T52" i="28" s="1"/>
  <c r="E173" i="5"/>
  <c r="E177" i="5"/>
  <c r="T60" i="28" s="1"/>
  <c r="E181" i="5"/>
  <c r="T64" i="28" s="1"/>
  <c r="J164" i="5"/>
  <c r="J172" i="5"/>
  <c r="G173" i="5"/>
  <c r="V56" i="28" s="1"/>
  <c r="H164" i="5"/>
  <c r="G178" i="5"/>
  <c r="V61" i="28" s="1"/>
  <c r="H173" i="5"/>
  <c r="G166" i="5"/>
  <c r="V49" i="28" s="1"/>
  <c r="D49" i="28" s="1"/>
  <c r="H161" i="5"/>
  <c r="H159" i="5"/>
  <c r="H167" i="5"/>
  <c r="H175" i="5"/>
  <c r="G169" i="5"/>
  <c r="V52" i="28" s="1"/>
  <c r="D52" i="28" s="1"/>
  <c r="G179" i="5"/>
  <c r="G171" i="5"/>
  <c r="V54" i="28" s="1"/>
  <c r="D54" i="28" s="1"/>
  <c r="G163" i="5"/>
  <c r="J163" i="5"/>
  <c r="J171" i="5"/>
  <c r="J178" i="5"/>
  <c r="E158" i="5"/>
  <c r="T41" i="28" s="1"/>
  <c r="E162" i="5"/>
  <c r="E166" i="5"/>
  <c r="T49" i="28" s="1"/>
  <c r="E170" i="5"/>
  <c r="E174" i="5"/>
  <c r="T57" i="28" s="1"/>
  <c r="E178" i="5"/>
  <c r="T61" i="28" s="1"/>
  <c r="J158" i="5"/>
  <c r="J166" i="5"/>
  <c r="J174" i="5"/>
  <c r="H172" i="5"/>
  <c r="G161" i="5"/>
  <c r="V44" i="28" s="1"/>
  <c r="D44" i="28" s="1"/>
  <c r="H177" i="5"/>
  <c r="G170" i="5"/>
  <c r="V53" i="28" s="1"/>
  <c r="H165" i="5"/>
  <c r="H157" i="5"/>
  <c r="T104" i="28" s="1"/>
  <c r="H163" i="5"/>
  <c r="H179" i="5"/>
  <c r="H178" i="5"/>
  <c r="H162" i="5"/>
  <c r="J159" i="5"/>
  <c r="J176" i="5"/>
  <c r="E160" i="5"/>
  <c r="T43" i="28" s="1"/>
  <c r="E168" i="5"/>
  <c r="E176" i="5"/>
  <c r="T59" i="28" s="1"/>
  <c r="J162" i="5"/>
  <c r="J179" i="5"/>
  <c r="G165" i="5"/>
  <c r="V48" i="28" s="1"/>
  <c r="G174" i="5"/>
  <c r="V57" i="28" s="1"/>
  <c r="D57" i="28" s="1"/>
  <c r="G162" i="5"/>
  <c r="V45" i="28" s="1"/>
  <c r="G172" i="5"/>
  <c r="V55" i="28" s="1"/>
  <c r="G177" i="5"/>
  <c r="G175" i="5"/>
  <c r="V58" i="28" s="1"/>
  <c r="G159" i="5"/>
  <c r="V42" i="28" s="1"/>
  <c r="J165" i="5"/>
  <c r="J180" i="5"/>
  <c r="V127" i="28" s="1"/>
  <c r="E163" i="5"/>
  <c r="E171" i="5"/>
  <c r="T54" i="28" s="1"/>
  <c r="E179" i="5"/>
  <c r="J168" i="5"/>
  <c r="G181" i="5"/>
  <c r="V64" i="28" s="1"/>
  <c r="H160" i="5"/>
  <c r="H181" i="5"/>
  <c r="H169" i="5"/>
  <c r="G158" i="5"/>
  <c r="V41" i="28" s="1"/>
  <c r="G284" i="5"/>
  <c r="AH47" i="28" s="1"/>
  <c r="G292" i="5"/>
  <c r="AH55" i="28" s="1"/>
  <c r="G300" i="5"/>
  <c r="AH63" i="28" s="1"/>
  <c r="J285" i="5"/>
  <c r="J293" i="5"/>
  <c r="J301" i="5"/>
  <c r="E280" i="5"/>
  <c r="AF43" i="28" s="1"/>
  <c r="E284" i="5"/>
  <c r="AF47" i="28" s="1"/>
  <c r="E288" i="5"/>
  <c r="E292" i="5"/>
  <c r="E296" i="5"/>
  <c r="AF59" i="28" s="1"/>
  <c r="E300" i="5"/>
  <c r="J279" i="5"/>
  <c r="J286" i="5"/>
  <c r="J294" i="5"/>
  <c r="G293" i="5"/>
  <c r="AH56" i="28" s="1"/>
  <c r="G281" i="5"/>
  <c r="AH44" i="28" s="1"/>
  <c r="G298" i="5"/>
  <c r="AH61" i="28" s="1"/>
  <c r="H298" i="5"/>
  <c r="H290" i="5"/>
  <c r="H282" i="5"/>
  <c r="H296" i="5"/>
  <c r="H301" i="5"/>
  <c r="AF128" i="28" s="1"/>
  <c r="H285" i="5"/>
  <c r="H283" i="5"/>
  <c r="H291" i="5"/>
  <c r="H299" i="5"/>
  <c r="J287" i="5"/>
  <c r="J295" i="5"/>
  <c r="G277" i="5"/>
  <c r="AH40" i="28" s="1"/>
  <c r="E281" i="5"/>
  <c r="AF44" i="28" s="1"/>
  <c r="E285" i="5"/>
  <c r="AF48" i="28" s="1"/>
  <c r="E289" i="5"/>
  <c r="AF52" i="28" s="1"/>
  <c r="E293" i="5"/>
  <c r="E297" i="5"/>
  <c r="E301" i="5"/>
  <c r="J280" i="5"/>
  <c r="J288" i="5"/>
  <c r="J296" i="5"/>
  <c r="H292" i="5"/>
  <c r="AF119" i="28" s="1"/>
  <c r="H297" i="5"/>
  <c r="G282" i="5"/>
  <c r="AH45" i="28" s="1"/>
  <c r="G295" i="5"/>
  <c r="AH58" i="28" s="1"/>
  <c r="G287" i="5"/>
  <c r="AH50" i="28" s="1"/>
  <c r="G279" i="5"/>
  <c r="G289" i="5"/>
  <c r="AH52" i="28" s="1"/>
  <c r="G294" i="5"/>
  <c r="AH57" i="28" s="1"/>
  <c r="G278" i="5"/>
  <c r="AH41" i="28" s="1"/>
  <c r="H287" i="5"/>
  <c r="J281" i="5"/>
  <c r="J297" i="5"/>
  <c r="E282" i="5"/>
  <c r="AF45" i="28" s="1"/>
  <c r="E290" i="5"/>
  <c r="E298" i="5"/>
  <c r="AF61" i="28" s="1"/>
  <c r="J282" i="5"/>
  <c r="J298" i="5"/>
  <c r="G301" i="5"/>
  <c r="G290" i="5"/>
  <c r="H294" i="5"/>
  <c r="H278" i="5"/>
  <c r="H280" i="5"/>
  <c r="G286" i="5"/>
  <c r="AH49" i="28" s="1"/>
  <c r="J277" i="5"/>
  <c r="AH104" i="28" s="1"/>
  <c r="G280" i="5"/>
  <c r="G296" i="5"/>
  <c r="J283" i="5"/>
  <c r="J299" i="5"/>
  <c r="E283" i="5"/>
  <c r="E291" i="5"/>
  <c r="E299" i="5"/>
  <c r="J284" i="5"/>
  <c r="J300" i="5"/>
  <c r="H300" i="5"/>
  <c r="H289" i="5"/>
  <c r="G291" i="5"/>
  <c r="AH54" i="28" s="1"/>
  <c r="H277" i="5"/>
  <c r="AF104" i="28" s="1"/>
  <c r="E47" i="4"/>
  <c r="K267" i="5"/>
  <c r="M301" i="5"/>
  <c r="W46" i="4"/>
  <c r="Y49" i="4"/>
  <c r="M196" i="5"/>
  <c r="E175" i="5"/>
  <c r="H281" i="5"/>
  <c r="G285" i="5"/>
  <c r="E294" i="5"/>
  <c r="AF57" i="28" s="1"/>
  <c r="K8" i="5"/>
  <c r="K48" i="5"/>
  <c r="K180" i="5"/>
  <c r="M297" i="5"/>
  <c r="K295" i="5"/>
  <c r="J193" i="5"/>
  <c r="G187" i="5"/>
  <c r="Y40" i="28" s="1"/>
  <c r="E198" i="5"/>
  <c r="W51" i="28" s="1"/>
  <c r="E209" i="5"/>
  <c r="W62" i="28" s="1"/>
  <c r="J204" i="5"/>
  <c r="G205" i="5"/>
  <c r="Y58" i="28" s="1"/>
  <c r="H235" i="5"/>
  <c r="H266" i="5"/>
  <c r="H288" i="5"/>
  <c r="AF115" i="28" s="1"/>
  <c r="J160" i="5"/>
  <c r="E167" i="5"/>
  <c r="T50" i="28" s="1"/>
  <c r="J173" i="5"/>
  <c r="H170" i="5"/>
  <c r="G206" i="5"/>
  <c r="H251" i="5"/>
  <c r="H286" i="5"/>
  <c r="H168" i="5"/>
  <c r="H249" i="5"/>
  <c r="E277" i="5"/>
  <c r="AF40" i="28" s="1"/>
  <c r="E286" i="5"/>
  <c r="J289" i="5"/>
  <c r="J219" i="5"/>
  <c r="E226" i="5"/>
  <c r="Z49" i="28" s="1"/>
  <c r="J229" i="5"/>
  <c r="J252" i="5"/>
  <c r="E258" i="5"/>
  <c r="AC51" i="28" s="1"/>
  <c r="J263" i="5"/>
  <c r="AH21" i="4"/>
  <c r="G288" i="5"/>
  <c r="AH51" i="28" s="1"/>
  <c r="AF14" i="4"/>
  <c r="AF7" i="4" s="1"/>
  <c r="AE26" i="4"/>
  <c r="D26" i="4" s="1"/>
  <c r="E23" i="18" s="1"/>
  <c r="AE24" i="4"/>
  <c r="D24" i="4" s="1"/>
  <c r="E21" i="18" s="1"/>
  <c r="G261" i="5"/>
  <c r="AE54" i="28" s="1"/>
  <c r="AC15" i="4"/>
  <c r="K254" i="5"/>
  <c r="AB20" i="4"/>
  <c r="D20" i="4" s="1"/>
  <c r="E17" i="18" s="1"/>
  <c r="M229" i="5"/>
  <c r="H225" i="5"/>
  <c r="Z15" i="4"/>
  <c r="Z9" i="4"/>
  <c r="B216" i="5"/>
  <c r="Q216" i="5"/>
  <c r="G211" i="5"/>
  <c r="W31" i="4"/>
  <c r="B31" i="4" s="1"/>
  <c r="D28" i="18" s="1"/>
  <c r="K210" i="5"/>
  <c r="V30" i="4"/>
  <c r="M179" i="5"/>
  <c r="V28" i="4"/>
  <c r="D28" i="4" s="1"/>
  <c r="E25" i="18" s="1"/>
  <c r="M177" i="5"/>
  <c r="H171" i="5"/>
  <c r="T19" i="4"/>
  <c r="H221" i="5"/>
  <c r="H229" i="5"/>
  <c r="H237" i="5"/>
  <c r="E217" i="5"/>
  <c r="Z40" i="28" s="1"/>
  <c r="J225" i="5"/>
  <c r="J233" i="5"/>
  <c r="J241" i="5"/>
  <c r="E220" i="5"/>
  <c r="E224" i="5"/>
  <c r="E228" i="5"/>
  <c r="Z51" i="28" s="1"/>
  <c r="E232" i="5"/>
  <c r="Z55" i="28" s="1"/>
  <c r="E236" i="5"/>
  <c r="Z59" i="28" s="1"/>
  <c r="E240" i="5"/>
  <c r="Z63" i="28" s="1"/>
  <c r="J222" i="5"/>
  <c r="J230" i="5"/>
  <c r="J238" i="5"/>
  <c r="H238" i="5"/>
  <c r="H222" i="5"/>
  <c r="G241" i="5"/>
  <c r="AB64" i="28" s="1"/>
  <c r="G233" i="5"/>
  <c r="AB56" i="28" s="1"/>
  <c r="G225" i="5"/>
  <c r="AB48" i="28" s="1"/>
  <c r="G227" i="5"/>
  <c r="AB50" i="28" s="1"/>
  <c r="H217" i="5"/>
  <c r="Z104" i="28" s="1"/>
  <c r="H239" i="5"/>
  <c r="G232" i="5"/>
  <c r="AB55" i="28" s="1"/>
  <c r="H227" i="5"/>
  <c r="Z114" i="28" s="1"/>
  <c r="G220" i="5"/>
  <c r="AB43" i="28" s="1"/>
  <c r="G218" i="5"/>
  <c r="AB41" i="28" s="1"/>
  <c r="G226" i="5"/>
  <c r="AB49" i="28" s="1"/>
  <c r="G234" i="5"/>
  <c r="AB57" i="28" s="1"/>
  <c r="J218" i="5"/>
  <c r="J227" i="5"/>
  <c r="J235" i="5"/>
  <c r="G217" i="5"/>
  <c r="AB40" i="28" s="1"/>
  <c r="E221" i="5"/>
  <c r="Z44" i="28" s="1"/>
  <c r="E225" i="5"/>
  <c r="Z48" i="28" s="1"/>
  <c r="E229" i="5"/>
  <c r="E233" i="5"/>
  <c r="Z56" i="28" s="1"/>
  <c r="E237" i="5"/>
  <c r="K237" i="5" s="1"/>
  <c r="E241" i="5"/>
  <c r="J224" i="5"/>
  <c r="AB111" i="28" s="1"/>
  <c r="J232" i="5"/>
  <c r="J240" i="5"/>
  <c r="G231" i="5"/>
  <c r="AB54" i="28" s="1"/>
  <c r="G219" i="5"/>
  <c r="H240" i="5"/>
  <c r="H232" i="5"/>
  <c r="H224" i="5"/>
  <c r="H226" i="5"/>
  <c r="G236" i="5"/>
  <c r="AB59" i="28" s="1"/>
  <c r="H231" i="5"/>
  <c r="H219" i="5"/>
  <c r="Z106" i="28" s="1"/>
  <c r="H187" i="5"/>
  <c r="W104" i="28" s="1"/>
  <c r="M240" i="5"/>
  <c r="K264" i="5"/>
  <c r="AH10" i="4"/>
  <c r="AH7" i="4" s="1"/>
  <c r="AB10" i="4"/>
  <c r="Y23" i="4"/>
  <c r="M202" i="5"/>
  <c r="V11" i="4"/>
  <c r="D11" i="4" s="1"/>
  <c r="E8" i="18" s="1"/>
  <c r="AC9" i="4"/>
  <c r="B246" i="5"/>
  <c r="Z28" i="4"/>
  <c r="Y8" i="4"/>
  <c r="D186" i="5"/>
  <c r="T13" i="4"/>
  <c r="K162" i="5"/>
  <c r="H147" i="5"/>
  <c r="AC7" i="4"/>
  <c r="K37" i="5"/>
  <c r="H40" i="4"/>
  <c r="H7" i="4"/>
  <c r="K7" i="4"/>
  <c r="H148" i="5"/>
  <c r="E134" i="5"/>
  <c r="H145" i="5"/>
  <c r="Q7" i="4"/>
  <c r="K108" i="5"/>
  <c r="N51" i="4"/>
  <c r="N7" i="4"/>
  <c r="K98" i="5"/>
  <c r="K102" i="5"/>
  <c r="H135" i="5"/>
  <c r="H139" i="5"/>
  <c r="E137" i="5"/>
  <c r="H141" i="5"/>
  <c r="E136" i="5"/>
  <c r="H149" i="5"/>
  <c r="H134" i="5"/>
  <c r="K134" i="5" s="1"/>
  <c r="E144" i="5"/>
  <c r="E138" i="5"/>
  <c r="H133" i="5"/>
  <c r="E128" i="5"/>
  <c r="H129" i="5"/>
  <c r="E133" i="5"/>
  <c r="E141" i="5"/>
  <c r="E149" i="5"/>
  <c r="E148" i="5"/>
  <c r="H151" i="5"/>
  <c r="K110" i="5"/>
  <c r="K109" i="5"/>
  <c r="K100" i="5"/>
  <c r="H140" i="5"/>
  <c r="H142" i="5"/>
  <c r="H130" i="5"/>
  <c r="H131" i="5"/>
  <c r="E127" i="5"/>
  <c r="E132" i="5"/>
  <c r="H146" i="5"/>
  <c r="H128" i="5"/>
  <c r="H127" i="5"/>
  <c r="H150" i="5"/>
  <c r="J150" i="5"/>
  <c r="J148" i="5"/>
  <c r="J146" i="5"/>
  <c r="J144" i="5"/>
  <c r="J142" i="5"/>
  <c r="J140" i="5"/>
  <c r="J138" i="5"/>
  <c r="J136" i="5"/>
  <c r="J134" i="5"/>
  <c r="J132" i="5"/>
  <c r="J130" i="5"/>
  <c r="J128" i="5"/>
  <c r="G150" i="5"/>
  <c r="G148" i="5"/>
  <c r="G146" i="5"/>
  <c r="G144" i="5"/>
  <c r="G142" i="5"/>
  <c r="G140" i="5"/>
  <c r="G138" i="5"/>
  <c r="G136" i="5"/>
  <c r="G134" i="5"/>
  <c r="G132" i="5"/>
  <c r="G130" i="5"/>
  <c r="G128" i="5"/>
  <c r="J151" i="5"/>
  <c r="J149" i="5"/>
  <c r="J147" i="5"/>
  <c r="J145" i="5"/>
  <c r="J143" i="5"/>
  <c r="J141" i="5"/>
  <c r="J139" i="5"/>
  <c r="J137" i="5"/>
  <c r="J135" i="5"/>
  <c r="J133" i="5"/>
  <c r="J131" i="5"/>
  <c r="J129" i="5"/>
  <c r="J127" i="5"/>
  <c r="G151" i="5"/>
  <c r="G149" i="5"/>
  <c r="G147" i="5"/>
  <c r="G145" i="5"/>
  <c r="G143" i="5"/>
  <c r="G141" i="5"/>
  <c r="G139" i="5"/>
  <c r="G137" i="5"/>
  <c r="G135" i="5"/>
  <c r="G133" i="5"/>
  <c r="G131" i="5"/>
  <c r="G129" i="5"/>
  <c r="G127" i="5"/>
  <c r="K97" i="5"/>
  <c r="K112" i="5"/>
  <c r="K105" i="5"/>
  <c r="Q276" i="5"/>
  <c r="D18" i="4"/>
  <c r="E15" i="18" s="1"/>
  <c r="B26" i="4"/>
  <c r="D23" i="18" s="1"/>
  <c r="D22" i="4"/>
  <c r="E19" i="18" s="1"/>
  <c r="K188" i="5"/>
  <c r="K199" i="5"/>
  <c r="K203" i="5"/>
  <c r="K190" i="5"/>
  <c r="Q66" i="5"/>
  <c r="E81" i="5"/>
  <c r="H69" i="5"/>
  <c r="E76" i="5"/>
  <c r="H83" i="5"/>
  <c r="E70" i="5"/>
  <c r="H74" i="5"/>
  <c r="E67" i="5"/>
  <c r="H76" i="5"/>
  <c r="E84" i="5"/>
  <c r="E87" i="5"/>
  <c r="E79" i="5"/>
  <c r="H80" i="5"/>
  <c r="H89" i="5"/>
  <c r="E82" i="5"/>
  <c r="H77" i="5"/>
  <c r="E80" i="5"/>
  <c r="H87" i="5"/>
  <c r="B66" i="5"/>
  <c r="H72" i="5"/>
  <c r="K127" i="4"/>
  <c r="H86" i="5"/>
  <c r="E75" i="5"/>
  <c r="H75" i="5"/>
  <c r="H67" i="5"/>
  <c r="H84" i="5"/>
  <c r="E86" i="5"/>
  <c r="H82" i="5"/>
  <c r="E89" i="5"/>
  <c r="E72" i="5"/>
  <c r="K122" i="4"/>
  <c r="H81" i="5"/>
  <c r="Q77" i="33" s="1"/>
  <c r="H73" i="5"/>
  <c r="E68" i="5"/>
  <c r="E90" i="5"/>
  <c r="H68" i="5"/>
  <c r="E74" i="5"/>
  <c r="E88" i="5"/>
  <c r="E83" i="5"/>
  <c r="E91" i="5"/>
  <c r="E69" i="5"/>
  <c r="E73" i="5"/>
  <c r="E77" i="5"/>
  <c r="H71" i="5"/>
  <c r="H79" i="5"/>
  <c r="E78" i="5"/>
  <c r="H91" i="5"/>
  <c r="H78" i="5"/>
  <c r="H70" i="5"/>
  <c r="K58" i="4"/>
  <c r="M127" i="4"/>
  <c r="J88" i="5"/>
  <c r="J86" i="5"/>
  <c r="J84" i="5"/>
  <c r="J82" i="5"/>
  <c r="J80" i="5"/>
  <c r="J78" i="5"/>
  <c r="J76" i="5"/>
  <c r="J74" i="5"/>
  <c r="J72" i="5"/>
  <c r="J70" i="5"/>
  <c r="J68" i="5"/>
  <c r="G91" i="5"/>
  <c r="G89" i="5"/>
  <c r="G87" i="5"/>
  <c r="M58" i="4"/>
  <c r="G83" i="5"/>
  <c r="G81" i="5"/>
  <c r="G79" i="5"/>
  <c r="G77" i="5"/>
  <c r="G75" i="5"/>
  <c r="G73" i="5"/>
  <c r="G71" i="5"/>
  <c r="G69" i="5"/>
  <c r="G67" i="5"/>
  <c r="J91" i="5"/>
  <c r="J89" i="5"/>
  <c r="J87" i="5"/>
  <c r="M122" i="4"/>
  <c r="J83" i="5"/>
  <c r="J81" i="5"/>
  <c r="J79" i="5"/>
  <c r="J77" i="5"/>
  <c r="J75" i="5"/>
  <c r="J73" i="5"/>
  <c r="J71" i="5"/>
  <c r="J69" i="5"/>
  <c r="J67" i="5"/>
  <c r="G90" i="5"/>
  <c r="G88" i="5"/>
  <c r="R55" i="33" s="1"/>
  <c r="G86" i="5"/>
  <c r="R53" i="33" s="1"/>
  <c r="G84" i="5"/>
  <c r="G82" i="5"/>
  <c r="G80" i="5"/>
  <c r="G78" i="5"/>
  <c r="G76" i="5"/>
  <c r="G74" i="5"/>
  <c r="G72" i="5"/>
  <c r="G70" i="5"/>
  <c r="G68" i="5"/>
  <c r="K39" i="5"/>
  <c r="K46" i="5"/>
  <c r="B36" i="5"/>
  <c r="K47" i="5"/>
  <c r="H36" i="5"/>
  <c r="K42" i="5"/>
  <c r="K40" i="5"/>
  <c r="K51" i="5"/>
  <c r="K55" i="5"/>
  <c r="K43" i="5"/>
  <c r="K44" i="5"/>
  <c r="K50" i="5"/>
  <c r="J61" i="5"/>
  <c r="J59" i="5"/>
  <c r="J57" i="5"/>
  <c r="J55" i="5"/>
  <c r="J53" i="5"/>
  <c r="J51" i="5"/>
  <c r="J49" i="5"/>
  <c r="J47" i="5"/>
  <c r="J45" i="5"/>
  <c r="J43" i="5"/>
  <c r="J41" i="5"/>
  <c r="J39" i="5"/>
  <c r="J37" i="5"/>
  <c r="G61" i="5"/>
  <c r="G59" i="5"/>
  <c r="G57" i="5"/>
  <c r="G55" i="5"/>
  <c r="G53" i="5"/>
  <c r="G51" i="5"/>
  <c r="G49" i="5"/>
  <c r="G47" i="5"/>
  <c r="G45" i="5"/>
  <c r="G43" i="5"/>
  <c r="G41" i="5"/>
  <c r="G39" i="5"/>
  <c r="G37" i="5"/>
  <c r="J60" i="5"/>
  <c r="J58" i="5"/>
  <c r="J56" i="5"/>
  <c r="J54" i="5"/>
  <c r="J52" i="5"/>
  <c r="J50" i="5"/>
  <c r="J48" i="5"/>
  <c r="J46" i="5"/>
  <c r="J44" i="5"/>
  <c r="J42" i="5"/>
  <c r="J40" i="5"/>
  <c r="J38" i="5"/>
  <c r="G60" i="5"/>
  <c r="G58" i="5"/>
  <c r="G56" i="5"/>
  <c r="N53" i="33" s="1"/>
  <c r="G54" i="5"/>
  <c r="G52" i="5"/>
  <c r="G50" i="5"/>
  <c r="G48" i="5"/>
  <c r="G46" i="5"/>
  <c r="G44" i="5"/>
  <c r="G42" i="5"/>
  <c r="G40" i="5"/>
  <c r="N37" i="33" s="1"/>
  <c r="G38" i="5"/>
  <c r="K29" i="5"/>
  <c r="K30" i="5"/>
  <c r="K7" i="5"/>
  <c r="K10" i="5"/>
  <c r="K13" i="5"/>
  <c r="K15" i="5"/>
  <c r="K16" i="5"/>
  <c r="K19" i="5"/>
  <c r="K28" i="5"/>
  <c r="K25" i="5"/>
  <c r="K9" i="5"/>
  <c r="K18" i="5"/>
  <c r="K17" i="5"/>
  <c r="R6" i="5"/>
  <c r="K20" i="5"/>
  <c r="J30" i="5"/>
  <c r="J28" i="5"/>
  <c r="J26" i="5"/>
  <c r="J24" i="5"/>
  <c r="J22" i="5"/>
  <c r="J20" i="5"/>
  <c r="J18" i="5"/>
  <c r="J16" i="5"/>
  <c r="J14" i="5"/>
  <c r="J12" i="5"/>
  <c r="J10" i="5"/>
  <c r="J8" i="5"/>
  <c r="G31" i="5"/>
  <c r="G29" i="5"/>
  <c r="G27" i="5"/>
  <c r="G25" i="5"/>
  <c r="G23" i="5"/>
  <c r="G21" i="5"/>
  <c r="G19" i="5"/>
  <c r="G17" i="5"/>
  <c r="G15" i="5"/>
  <c r="G13" i="5"/>
  <c r="G11" i="5"/>
  <c r="G9" i="5"/>
  <c r="G7" i="5"/>
  <c r="J31" i="5"/>
  <c r="J29" i="5"/>
  <c r="J27" i="5"/>
  <c r="J25" i="5"/>
  <c r="J23" i="5"/>
  <c r="J21" i="5"/>
  <c r="J19" i="5"/>
  <c r="J17" i="5"/>
  <c r="J15" i="5"/>
  <c r="J13" i="5"/>
  <c r="J11" i="5"/>
  <c r="J9" i="5"/>
  <c r="J7" i="5"/>
  <c r="G30" i="5"/>
  <c r="G28" i="5"/>
  <c r="G26" i="5"/>
  <c r="G24" i="5"/>
  <c r="G22" i="5"/>
  <c r="G20" i="5"/>
  <c r="G18" i="5"/>
  <c r="G16" i="5"/>
  <c r="G14" i="5"/>
  <c r="G12" i="5"/>
  <c r="G10" i="5"/>
  <c r="G8" i="5"/>
  <c r="K22" i="5"/>
  <c r="B22" i="4"/>
  <c r="D19" i="18" s="1"/>
  <c r="E131" i="5"/>
  <c r="Y38" i="33" s="1"/>
  <c r="Q96" i="5"/>
  <c r="K119" i="5"/>
  <c r="K111" i="5"/>
  <c r="K118" i="5"/>
  <c r="D23" i="4"/>
  <c r="E20" i="18" s="1"/>
  <c r="Q37" i="5"/>
  <c r="D16" i="4"/>
  <c r="E13" i="18" s="1"/>
  <c r="K38" i="5"/>
  <c r="K58" i="5"/>
  <c r="R36" i="5"/>
  <c r="E36" i="5"/>
  <c r="K54" i="5"/>
  <c r="K52" i="5"/>
  <c r="B23" i="4"/>
  <c r="D20" i="18" s="1"/>
  <c r="B21" i="4"/>
  <c r="D18" i="18" s="1"/>
  <c r="B18" i="4"/>
  <c r="D15" i="18" s="1"/>
  <c r="B27" i="4"/>
  <c r="D24" i="18" s="1"/>
  <c r="B126" i="5"/>
  <c r="E135" i="5"/>
  <c r="E139" i="5"/>
  <c r="E143" i="5"/>
  <c r="E147" i="5"/>
  <c r="E151" i="5"/>
  <c r="H137" i="5"/>
  <c r="H143" i="5"/>
  <c r="H136" i="5"/>
  <c r="Y72" i="33" s="1"/>
  <c r="E140" i="5"/>
  <c r="H144" i="5"/>
  <c r="E142" i="5"/>
  <c r="H132" i="5"/>
  <c r="Y68" i="33" s="1"/>
  <c r="E129" i="5"/>
  <c r="D12" i="4"/>
  <c r="E9" i="18" s="1"/>
  <c r="M118" i="5"/>
  <c r="V113" i="33" s="1"/>
  <c r="V26" i="33" s="1"/>
  <c r="H138" i="5"/>
  <c r="Y74" i="33" s="1"/>
  <c r="E130" i="5"/>
  <c r="Y37" i="33" s="1"/>
  <c r="B24" i="4"/>
  <c r="D21" i="18" s="1"/>
  <c r="K103" i="5"/>
  <c r="M102" i="5"/>
  <c r="V97" i="33" s="1"/>
  <c r="V10" i="33" s="1"/>
  <c r="K101" i="5"/>
  <c r="K113" i="5"/>
  <c r="K114" i="5"/>
  <c r="M108" i="5"/>
  <c r="V103" i="33" s="1"/>
  <c r="V16" i="33" s="1"/>
  <c r="K117" i="5"/>
  <c r="M101" i="5"/>
  <c r="V96" i="33" s="1"/>
  <c r="V9" i="33" s="1"/>
  <c r="K115" i="5"/>
  <c r="M110" i="5"/>
  <c r="V105" i="33" s="1"/>
  <c r="V18" i="33" s="1"/>
  <c r="M117" i="5"/>
  <c r="V112" i="33" s="1"/>
  <c r="V25" i="33" s="1"/>
  <c r="D96" i="5"/>
  <c r="B96" i="5"/>
  <c r="B19" i="4"/>
  <c r="D16" i="18" s="1"/>
  <c r="K120" i="5"/>
  <c r="K104" i="5"/>
  <c r="E96" i="5"/>
  <c r="B25" i="4"/>
  <c r="D22" i="18" s="1"/>
  <c r="B16" i="4"/>
  <c r="D13" i="18" s="1"/>
  <c r="M100" i="5"/>
  <c r="V95" i="33" s="1"/>
  <c r="V8" i="33" s="1"/>
  <c r="Q126" i="5"/>
  <c r="Q127" i="5"/>
  <c r="K145" i="5"/>
  <c r="D31" i="4"/>
  <c r="E28" i="18" s="1"/>
  <c r="D30" i="4"/>
  <c r="E27" i="18" s="1"/>
  <c r="D27" i="4"/>
  <c r="E24" i="18" s="1"/>
  <c r="B14" i="4"/>
  <c r="D11" i="18" s="1"/>
  <c r="B11" i="4"/>
  <c r="D8" i="18" s="1"/>
  <c r="B32" i="4"/>
  <c r="D29" i="18" s="1"/>
  <c r="B28" i="4"/>
  <c r="D25" i="18" s="1"/>
  <c r="D14" i="4"/>
  <c r="E11" i="18" s="1"/>
  <c r="M103" i="5"/>
  <c r="V98" i="33" s="1"/>
  <c r="V11" i="33" s="1"/>
  <c r="J96" i="5"/>
  <c r="R96" i="5"/>
  <c r="K106" i="5"/>
  <c r="K121" i="5"/>
  <c r="G96" i="5"/>
  <c r="D9" i="4"/>
  <c r="E6" i="18" s="1"/>
  <c r="D32" i="4"/>
  <c r="E29" i="18" s="1"/>
  <c r="B30" i="4"/>
  <c r="D27" i="18" s="1"/>
  <c r="H96" i="5"/>
  <c r="M97" i="5"/>
  <c r="V92" i="33" s="1"/>
  <c r="V5" i="33" s="1"/>
  <c r="M106" i="5"/>
  <c r="V101" i="33" s="1"/>
  <c r="V14" i="33" s="1"/>
  <c r="M112" i="5"/>
  <c r="V107" i="33" s="1"/>
  <c r="V20" i="33" s="1"/>
  <c r="M114" i="5"/>
  <c r="V109" i="33" s="1"/>
  <c r="V22" i="33" s="1"/>
  <c r="M121" i="5"/>
  <c r="V116" i="33" s="1"/>
  <c r="V29" i="33" s="1"/>
  <c r="M119" i="5"/>
  <c r="V114" i="33" s="1"/>
  <c r="V27" i="33" s="1"/>
  <c r="M109" i="5"/>
  <c r="V104" i="33" s="1"/>
  <c r="V17" i="33" s="1"/>
  <c r="K116" i="5"/>
  <c r="M105" i="5"/>
  <c r="V100" i="33" s="1"/>
  <c r="V13" i="33" s="1"/>
  <c r="K99" i="5"/>
  <c r="Q97" i="5"/>
  <c r="B29" i="4"/>
  <c r="D26" i="18" s="1"/>
  <c r="B20" i="4"/>
  <c r="D17" i="18" s="1"/>
  <c r="B17" i="4"/>
  <c r="D14" i="18" s="1"/>
  <c r="D13" i="4"/>
  <c r="E10" i="18" s="1"/>
  <c r="D29" i="4"/>
  <c r="E26" i="18" s="1"/>
  <c r="D21" i="4"/>
  <c r="E18" i="18" s="1"/>
  <c r="D19" i="4"/>
  <c r="E16" i="18" s="1"/>
  <c r="D17" i="4"/>
  <c r="E14" i="18" s="1"/>
  <c r="B13" i="4"/>
  <c r="D10" i="18" s="1"/>
  <c r="Q6" i="5"/>
  <c r="B10" i="4"/>
  <c r="D7" i="18" s="1"/>
  <c r="K26" i="5"/>
  <c r="E6" i="5"/>
  <c r="K27" i="5"/>
  <c r="K31" i="5"/>
  <c r="H6" i="5"/>
  <c r="M206" i="5"/>
  <c r="M208" i="5"/>
  <c r="M189" i="5"/>
  <c r="K269" i="5"/>
  <c r="K170" i="5"/>
  <c r="Q277" i="5"/>
  <c r="D276" i="5"/>
  <c r="D156" i="5"/>
  <c r="Q156" i="5"/>
  <c r="K220" i="5"/>
  <c r="M296" i="5"/>
  <c r="K286" i="5"/>
  <c r="D246" i="5"/>
  <c r="Q217" i="5"/>
  <c r="Q187" i="5"/>
  <c r="Q157" i="5"/>
  <c r="Q247" i="5"/>
  <c r="B8" i="4" l="1"/>
  <c r="D5" i="18" s="1"/>
  <c r="N39" i="4"/>
  <c r="H103" i="4"/>
  <c r="F18" i="18"/>
  <c r="H39" i="4"/>
  <c r="F13" i="18"/>
  <c r="F8" i="18"/>
  <c r="F14" i="18"/>
  <c r="F26" i="18"/>
  <c r="F10" i="18"/>
  <c r="F20" i="18"/>
  <c r="F16" i="18"/>
  <c r="D55" i="28"/>
  <c r="D61" i="28"/>
  <c r="Z92" i="4"/>
  <c r="Z92" i="28"/>
  <c r="B5" i="18"/>
  <c r="W84" i="4"/>
  <c r="W84" i="28"/>
  <c r="AB95" i="4"/>
  <c r="AB95" i="28"/>
  <c r="Z127" i="4"/>
  <c r="Z127" i="28"/>
  <c r="AB119" i="4"/>
  <c r="AB119" i="28"/>
  <c r="Z109" i="4"/>
  <c r="Z109" i="28"/>
  <c r="AB109" i="4"/>
  <c r="AB109" i="28"/>
  <c r="AB120" i="4"/>
  <c r="AB120" i="28"/>
  <c r="Z116" i="4"/>
  <c r="Z116" i="28"/>
  <c r="T118" i="4"/>
  <c r="T118" i="28"/>
  <c r="Z112" i="4"/>
  <c r="Z112" i="28"/>
  <c r="AB106" i="4"/>
  <c r="AB103" i="4" s="1"/>
  <c r="AB106" i="28"/>
  <c r="AC106" i="4"/>
  <c r="AC106" i="28"/>
  <c r="Y59" i="4"/>
  <c r="Y59" i="28"/>
  <c r="V107" i="4"/>
  <c r="V107" i="28"/>
  <c r="AH92" i="4"/>
  <c r="AH92" i="28"/>
  <c r="T58" i="4"/>
  <c r="T58" i="28"/>
  <c r="B58" i="28" s="1"/>
  <c r="AH96" i="4"/>
  <c r="AH96" i="28"/>
  <c r="AH111" i="4"/>
  <c r="AH111" i="28"/>
  <c r="AH126" i="4"/>
  <c r="AH126" i="28"/>
  <c r="AF121" i="4"/>
  <c r="AF121" i="28"/>
  <c r="AH109" i="4"/>
  <c r="AH109" i="28"/>
  <c r="AH124" i="4"/>
  <c r="AH124" i="28"/>
  <c r="AH123" i="4"/>
  <c r="AH123" i="28"/>
  <c r="AF60" i="4"/>
  <c r="AF60" i="28"/>
  <c r="AF126" i="4"/>
  <c r="AF126" i="28"/>
  <c r="AF125" i="4"/>
  <c r="AF125" i="28"/>
  <c r="AH121" i="4"/>
  <c r="AH121" i="28"/>
  <c r="T116" i="4"/>
  <c r="T116" i="28"/>
  <c r="V115" i="4"/>
  <c r="V115" i="28"/>
  <c r="V60" i="4"/>
  <c r="V60" i="28"/>
  <c r="D60" i="28" s="1"/>
  <c r="T51" i="4"/>
  <c r="T51" i="28"/>
  <c r="T109" i="4"/>
  <c r="T109" i="28"/>
  <c r="B104" i="28"/>
  <c r="V105" i="4"/>
  <c r="V105" i="28"/>
  <c r="V118" i="4"/>
  <c r="V118" i="28"/>
  <c r="V62" i="4"/>
  <c r="V62" i="28"/>
  <c r="D62" i="28" s="1"/>
  <c r="T106" i="4"/>
  <c r="T106" i="28"/>
  <c r="B106" i="28" s="1"/>
  <c r="V111" i="4"/>
  <c r="V111" i="28"/>
  <c r="V124" i="4"/>
  <c r="V124" i="28"/>
  <c r="T113" i="4"/>
  <c r="T113" i="28"/>
  <c r="T79" i="4"/>
  <c r="T79" i="28"/>
  <c r="W123" i="4"/>
  <c r="W123" i="28"/>
  <c r="AB107" i="4"/>
  <c r="AB107" i="28"/>
  <c r="W122" i="4"/>
  <c r="W122" i="28"/>
  <c r="V117" i="4"/>
  <c r="V117" i="28"/>
  <c r="Y113" i="4"/>
  <c r="Y113" i="28"/>
  <c r="Y118" i="4"/>
  <c r="Y118" i="28"/>
  <c r="W105" i="4"/>
  <c r="W105" i="28"/>
  <c r="Y41" i="4"/>
  <c r="Y41" i="28"/>
  <c r="D41" i="28" s="1"/>
  <c r="Y123" i="4"/>
  <c r="Y123" i="28"/>
  <c r="W108" i="4"/>
  <c r="W108" i="28"/>
  <c r="W126" i="4"/>
  <c r="W126" i="28"/>
  <c r="Y125" i="4"/>
  <c r="Y125" i="28"/>
  <c r="Y45" i="4"/>
  <c r="Y45" i="28"/>
  <c r="Y55" i="4"/>
  <c r="Y55" i="28"/>
  <c r="W119" i="4"/>
  <c r="W119" i="28"/>
  <c r="Z123" i="4"/>
  <c r="Z123" i="28"/>
  <c r="Z120" i="4"/>
  <c r="Z120" i="28"/>
  <c r="AB61" i="4"/>
  <c r="AB61" i="28"/>
  <c r="AC63" i="4"/>
  <c r="AC63" i="28"/>
  <c r="AE112" i="4"/>
  <c r="AE112" i="28"/>
  <c r="AC62" i="4"/>
  <c r="AC62" i="28"/>
  <c r="AE110" i="4"/>
  <c r="AE110" i="28"/>
  <c r="AC118" i="4"/>
  <c r="AC118" i="28"/>
  <c r="AC128" i="4"/>
  <c r="AC128" i="28"/>
  <c r="AE106" i="4"/>
  <c r="AE106" i="28"/>
  <c r="AE116" i="4"/>
  <c r="AE116" i="28"/>
  <c r="AE42" i="4"/>
  <c r="AE42" i="28"/>
  <c r="M249" i="5"/>
  <c r="AC72" i="4"/>
  <c r="AC72" i="28"/>
  <c r="AH117" i="4"/>
  <c r="AH117" i="28"/>
  <c r="H276" i="27"/>
  <c r="G246" i="27"/>
  <c r="R247" i="27"/>
  <c r="M247" i="27"/>
  <c r="R156" i="27"/>
  <c r="K158" i="27"/>
  <c r="K162" i="27"/>
  <c r="K170" i="27"/>
  <c r="K178" i="27"/>
  <c r="B28" i="28"/>
  <c r="B25" i="18" s="1"/>
  <c r="AH7" i="28"/>
  <c r="Z89" i="4"/>
  <c r="Z89" i="28"/>
  <c r="K187" i="27"/>
  <c r="E186" i="27"/>
  <c r="M192" i="27"/>
  <c r="H186" i="27"/>
  <c r="M191" i="27"/>
  <c r="M199" i="27"/>
  <c r="M207" i="27"/>
  <c r="D20" i="28"/>
  <c r="C17" i="18" s="1"/>
  <c r="F17" i="18" s="1"/>
  <c r="D24" i="28"/>
  <c r="C21" i="18" s="1"/>
  <c r="M219" i="27"/>
  <c r="M223" i="27"/>
  <c r="M227" i="27"/>
  <c r="M231" i="27"/>
  <c r="M235" i="27"/>
  <c r="M239" i="27"/>
  <c r="J216" i="27"/>
  <c r="B17" i="28"/>
  <c r="B14" i="18" s="1"/>
  <c r="B63" i="28"/>
  <c r="F11" i="18"/>
  <c r="Y91" i="4"/>
  <c r="Y91" i="28"/>
  <c r="W73" i="4"/>
  <c r="W73" i="28"/>
  <c r="Z113" i="4"/>
  <c r="Z113" i="28"/>
  <c r="AB42" i="4"/>
  <c r="AB42" i="28"/>
  <c r="D42" i="28" s="1"/>
  <c r="Z52" i="4"/>
  <c r="Z52" i="28"/>
  <c r="B52" i="28" s="1"/>
  <c r="AB122" i="4"/>
  <c r="AB122" i="28"/>
  <c r="Z125" i="4"/>
  <c r="Z125" i="28"/>
  <c r="Z47" i="4"/>
  <c r="Z47" i="28"/>
  <c r="B47" i="28" s="1"/>
  <c r="AB112" i="4"/>
  <c r="AB112" i="28"/>
  <c r="Z108" i="4"/>
  <c r="Z108" i="28"/>
  <c r="V92" i="4"/>
  <c r="V92" i="28"/>
  <c r="W95" i="4"/>
  <c r="W95" i="28"/>
  <c r="AB84" i="4"/>
  <c r="AB84" i="28"/>
  <c r="AE109" i="4"/>
  <c r="AE109" i="28"/>
  <c r="AH116" i="4"/>
  <c r="AH116" i="28"/>
  <c r="T115" i="4"/>
  <c r="T115" i="28"/>
  <c r="T117" i="4"/>
  <c r="T117" i="28"/>
  <c r="B117" i="28" s="1"/>
  <c r="Y121" i="4"/>
  <c r="Y121" i="28"/>
  <c r="Y110" i="4"/>
  <c r="Y110" i="28"/>
  <c r="T95" i="4"/>
  <c r="T95" i="28"/>
  <c r="Y81" i="4"/>
  <c r="Y81" i="28"/>
  <c r="AC92" i="4"/>
  <c r="AC92" i="28"/>
  <c r="AF116" i="4"/>
  <c r="AF116" i="28"/>
  <c r="AF62" i="4"/>
  <c r="AF62" i="28"/>
  <c r="AH110" i="4"/>
  <c r="AH110" i="28"/>
  <c r="AH53" i="4"/>
  <c r="AH53" i="28"/>
  <c r="AH108" i="4"/>
  <c r="AH108" i="28"/>
  <c r="AH115" i="4"/>
  <c r="AH115" i="28"/>
  <c r="AF56" i="4"/>
  <c r="AF56" i="28"/>
  <c r="AF118" i="4"/>
  <c r="AF118" i="28"/>
  <c r="AF123" i="4"/>
  <c r="AF123" i="28"/>
  <c r="AH113" i="4"/>
  <c r="AH113" i="28"/>
  <c r="AF55" i="4"/>
  <c r="AF55" i="28"/>
  <c r="AH128" i="4"/>
  <c r="AH128" i="28"/>
  <c r="T128" i="4"/>
  <c r="T128" i="28"/>
  <c r="T62" i="4"/>
  <c r="T62" i="28"/>
  <c r="B62" i="28" s="1"/>
  <c r="V112" i="4"/>
  <c r="V112" i="28"/>
  <c r="V126" i="4"/>
  <c r="V126" i="28"/>
  <c r="T125" i="4"/>
  <c r="T125" i="28"/>
  <c r="T112" i="4"/>
  <c r="T112" i="28"/>
  <c r="T119" i="4"/>
  <c r="T119" i="28"/>
  <c r="B61" i="28"/>
  <c r="T45" i="4"/>
  <c r="T45" i="28"/>
  <c r="B45" i="28" s="1"/>
  <c r="V110" i="4"/>
  <c r="V110" i="28"/>
  <c r="T108" i="4"/>
  <c r="T108" i="28"/>
  <c r="T111" i="4"/>
  <c r="T111" i="28"/>
  <c r="B64" i="28"/>
  <c r="B48" i="28"/>
  <c r="V116" i="4"/>
  <c r="V116" i="28"/>
  <c r="T121" i="4"/>
  <c r="T121" i="28"/>
  <c r="V43" i="4"/>
  <c r="V43" i="28"/>
  <c r="W74" i="4"/>
  <c r="W74" i="28"/>
  <c r="Y95" i="4"/>
  <c r="Y95" i="28"/>
  <c r="AE111" i="4"/>
  <c r="AE111" i="28"/>
  <c r="AH118" i="4"/>
  <c r="AH118" i="28"/>
  <c r="Y108" i="4"/>
  <c r="Y108" i="28"/>
  <c r="W113" i="4"/>
  <c r="W113" i="28"/>
  <c r="Y122" i="4"/>
  <c r="Y122" i="28"/>
  <c r="Y114" i="4"/>
  <c r="Y114" i="28"/>
  <c r="Y50" i="4"/>
  <c r="Y50" i="28"/>
  <c r="D50" i="28" s="1"/>
  <c r="W121" i="4"/>
  <c r="W121" i="28"/>
  <c r="Y56" i="4"/>
  <c r="Y56" i="28"/>
  <c r="D56" i="28" s="1"/>
  <c r="W109" i="4"/>
  <c r="W109" i="28"/>
  <c r="W103" i="28" s="1"/>
  <c r="W120" i="4"/>
  <c r="W120" i="28"/>
  <c r="W116" i="4"/>
  <c r="W116" i="28"/>
  <c r="Y116" i="4"/>
  <c r="Y116" i="28"/>
  <c r="Y63" i="4"/>
  <c r="Y63" i="28"/>
  <c r="D63" i="28" s="1"/>
  <c r="W111" i="4"/>
  <c r="W111" i="28"/>
  <c r="Z110" i="4"/>
  <c r="Z110" i="28"/>
  <c r="Z117" i="4"/>
  <c r="Z117" i="28"/>
  <c r="AB45" i="4"/>
  <c r="AB45" i="28"/>
  <c r="D45" i="28" s="1"/>
  <c r="AE119" i="4"/>
  <c r="AE119" i="28"/>
  <c r="AC116" i="4"/>
  <c r="AC116" i="28"/>
  <c r="AC55" i="4"/>
  <c r="AC55" i="28"/>
  <c r="AC117" i="4"/>
  <c r="AC117" i="28"/>
  <c r="AE123" i="4"/>
  <c r="AE123" i="28"/>
  <c r="AC58" i="4"/>
  <c r="AC58" i="28"/>
  <c r="AC121" i="4"/>
  <c r="AC121" i="28"/>
  <c r="AC115" i="4"/>
  <c r="AC103" i="4" s="1"/>
  <c r="AC115" i="28"/>
  <c r="AC114" i="4"/>
  <c r="AC114" i="28"/>
  <c r="AE108" i="4"/>
  <c r="AE108" i="28"/>
  <c r="B40" i="28"/>
  <c r="K277" i="27"/>
  <c r="R276" i="27"/>
  <c r="E276" i="27"/>
  <c r="K279" i="27"/>
  <c r="K287" i="27"/>
  <c r="K291" i="27"/>
  <c r="K295" i="27"/>
  <c r="K299" i="27"/>
  <c r="K284" i="27"/>
  <c r="H246" i="27"/>
  <c r="M251" i="27"/>
  <c r="M255" i="27"/>
  <c r="M259" i="27"/>
  <c r="M263" i="27"/>
  <c r="M267" i="27"/>
  <c r="M271" i="27"/>
  <c r="K164" i="27"/>
  <c r="M158" i="27"/>
  <c r="M166" i="27"/>
  <c r="M163" i="27"/>
  <c r="M171" i="27"/>
  <c r="M179" i="27"/>
  <c r="B12" i="28"/>
  <c r="B9" i="18" s="1"/>
  <c r="B16" i="28"/>
  <c r="B13" i="18" s="1"/>
  <c r="B20" i="28"/>
  <c r="B17" i="18" s="1"/>
  <c r="B24" i="28"/>
  <c r="B21" i="18" s="1"/>
  <c r="K201" i="27"/>
  <c r="R187" i="27"/>
  <c r="M187" i="27"/>
  <c r="G186" i="27"/>
  <c r="K197" i="27"/>
  <c r="K189" i="27"/>
  <c r="R186" i="27"/>
  <c r="K188" i="27"/>
  <c r="K196" i="27"/>
  <c r="K204" i="27"/>
  <c r="D8" i="28"/>
  <c r="D12" i="28"/>
  <c r="C9" i="18" s="1"/>
  <c r="F9" i="18" s="1"/>
  <c r="Z7" i="28"/>
  <c r="E216" i="27"/>
  <c r="R216" i="27"/>
  <c r="K217" i="27"/>
  <c r="B23" i="28"/>
  <c r="B20" i="18" s="1"/>
  <c r="B27" i="28"/>
  <c r="B24" i="18" s="1"/>
  <c r="B31" i="28"/>
  <c r="B28" i="18" s="1"/>
  <c r="Z75" i="4"/>
  <c r="Z75" i="28"/>
  <c r="T85" i="4"/>
  <c r="T85" i="28"/>
  <c r="AF81" i="4"/>
  <c r="AF81" i="28"/>
  <c r="AC94" i="4"/>
  <c r="AC94" i="28"/>
  <c r="F27" i="18"/>
  <c r="W75" i="4"/>
  <c r="W75" i="28"/>
  <c r="T77" i="4"/>
  <c r="T77" i="28"/>
  <c r="Z111" i="4"/>
  <c r="Z111" i="28"/>
  <c r="Z64" i="4"/>
  <c r="Z64" i="28"/>
  <c r="AB114" i="4"/>
  <c r="AB114" i="28"/>
  <c r="Z126" i="4"/>
  <c r="Z126" i="28"/>
  <c r="AB125" i="4"/>
  <c r="AB125" i="28"/>
  <c r="Z43" i="4"/>
  <c r="Z43" i="28"/>
  <c r="Z39" i="28"/>
  <c r="K168" i="5"/>
  <c r="F25" i="18"/>
  <c r="F21" i="18"/>
  <c r="AB116" i="4"/>
  <c r="AB116" i="28"/>
  <c r="AF49" i="4"/>
  <c r="AF49" i="28"/>
  <c r="B49" i="28" s="1"/>
  <c r="AF113" i="4"/>
  <c r="AF113" i="28"/>
  <c r="V120" i="4"/>
  <c r="V120" i="28"/>
  <c r="AC123" i="4"/>
  <c r="AC123" i="28"/>
  <c r="K299" i="5"/>
  <c r="M238" i="5"/>
  <c r="AH48" i="4"/>
  <c r="AH48" i="28"/>
  <c r="D48" i="28" s="1"/>
  <c r="AF127" i="4"/>
  <c r="AF127" i="28"/>
  <c r="AF54" i="4"/>
  <c r="AF54" i="28"/>
  <c r="AH59" i="4"/>
  <c r="AH59" i="28"/>
  <c r="D59" i="28" s="1"/>
  <c r="AF107" i="4"/>
  <c r="AF107" i="28"/>
  <c r="AH64" i="4"/>
  <c r="AH64" i="28"/>
  <c r="AF53" i="4"/>
  <c r="AF53" i="28"/>
  <c r="AF114" i="4"/>
  <c r="AF114" i="28"/>
  <c r="AH42" i="4"/>
  <c r="AH42" i="28"/>
  <c r="AH39" i="28" s="1"/>
  <c r="AF124" i="4"/>
  <c r="AF124" i="28"/>
  <c r="AH107" i="4"/>
  <c r="AH107" i="28"/>
  <c r="AH122" i="4"/>
  <c r="AH122" i="28"/>
  <c r="AF110" i="4"/>
  <c r="AF110" i="28"/>
  <c r="AF109" i="4"/>
  <c r="AF109" i="28"/>
  <c r="AH106" i="4"/>
  <c r="AH106" i="28"/>
  <c r="AF51" i="4"/>
  <c r="AF51" i="28"/>
  <c r="AH120" i="4"/>
  <c r="AH120" i="28"/>
  <c r="T107" i="4"/>
  <c r="T107" i="28"/>
  <c r="B107" i="28" s="1"/>
  <c r="B54" i="28"/>
  <c r="V109" i="4"/>
  <c r="V109" i="28"/>
  <c r="V123" i="4"/>
  <c r="V123" i="28"/>
  <c r="D123" i="28" s="1"/>
  <c r="T126" i="4"/>
  <c r="T126" i="28"/>
  <c r="V121" i="4"/>
  <c r="V121" i="28"/>
  <c r="D121" i="28" s="1"/>
  <c r="V46" i="4"/>
  <c r="V46" i="28"/>
  <c r="D46" i="28" s="1"/>
  <c r="T122" i="4"/>
  <c r="T122" i="28"/>
  <c r="B60" i="28"/>
  <c r="B44" i="28"/>
  <c r="V108" i="4"/>
  <c r="V108" i="28"/>
  <c r="T123" i="4"/>
  <c r="T123" i="28"/>
  <c r="B123" i="28" s="1"/>
  <c r="AF74" i="4"/>
  <c r="AF74" i="28"/>
  <c r="AB118" i="4"/>
  <c r="AB118" i="28"/>
  <c r="V128" i="4"/>
  <c r="V128" i="28"/>
  <c r="W128" i="4"/>
  <c r="W128" i="28"/>
  <c r="Y111" i="4"/>
  <c r="Y111" i="28"/>
  <c r="M197" i="5"/>
  <c r="Y126" i="4"/>
  <c r="Y126" i="28"/>
  <c r="W59" i="4"/>
  <c r="W59" i="28"/>
  <c r="W114" i="4"/>
  <c r="W114" i="28"/>
  <c r="Y105" i="4"/>
  <c r="Y105" i="28"/>
  <c r="W112" i="4"/>
  <c r="W112" i="28"/>
  <c r="Y107" i="4"/>
  <c r="Y107" i="28"/>
  <c r="W117" i="4"/>
  <c r="W117" i="28"/>
  <c r="W110" i="4"/>
  <c r="W110" i="28"/>
  <c r="Y124" i="4"/>
  <c r="Y124" i="28"/>
  <c r="W53" i="4"/>
  <c r="W53" i="28"/>
  <c r="Y109" i="4"/>
  <c r="Y109" i="28"/>
  <c r="Y53" i="4"/>
  <c r="Y53" i="28"/>
  <c r="D53" i="28" s="1"/>
  <c r="AB115" i="4"/>
  <c r="AB115" i="28"/>
  <c r="AB126" i="4"/>
  <c r="AB126" i="28"/>
  <c r="Z105" i="4"/>
  <c r="Z105" i="28"/>
  <c r="Z103" i="28" s="1"/>
  <c r="AB113" i="4"/>
  <c r="AB113" i="28"/>
  <c r="AB124" i="4"/>
  <c r="AB124" i="28"/>
  <c r="AE114" i="4"/>
  <c r="AE114" i="28"/>
  <c r="AC122" i="4"/>
  <c r="AC122" i="28"/>
  <c r="AC47" i="4"/>
  <c r="AC47" i="28"/>
  <c r="AC39" i="28" s="1"/>
  <c r="AE115" i="4"/>
  <c r="AE115" i="28"/>
  <c r="AE126" i="4"/>
  <c r="AE126" i="28"/>
  <c r="AC113" i="4"/>
  <c r="AC113" i="28"/>
  <c r="AE56" i="4"/>
  <c r="AE56" i="28"/>
  <c r="AE39" i="28" s="1"/>
  <c r="AC112" i="4"/>
  <c r="AC112" i="28"/>
  <c r="AE121" i="4"/>
  <c r="AE121" i="28"/>
  <c r="AC57" i="4"/>
  <c r="AC57" i="28"/>
  <c r="B57" i="28" s="1"/>
  <c r="AE58" i="4"/>
  <c r="AE58" i="28"/>
  <c r="D58" i="28" s="1"/>
  <c r="B42" i="28"/>
  <c r="M278" i="27"/>
  <c r="K283" i="27"/>
  <c r="M282" i="27"/>
  <c r="M286" i="27"/>
  <c r="M290" i="27"/>
  <c r="M294" i="27"/>
  <c r="M298" i="27"/>
  <c r="J246" i="27"/>
  <c r="M250" i="27"/>
  <c r="M254" i="27"/>
  <c r="M258" i="27"/>
  <c r="M262" i="27"/>
  <c r="M266" i="27"/>
  <c r="M270" i="27"/>
  <c r="K249" i="27"/>
  <c r="K253" i="27"/>
  <c r="K257" i="27"/>
  <c r="K261" i="27"/>
  <c r="K265" i="27"/>
  <c r="K269" i="27"/>
  <c r="D9" i="28"/>
  <c r="C6" i="18" s="1"/>
  <c r="F6" i="18" s="1"/>
  <c r="R157" i="27"/>
  <c r="M157" i="27"/>
  <c r="G156" i="27"/>
  <c r="K161" i="27"/>
  <c r="K169" i="27"/>
  <c r="K177" i="27"/>
  <c r="K171" i="27"/>
  <c r="K176" i="27"/>
  <c r="M160" i="27"/>
  <c r="M168" i="27"/>
  <c r="M176" i="27"/>
  <c r="B30" i="28"/>
  <c r="B27" i="18" s="1"/>
  <c r="K206" i="27"/>
  <c r="K207" i="27"/>
  <c r="K194" i="27"/>
  <c r="M189" i="27"/>
  <c r="M197" i="27"/>
  <c r="M205" i="27"/>
  <c r="V7" i="28"/>
  <c r="D18" i="28"/>
  <c r="C15" i="18" s="1"/>
  <c r="F15" i="18" s="1"/>
  <c r="D22" i="28"/>
  <c r="C19" i="18" s="1"/>
  <c r="F19" i="18" s="1"/>
  <c r="D26" i="28"/>
  <c r="C23" i="18" s="1"/>
  <c r="F23" i="18" s="1"/>
  <c r="B32" i="28"/>
  <c r="B29" i="18" s="1"/>
  <c r="G216" i="27"/>
  <c r="R217" i="27"/>
  <c r="M217" i="27"/>
  <c r="M221" i="27"/>
  <c r="M225" i="27"/>
  <c r="M229" i="27"/>
  <c r="M233" i="27"/>
  <c r="M237" i="27"/>
  <c r="M241" i="27"/>
  <c r="B15" i="28"/>
  <c r="B12" i="18" s="1"/>
  <c r="D25" i="4"/>
  <c r="E22" i="18" s="1"/>
  <c r="F22" i="18" s="1"/>
  <c r="Y93" i="4"/>
  <c r="Y93" i="28"/>
  <c r="AH91" i="4"/>
  <c r="AH91" i="28"/>
  <c r="Y74" i="4"/>
  <c r="Y74" i="28"/>
  <c r="W88" i="4"/>
  <c r="W88" i="28"/>
  <c r="Y87" i="4"/>
  <c r="Y87" i="28"/>
  <c r="AC89" i="4"/>
  <c r="AC89" i="28"/>
  <c r="Z118" i="4"/>
  <c r="Z118" i="28"/>
  <c r="Z119" i="4"/>
  <c r="Z119" i="28"/>
  <c r="AB127" i="4"/>
  <c r="AB127" i="28"/>
  <c r="D127" i="28" s="1"/>
  <c r="Z60" i="4"/>
  <c r="Z60" i="28"/>
  <c r="AB105" i="4"/>
  <c r="AB105" i="28"/>
  <c r="AB117" i="4"/>
  <c r="AB117" i="28"/>
  <c r="AB128" i="4"/>
  <c r="AB128" i="28"/>
  <c r="Z124" i="4"/>
  <c r="Z124" i="28"/>
  <c r="V94" i="4"/>
  <c r="V94" i="28"/>
  <c r="Y64" i="4"/>
  <c r="Y64" i="28"/>
  <c r="D64" i="28" s="1"/>
  <c r="AC79" i="4"/>
  <c r="AC79" i="28"/>
  <c r="AE120" i="4"/>
  <c r="AE120" i="28"/>
  <c r="AC108" i="4"/>
  <c r="AC108" i="28"/>
  <c r="Z122" i="4"/>
  <c r="Z122" i="28"/>
  <c r="AF90" i="4"/>
  <c r="AF90" i="28"/>
  <c r="AF108" i="4"/>
  <c r="AF108" i="28"/>
  <c r="AH127" i="4"/>
  <c r="AH127" i="28"/>
  <c r="AF46" i="4"/>
  <c r="AF46" i="28"/>
  <c r="AF39" i="28" s="1"/>
  <c r="AH43" i="4"/>
  <c r="AH43" i="28"/>
  <c r="AF105" i="4"/>
  <c r="AF105" i="28"/>
  <c r="AF103" i="28" s="1"/>
  <c r="AH125" i="4"/>
  <c r="AH125" i="28"/>
  <c r="AF64" i="4"/>
  <c r="AF64" i="28"/>
  <c r="AH114" i="4"/>
  <c r="AH114" i="28"/>
  <c r="AF112" i="4"/>
  <c r="AF112" i="28"/>
  <c r="AF117" i="4"/>
  <c r="AF117" i="28"/>
  <c r="AF63" i="4"/>
  <c r="AF63" i="28"/>
  <c r="AH112" i="4"/>
  <c r="AH112" i="28"/>
  <c r="T46" i="4"/>
  <c r="T46" i="28"/>
  <c r="B46" i="28" s="1"/>
  <c r="B59" i="28"/>
  <c r="V106" i="4"/>
  <c r="V106" i="28"/>
  <c r="D106" i="28" s="1"/>
  <c r="T110" i="4"/>
  <c r="T110" i="28"/>
  <c r="B110" i="28" s="1"/>
  <c r="T124" i="4"/>
  <c r="T124" i="28"/>
  <c r="V113" i="4"/>
  <c r="V113" i="28"/>
  <c r="D113" i="28" s="1"/>
  <c r="T53" i="4"/>
  <c r="T53" i="28"/>
  <c r="B53" i="28" s="1"/>
  <c r="V125" i="4"/>
  <c r="V125" i="28"/>
  <c r="D125" i="28" s="1"/>
  <c r="T114" i="4"/>
  <c r="T114" i="28"/>
  <c r="T120" i="4"/>
  <c r="T120" i="28"/>
  <c r="V119" i="4"/>
  <c r="V119" i="28"/>
  <c r="T56" i="4"/>
  <c r="T56" i="28"/>
  <c r="V39" i="28"/>
  <c r="T105" i="4"/>
  <c r="T105" i="28"/>
  <c r="T103" i="28" s="1"/>
  <c r="M217" i="5"/>
  <c r="M222" i="5"/>
  <c r="AC109" i="4"/>
  <c r="AC109" i="28"/>
  <c r="AE122" i="4"/>
  <c r="AE122" i="28"/>
  <c r="Z50" i="4"/>
  <c r="Z50" i="28"/>
  <c r="AH105" i="4"/>
  <c r="AH105" i="28"/>
  <c r="AH103" i="28" s="1"/>
  <c r="B55" i="28"/>
  <c r="W43" i="4"/>
  <c r="W43" i="28"/>
  <c r="B43" i="28" s="1"/>
  <c r="W115" i="4"/>
  <c r="W115" i="28"/>
  <c r="W50" i="4"/>
  <c r="W50" i="28"/>
  <c r="B50" i="28" s="1"/>
  <c r="Y119" i="4"/>
  <c r="Y119" i="28"/>
  <c r="Y115" i="4"/>
  <c r="Y115" i="28"/>
  <c r="Y103" i="28" s="1"/>
  <c r="W125" i="4"/>
  <c r="W125" i="28"/>
  <c r="W118" i="4"/>
  <c r="W118" i="28"/>
  <c r="W41" i="4"/>
  <c r="W41" i="28"/>
  <c r="B41" i="28" s="1"/>
  <c r="Y117" i="4"/>
  <c r="Y117" i="28"/>
  <c r="Y47" i="4"/>
  <c r="Y47" i="28"/>
  <c r="D47" i="28" s="1"/>
  <c r="W127" i="4"/>
  <c r="W127" i="28"/>
  <c r="B127" i="28" s="1"/>
  <c r="Z107" i="4"/>
  <c r="Z107" i="28"/>
  <c r="AB110" i="4"/>
  <c r="AB110" i="28"/>
  <c r="AB108" i="4"/>
  <c r="AB108" i="28"/>
  <c r="AC56" i="4"/>
  <c r="AC56" i="28"/>
  <c r="AE117" i="4"/>
  <c r="AE117" i="28"/>
  <c r="AE128" i="4"/>
  <c r="AE128" i="28"/>
  <c r="AC126" i="4"/>
  <c r="AC126" i="28"/>
  <c r="AE107" i="4"/>
  <c r="AE107" i="28"/>
  <c r="AE103" i="28" s="1"/>
  <c r="AC50" i="4"/>
  <c r="AC50" i="28"/>
  <c r="AE118" i="4"/>
  <c r="AE118" i="28"/>
  <c r="AC105" i="4"/>
  <c r="AC105" i="28"/>
  <c r="AC120" i="4"/>
  <c r="AC120" i="28"/>
  <c r="AE113" i="4"/>
  <c r="AE113" i="28"/>
  <c r="AE124" i="4"/>
  <c r="AE124" i="28"/>
  <c r="V122" i="4"/>
  <c r="V122" i="28"/>
  <c r="Y80" i="4"/>
  <c r="Y80" i="28"/>
  <c r="J276" i="27"/>
  <c r="G276" i="27"/>
  <c r="R277" i="27"/>
  <c r="M277" i="27"/>
  <c r="M285" i="27"/>
  <c r="M289" i="27"/>
  <c r="M293" i="27"/>
  <c r="M297" i="27"/>
  <c r="M301" i="27"/>
  <c r="K286" i="27"/>
  <c r="K290" i="27"/>
  <c r="K294" i="27"/>
  <c r="K298" i="27"/>
  <c r="K247" i="27"/>
  <c r="R246" i="27"/>
  <c r="E246" i="27"/>
  <c r="M249" i="27"/>
  <c r="M253" i="27"/>
  <c r="M257" i="27"/>
  <c r="M261" i="27"/>
  <c r="M265" i="27"/>
  <c r="M269" i="27"/>
  <c r="D27" i="28"/>
  <c r="C24" i="18" s="1"/>
  <c r="F24" i="18" s="1"/>
  <c r="D31" i="28"/>
  <c r="C28" i="18" s="1"/>
  <c r="F28" i="18" s="1"/>
  <c r="AF7" i="28"/>
  <c r="AF106" i="4"/>
  <c r="AF106" i="28"/>
  <c r="M170" i="27"/>
  <c r="H156" i="27"/>
  <c r="K160" i="27"/>
  <c r="K168" i="27"/>
  <c r="K157" i="27"/>
  <c r="E156" i="27"/>
  <c r="M165" i="27"/>
  <c r="M173" i="27"/>
  <c r="M181" i="27"/>
  <c r="B10" i="28"/>
  <c r="B7" i="18" s="1"/>
  <c r="B14" i="28"/>
  <c r="B11" i="18" s="1"/>
  <c r="B18" i="28"/>
  <c r="B15" i="18" s="1"/>
  <c r="B22" i="28"/>
  <c r="B19" i="18" s="1"/>
  <c r="J186" i="27"/>
  <c r="K203" i="27"/>
  <c r="K211" i="27"/>
  <c r="M200" i="27"/>
  <c r="M208" i="27"/>
  <c r="K191" i="27"/>
  <c r="K199" i="27"/>
  <c r="K210" i="27"/>
  <c r="M194" i="27"/>
  <c r="M202" i="27"/>
  <c r="M210" i="27"/>
  <c r="D10" i="28"/>
  <c r="C7" i="18" s="1"/>
  <c r="H216" i="27"/>
  <c r="K220" i="27"/>
  <c r="K224" i="27"/>
  <c r="K228" i="27"/>
  <c r="K232" i="27"/>
  <c r="K236" i="27"/>
  <c r="K240" i="27"/>
  <c r="B11" i="28"/>
  <c r="B8" i="18" s="1"/>
  <c r="B21" i="28"/>
  <c r="B18" i="18" s="1"/>
  <c r="B25" i="28"/>
  <c r="B22" i="18" s="1"/>
  <c r="B29" i="28"/>
  <c r="B26" i="18" s="1"/>
  <c r="D32" i="28"/>
  <c r="C29" i="18" s="1"/>
  <c r="F29" i="18" s="1"/>
  <c r="AB7" i="28"/>
  <c r="AC7" i="28"/>
  <c r="N103" i="4"/>
  <c r="Q90" i="4"/>
  <c r="Y110" i="33"/>
  <c r="Q114" i="4"/>
  <c r="Y73" i="33"/>
  <c r="Q52" i="4"/>
  <c r="Y46" i="33"/>
  <c r="S46" i="4"/>
  <c r="Z40" i="33"/>
  <c r="S54" i="4"/>
  <c r="Z48" i="33"/>
  <c r="S62" i="4"/>
  <c r="Z56" i="33"/>
  <c r="S108" i="4"/>
  <c r="Z67" i="33"/>
  <c r="S116" i="4"/>
  <c r="Z75" i="33"/>
  <c r="S124" i="4"/>
  <c r="Z83" i="33"/>
  <c r="S43" i="4"/>
  <c r="Z37" i="33"/>
  <c r="S51" i="4"/>
  <c r="Z45" i="33"/>
  <c r="S59" i="4"/>
  <c r="Z53" i="33"/>
  <c r="S107" i="4"/>
  <c r="Z66" i="33"/>
  <c r="S115" i="4"/>
  <c r="Z74" i="33"/>
  <c r="S123" i="4"/>
  <c r="Z82" i="33"/>
  <c r="Q104" i="4"/>
  <c r="Y63" i="33"/>
  <c r="Q40" i="4"/>
  <c r="Y34" i="33"/>
  <c r="Q117" i="4"/>
  <c r="Y76" i="33"/>
  <c r="Q128" i="4"/>
  <c r="Y87" i="33"/>
  <c r="Q46" i="4"/>
  <c r="Y40" i="33"/>
  <c r="Q51" i="4"/>
  <c r="Y45" i="33"/>
  <c r="Q49" i="4"/>
  <c r="Y43" i="33"/>
  <c r="Q112" i="4"/>
  <c r="Y71" i="33"/>
  <c r="Q47" i="4"/>
  <c r="Y41" i="33"/>
  <c r="Q63" i="4"/>
  <c r="Y57" i="33"/>
  <c r="Q121" i="4"/>
  <c r="Y80" i="33"/>
  <c r="Q79" i="4"/>
  <c r="Y99" i="33"/>
  <c r="Q55" i="4"/>
  <c r="Y49" i="33"/>
  <c r="Q120" i="4"/>
  <c r="Y79" i="33"/>
  <c r="Q56" i="4"/>
  <c r="Y50" i="33"/>
  <c r="S44" i="4"/>
  <c r="Z38" i="33"/>
  <c r="S52" i="4"/>
  <c r="Z46" i="33"/>
  <c r="S60" i="4"/>
  <c r="Z54" i="33"/>
  <c r="S106" i="4"/>
  <c r="Z65" i="33"/>
  <c r="S114" i="4"/>
  <c r="Z73" i="33"/>
  <c r="S122" i="4"/>
  <c r="Z81" i="33"/>
  <c r="S41" i="4"/>
  <c r="Z35" i="33"/>
  <c r="S49" i="4"/>
  <c r="Z43" i="33"/>
  <c r="S57" i="4"/>
  <c r="Z51" i="33"/>
  <c r="S105" i="4"/>
  <c r="Z64" i="33"/>
  <c r="S113" i="4"/>
  <c r="Z72" i="33"/>
  <c r="S121" i="4"/>
  <c r="Z80" i="33"/>
  <c r="Q127" i="4"/>
  <c r="Y86" i="33"/>
  <c r="Q45" i="4"/>
  <c r="Y39" i="33"/>
  <c r="Q119" i="4"/>
  <c r="Y78" i="33"/>
  <c r="Q54" i="4"/>
  <c r="Y48" i="33"/>
  <c r="Q110" i="4"/>
  <c r="Y69" i="33"/>
  <c r="Q126" i="4"/>
  <c r="Y85" i="33"/>
  <c r="Q116" i="4"/>
  <c r="Y75" i="33"/>
  <c r="Q122" i="4"/>
  <c r="B122" i="4" s="1"/>
  <c r="Y81" i="33"/>
  <c r="D81" i="33" s="1"/>
  <c r="Q59" i="4"/>
  <c r="Y53" i="33"/>
  <c r="Q60" i="4"/>
  <c r="Y54" i="33"/>
  <c r="S42" i="4"/>
  <c r="Z36" i="33"/>
  <c r="S50" i="4"/>
  <c r="Z44" i="33"/>
  <c r="S58" i="4"/>
  <c r="Z52" i="33"/>
  <c r="S104" i="4"/>
  <c r="Z63" i="33"/>
  <c r="S112" i="4"/>
  <c r="Z71" i="33"/>
  <c r="S120" i="4"/>
  <c r="Z79" i="33"/>
  <c r="S128" i="4"/>
  <c r="Z87" i="33"/>
  <c r="S47" i="4"/>
  <c r="Z41" i="33"/>
  <c r="S55" i="4"/>
  <c r="Z49" i="33"/>
  <c r="S63" i="4"/>
  <c r="Z57" i="33"/>
  <c r="S111" i="4"/>
  <c r="Z70" i="33"/>
  <c r="S119" i="4"/>
  <c r="Z78" i="33"/>
  <c r="S127" i="4"/>
  <c r="Z86" i="33"/>
  <c r="Q123" i="4"/>
  <c r="Y82" i="33"/>
  <c r="Q107" i="4"/>
  <c r="Y66" i="33"/>
  <c r="Q62" i="4"/>
  <c r="Y56" i="33"/>
  <c r="Q41" i="4"/>
  <c r="Y35" i="33"/>
  <c r="Q111" i="4"/>
  <c r="Y70" i="33"/>
  <c r="Q50" i="4"/>
  <c r="Y44" i="33"/>
  <c r="Q58" i="4"/>
  <c r="Y52" i="33"/>
  <c r="Y23" i="33" s="1"/>
  <c r="Q42" i="4"/>
  <c r="Y36" i="33"/>
  <c r="Q53" i="4"/>
  <c r="Y47" i="33"/>
  <c r="Q64" i="4"/>
  <c r="Y58" i="33"/>
  <c r="Q48" i="4"/>
  <c r="Y42" i="33"/>
  <c r="S40" i="4"/>
  <c r="Z34" i="33"/>
  <c r="S48" i="4"/>
  <c r="Z42" i="33"/>
  <c r="S56" i="4"/>
  <c r="Z50" i="33"/>
  <c r="S64" i="4"/>
  <c r="Z58" i="33"/>
  <c r="S110" i="4"/>
  <c r="Z69" i="33"/>
  <c r="S118" i="4"/>
  <c r="Z77" i="33"/>
  <c r="S126" i="4"/>
  <c r="Z85" i="33"/>
  <c r="S45" i="4"/>
  <c r="Z39" i="33"/>
  <c r="S53" i="4"/>
  <c r="Z47" i="33"/>
  <c r="S61" i="4"/>
  <c r="Z55" i="33"/>
  <c r="S109" i="4"/>
  <c r="Z68" i="33"/>
  <c r="S117" i="4"/>
  <c r="Z76" i="33"/>
  <c r="S125" i="4"/>
  <c r="Z84" i="33"/>
  <c r="Q105" i="4"/>
  <c r="Y64" i="33"/>
  <c r="Q108" i="4"/>
  <c r="Y67" i="33"/>
  <c r="Q61" i="4"/>
  <c r="Y55" i="33"/>
  <c r="Q106" i="4"/>
  <c r="Y65" i="33"/>
  <c r="Q57" i="4"/>
  <c r="Y51" i="33"/>
  <c r="Q118" i="4"/>
  <c r="Y77" i="33"/>
  <c r="Q125" i="4"/>
  <c r="B125" i="4" s="1"/>
  <c r="Y84" i="33"/>
  <c r="D84" i="33" s="1"/>
  <c r="Q124" i="4"/>
  <c r="Y83" i="33"/>
  <c r="N91" i="4"/>
  <c r="U111" i="33"/>
  <c r="U24" i="33" s="1"/>
  <c r="N86" i="4"/>
  <c r="U106" i="33"/>
  <c r="N90" i="4"/>
  <c r="U110" i="33"/>
  <c r="U23" i="33" s="1"/>
  <c r="N89" i="4"/>
  <c r="U109" i="33"/>
  <c r="N78" i="4"/>
  <c r="U98" i="33"/>
  <c r="U11" i="33" s="1"/>
  <c r="N94" i="4"/>
  <c r="U114" i="33"/>
  <c r="N80" i="4"/>
  <c r="U100" i="33"/>
  <c r="U13" i="33" s="1"/>
  <c r="N84" i="4"/>
  <c r="U104" i="33"/>
  <c r="N73" i="4"/>
  <c r="U93" i="33"/>
  <c r="U6" i="33" s="1"/>
  <c r="N83" i="4"/>
  <c r="U103" i="33"/>
  <c r="U16" i="33" s="1"/>
  <c r="N82" i="4"/>
  <c r="U102" i="33"/>
  <c r="U15" i="33" s="1"/>
  <c r="U17" i="33"/>
  <c r="N81" i="4"/>
  <c r="U101" i="33"/>
  <c r="U14" i="33" s="1"/>
  <c r="N95" i="4"/>
  <c r="U115" i="33"/>
  <c r="U28" i="33" s="1"/>
  <c r="N92" i="4"/>
  <c r="U112" i="33"/>
  <c r="U25" i="33" s="1"/>
  <c r="N76" i="4"/>
  <c r="U96" i="33"/>
  <c r="U9" i="33" s="1"/>
  <c r="N93" i="4"/>
  <c r="U113" i="33"/>
  <c r="U26" i="33" s="1"/>
  <c r="N72" i="4"/>
  <c r="U92" i="33"/>
  <c r="U5" i="33" s="1"/>
  <c r="U62" i="33"/>
  <c r="U19" i="33"/>
  <c r="N75" i="4"/>
  <c r="U95" i="33"/>
  <c r="U8" i="33" s="1"/>
  <c r="N77" i="4"/>
  <c r="U97" i="33"/>
  <c r="U10" i="33" s="1"/>
  <c r="N74" i="4"/>
  <c r="U94" i="33"/>
  <c r="N96" i="4"/>
  <c r="U116" i="33"/>
  <c r="U29" i="33" s="1"/>
  <c r="N79" i="4"/>
  <c r="U99" i="33"/>
  <c r="N88" i="4"/>
  <c r="U108" i="33"/>
  <c r="U21" i="33" s="1"/>
  <c r="N87" i="4"/>
  <c r="U107" i="33"/>
  <c r="U20" i="33" s="1"/>
  <c r="N85" i="4"/>
  <c r="U105" i="33"/>
  <c r="U18" i="33" s="1"/>
  <c r="U33" i="33"/>
  <c r="U12" i="33"/>
  <c r="U22" i="33"/>
  <c r="U7" i="33"/>
  <c r="U27" i="33"/>
  <c r="K115" i="4"/>
  <c r="Q74" i="33"/>
  <c r="K114" i="4"/>
  <c r="Q73" i="33"/>
  <c r="D73" i="33" s="1"/>
  <c r="K49" i="4"/>
  <c r="Q43" i="33"/>
  <c r="M55" i="4"/>
  <c r="R49" i="33"/>
  <c r="M110" i="4"/>
  <c r="R69" i="33"/>
  <c r="M45" i="4"/>
  <c r="R39" i="33"/>
  <c r="M43" i="4"/>
  <c r="R37" i="33"/>
  <c r="M51" i="4"/>
  <c r="R45" i="33"/>
  <c r="M106" i="4"/>
  <c r="R65" i="33"/>
  <c r="M114" i="4"/>
  <c r="R73" i="33"/>
  <c r="M40" i="4"/>
  <c r="R34" i="33"/>
  <c r="M48" i="4"/>
  <c r="R42" i="33"/>
  <c r="M56" i="4"/>
  <c r="R50" i="33"/>
  <c r="M64" i="4"/>
  <c r="R58" i="33"/>
  <c r="M111" i="4"/>
  <c r="R70" i="33"/>
  <c r="M119" i="4"/>
  <c r="R78" i="33"/>
  <c r="K128" i="4"/>
  <c r="Q87" i="33"/>
  <c r="D87" i="33" s="1"/>
  <c r="K50" i="4"/>
  <c r="Q44" i="33"/>
  <c r="D44" i="33" s="1"/>
  <c r="K56" i="4"/>
  <c r="Q50" i="33"/>
  <c r="K63" i="4"/>
  <c r="Q57" i="33"/>
  <c r="D57" i="33" s="1"/>
  <c r="K59" i="4"/>
  <c r="Q53" i="33"/>
  <c r="D53" i="33" s="1"/>
  <c r="K48" i="4"/>
  <c r="Q42" i="33"/>
  <c r="D42" i="33" s="1"/>
  <c r="K55" i="4"/>
  <c r="Q49" i="33"/>
  <c r="K60" i="4"/>
  <c r="Q54" i="33"/>
  <c r="D54" i="33" s="1"/>
  <c r="K111" i="4"/>
  <c r="Q70" i="33"/>
  <c r="K106" i="4"/>
  <c r="B106" i="4" s="1"/>
  <c r="Q65" i="33"/>
  <c r="D65" i="33" s="1"/>
  <c r="M57" i="4"/>
  <c r="R51" i="33"/>
  <c r="M112" i="4"/>
  <c r="R71" i="33"/>
  <c r="M120" i="4"/>
  <c r="R79" i="33"/>
  <c r="M54" i="4"/>
  <c r="R48" i="33"/>
  <c r="M109" i="4"/>
  <c r="R68" i="33"/>
  <c r="K64" i="4"/>
  <c r="Q58" i="33"/>
  <c r="D58" i="33" s="1"/>
  <c r="M49" i="4"/>
  <c r="R43" i="33"/>
  <c r="M104" i="4"/>
  <c r="R63" i="33"/>
  <c r="M46" i="4"/>
  <c r="R40" i="33"/>
  <c r="M125" i="4"/>
  <c r="R84" i="33"/>
  <c r="K105" i="4"/>
  <c r="Q64" i="33"/>
  <c r="K112" i="4"/>
  <c r="B112" i="4" s="1"/>
  <c r="Q71" i="33"/>
  <c r="D71" i="33" s="1"/>
  <c r="K40" i="4"/>
  <c r="Q34" i="33"/>
  <c r="D34" i="33" s="1"/>
  <c r="M126" i="4"/>
  <c r="R85" i="33"/>
  <c r="M44" i="4"/>
  <c r="R38" i="33"/>
  <c r="M52" i="4"/>
  <c r="R46" i="33"/>
  <c r="M60" i="4"/>
  <c r="R54" i="33"/>
  <c r="M107" i="4"/>
  <c r="R66" i="33"/>
  <c r="M115" i="4"/>
  <c r="R74" i="33"/>
  <c r="M123" i="4"/>
  <c r="R82" i="33"/>
  <c r="K107" i="4"/>
  <c r="Q66" i="33"/>
  <c r="D66" i="33" s="1"/>
  <c r="K116" i="4"/>
  <c r="Q75" i="33"/>
  <c r="D75" i="33" s="1"/>
  <c r="K42" i="4"/>
  <c r="Q36" i="33"/>
  <c r="D36" i="33" s="1"/>
  <c r="K47" i="4"/>
  <c r="Q41" i="33"/>
  <c r="K110" i="4"/>
  <c r="Q69" i="33"/>
  <c r="D69" i="33" s="1"/>
  <c r="K62" i="4"/>
  <c r="Q56" i="33"/>
  <c r="D56" i="33" s="1"/>
  <c r="K104" i="4"/>
  <c r="Q63" i="33"/>
  <c r="K53" i="4"/>
  <c r="Q47" i="33"/>
  <c r="K117" i="4"/>
  <c r="B117" i="4" s="1"/>
  <c r="Q76" i="33"/>
  <c r="K113" i="4"/>
  <c r="Q72" i="33"/>
  <c r="D72" i="33" s="1"/>
  <c r="K120" i="4"/>
  <c r="Q79" i="33"/>
  <c r="D79" i="33" s="1"/>
  <c r="D77" i="33"/>
  <c r="M41" i="4"/>
  <c r="R35" i="33"/>
  <c r="M128" i="4"/>
  <c r="R87" i="33"/>
  <c r="M62" i="4"/>
  <c r="R56" i="33"/>
  <c r="M117" i="4"/>
  <c r="R76" i="33"/>
  <c r="K108" i="4"/>
  <c r="Q67" i="33"/>
  <c r="D67" i="33" s="1"/>
  <c r="K119" i="4"/>
  <c r="Q78" i="33"/>
  <c r="D78" i="33" s="1"/>
  <c r="K109" i="4"/>
  <c r="Q68" i="33"/>
  <c r="D68" i="33" s="1"/>
  <c r="K52" i="4"/>
  <c r="Q46" i="33"/>
  <c r="D46" i="33" s="1"/>
  <c r="M47" i="4"/>
  <c r="R41" i="33"/>
  <c r="M63" i="4"/>
  <c r="R57" i="33"/>
  <c r="M118" i="4"/>
  <c r="R77" i="33"/>
  <c r="M53" i="4"/>
  <c r="R47" i="33"/>
  <c r="M108" i="4"/>
  <c r="R67" i="33"/>
  <c r="M116" i="4"/>
  <c r="R75" i="33"/>
  <c r="M124" i="4"/>
  <c r="R83" i="33"/>
  <c r="M42" i="4"/>
  <c r="R36" i="33"/>
  <c r="M50" i="4"/>
  <c r="R44" i="33"/>
  <c r="M105" i="4"/>
  <c r="R64" i="33"/>
  <c r="M113" i="4"/>
  <c r="R72" i="33"/>
  <c r="M121" i="4"/>
  <c r="R80" i="33"/>
  <c r="K51" i="4"/>
  <c r="Q45" i="33"/>
  <c r="D45" i="33" s="1"/>
  <c r="K46" i="4"/>
  <c r="Q40" i="33"/>
  <c r="K61" i="4"/>
  <c r="Q55" i="33"/>
  <c r="D55" i="33" s="1"/>
  <c r="K41" i="4"/>
  <c r="Q35" i="33"/>
  <c r="D35" i="33" s="1"/>
  <c r="K45" i="4"/>
  <c r="Q39" i="33"/>
  <c r="D39" i="33" s="1"/>
  <c r="K121" i="4"/>
  <c r="Q80" i="33"/>
  <c r="K123" i="4"/>
  <c r="Q82" i="33"/>
  <c r="D82" i="33" s="1"/>
  <c r="K124" i="4"/>
  <c r="B124" i="4" s="1"/>
  <c r="Q83" i="33"/>
  <c r="D83" i="33" s="1"/>
  <c r="K126" i="4"/>
  <c r="Q85" i="33"/>
  <c r="D85" i="33" s="1"/>
  <c r="K57" i="4"/>
  <c r="Q51" i="33"/>
  <c r="K43" i="4"/>
  <c r="Q37" i="33"/>
  <c r="K54" i="4"/>
  <c r="Q48" i="33"/>
  <c r="D47" i="33"/>
  <c r="D43" i="33"/>
  <c r="H89" i="4"/>
  <c r="M109" i="33"/>
  <c r="M22" i="33" s="1"/>
  <c r="H87" i="4"/>
  <c r="M107" i="33"/>
  <c r="M20" i="33" s="1"/>
  <c r="H93" i="4"/>
  <c r="M113" i="33"/>
  <c r="M26" i="33" s="1"/>
  <c r="J47" i="4"/>
  <c r="N41" i="33"/>
  <c r="J55" i="4"/>
  <c r="N49" i="33"/>
  <c r="J63" i="4"/>
  <c r="N57" i="33"/>
  <c r="J111" i="4"/>
  <c r="N70" i="33"/>
  <c r="J119" i="4"/>
  <c r="N78" i="33"/>
  <c r="J127" i="4"/>
  <c r="N86" i="33"/>
  <c r="J46" i="4"/>
  <c r="N40" i="33"/>
  <c r="J54" i="4"/>
  <c r="N48" i="33"/>
  <c r="J62" i="4"/>
  <c r="N56" i="33"/>
  <c r="J108" i="4"/>
  <c r="N67" i="33"/>
  <c r="J116" i="4"/>
  <c r="N75" i="33"/>
  <c r="J124" i="4"/>
  <c r="N83" i="33"/>
  <c r="H79" i="4"/>
  <c r="M99" i="33"/>
  <c r="M12" i="33" s="1"/>
  <c r="H75" i="4"/>
  <c r="M95" i="33"/>
  <c r="M8" i="33" s="1"/>
  <c r="H84" i="4"/>
  <c r="M104" i="33"/>
  <c r="M17" i="33" s="1"/>
  <c r="H80" i="4"/>
  <c r="M100" i="33"/>
  <c r="M13" i="33" s="1"/>
  <c r="H92" i="4"/>
  <c r="M112" i="33"/>
  <c r="M25" i="33" s="1"/>
  <c r="H73" i="4"/>
  <c r="M93" i="33"/>
  <c r="M6" i="33" s="1"/>
  <c r="J45" i="4"/>
  <c r="N39" i="33"/>
  <c r="J53" i="4"/>
  <c r="N47" i="33"/>
  <c r="J61" i="4"/>
  <c r="N55" i="33"/>
  <c r="J109" i="4"/>
  <c r="N68" i="33"/>
  <c r="J117" i="4"/>
  <c r="N76" i="33"/>
  <c r="J125" i="4"/>
  <c r="N84" i="33"/>
  <c r="J44" i="4"/>
  <c r="N38" i="33"/>
  <c r="J52" i="4"/>
  <c r="N46" i="33"/>
  <c r="J60" i="4"/>
  <c r="N54" i="33"/>
  <c r="J106" i="4"/>
  <c r="N65" i="33"/>
  <c r="J114" i="4"/>
  <c r="N73" i="33"/>
  <c r="J122" i="4"/>
  <c r="N81" i="33"/>
  <c r="H85" i="4"/>
  <c r="M105" i="33"/>
  <c r="M18" i="33" s="1"/>
  <c r="H86" i="4"/>
  <c r="M106" i="33"/>
  <c r="H82" i="4"/>
  <c r="M102" i="33"/>
  <c r="M15" i="33" s="1"/>
  <c r="H72" i="4"/>
  <c r="M92" i="33"/>
  <c r="M5" i="33" s="1"/>
  <c r="H96" i="4"/>
  <c r="M116" i="33"/>
  <c r="M29" i="33" s="1"/>
  <c r="H91" i="4"/>
  <c r="M111" i="33"/>
  <c r="M24" i="33" s="1"/>
  <c r="H88" i="4"/>
  <c r="M108" i="33"/>
  <c r="M21" i="33" s="1"/>
  <c r="J51" i="4"/>
  <c r="N45" i="33"/>
  <c r="J107" i="4"/>
  <c r="N66" i="33"/>
  <c r="J115" i="4"/>
  <c r="N74" i="33"/>
  <c r="J123" i="4"/>
  <c r="N82" i="33"/>
  <c r="J42" i="4"/>
  <c r="N36" i="33"/>
  <c r="J50" i="4"/>
  <c r="N44" i="33"/>
  <c r="J58" i="4"/>
  <c r="N52" i="33"/>
  <c r="J104" i="4"/>
  <c r="N63" i="33"/>
  <c r="J112" i="4"/>
  <c r="N71" i="33"/>
  <c r="J120" i="4"/>
  <c r="N79" i="33"/>
  <c r="J128" i="4"/>
  <c r="N87" i="33"/>
  <c r="H90" i="4"/>
  <c r="M110" i="33"/>
  <c r="M23" i="33" s="1"/>
  <c r="H74" i="4"/>
  <c r="M94" i="33"/>
  <c r="H94" i="4"/>
  <c r="M114" i="33"/>
  <c r="M27" i="33" s="1"/>
  <c r="J41" i="4"/>
  <c r="N35" i="33"/>
  <c r="J49" i="4"/>
  <c r="N43" i="33"/>
  <c r="J57" i="4"/>
  <c r="N51" i="33"/>
  <c r="J105" i="4"/>
  <c r="N64" i="33"/>
  <c r="J113" i="4"/>
  <c r="N72" i="33"/>
  <c r="J121" i="4"/>
  <c r="N80" i="33"/>
  <c r="J40" i="4"/>
  <c r="N34" i="33"/>
  <c r="J48" i="4"/>
  <c r="N42" i="33"/>
  <c r="J56" i="4"/>
  <c r="N50" i="33"/>
  <c r="J64" i="4"/>
  <c r="N58" i="33"/>
  <c r="J110" i="4"/>
  <c r="N69" i="33"/>
  <c r="J118" i="4"/>
  <c r="N77" i="33"/>
  <c r="J126" i="4"/>
  <c r="N85" i="33"/>
  <c r="H78" i="4"/>
  <c r="M98" i="33"/>
  <c r="M11" i="33" s="1"/>
  <c r="H77" i="4"/>
  <c r="M97" i="33"/>
  <c r="M10" i="33" s="1"/>
  <c r="H81" i="4"/>
  <c r="M101" i="33"/>
  <c r="M14" i="33" s="1"/>
  <c r="H83" i="4"/>
  <c r="M103" i="33"/>
  <c r="M16" i="33" s="1"/>
  <c r="H95" i="4"/>
  <c r="M115" i="33"/>
  <c r="M28" i="33" s="1"/>
  <c r="H76" i="4"/>
  <c r="M96" i="33"/>
  <c r="M9" i="33" s="1"/>
  <c r="D50" i="33"/>
  <c r="D70" i="33"/>
  <c r="D74" i="33"/>
  <c r="M19" i="33"/>
  <c r="M62" i="33"/>
  <c r="M33" i="33"/>
  <c r="E103" i="4"/>
  <c r="G43" i="4"/>
  <c r="J37" i="33"/>
  <c r="E37" i="33" s="1"/>
  <c r="F37" i="33" s="1"/>
  <c r="G51" i="4"/>
  <c r="J45" i="33"/>
  <c r="G59" i="4"/>
  <c r="J53" i="33"/>
  <c r="G106" i="4"/>
  <c r="J65" i="33"/>
  <c r="G114" i="4"/>
  <c r="J73" i="33"/>
  <c r="G122" i="4"/>
  <c r="J81" i="33"/>
  <c r="G40" i="4"/>
  <c r="J34" i="33"/>
  <c r="G48" i="4"/>
  <c r="J42" i="33"/>
  <c r="G56" i="4"/>
  <c r="J50" i="33"/>
  <c r="G64" i="4"/>
  <c r="J58" i="33"/>
  <c r="G111" i="4"/>
  <c r="J70" i="33"/>
  <c r="G119" i="4"/>
  <c r="J78" i="33"/>
  <c r="G127" i="4"/>
  <c r="J86" i="33"/>
  <c r="E83" i="4"/>
  <c r="I103" i="33"/>
  <c r="E84" i="4"/>
  <c r="I104" i="33"/>
  <c r="E75" i="4"/>
  <c r="I95" i="33"/>
  <c r="G49" i="4"/>
  <c r="J43" i="33"/>
  <c r="G57" i="4"/>
  <c r="J51" i="33"/>
  <c r="G104" i="4"/>
  <c r="J63" i="33"/>
  <c r="G112" i="4"/>
  <c r="J71" i="33"/>
  <c r="G120" i="4"/>
  <c r="J79" i="33"/>
  <c r="G128" i="4"/>
  <c r="J87" i="33"/>
  <c r="G46" i="4"/>
  <c r="J40" i="33"/>
  <c r="G54" i="4"/>
  <c r="J48" i="33"/>
  <c r="G62" i="4"/>
  <c r="J56" i="33"/>
  <c r="G109" i="4"/>
  <c r="J68" i="33"/>
  <c r="G117" i="4"/>
  <c r="J76" i="33"/>
  <c r="G125" i="4"/>
  <c r="J84" i="33"/>
  <c r="E82" i="4"/>
  <c r="I102" i="33"/>
  <c r="E93" i="4"/>
  <c r="I113" i="33"/>
  <c r="E78" i="4"/>
  <c r="I98" i="33"/>
  <c r="I11" i="33" s="1"/>
  <c r="E94" i="4"/>
  <c r="I114" i="33"/>
  <c r="E89" i="4"/>
  <c r="I109" i="33"/>
  <c r="D86" i="33"/>
  <c r="I62" i="33"/>
  <c r="E91" i="4"/>
  <c r="I111" i="33"/>
  <c r="G47" i="4"/>
  <c r="J41" i="33"/>
  <c r="G55" i="4"/>
  <c r="J49" i="33"/>
  <c r="G63" i="4"/>
  <c r="J57" i="33"/>
  <c r="G110" i="4"/>
  <c r="J69" i="33"/>
  <c r="G118" i="4"/>
  <c r="J77" i="33"/>
  <c r="G126" i="4"/>
  <c r="D126" i="4" s="1"/>
  <c r="J85" i="33"/>
  <c r="G44" i="4"/>
  <c r="J38" i="33"/>
  <c r="G52" i="4"/>
  <c r="J46" i="33"/>
  <c r="G60" i="4"/>
  <c r="J54" i="33"/>
  <c r="G107" i="4"/>
  <c r="J66" i="33"/>
  <c r="G115" i="4"/>
  <c r="J74" i="33"/>
  <c r="G123" i="4"/>
  <c r="J82" i="33"/>
  <c r="E90" i="4"/>
  <c r="I110" i="33"/>
  <c r="E80" i="4"/>
  <c r="I100" i="33"/>
  <c r="E95" i="4"/>
  <c r="I115" i="33"/>
  <c r="E77" i="4"/>
  <c r="I97" i="33"/>
  <c r="I10" i="33" s="1"/>
  <c r="E76" i="4"/>
  <c r="I96" i="33"/>
  <c r="E86" i="4"/>
  <c r="I106" i="33"/>
  <c r="E79" i="4"/>
  <c r="I99" i="33"/>
  <c r="G41" i="4"/>
  <c r="J35" i="33"/>
  <c r="E92" i="4"/>
  <c r="I112" i="33"/>
  <c r="E87" i="4"/>
  <c r="I107" i="33"/>
  <c r="E96" i="4"/>
  <c r="I116" i="33"/>
  <c r="G45" i="4"/>
  <c r="J39" i="33"/>
  <c r="G53" i="4"/>
  <c r="J47" i="33"/>
  <c r="G61" i="4"/>
  <c r="J55" i="33"/>
  <c r="G108" i="4"/>
  <c r="J67" i="33"/>
  <c r="G116" i="4"/>
  <c r="J75" i="33"/>
  <c r="G124" i="4"/>
  <c r="J83" i="33"/>
  <c r="G42" i="4"/>
  <c r="J36" i="33"/>
  <c r="G50" i="4"/>
  <c r="J44" i="33"/>
  <c r="G58" i="4"/>
  <c r="J52" i="33"/>
  <c r="G105" i="4"/>
  <c r="J64" i="33"/>
  <c r="G113" i="4"/>
  <c r="J72" i="33"/>
  <c r="G121" i="4"/>
  <c r="J80" i="33"/>
  <c r="E85" i="4"/>
  <c r="I105" i="33"/>
  <c r="E74" i="4"/>
  <c r="I94" i="33"/>
  <c r="E81" i="4"/>
  <c r="I101" i="33"/>
  <c r="E72" i="4"/>
  <c r="I92" i="33"/>
  <c r="I5" i="33" s="1"/>
  <c r="E73" i="4"/>
  <c r="I93" i="33"/>
  <c r="E88" i="4"/>
  <c r="I108" i="33"/>
  <c r="I33" i="33"/>
  <c r="D38" i="33"/>
  <c r="P103" i="4"/>
  <c r="K67" i="5"/>
  <c r="P39" i="4"/>
  <c r="K127" i="5"/>
  <c r="K141" i="5"/>
  <c r="K131" i="5"/>
  <c r="P96" i="4"/>
  <c r="P86" i="4"/>
  <c r="P89" i="4"/>
  <c r="P75" i="4"/>
  <c r="P94" i="4"/>
  <c r="P81" i="4"/>
  <c r="P78" i="4"/>
  <c r="P85" i="4"/>
  <c r="P83" i="4"/>
  <c r="P77" i="4"/>
  <c r="P93" i="4"/>
  <c r="P79" i="4"/>
  <c r="P39" i="28"/>
  <c r="D40" i="28"/>
  <c r="P103" i="28"/>
  <c r="D104" i="28"/>
  <c r="P80" i="4"/>
  <c r="P72" i="4"/>
  <c r="P95" i="4"/>
  <c r="P76" i="4"/>
  <c r="P91" i="4"/>
  <c r="P82" i="4"/>
  <c r="P84" i="4"/>
  <c r="P87" i="4"/>
  <c r="P92" i="4"/>
  <c r="P90" i="4"/>
  <c r="P88" i="4"/>
  <c r="Y7" i="4"/>
  <c r="D10" i="4"/>
  <c r="E7" i="18" s="1"/>
  <c r="T7" i="4"/>
  <c r="Z7" i="4"/>
  <c r="V7" i="4"/>
  <c r="B127" i="4"/>
  <c r="AE7" i="4"/>
  <c r="K69" i="5"/>
  <c r="K85" i="5"/>
  <c r="K82" i="5"/>
  <c r="M148" i="5"/>
  <c r="K148" i="5"/>
  <c r="M143" i="5"/>
  <c r="K149" i="5"/>
  <c r="K128" i="5"/>
  <c r="M142" i="5"/>
  <c r="K146" i="5"/>
  <c r="M60" i="5"/>
  <c r="M52" i="5"/>
  <c r="E39" i="4"/>
  <c r="W104" i="4"/>
  <c r="H186" i="5"/>
  <c r="AB49" i="4"/>
  <c r="M226" i="5"/>
  <c r="AB48" i="4"/>
  <c r="M225" i="5"/>
  <c r="Z63" i="4"/>
  <c r="K240" i="5"/>
  <c r="AF40" i="4"/>
  <c r="K277" i="5"/>
  <c r="R276" i="5"/>
  <c r="E276" i="5"/>
  <c r="T50" i="4"/>
  <c r="K167" i="5"/>
  <c r="W51" i="4"/>
  <c r="K198" i="5"/>
  <c r="AF52" i="4"/>
  <c r="K289" i="5"/>
  <c r="AH44" i="4"/>
  <c r="M281" i="5"/>
  <c r="AH47" i="4"/>
  <c r="M284" i="5"/>
  <c r="T54" i="4"/>
  <c r="K171" i="5"/>
  <c r="V45" i="4"/>
  <c r="M162" i="5"/>
  <c r="V53" i="4"/>
  <c r="M170" i="5"/>
  <c r="T57" i="4"/>
  <c r="K174" i="5"/>
  <c r="V49" i="4"/>
  <c r="M166" i="5"/>
  <c r="T60" i="4"/>
  <c r="K177" i="5"/>
  <c r="V104" i="4"/>
  <c r="J156" i="5"/>
  <c r="M285" i="5"/>
  <c r="V50" i="4"/>
  <c r="M167" i="5"/>
  <c r="W44" i="4"/>
  <c r="K191" i="5"/>
  <c r="Y60" i="4"/>
  <c r="M207" i="5"/>
  <c r="Y54" i="4"/>
  <c r="M201" i="5"/>
  <c r="Y104" i="4"/>
  <c r="J186" i="5"/>
  <c r="AE64" i="4"/>
  <c r="M271" i="5"/>
  <c r="AE47" i="4"/>
  <c r="M254" i="5"/>
  <c r="AF41" i="4"/>
  <c r="K278" i="5"/>
  <c r="K265" i="5"/>
  <c r="M200" i="5"/>
  <c r="H66" i="5"/>
  <c r="E66" i="5"/>
  <c r="B15" i="4"/>
  <c r="D12" i="18" s="1"/>
  <c r="K71" i="5"/>
  <c r="K219" i="5"/>
  <c r="Z106" i="4"/>
  <c r="AB54" i="4"/>
  <c r="M231" i="5"/>
  <c r="Z48" i="4"/>
  <c r="K225" i="5"/>
  <c r="AB41" i="4"/>
  <c r="M218" i="5"/>
  <c r="AB73" i="28" s="1"/>
  <c r="AB56" i="4"/>
  <c r="M233" i="5"/>
  <c r="Z59" i="4"/>
  <c r="K236" i="5"/>
  <c r="Z40" i="4"/>
  <c r="E216" i="5"/>
  <c r="R216" i="5"/>
  <c r="K217" i="5"/>
  <c r="AH51" i="4"/>
  <c r="M288" i="5"/>
  <c r="Y58" i="4"/>
  <c r="M205" i="5"/>
  <c r="K193" i="5"/>
  <c r="AH41" i="4"/>
  <c r="M278" i="5"/>
  <c r="K292" i="5"/>
  <c r="AF119" i="4"/>
  <c r="AF48" i="4"/>
  <c r="K285" i="5"/>
  <c r="AH56" i="4"/>
  <c r="M293" i="5"/>
  <c r="AF47" i="4"/>
  <c r="K284" i="5"/>
  <c r="V41" i="4"/>
  <c r="M158" i="5"/>
  <c r="V57" i="4"/>
  <c r="M174" i="5"/>
  <c r="V54" i="4"/>
  <c r="M171" i="5"/>
  <c r="Y52" i="4"/>
  <c r="M199" i="5"/>
  <c r="W57" i="4"/>
  <c r="K204" i="5"/>
  <c r="Y62" i="4"/>
  <c r="M209" i="5"/>
  <c r="Z61" i="4"/>
  <c r="K238" i="5"/>
  <c r="AE49" i="4"/>
  <c r="M256" i="5"/>
  <c r="AE62" i="4"/>
  <c r="M269" i="5"/>
  <c r="AC53" i="4"/>
  <c r="K260" i="5"/>
  <c r="AE50" i="4"/>
  <c r="M257" i="5"/>
  <c r="M163" i="5"/>
  <c r="K297" i="5"/>
  <c r="K241" i="5"/>
  <c r="K290" i="5"/>
  <c r="K179" i="5"/>
  <c r="M192" i="5"/>
  <c r="M129" i="5"/>
  <c r="K132" i="5"/>
  <c r="R186" i="5"/>
  <c r="K206" i="5"/>
  <c r="M160" i="5"/>
  <c r="AB7" i="4"/>
  <c r="Z44" i="4"/>
  <c r="K221" i="5"/>
  <c r="AB43" i="4"/>
  <c r="M220" i="5"/>
  <c r="Z104" i="4"/>
  <c r="H216" i="5"/>
  <c r="AB64" i="4"/>
  <c r="M241" i="5"/>
  <c r="Z55" i="4"/>
  <c r="K232" i="5"/>
  <c r="AE54" i="4"/>
  <c r="M261" i="5"/>
  <c r="M290" i="5"/>
  <c r="K288" i="5"/>
  <c r="AF115" i="4"/>
  <c r="AH54" i="4"/>
  <c r="M291" i="5"/>
  <c r="AH104" i="4"/>
  <c r="J276" i="5"/>
  <c r="AH57" i="4"/>
  <c r="M294" i="5"/>
  <c r="AH58" i="4"/>
  <c r="M295" i="5"/>
  <c r="AF44" i="4"/>
  <c r="K281" i="5"/>
  <c r="K301" i="5"/>
  <c r="AF128" i="4"/>
  <c r="AF59" i="4"/>
  <c r="K296" i="5"/>
  <c r="AF43" i="4"/>
  <c r="K280" i="5"/>
  <c r="K276" i="5" s="1"/>
  <c r="T276" i="5" s="1"/>
  <c r="O276" i="5" s="1"/>
  <c r="AH63" i="4"/>
  <c r="M300" i="5"/>
  <c r="V127" i="4"/>
  <c r="M180" i="5"/>
  <c r="V48" i="4"/>
  <c r="M165" i="5"/>
  <c r="T104" i="4"/>
  <c r="H156" i="5"/>
  <c r="V44" i="4"/>
  <c r="M161" i="5"/>
  <c r="T49" i="4"/>
  <c r="K166" i="5"/>
  <c r="V61" i="4"/>
  <c r="M178" i="5"/>
  <c r="T52" i="4"/>
  <c r="K169" i="5"/>
  <c r="V51" i="4"/>
  <c r="M168" i="5"/>
  <c r="J216" i="5"/>
  <c r="AE41" i="4"/>
  <c r="M248" i="5"/>
  <c r="T55" i="4"/>
  <c r="K172" i="5"/>
  <c r="AE52" i="4"/>
  <c r="M259" i="5"/>
  <c r="K205" i="5"/>
  <c r="W58" i="4"/>
  <c r="M299" i="5"/>
  <c r="W48" i="4"/>
  <c r="K195" i="5"/>
  <c r="K202" i="5"/>
  <c r="W55" i="4"/>
  <c r="Y44" i="4"/>
  <c r="M191" i="5"/>
  <c r="K192" i="5"/>
  <c r="W45" i="4"/>
  <c r="K208" i="5"/>
  <c r="W61" i="4"/>
  <c r="Z54" i="4"/>
  <c r="K231" i="5"/>
  <c r="AB60" i="4"/>
  <c r="M237" i="5"/>
  <c r="Z53" i="4"/>
  <c r="K230" i="5"/>
  <c r="AE51" i="4"/>
  <c r="M258" i="5"/>
  <c r="AC48" i="4"/>
  <c r="K255" i="5"/>
  <c r="AE46" i="4"/>
  <c r="M253" i="5"/>
  <c r="K262" i="5"/>
  <c r="AC119" i="4"/>
  <c r="AE45" i="4"/>
  <c r="M252" i="5"/>
  <c r="AE59" i="4"/>
  <c r="M266" i="5"/>
  <c r="AC46" i="4"/>
  <c r="K253" i="5"/>
  <c r="AE44" i="4"/>
  <c r="M251" i="5"/>
  <c r="AC49" i="4"/>
  <c r="K256" i="5"/>
  <c r="K266" i="5"/>
  <c r="T40" i="4"/>
  <c r="E156" i="5"/>
  <c r="K157" i="5"/>
  <c r="R156" i="5"/>
  <c r="K229" i="5"/>
  <c r="M164" i="5"/>
  <c r="AB111" i="4"/>
  <c r="M224" i="5"/>
  <c r="AB55" i="4"/>
  <c r="M232" i="5"/>
  <c r="Z49" i="4"/>
  <c r="K226" i="5"/>
  <c r="V42" i="4"/>
  <c r="M159" i="5"/>
  <c r="T41" i="4"/>
  <c r="K158" i="5"/>
  <c r="V56" i="4"/>
  <c r="M173" i="5"/>
  <c r="T44" i="4"/>
  <c r="K161" i="5"/>
  <c r="AE55" i="4"/>
  <c r="M262" i="5"/>
  <c r="AB58" i="4"/>
  <c r="M235" i="5"/>
  <c r="AC64" i="4"/>
  <c r="K271" i="5"/>
  <c r="AC107" i="4"/>
  <c r="K250" i="5"/>
  <c r="AE61" i="4"/>
  <c r="M268" i="5"/>
  <c r="AC54" i="4"/>
  <c r="K261" i="5"/>
  <c r="AC41" i="4"/>
  <c r="K248" i="5"/>
  <c r="M280" i="5"/>
  <c r="M188" i="5"/>
  <c r="S187" i="5" s="1"/>
  <c r="K133" i="5"/>
  <c r="M279" i="5"/>
  <c r="K291" i="5"/>
  <c r="M265" i="5"/>
  <c r="AC51" i="4"/>
  <c r="K258" i="5"/>
  <c r="G186" i="5"/>
  <c r="Y40" i="4"/>
  <c r="R187" i="5"/>
  <c r="M187" i="5"/>
  <c r="AF104" i="4"/>
  <c r="H276" i="5"/>
  <c r="AF45" i="4"/>
  <c r="K282" i="5"/>
  <c r="AH50" i="4"/>
  <c r="M287" i="5"/>
  <c r="V64" i="4"/>
  <c r="M181" i="5"/>
  <c r="V58" i="4"/>
  <c r="M175" i="5"/>
  <c r="T59" i="4"/>
  <c r="K176" i="5"/>
  <c r="V40" i="4"/>
  <c r="R157" i="5"/>
  <c r="G156" i="5"/>
  <c r="V59" i="4"/>
  <c r="M176" i="5"/>
  <c r="K175" i="5"/>
  <c r="AF50" i="4"/>
  <c r="K287" i="5"/>
  <c r="AH46" i="4"/>
  <c r="M283" i="5"/>
  <c r="W64" i="4"/>
  <c r="K211" i="5"/>
  <c r="Y51" i="4"/>
  <c r="M198" i="5"/>
  <c r="Z62" i="4"/>
  <c r="K239" i="5"/>
  <c r="AB44" i="4"/>
  <c r="M221" i="5"/>
  <c r="AE48" i="4"/>
  <c r="M255" i="5"/>
  <c r="AE43" i="4"/>
  <c r="M250" i="5"/>
  <c r="M247" i="5"/>
  <c r="AE72" i="28" s="1"/>
  <c r="AE104" i="4"/>
  <c r="J246" i="5"/>
  <c r="K293" i="5"/>
  <c r="AF120" i="4"/>
  <c r="W7" i="4"/>
  <c r="K151" i="5"/>
  <c r="M147" i="5"/>
  <c r="M48" i="5"/>
  <c r="J36" i="5"/>
  <c r="K235" i="5"/>
  <c r="K263" i="5"/>
  <c r="K163" i="5"/>
  <c r="M194" i="5"/>
  <c r="M190" i="5"/>
  <c r="D8" i="4"/>
  <c r="E5" i="18" s="1"/>
  <c r="K150" i="5"/>
  <c r="K136" i="5"/>
  <c r="M42" i="5"/>
  <c r="R66" i="5"/>
  <c r="K76" i="5"/>
  <c r="K197" i="5"/>
  <c r="K200" i="5"/>
  <c r="M219" i="5"/>
  <c r="K257" i="5"/>
  <c r="K300" i="5"/>
  <c r="AB59" i="4"/>
  <c r="M236" i="5"/>
  <c r="Z56" i="4"/>
  <c r="K233" i="5"/>
  <c r="AB40" i="4"/>
  <c r="R217" i="5"/>
  <c r="G216" i="5"/>
  <c r="AB57" i="4"/>
  <c r="M234" i="5"/>
  <c r="K227" i="5"/>
  <c r="Z114" i="4"/>
  <c r="AB50" i="4"/>
  <c r="M227" i="5"/>
  <c r="Z51" i="4"/>
  <c r="K228" i="5"/>
  <c r="K218" i="5"/>
  <c r="K224" i="5"/>
  <c r="M263" i="5"/>
  <c r="K283" i="5"/>
  <c r="W62" i="4"/>
  <c r="K209" i="5"/>
  <c r="K173" i="5"/>
  <c r="AF57" i="4"/>
  <c r="K294" i="5"/>
  <c r="M264" i="5"/>
  <c r="AH49" i="4"/>
  <c r="M286" i="5"/>
  <c r="AF61" i="4"/>
  <c r="K298" i="5"/>
  <c r="AH52" i="4"/>
  <c r="M289" i="5"/>
  <c r="AH45" i="4"/>
  <c r="M282" i="5"/>
  <c r="AH40" i="4"/>
  <c r="M277" i="5"/>
  <c r="R277" i="5"/>
  <c r="G276" i="5"/>
  <c r="AH61" i="4"/>
  <c r="M298" i="5"/>
  <c r="AH55" i="4"/>
  <c r="M292" i="5"/>
  <c r="V55" i="4"/>
  <c r="M172" i="5"/>
  <c r="T43" i="4"/>
  <c r="K160" i="5"/>
  <c r="T61" i="4"/>
  <c r="K178" i="5"/>
  <c r="V52" i="4"/>
  <c r="M169" i="5"/>
  <c r="T64" i="4"/>
  <c r="K181" i="5"/>
  <c r="T48" i="4"/>
  <c r="K165" i="5"/>
  <c r="M230" i="5"/>
  <c r="K251" i="5"/>
  <c r="AC52" i="4"/>
  <c r="K259" i="5"/>
  <c r="AB62" i="4"/>
  <c r="M239" i="5"/>
  <c r="AB51" i="4"/>
  <c r="M228" i="5"/>
  <c r="K194" i="5"/>
  <c r="W47" i="4"/>
  <c r="R246" i="5"/>
  <c r="W54" i="4"/>
  <c r="K201" i="5"/>
  <c r="M211" i="5"/>
  <c r="Y128" i="4"/>
  <c r="W60" i="4"/>
  <c r="K207" i="5"/>
  <c r="W49" i="4"/>
  <c r="K196" i="5"/>
  <c r="W40" i="4"/>
  <c r="E186" i="5"/>
  <c r="K187" i="5"/>
  <c r="W72" i="28" s="1"/>
  <c r="Y46" i="4"/>
  <c r="M193" i="5"/>
  <c r="Y57" i="4"/>
  <c r="M204" i="5"/>
  <c r="AB46" i="4"/>
  <c r="M223" i="5"/>
  <c r="Z46" i="4"/>
  <c r="K223" i="5"/>
  <c r="Z45" i="4"/>
  <c r="K222" i="5"/>
  <c r="AE40" i="4"/>
  <c r="G246" i="5"/>
  <c r="R247" i="5"/>
  <c r="AE60" i="4"/>
  <c r="M267" i="5"/>
  <c r="AE53" i="4"/>
  <c r="M260" i="5"/>
  <c r="AC42" i="4"/>
  <c r="K249" i="5"/>
  <c r="AE63" i="4"/>
  <c r="M270" i="5"/>
  <c r="AC61" i="4"/>
  <c r="K268" i="5"/>
  <c r="AC45" i="4"/>
  <c r="K252" i="5"/>
  <c r="M157" i="5"/>
  <c r="V72" i="28" s="1"/>
  <c r="H246" i="5"/>
  <c r="K270" i="5"/>
  <c r="E246" i="5"/>
  <c r="T42" i="4"/>
  <c r="K159" i="5"/>
  <c r="M203" i="5"/>
  <c r="M44" i="5"/>
  <c r="M40" i="5"/>
  <c r="J43" i="4"/>
  <c r="M56" i="5"/>
  <c r="J59" i="4"/>
  <c r="M88" i="5"/>
  <c r="M61" i="4"/>
  <c r="M86" i="5"/>
  <c r="M59" i="4"/>
  <c r="K81" i="5"/>
  <c r="K118" i="4"/>
  <c r="M91" i="5"/>
  <c r="K89" i="5"/>
  <c r="K75" i="5"/>
  <c r="M136" i="5"/>
  <c r="M137" i="5"/>
  <c r="M128" i="5"/>
  <c r="M149" i="5"/>
  <c r="M141" i="5"/>
  <c r="M135" i="5"/>
  <c r="K139" i="5"/>
  <c r="M138" i="5"/>
  <c r="K137" i="5"/>
  <c r="M133" i="5"/>
  <c r="M134" i="5"/>
  <c r="K147" i="5"/>
  <c r="M145" i="5"/>
  <c r="K138" i="5"/>
  <c r="Q115" i="4"/>
  <c r="Q113" i="4"/>
  <c r="B113" i="4" s="1"/>
  <c r="K130" i="5"/>
  <c r="Q43" i="4"/>
  <c r="Q109" i="4"/>
  <c r="Q44" i="4"/>
  <c r="K96" i="5"/>
  <c r="T96" i="5" s="1"/>
  <c r="O96" i="5" s="1"/>
  <c r="G66" i="5"/>
  <c r="K86" i="5"/>
  <c r="Q111" i="33" s="1"/>
  <c r="K80" i="5"/>
  <c r="R67" i="5"/>
  <c r="K84" i="5"/>
  <c r="K72" i="5"/>
  <c r="Q97" i="33" s="1"/>
  <c r="K87" i="5"/>
  <c r="M70" i="5"/>
  <c r="M74" i="5"/>
  <c r="M78" i="5"/>
  <c r="M82" i="5"/>
  <c r="M90" i="5"/>
  <c r="M67" i="5"/>
  <c r="M71" i="5"/>
  <c r="M75" i="5"/>
  <c r="M79" i="5"/>
  <c r="M83" i="5"/>
  <c r="M87" i="5"/>
  <c r="B116" i="4"/>
  <c r="K79" i="5"/>
  <c r="Q104" i="33" s="1"/>
  <c r="K83" i="5"/>
  <c r="K68" i="5"/>
  <c r="K74" i="5"/>
  <c r="Q99" i="33" s="1"/>
  <c r="K73" i="5"/>
  <c r="K78" i="5"/>
  <c r="K77" i="5"/>
  <c r="Q102" i="33" s="1"/>
  <c r="M68" i="5"/>
  <c r="M72" i="5"/>
  <c r="M76" i="5"/>
  <c r="M80" i="5"/>
  <c r="M84" i="5"/>
  <c r="J66" i="5"/>
  <c r="M69" i="5"/>
  <c r="M73" i="5"/>
  <c r="M77" i="5"/>
  <c r="M81" i="5"/>
  <c r="M85" i="5"/>
  <c r="M89" i="5"/>
  <c r="K88" i="5"/>
  <c r="K90" i="5"/>
  <c r="K91" i="5"/>
  <c r="Q116" i="33" s="1"/>
  <c r="K70" i="5"/>
  <c r="G36" i="5"/>
  <c r="M39" i="5"/>
  <c r="M43" i="5"/>
  <c r="M47" i="5"/>
  <c r="M51" i="5"/>
  <c r="M55" i="5"/>
  <c r="M59" i="5"/>
  <c r="M38" i="5"/>
  <c r="M46" i="5"/>
  <c r="M50" i="5"/>
  <c r="M54" i="5"/>
  <c r="M58" i="5"/>
  <c r="R37" i="5"/>
  <c r="M37" i="5"/>
  <c r="M41" i="5"/>
  <c r="M45" i="5"/>
  <c r="M49" i="5"/>
  <c r="M53" i="5"/>
  <c r="M57" i="5"/>
  <c r="M61" i="5"/>
  <c r="K6" i="5"/>
  <c r="T6" i="5" s="1"/>
  <c r="O6" i="5" s="1"/>
  <c r="M10" i="5"/>
  <c r="M18" i="5"/>
  <c r="M22" i="5"/>
  <c r="M26" i="5"/>
  <c r="M30" i="5"/>
  <c r="R7" i="5"/>
  <c r="M7" i="5"/>
  <c r="G6" i="5"/>
  <c r="M11" i="5"/>
  <c r="M15" i="5"/>
  <c r="J100" i="33" s="1"/>
  <c r="M19" i="5"/>
  <c r="M23" i="5"/>
  <c r="M27" i="5"/>
  <c r="M31" i="5"/>
  <c r="M8" i="5"/>
  <c r="M12" i="5"/>
  <c r="M16" i="5"/>
  <c r="M20" i="5"/>
  <c r="M24" i="5"/>
  <c r="M28" i="5"/>
  <c r="J113" i="33" s="1"/>
  <c r="J6" i="5"/>
  <c r="M9" i="5"/>
  <c r="J94" i="33" s="1"/>
  <c r="M13" i="5"/>
  <c r="M17" i="5"/>
  <c r="M21" i="5"/>
  <c r="M25" i="5"/>
  <c r="M29" i="5"/>
  <c r="J126" i="5"/>
  <c r="M140" i="5"/>
  <c r="M146" i="5"/>
  <c r="H126" i="5"/>
  <c r="R126" i="5"/>
  <c r="K36" i="5"/>
  <c r="T36" i="5" s="1"/>
  <c r="O36" i="5" s="1"/>
  <c r="S36" i="5"/>
  <c r="K142" i="5"/>
  <c r="Y107" i="33" s="1"/>
  <c r="M139" i="5"/>
  <c r="Z104" i="33" s="1"/>
  <c r="K144" i="5"/>
  <c r="Y109" i="33" s="1"/>
  <c r="M151" i="5"/>
  <c r="Z116" i="33" s="1"/>
  <c r="K140" i="5"/>
  <c r="M144" i="5"/>
  <c r="R127" i="5"/>
  <c r="E126" i="5"/>
  <c r="K129" i="5"/>
  <c r="G126" i="5"/>
  <c r="M150" i="5"/>
  <c r="M127" i="5"/>
  <c r="M130" i="5"/>
  <c r="K143" i="5"/>
  <c r="Y108" i="33" s="1"/>
  <c r="M132" i="5"/>
  <c r="K135" i="5"/>
  <c r="Y100" i="33" s="1"/>
  <c r="M131" i="5"/>
  <c r="R97" i="5"/>
  <c r="M98" i="5"/>
  <c r="V93" i="33" s="1"/>
  <c r="S96" i="5"/>
  <c r="S6" i="5"/>
  <c r="B119" i="4"/>
  <c r="B9" i="4"/>
  <c r="D6" i="18" s="1"/>
  <c r="K216" i="5"/>
  <c r="T216" i="5" s="1"/>
  <c r="O216" i="5" s="1"/>
  <c r="D113" i="4" l="1"/>
  <c r="D49" i="33"/>
  <c r="D76" i="33"/>
  <c r="S39" i="4"/>
  <c r="D117" i="4"/>
  <c r="D48" i="33"/>
  <c r="D80" i="33"/>
  <c r="D40" i="33"/>
  <c r="S103" i="4"/>
  <c r="D63" i="4"/>
  <c r="D52" i="33"/>
  <c r="D63" i="33"/>
  <c r="D64" i="33"/>
  <c r="Q29" i="33"/>
  <c r="B43" i="4"/>
  <c r="B128" i="4"/>
  <c r="E72" i="33"/>
  <c r="F72" i="33" s="1"/>
  <c r="B51" i="4"/>
  <c r="E49" i="33"/>
  <c r="F49" i="33" s="1"/>
  <c r="Q15" i="33"/>
  <c r="Q17" i="33"/>
  <c r="B64" i="4"/>
  <c r="D112" i="4"/>
  <c r="K39" i="4"/>
  <c r="B108" i="4"/>
  <c r="B53" i="4"/>
  <c r="B111" i="4"/>
  <c r="B123" i="4"/>
  <c r="B126" i="4"/>
  <c r="B45" i="4"/>
  <c r="E82" i="33"/>
  <c r="F82" i="33" s="1"/>
  <c r="E66" i="33"/>
  <c r="F66" i="33" s="1"/>
  <c r="D54" i="4"/>
  <c r="E55" i="33"/>
  <c r="F55" i="33" s="1"/>
  <c r="J103" i="4"/>
  <c r="E78" i="33"/>
  <c r="F78" i="33" s="1"/>
  <c r="E50" i="33"/>
  <c r="F50" i="33" s="1"/>
  <c r="E85" i="33"/>
  <c r="F85" i="33" s="1"/>
  <c r="E69" i="33"/>
  <c r="F69" i="33" s="1"/>
  <c r="E58" i="33"/>
  <c r="F58" i="33" s="1"/>
  <c r="H71" i="4"/>
  <c r="M91" i="33"/>
  <c r="D118" i="4"/>
  <c r="D108" i="4"/>
  <c r="D125" i="4"/>
  <c r="D124" i="4"/>
  <c r="D105" i="4"/>
  <c r="D122" i="4"/>
  <c r="D106" i="4"/>
  <c r="D107" i="4"/>
  <c r="F7" i="18"/>
  <c r="Y78" i="4"/>
  <c r="Y78" i="28"/>
  <c r="AE88" i="4"/>
  <c r="AE88" i="28"/>
  <c r="AE75" i="4"/>
  <c r="AE75" i="28"/>
  <c r="AH82" i="4"/>
  <c r="AH82" i="28"/>
  <c r="AE90" i="4"/>
  <c r="AE90" i="28"/>
  <c r="AC80" i="4"/>
  <c r="AC80" i="28"/>
  <c r="T84" i="4"/>
  <c r="T84" i="28"/>
  <c r="V75" i="4"/>
  <c r="V75" i="28"/>
  <c r="D75" i="28" s="1"/>
  <c r="AF87" i="4"/>
  <c r="AF87" i="28"/>
  <c r="Z91" i="4"/>
  <c r="Z91" i="28"/>
  <c r="D114" i="4"/>
  <c r="S277" i="27"/>
  <c r="M276" i="27"/>
  <c r="T277" i="27" s="1"/>
  <c r="O277" i="27" s="1"/>
  <c r="B56" i="28"/>
  <c r="B39" i="28" s="1"/>
  <c r="AE74" i="4"/>
  <c r="AE74" i="28"/>
  <c r="D118" i="28"/>
  <c r="Y39" i="28"/>
  <c r="B115" i="4"/>
  <c r="Y88" i="4"/>
  <c r="Y88" i="28"/>
  <c r="AC95" i="4"/>
  <c r="AC95" i="28"/>
  <c r="Z78" i="4"/>
  <c r="Z78" i="28"/>
  <c r="Y89" i="4"/>
  <c r="Y89" i="28"/>
  <c r="Y96" i="4"/>
  <c r="Y96" i="28"/>
  <c r="B47" i="4"/>
  <c r="AB94" i="4"/>
  <c r="AB94" i="28"/>
  <c r="AC76" i="4"/>
  <c r="AC76" i="28"/>
  <c r="AF89" i="4"/>
  <c r="AF89" i="28"/>
  <c r="Z73" i="4"/>
  <c r="Z73" i="28"/>
  <c r="Z88" i="4"/>
  <c r="Z88" i="28"/>
  <c r="AF95" i="4"/>
  <c r="AF95" i="28"/>
  <c r="W82" i="4"/>
  <c r="W82" i="28"/>
  <c r="Y79" i="4"/>
  <c r="Y79" i="28"/>
  <c r="AE103" i="4"/>
  <c r="AE80" i="4"/>
  <c r="AE80" i="28"/>
  <c r="Z94" i="4"/>
  <c r="Z94" i="28"/>
  <c r="W96" i="4"/>
  <c r="W96" i="28"/>
  <c r="AF82" i="4"/>
  <c r="AF82" i="28"/>
  <c r="T91" i="4"/>
  <c r="T91" i="28"/>
  <c r="V96" i="4"/>
  <c r="V96" i="28"/>
  <c r="AF77" i="4"/>
  <c r="AF77" i="28"/>
  <c r="Y72" i="4"/>
  <c r="Y72" i="28"/>
  <c r="AC83" i="4"/>
  <c r="AC83" i="28"/>
  <c r="AH74" i="4"/>
  <c r="AH74" i="28"/>
  <c r="B41" i="4"/>
  <c r="D111" i="4"/>
  <c r="T72" i="4"/>
  <c r="T72" i="28"/>
  <c r="AC81" i="4"/>
  <c r="AC81" i="28"/>
  <c r="AC78" i="4"/>
  <c r="AC78" i="28"/>
  <c r="AE77" i="4"/>
  <c r="AE77" i="28"/>
  <c r="AE78" i="4"/>
  <c r="AE78" i="28"/>
  <c r="AE83" i="4"/>
  <c r="AE83" i="28"/>
  <c r="AB92" i="4"/>
  <c r="AB92" i="28"/>
  <c r="B61" i="4"/>
  <c r="Y76" i="4"/>
  <c r="Y76" i="28"/>
  <c r="W80" i="4"/>
  <c r="W80" i="28"/>
  <c r="W90" i="4"/>
  <c r="W90" i="28"/>
  <c r="B55" i="4"/>
  <c r="V83" i="4"/>
  <c r="V83" i="28"/>
  <c r="V93" i="4"/>
  <c r="V93" i="28"/>
  <c r="V76" i="4"/>
  <c r="V76" i="28"/>
  <c r="V80" i="4"/>
  <c r="V80" i="28"/>
  <c r="AH95" i="4"/>
  <c r="AH95" i="28"/>
  <c r="AF91" i="4"/>
  <c r="AF91" i="28"/>
  <c r="AF76" i="4"/>
  <c r="AF71" i="4" s="1"/>
  <c r="AF76" i="28"/>
  <c r="AH89" i="4"/>
  <c r="AH89" i="28"/>
  <c r="AH86" i="4"/>
  <c r="AH86" i="28"/>
  <c r="AH85" i="4"/>
  <c r="AH85" i="28"/>
  <c r="T94" i="4"/>
  <c r="T94" i="28"/>
  <c r="V78" i="4"/>
  <c r="V78" i="28"/>
  <c r="AH83" i="4"/>
  <c r="AH83" i="28"/>
  <c r="AB88" i="4"/>
  <c r="AB88" i="28"/>
  <c r="Z80" i="4"/>
  <c r="Z80" i="28"/>
  <c r="AF73" i="4"/>
  <c r="AF73" i="28"/>
  <c r="AE96" i="4"/>
  <c r="AE96" i="28"/>
  <c r="Y86" i="4"/>
  <c r="Y86" i="28"/>
  <c r="W76" i="4"/>
  <c r="W76" i="28"/>
  <c r="W71" i="28" s="1"/>
  <c r="AH80" i="4"/>
  <c r="AH80" i="28"/>
  <c r="W103" i="4"/>
  <c r="E44" i="33"/>
  <c r="F44" i="33" s="1"/>
  <c r="E83" i="33"/>
  <c r="F83" i="33" s="1"/>
  <c r="E67" i="33"/>
  <c r="F67" i="33" s="1"/>
  <c r="E54" i="33"/>
  <c r="F54" i="33" s="1"/>
  <c r="E38" i="33"/>
  <c r="F38" i="33" s="1"/>
  <c r="E77" i="33"/>
  <c r="F77" i="33" s="1"/>
  <c r="E41" i="33"/>
  <c r="F41" i="33" s="1"/>
  <c r="S156" i="27"/>
  <c r="K156" i="27"/>
  <c r="T156" i="27" s="1"/>
  <c r="O156" i="27" s="1"/>
  <c r="A152" i="27" s="1"/>
  <c r="K246" i="27"/>
  <c r="T246" i="27" s="1"/>
  <c r="O246" i="27" s="1"/>
  <c r="S246" i="27"/>
  <c r="D122" i="28"/>
  <c r="AC103" i="28"/>
  <c r="D119" i="28"/>
  <c r="B114" i="28"/>
  <c r="B124" i="28"/>
  <c r="M216" i="27"/>
  <c r="T217" i="27" s="1"/>
  <c r="O217" i="27" s="1"/>
  <c r="S217" i="27"/>
  <c r="S157" i="27"/>
  <c r="M156" i="27"/>
  <c r="T157" i="27" s="1"/>
  <c r="O157" i="27" s="1"/>
  <c r="V103" i="28"/>
  <c r="T39" i="28"/>
  <c r="W39" i="28"/>
  <c r="B119" i="28"/>
  <c r="B125" i="28"/>
  <c r="B115" i="28"/>
  <c r="D111" i="28"/>
  <c r="AB78" i="4"/>
  <c r="AB78" i="28"/>
  <c r="AB83" i="4"/>
  <c r="AB83" i="28"/>
  <c r="AB85" i="4"/>
  <c r="AB85" i="28"/>
  <c r="T88" i="4"/>
  <c r="T88" i="28"/>
  <c r="AB76" i="4"/>
  <c r="AB76" i="28"/>
  <c r="AH78" i="4"/>
  <c r="AH78" i="28"/>
  <c r="Y73" i="4"/>
  <c r="Y71" i="4" s="1"/>
  <c r="Y73" i="28"/>
  <c r="AE76" i="4"/>
  <c r="AE76" i="28"/>
  <c r="Z85" i="4"/>
  <c r="Z85" i="28"/>
  <c r="AF75" i="4"/>
  <c r="AF75" i="28"/>
  <c r="AH90" i="4"/>
  <c r="AH90" i="28"/>
  <c r="Z96" i="4"/>
  <c r="Z96" i="28"/>
  <c r="Z72" i="4"/>
  <c r="Z71" i="4" s="1"/>
  <c r="Z72" i="28"/>
  <c r="AB86" i="4"/>
  <c r="AB86" i="28"/>
  <c r="Y85" i="4"/>
  <c r="Y85" i="28"/>
  <c r="Y92" i="4"/>
  <c r="Y92" i="28"/>
  <c r="D92" i="28" s="1"/>
  <c r="D64" i="4"/>
  <c r="AB72" i="4"/>
  <c r="AB72" i="28"/>
  <c r="D128" i="28"/>
  <c r="D120" i="28"/>
  <c r="K276" i="27"/>
  <c r="T276" i="27" s="1"/>
  <c r="O276" i="27" s="1"/>
  <c r="A272" i="27" s="1"/>
  <c r="B112" i="28"/>
  <c r="T74" i="4"/>
  <c r="T71" i="4" s="1"/>
  <c r="T74" i="28"/>
  <c r="AC93" i="4"/>
  <c r="AC93" i="28"/>
  <c r="AC74" i="4"/>
  <c r="AC74" i="28"/>
  <c r="AE92" i="4"/>
  <c r="AE92" i="28"/>
  <c r="B46" i="4"/>
  <c r="W92" i="4"/>
  <c r="W92" i="28"/>
  <c r="W86" i="4"/>
  <c r="W86" i="28"/>
  <c r="W79" i="4"/>
  <c r="W79" i="28"/>
  <c r="D62" i="4"/>
  <c r="T96" i="4"/>
  <c r="T96" i="28"/>
  <c r="T93" i="4"/>
  <c r="T93" i="28"/>
  <c r="V87" i="4"/>
  <c r="V87" i="28"/>
  <c r="AH93" i="4"/>
  <c r="AH93" i="28"/>
  <c r="AH72" i="4"/>
  <c r="AH72" i="28"/>
  <c r="AH84" i="4"/>
  <c r="AH84" i="28"/>
  <c r="AH81" i="4"/>
  <c r="AH81" i="28"/>
  <c r="AF78" i="4"/>
  <c r="AF78" i="28"/>
  <c r="Z83" i="4"/>
  <c r="Z83" i="28"/>
  <c r="B56" i="4"/>
  <c r="AC82" i="4"/>
  <c r="AC82" i="28"/>
  <c r="T78" i="4"/>
  <c r="T78" i="28"/>
  <c r="AC73" i="4"/>
  <c r="AC73" i="28"/>
  <c r="AC71" i="28" s="1"/>
  <c r="AE93" i="4"/>
  <c r="AE93" i="28"/>
  <c r="AC96" i="4"/>
  <c r="AC96" i="28"/>
  <c r="AE87" i="4"/>
  <c r="AE87" i="28"/>
  <c r="V88" i="4"/>
  <c r="V88" i="28"/>
  <c r="V74" i="4"/>
  <c r="V74" i="28"/>
  <c r="AB87" i="4"/>
  <c r="AB87" i="28"/>
  <c r="V79" i="4"/>
  <c r="V79" i="28"/>
  <c r="W93" i="4"/>
  <c r="W93" i="28"/>
  <c r="AE84" i="4"/>
  <c r="AE84" i="28"/>
  <c r="AE73" i="4"/>
  <c r="AE73" i="28"/>
  <c r="AE86" i="4"/>
  <c r="AE86" i="28"/>
  <c r="AB96" i="4"/>
  <c r="AB96" i="28"/>
  <c r="AB75" i="4"/>
  <c r="AB75" i="28"/>
  <c r="AF85" i="4"/>
  <c r="AF85" i="28"/>
  <c r="AE82" i="4"/>
  <c r="AE82" i="28"/>
  <c r="AE94" i="4"/>
  <c r="AE94" i="28"/>
  <c r="Z93" i="4"/>
  <c r="Z93" i="28"/>
  <c r="W89" i="4"/>
  <c r="W89" i="28"/>
  <c r="V86" i="4"/>
  <c r="V86" i="28"/>
  <c r="D86" i="28" s="1"/>
  <c r="V73" i="4"/>
  <c r="V73" i="28"/>
  <c r="V71" i="28" s="1"/>
  <c r="AH88" i="4"/>
  <c r="AH88" i="28"/>
  <c r="W78" i="4"/>
  <c r="W78" i="28"/>
  <c r="Z74" i="4"/>
  <c r="Z74" i="28"/>
  <c r="V81" i="4"/>
  <c r="V81" i="28"/>
  <c r="V85" i="4"/>
  <c r="V85" i="28"/>
  <c r="T86" i="4"/>
  <c r="T86" i="28"/>
  <c r="AH76" i="4"/>
  <c r="AH76" i="28"/>
  <c r="W83" i="4"/>
  <c r="W83" i="28"/>
  <c r="Z95" i="4"/>
  <c r="Z95" i="28"/>
  <c r="B95" i="28" s="1"/>
  <c r="AB81" i="4"/>
  <c r="AB81" i="28"/>
  <c r="D115" i="4"/>
  <c r="E40" i="33"/>
  <c r="F40" i="33" s="1"/>
  <c r="E79" i="33"/>
  <c r="F79" i="33" s="1"/>
  <c r="E86" i="33"/>
  <c r="F86" i="33" s="1"/>
  <c r="E70" i="33"/>
  <c r="F70" i="33" s="1"/>
  <c r="E73" i="33"/>
  <c r="F73" i="33" s="1"/>
  <c r="D119" i="4"/>
  <c r="AB77" i="4"/>
  <c r="AB77" i="28"/>
  <c r="Y82" i="4"/>
  <c r="Y82" i="28"/>
  <c r="T83" i="4"/>
  <c r="T83" i="28"/>
  <c r="K216" i="27"/>
  <c r="T216" i="27" s="1"/>
  <c r="O216" i="27" s="1"/>
  <c r="A212" i="27" s="1"/>
  <c r="S216" i="27"/>
  <c r="B121" i="28"/>
  <c r="B108" i="28"/>
  <c r="D112" i="28"/>
  <c r="B128" i="28"/>
  <c r="M246" i="27"/>
  <c r="T247" i="27" s="1"/>
  <c r="O247" i="27" s="1"/>
  <c r="S247" i="27"/>
  <c r="S276" i="27"/>
  <c r="D117" i="28"/>
  <c r="D124" i="28"/>
  <c r="D105" i="28"/>
  <c r="B109" i="28"/>
  <c r="B116" i="28"/>
  <c r="B118" i="28"/>
  <c r="B7" i="28"/>
  <c r="Z77" i="4"/>
  <c r="Z77" i="28"/>
  <c r="AC84" i="4"/>
  <c r="AC84" i="28"/>
  <c r="Z82" i="4"/>
  <c r="Z82" i="28"/>
  <c r="AB91" i="4"/>
  <c r="AB91" i="28"/>
  <c r="AB74" i="4"/>
  <c r="AB74" i="28"/>
  <c r="AC88" i="4"/>
  <c r="AC88" i="28"/>
  <c r="AF88" i="4"/>
  <c r="AF88" i="28"/>
  <c r="Y83" i="4"/>
  <c r="Y83" i="28"/>
  <c r="T90" i="4"/>
  <c r="T90" i="28"/>
  <c r="V90" i="4"/>
  <c r="V90" i="28"/>
  <c r="Z84" i="4"/>
  <c r="Z84" i="28"/>
  <c r="AE91" i="4"/>
  <c r="AE91" i="28"/>
  <c r="Z86" i="4"/>
  <c r="Z86" i="28"/>
  <c r="AH94" i="4"/>
  <c r="AH94" i="28"/>
  <c r="T81" i="4"/>
  <c r="T81" i="28"/>
  <c r="V95" i="4"/>
  <c r="V95" i="28"/>
  <c r="D95" i="28" s="1"/>
  <c r="Y90" i="4"/>
  <c r="Y90" i="28"/>
  <c r="AE79" i="4"/>
  <c r="AE79" i="28"/>
  <c r="AE71" i="28" s="1"/>
  <c r="V82" i="4"/>
  <c r="V82" i="28"/>
  <c r="B63" i="4"/>
  <c r="B120" i="28"/>
  <c r="AB103" i="28"/>
  <c r="AB93" i="4"/>
  <c r="AB93" i="28"/>
  <c r="C5" i="18"/>
  <c r="C4" i="18" s="1"/>
  <c r="D7" i="28"/>
  <c r="M186" i="27"/>
  <c r="T187" i="27" s="1"/>
  <c r="O187" i="27" s="1"/>
  <c r="S187" i="27"/>
  <c r="B4" i="18"/>
  <c r="S276" i="5"/>
  <c r="B109" i="4"/>
  <c r="B118" i="4"/>
  <c r="AC77" i="4"/>
  <c r="AC77" i="28"/>
  <c r="AE95" i="4"/>
  <c r="AE95" i="28"/>
  <c r="AE85" i="4"/>
  <c r="AE85" i="28"/>
  <c r="W81" i="4"/>
  <c r="W81" i="28"/>
  <c r="D128" i="4"/>
  <c r="T80" i="4"/>
  <c r="T80" i="28"/>
  <c r="V84" i="4"/>
  <c r="V84" i="28"/>
  <c r="T75" i="4"/>
  <c r="T75" i="28"/>
  <c r="AH87" i="4"/>
  <c r="AH87" i="28"/>
  <c r="AH77" i="4"/>
  <c r="AH77" i="28"/>
  <c r="AF93" i="4"/>
  <c r="AF93" i="28"/>
  <c r="AE89" i="4"/>
  <c r="AE89" i="28"/>
  <c r="W94" i="4"/>
  <c r="W94" i="28"/>
  <c r="Z79" i="4"/>
  <c r="Z79" i="28"/>
  <c r="B79" i="28" s="1"/>
  <c r="AB82" i="4"/>
  <c r="AB82" i="28"/>
  <c r="AB89" i="4"/>
  <c r="AB89" i="28"/>
  <c r="W85" i="4"/>
  <c r="W85" i="28"/>
  <c r="B85" i="28" s="1"/>
  <c r="Y75" i="4"/>
  <c r="Y75" i="28"/>
  <c r="Z90" i="4"/>
  <c r="Z90" i="28"/>
  <c r="V91" i="4"/>
  <c r="V91" i="28"/>
  <c r="AF86" i="4"/>
  <c r="AF86" i="28"/>
  <c r="AH75" i="4"/>
  <c r="AH75" i="28"/>
  <c r="AC86" i="4"/>
  <c r="AC86" i="28"/>
  <c r="AC75" i="4"/>
  <c r="AC75" i="28"/>
  <c r="AB90" i="4"/>
  <c r="AB90" i="28"/>
  <c r="T76" i="4"/>
  <c r="T76" i="28"/>
  <c r="T73" i="4"/>
  <c r="T73" i="28"/>
  <c r="B73" i="28" s="1"/>
  <c r="Z81" i="4"/>
  <c r="Z81" i="28"/>
  <c r="AB79" i="4"/>
  <c r="AB79" i="28"/>
  <c r="AC91" i="4"/>
  <c r="AC91" i="28"/>
  <c r="AC87" i="4"/>
  <c r="AC87" i="28"/>
  <c r="W77" i="4"/>
  <c r="W77" i="28"/>
  <c r="W87" i="4"/>
  <c r="W87" i="28"/>
  <c r="B58" i="4"/>
  <c r="T87" i="4"/>
  <c r="T87" i="28"/>
  <c r="T103" i="4"/>
  <c r="D127" i="4"/>
  <c r="AF96" i="4"/>
  <c r="AF96" i="28"/>
  <c r="AH103" i="4"/>
  <c r="AF83" i="4"/>
  <c r="AF83" i="28"/>
  <c r="Z87" i="4"/>
  <c r="Z87" i="28"/>
  <c r="Z76" i="4"/>
  <c r="Z76" i="28"/>
  <c r="W91" i="4"/>
  <c r="W91" i="28"/>
  <c r="Y77" i="4"/>
  <c r="Y77" i="28"/>
  <c r="AF92" i="4"/>
  <c r="AF92" i="28"/>
  <c r="AC85" i="4"/>
  <c r="AC85" i="28"/>
  <c r="AE81" i="4"/>
  <c r="AE81" i="28"/>
  <c r="Y94" i="4"/>
  <c r="Y94" i="28"/>
  <c r="Y84" i="4"/>
  <c r="Y84" i="28"/>
  <c r="V89" i="4"/>
  <c r="V89" i="28"/>
  <c r="D89" i="28" s="1"/>
  <c r="AF79" i="4"/>
  <c r="AF79" i="28"/>
  <c r="AF80" i="4"/>
  <c r="AF80" i="28"/>
  <c r="AH73" i="4"/>
  <c r="AH73" i="28"/>
  <c r="D73" i="28" s="1"/>
  <c r="AC90" i="4"/>
  <c r="AC90" i="28"/>
  <c r="T92" i="4"/>
  <c r="T92" i="28"/>
  <c r="B92" i="28" s="1"/>
  <c r="T89" i="4"/>
  <c r="T89" i="28"/>
  <c r="V77" i="4"/>
  <c r="V77" i="28"/>
  <c r="D77" i="28" s="1"/>
  <c r="AH79" i="4"/>
  <c r="AH79" i="28"/>
  <c r="AF84" i="4"/>
  <c r="AF84" i="28"/>
  <c r="T82" i="4"/>
  <c r="T82" i="28"/>
  <c r="AF72" i="4"/>
  <c r="AF72" i="28"/>
  <c r="AF71" i="28" s="1"/>
  <c r="AB80" i="4"/>
  <c r="AB80" i="28"/>
  <c r="E71" i="4"/>
  <c r="D123" i="4"/>
  <c r="D110" i="4"/>
  <c r="E48" i="33"/>
  <c r="F48" i="33" s="1"/>
  <c r="B110" i="4"/>
  <c r="B105" i="4"/>
  <c r="D109" i="4"/>
  <c r="D120" i="4"/>
  <c r="B105" i="28"/>
  <c r="D108" i="28"/>
  <c r="B122" i="28"/>
  <c r="B126" i="28"/>
  <c r="D109" i="28"/>
  <c r="AF94" i="4"/>
  <c r="AF94" i="28"/>
  <c r="B77" i="28"/>
  <c r="D114" i="28"/>
  <c r="D43" i="28"/>
  <c r="D39" i="28" s="1"/>
  <c r="D116" i="28"/>
  <c r="B111" i="28"/>
  <c r="D110" i="28"/>
  <c r="D126" i="28"/>
  <c r="S186" i="27"/>
  <c r="K186" i="27"/>
  <c r="T186" i="27" s="1"/>
  <c r="O186" i="27" s="1"/>
  <c r="B113" i="28"/>
  <c r="B103" i="28"/>
  <c r="B51" i="28"/>
  <c r="D115" i="28"/>
  <c r="D107" i="28"/>
  <c r="AB39" i="28"/>
  <c r="N71" i="4"/>
  <c r="S76" i="4"/>
  <c r="Z96" i="33"/>
  <c r="Z9" i="33" s="1"/>
  <c r="S75" i="4"/>
  <c r="Z95" i="33"/>
  <c r="Z8" i="33" s="1"/>
  <c r="Q74" i="4"/>
  <c r="Y94" i="33"/>
  <c r="Y7" i="33" s="1"/>
  <c r="Q85" i="4"/>
  <c r="Y105" i="33"/>
  <c r="Y18" i="33" s="1"/>
  <c r="S85" i="4"/>
  <c r="Z105" i="33"/>
  <c r="Z18" i="33" s="1"/>
  <c r="Q83" i="4"/>
  <c r="Y103" i="33"/>
  <c r="Y16" i="33" s="1"/>
  <c r="S78" i="4"/>
  <c r="Z98" i="33"/>
  <c r="Z11" i="33" s="1"/>
  <c r="S80" i="4"/>
  <c r="Z100" i="33"/>
  <c r="Z13" i="33" s="1"/>
  <c r="S73" i="4"/>
  <c r="Z93" i="33"/>
  <c r="Q81" i="4"/>
  <c r="Y101" i="33"/>
  <c r="Y14" i="33" s="1"/>
  <c r="Q91" i="4"/>
  <c r="Y111" i="33"/>
  <c r="Y24" i="33" s="1"/>
  <c r="Q94" i="4"/>
  <c r="Y114" i="33"/>
  <c r="Y27" i="33" s="1"/>
  <c r="S93" i="4"/>
  <c r="Z113" i="33"/>
  <c r="Z26" i="33" s="1"/>
  <c r="Q72" i="4"/>
  <c r="Y92" i="33"/>
  <c r="Y22" i="33"/>
  <c r="Z29" i="33"/>
  <c r="Y13" i="33"/>
  <c r="Z62" i="33"/>
  <c r="Z17" i="33"/>
  <c r="Y21" i="33"/>
  <c r="Y20" i="33"/>
  <c r="S89" i="4"/>
  <c r="Z109" i="33"/>
  <c r="Z22" i="33" s="1"/>
  <c r="S91" i="4"/>
  <c r="Z111" i="33"/>
  <c r="Z24" i="33" s="1"/>
  <c r="S79" i="4"/>
  <c r="Z99" i="33"/>
  <c r="Z12" i="33" s="1"/>
  <c r="Q84" i="4"/>
  <c r="Y104" i="33"/>
  <c r="Y17" i="33" s="1"/>
  <c r="S94" i="4"/>
  <c r="Z114" i="33"/>
  <c r="Z27" i="33" s="1"/>
  <c r="Q96" i="4"/>
  <c r="Y116" i="33"/>
  <c r="Y29" i="33" s="1"/>
  <c r="Q93" i="4"/>
  <c r="Y113" i="33"/>
  <c r="Y26" i="33" s="1"/>
  <c r="Q86" i="4"/>
  <c r="Y106" i="33"/>
  <c r="Y19" i="33" s="1"/>
  <c r="Y33" i="33"/>
  <c r="S77" i="4"/>
  <c r="Z97" i="33"/>
  <c r="Z10" i="33" s="1"/>
  <c r="S95" i="4"/>
  <c r="Z115" i="33"/>
  <c r="Z28" i="33" s="1"/>
  <c r="Q92" i="4"/>
  <c r="Y112" i="33"/>
  <c r="Y25" i="33" s="1"/>
  <c r="S83" i="4"/>
  <c r="Z103" i="33"/>
  <c r="Z16" i="33" s="1"/>
  <c r="S86" i="4"/>
  <c r="Z106" i="33"/>
  <c r="Z19" i="33" s="1"/>
  <c r="S81" i="4"/>
  <c r="Z101" i="33"/>
  <c r="Z14" i="33" s="1"/>
  <c r="S92" i="4"/>
  <c r="Z112" i="33"/>
  <c r="Z25" i="33" s="1"/>
  <c r="S74" i="4"/>
  <c r="Z94" i="33"/>
  <c r="Q73" i="4"/>
  <c r="Y93" i="33"/>
  <c r="Y6" i="33" s="1"/>
  <c r="S88" i="4"/>
  <c r="Z108" i="33"/>
  <c r="Z21" i="33" s="1"/>
  <c r="Q76" i="4"/>
  <c r="Y96" i="33"/>
  <c r="Y9" i="33" s="1"/>
  <c r="Z33" i="33"/>
  <c r="Z7" i="33"/>
  <c r="Z6" i="33"/>
  <c r="S72" i="4"/>
  <c r="Z92" i="33"/>
  <c r="Q75" i="4"/>
  <c r="Y95" i="33"/>
  <c r="Y8" i="33" s="1"/>
  <c r="S90" i="4"/>
  <c r="Z110" i="33"/>
  <c r="Z23" i="33" s="1"/>
  <c r="Q82" i="4"/>
  <c r="Y102" i="33"/>
  <c r="Y15" i="33" s="1"/>
  <c r="S82" i="4"/>
  <c r="Z102" i="33"/>
  <c r="Z15" i="33" s="1"/>
  <c r="Q95" i="4"/>
  <c r="Y115" i="33"/>
  <c r="Y28" i="33" s="1"/>
  <c r="Q78" i="4"/>
  <c r="Y98" i="33"/>
  <c r="Y11" i="33" s="1"/>
  <c r="Q77" i="4"/>
  <c r="Y97" i="33"/>
  <c r="Y10" i="33" s="1"/>
  <c r="S87" i="4"/>
  <c r="Z107" i="33"/>
  <c r="Z20" i="33" s="1"/>
  <c r="Y12" i="33"/>
  <c r="Y62" i="33"/>
  <c r="U4" i="33"/>
  <c r="V91" i="33"/>
  <c r="V6" i="33"/>
  <c r="V4" i="33" s="1"/>
  <c r="U91" i="33"/>
  <c r="M82" i="4"/>
  <c r="R102" i="33"/>
  <c r="R15" i="33" s="1"/>
  <c r="M95" i="4"/>
  <c r="R115" i="33"/>
  <c r="R28" i="33" s="1"/>
  <c r="K80" i="4"/>
  <c r="Q100" i="33"/>
  <c r="Q13" i="33" s="1"/>
  <c r="M86" i="4"/>
  <c r="R106" i="33"/>
  <c r="R19" i="33" s="1"/>
  <c r="K78" i="4"/>
  <c r="Q98" i="33"/>
  <c r="Q11" i="33" s="1"/>
  <c r="M72" i="4"/>
  <c r="R92" i="33"/>
  <c r="R5" i="33" s="1"/>
  <c r="M90" i="4"/>
  <c r="R110" i="33"/>
  <c r="R23" i="33" s="1"/>
  <c r="M74" i="4"/>
  <c r="R94" i="33"/>
  <c r="R7" i="33" s="1"/>
  <c r="M81" i="4"/>
  <c r="R101" i="33"/>
  <c r="R14" i="33" s="1"/>
  <c r="K83" i="4"/>
  <c r="B83" i="4" s="1"/>
  <c r="Q103" i="33"/>
  <c r="Q16" i="33" s="1"/>
  <c r="K73" i="4"/>
  <c r="Q93" i="33"/>
  <c r="Q6" i="33" s="1"/>
  <c r="M92" i="4"/>
  <c r="R112" i="33"/>
  <c r="R25" i="33" s="1"/>
  <c r="M76" i="4"/>
  <c r="R96" i="33"/>
  <c r="R9" i="33" s="1"/>
  <c r="M87" i="4"/>
  <c r="R107" i="33"/>
  <c r="R20" i="33" s="1"/>
  <c r="K92" i="4"/>
  <c r="Q112" i="33"/>
  <c r="D112" i="33" s="1"/>
  <c r="K85" i="4"/>
  <c r="B85" i="4" s="1"/>
  <c r="Q105" i="33"/>
  <c r="D105" i="33" s="1"/>
  <c r="M96" i="4"/>
  <c r="R116" i="33"/>
  <c r="R29" i="33" s="1"/>
  <c r="M91" i="4"/>
  <c r="R111" i="33"/>
  <c r="R24" i="33" s="1"/>
  <c r="K81" i="4"/>
  <c r="Q101" i="33"/>
  <c r="D101" i="33" s="1"/>
  <c r="K87" i="4"/>
  <c r="Q107" i="33"/>
  <c r="Q20" i="33" s="1"/>
  <c r="B60" i="4"/>
  <c r="B114" i="4"/>
  <c r="B120" i="4"/>
  <c r="Q10" i="33"/>
  <c r="K75" i="4"/>
  <c r="Q95" i="33"/>
  <c r="Q8" i="33" s="1"/>
  <c r="M89" i="4"/>
  <c r="R109" i="33"/>
  <c r="M73" i="4"/>
  <c r="R93" i="33"/>
  <c r="R6" i="33" s="1"/>
  <c r="M84" i="4"/>
  <c r="R104" i="33"/>
  <c r="R17" i="33" s="1"/>
  <c r="K89" i="4"/>
  <c r="Q109" i="33"/>
  <c r="Q22" i="33" s="1"/>
  <c r="K86" i="4"/>
  <c r="Q106" i="33"/>
  <c r="Q19" i="33" s="1"/>
  <c r="K74" i="4"/>
  <c r="Q94" i="33"/>
  <c r="D94" i="33" s="1"/>
  <c r="K88" i="4"/>
  <c r="Q108" i="33"/>
  <c r="Q21" i="33" s="1"/>
  <c r="M83" i="4"/>
  <c r="R103" i="33"/>
  <c r="R16" i="33" s="1"/>
  <c r="M94" i="4"/>
  <c r="R114" i="33"/>
  <c r="R27" i="33" s="1"/>
  <c r="M78" i="4"/>
  <c r="R98" i="33"/>
  <c r="R11" i="33" s="1"/>
  <c r="M85" i="4"/>
  <c r="R105" i="33"/>
  <c r="R18" i="33" s="1"/>
  <c r="M80" i="4"/>
  <c r="R100" i="33"/>
  <c r="R13" i="33" s="1"/>
  <c r="M75" i="4"/>
  <c r="R95" i="33"/>
  <c r="R8" i="33" s="1"/>
  <c r="K94" i="4"/>
  <c r="Q114" i="33"/>
  <c r="Q27" i="33" s="1"/>
  <c r="K72" i="4"/>
  <c r="Q92" i="33"/>
  <c r="D92" i="33" s="1"/>
  <c r="Q12" i="33"/>
  <c r="D41" i="33"/>
  <c r="R33" i="33"/>
  <c r="M103" i="4"/>
  <c r="B107" i="4"/>
  <c r="B50" i="4"/>
  <c r="E75" i="33"/>
  <c r="F75" i="33" s="1"/>
  <c r="D97" i="33"/>
  <c r="R62" i="33"/>
  <c r="D51" i="33"/>
  <c r="D37" i="33"/>
  <c r="Q24" i="33"/>
  <c r="K93" i="4"/>
  <c r="B93" i="4" s="1"/>
  <c r="Q113" i="33"/>
  <c r="D113" i="33" s="1"/>
  <c r="M79" i="4"/>
  <c r="R99" i="33"/>
  <c r="R12" i="33" s="1"/>
  <c r="M93" i="4"/>
  <c r="R113" i="33"/>
  <c r="R26" i="33" s="1"/>
  <c r="K95" i="4"/>
  <c r="Q115" i="33"/>
  <c r="D115" i="33" s="1"/>
  <c r="M77" i="4"/>
  <c r="R97" i="33"/>
  <c r="R10" i="33" s="1"/>
  <c r="M88" i="4"/>
  <c r="R108" i="33"/>
  <c r="R21" i="33" s="1"/>
  <c r="K76" i="4"/>
  <c r="Q96" i="33"/>
  <c r="Q9" i="33" s="1"/>
  <c r="K90" i="4"/>
  <c r="B90" i="4" s="1"/>
  <c r="Q110" i="33"/>
  <c r="Q23" i="33" s="1"/>
  <c r="Q33" i="33"/>
  <c r="B42" i="4"/>
  <c r="E80" i="33"/>
  <c r="F80" i="33" s="1"/>
  <c r="E64" i="33"/>
  <c r="F64" i="33" s="1"/>
  <c r="D116" i="33"/>
  <c r="D98" i="33"/>
  <c r="E76" i="33"/>
  <c r="F76" i="33" s="1"/>
  <c r="D104" i="33"/>
  <c r="Q62" i="33"/>
  <c r="R22" i="33"/>
  <c r="J72" i="4"/>
  <c r="N92" i="33"/>
  <c r="N5" i="33" s="1"/>
  <c r="J85" i="4"/>
  <c r="N105" i="33"/>
  <c r="N18" i="33" s="1"/>
  <c r="J74" i="4"/>
  <c r="N94" i="33"/>
  <c r="N7" i="33" s="1"/>
  <c r="J83" i="4"/>
  <c r="N103" i="33"/>
  <c r="J95" i="4"/>
  <c r="N115" i="33"/>
  <c r="N28" i="33" s="1"/>
  <c r="E74" i="33"/>
  <c r="F74" i="33" s="1"/>
  <c r="M7" i="33"/>
  <c r="M4" i="33" s="1"/>
  <c r="J84" i="4"/>
  <c r="N104" i="33"/>
  <c r="N17" i="33" s="1"/>
  <c r="J86" i="4"/>
  <c r="N106" i="33"/>
  <c r="N19" i="33" s="1"/>
  <c r="J88" i="4"/>
  <c r="N108" i="33"/>
  <c r="J90" i="4"/>
  <c r="N110" i="33"/>
  <c r="N23" i="33" s="1"/>
  <c r="J92" i="4"/>
  <c r="N112" i="33"/>
  <c r="N25" i="33" s="1"/>
  <c r="J76" i="4"/>
  <c r="N96" i="33"/>
  <c r="N9" i="33" s="1"/>
  <c r="J89" i="4"/>
  <c r="N109" i="33"/>
  <c r="N22" i="33" s="1"/>
  <c r="J94" i="4"/>
  <c r="N114" i="33"/>
  <c r="N27" i="33" s="1"/>
  <c r="J78" i="4"/>
  <c r="N98" i="33"/>
  <c r="N11" i="33" s="1"/>
  <c r="J91" i="4"/>
  <c r="N111" i="33"/>
  <c r="N24" i="33" s="1"/>
  <c r="D116" i="4"/>
  <c r="N21" i="33"/>
  <c r="N62" i="33"/>
  <c r="J81" i="4"/>
  <c r="N101" i="33"/>
  <c r="N14" i="33" s="1"/>
  <c r="J96" i="4"/>
  <c r="N116" i="33"/>
  <c r="J80" i="4"/>
  <c r="N100" i="33"/>
  <c r="J93" i="4"/>
  <c r="N113" i="33"/>
  <c r="N26" i="33" s="1"/>
  <c r="J73" i="4"/>
  <c r="N93" i="33"/>
  <c r="N6" i="33" s="1"/>
  <c r="J82" i="4"/>
  <c r="N102" i="33"/>
  <c r="N15" i="33" s="1"/>
  <c r="J79" i="4"/>
  <c r="N99" i="33"/>
  <c r="N12" i="33" s="1"/>
  <c r="J77" i="4"/>
  <c r="N97" i="33"/>
  <c r="N10" i="33" s="1"/>
  <c r="J87" i="4"/>
  <c r="N107" i="33"/>
  <c r="N20" i="33" s="1"/>
  <c r="N33" i="33"/>
  <c r="E52" i="33"/>
  <c r="F52" i="33" s="1"/>
  <c r="E46" i="33"/>
  <c r="F46" i="33" s="1"/>
  <c r="D111" i="33"/>
  <c r="E84" i="33"/>
  <c r="F84" i="33" s="1"/>
  <c r="E68" i="33"/>
  <c r="F68" i="33" s="1"/>
  <c r="E87" i="33"/>
  <c r="F87" i="33" s="1"/>
  <c r="E71" i="33"/>
  <c r="F71" i="33" s="1"/>
  <c r="E81" i="33"/>
  <c r="F81" i="33" s="1"/>
  <c r="E65" i="33"/>
  <c r="F65" i="33" s="1"/>
  <c r="E45" i="33"/>
  <c r="F45" i="33" s="1"/>
  <c r="J75" i="4"/>
  <c r="N95" i="33"/>
  <c r="N8" i="33" s="1"/>
  <c r="N29" i="33"/>
  <c r="N16" i="33"/>
  <c r="I18" i="33"/>
  <c r="G39" i="4"/>
  <c r="G103" i="4"/>
  <c r="I16" i="33"/>
  <c r="I8" i="33"/>
  <c r="I26" i="33"/>
  <c r="D55" i="4"/>
  <c r="I20" i="33"/>
  <c r="I17" i="33"/>
  <c r="I14" i="33"/>
  <c r="G90" i="4"/>
  <c r="D90" i="4" s="1"/>
  <c r="J110" i="33"/>
  <c r="G86" i="4"/>
  <c r="J106" i="33"/>
  <c r="G81" i="4"/>
  <c r="J101" i="33"/>
  <c r="G92" i="4"/>
  <c r="J112" i="33"/>
  <c r="G76" i="4"/>
  <c r="J96" i="33"/>
  <c r="G85" i="4"/>
  <c r="J105" i="33"/>
  <c r="J18" i="33" s="1"/>
  <c r="G96" i="4"/>
  <c r="J116" i="33"/>
  <c r="G83" i="4"/>
  <c r="J103" i="33"/>
  <c r="I22" i="33"/>
  <c r="I28" i="33"/>
  <c r="G89" i="4"/>
  <c r="J109" i="33"/>
  <c r="J22" i="33" s="1"/>
  <c r="G73" i="4"/>
  <c r="J93" i="33"/>
  <c r="J6" i="33" s="1"/>
  <c r="G84" i="4"/>
  <c r="J104" i="33"/>
  <c r="G72" i="4"/>
  <c r="J92" i="33"/>
  <c r="J5" i="33" s="1"/>
  <c r="G87" i="4"/>
  <c r="J107" i="33"/>
  <c r="J7" i="33"/>
  <c r="E36" i="33"/>
  <c r="F36" i="33" s="1"/>
  <c r="E39" i="33"/>
  <c r="F39" i="33" s="1"/>
  <c r="E35" i="33"/>
  <c r="F35" i="33" s="1"/>
  <c r="I13" i="33"/>
  <c r="D100" i="33"/>
  <c r="I15" i="33"/>
  <c r="D102" i="33"/>
  <c r="E56" i="33"/>
  <c r="F56" i="33" s="1"/>
  <c r="J62" i="33"/>
  <c r="E63" i="33"/>
  <c r="F63" i="33" s="1"/>
  <c r="E43" i="33"/>
  <c r="F43" i="33" s="1"/>
  <c r="J33" i="33"/>
  <c r="E34" i="33"/>
  <c r="F34" i="33" s="1"/>
  <c r="E53" i="33"/>
  <c r="F53" i="33" s="1"/>
  <c r="I7" i="33"/>
  <c r="I29" i="33"/>
  <c r="G94" i="4"/>
  <c r="J114" i="33"/>
  <c r="G82" i="4"/>
  <c r="J102" i="33"/>
  <c r="J26" i="33"/>
  <c r="G77" i="4"/>
  <c r="J97" i="33"/>
  <c r="G88" i="4"/>
  <c r="J108" i="33"/>
  <c r="G91" i="4"/>
  <c r="J111" i="33"/>
  <c r="G75" i="4"/>
  <c r="J95" i="33"/>
  <c r="I9" i="33"/>
  <c r="I24" i="33"/>
  <c r="I6" i="33"/>
  <c r="G78" i="4"/>
  <c r="J98" i="33"/>
  <c r="G95" i="4"/>
  <c r="J115" i="33"/>
  <c r="J28" i="33" s="1"/>
  <c r="I21" i="33"/>
  <c r="I91" i="33"/>
  <c r="E47" i="33"/>
  <c r="F47" i="33" s="1"/>
  <c r="I25" i="33"/>
  <c r="D99" i="33"/>
  <c r="I12" i="33"/>
  <c r="E57" i="33"/>
  <c r="F57" i="33" s="1"/>
  <c r="I27" i="33"/>
  <c r="E51" i="33"/>
  <c r="F51" i="33" s="1"/>
  <c r="E42" i="33"/>
  <c r="F42" i="33" s="1"/>
  <c r="J13" i="33"/>
  <c r="I23" i="33"/>
  <c r="I19" i="33"/>
  <c r="P71" i="28"/>
  <c r="D72" i="28"/>
  <c r="P73" i="4"/>
  <c r="P71" i="4" s="1"/>
  <c r="B44" i="4"/>
  <c r="B48" i="4"/>
  <c r="B62" i="4"/>
  <c r="D44" i="4"/>
  <c r="B52" i="4"/>
  <c r="AC39" i="4"/>
  <c r="W39" i="4"/>
  <c r="B54" i="4"/>
  <c r="AH39" i="4"/>
  <c r="B59" i="4"/>
  <c r="AC71" i="4"/>
  <c r="B57" i="4"/>
  <c r="Z103" i="4"/>
  <c r="Y39" i="4"/>
  <c r="B40" i="4"/>
  <c r="M39" i="4"/>
  <c r="A212" i="5"/>
  <c r="M216" i="5"/>
  <c r="T217" i="5" s="1"/>
  <c r="O217" i="5" s="1"/>
  <c r="S246" i="5"/>
  <c r="AB39" i="4"/>
  <c r="V39" i="4"/>
  <c r="AF103" i="4"/>
  <c r="AB73" i="4"/>
  <c r="AB71" i="4" s="1"/>
  <c r="S217" i="5"/>
  <c r="Y103" i="4"/>
  <c r="V103" i="4"/>
  <c r="B104" i="4"/>
  <c r="K156" i="5"/>
  <c r="T156" i="5" s="1"/>
  <c r="O156" i="5" s="1"/>
  <c r="D40" i="4"/>
  <c r="G80" i="4"/>
  <c r="S156" i="5"/>
  <c r="S216" i="5"/>
  <c r="S277" i="5"/>
  <c r="D59" i="4"/>
  <c r="W72" i="4"/>
  <c r="S186" i="5"/>
  <c r="K186" i="5"/>
  <c r="T186" i="5" s="1"/>
  <c r="O186" i="5" s="1"/>
  <c r="T39" i="4"/>
  <c r="V72" i="4"/>
  <c r="M156" i="5"/>
  <c r="T157" i="5" s="1"/>
  <c r="O157" i="5" s="1"/>
  <c r="S157" i="5"/>
  <c r="S37" i="5"/>
  <c r="G74" i="4"/>
  <c r="M276" i="5"/>
  <c r="T277" i="5" s="1"/>
  <c r="O277" i="5" s="1"/>
  <c r="M186" i="5"/>
  <c r="T187" i="5" s="1"/>
  <c r="O187" i="5" s="1"/>
  <c r="A182" i="5" s="1"/>
  <c r="K246" i="5"/>
  <c r="T246" i="5" s="1"/>
  <c r="O246" i="5" s="1"/>
  <c r="G93" i="4"/>
  <c r="AE39" i="4"/>
  <c r="AH71" i="4"/>
  <c r="AE72" i="4"/>
  <c r="S247" i="5"/>
  <c r="M246" i="5"/>
  <c r="T247" i="5" s="1"/>
  <c r="O247" i="5" s="1"/>
  <c r="B49" i="4"/>
  <c r="AF39" i="4"/>
  <c r="Z39" i="4"/>
  <c r="J39" i="4"/>
  <c r="K103" i="4"/>
  <c r="K96" i="4"/>
  <c r="K79" i="4"/>
  <c r="B79" i="4" s="1"/>
  <c r="K84" i="4"/>
  <c r="B84" i="4" s="1"/>
  <c r="K91" i="4"/>
  <c r="K82" i="4"/>
  <c r="K77" i="4"/>
  <c r="M96" i="5"/>
  <c r="T97" i="5" s="1"/>
  <c r="O97" i="5" s="1"/>
  <c r="A92" i="5" s="1"/>
  <c r="Q103" i="4"/>
  <c r="Q39" i="4"/>
  <c r="Q80" i="4"/>
  <c r="Q88" i="4"/>
  <c r="Q89" i="4"/>
  <c r="Q87" i="4"/>
  <c r="S84" i="4"/>
  <c r="S96" i="4"/>
  <c r="D52" i="4"/>
  <c r="D46" i="4"/>
  <c r="D61" i="4"/>
  <c r="D57" i="4"/>
  <c r="D49" i="4"/>
  <c r="D42" i="4"/>
  <c r="D43" i="4"/>
  <c r="K66" i="5"/>
  <c r="T66" i="5" s="1"/>
  <c r="O66" i="5" s="1"/>
  <c r="S67" i="5"/>
  <c r="D58" i="4"/>
  <c r="D50" i="4"/>
  <c r="D53" i="4"/>
  <c r="D56" i="4"/>
  <c r="D48" i="4"/>
  <c r="D51" i="4"/>
  <c r="D47" i="4"/>
  <c r="D45" i="4"/>
  <c r="D60" i="4"/>
  <c r="M66" i="5"/>
  <c r="T67" i="5" s="1"/>
  <c r="O67" i="5" s="1"/>
  <c r="K4" i="18"/>
  <c r="S66" i="5"/>
  <c r="M36" i="5"/>
  <c r="T37" i="5" s="1"/>
  <c r="O37" i="5" s="1"/>
  <c r="A32" i="5" s="1"/>
  <c r="D104" i="4"/>
  <c r="K126" i="5"/>
  <c r="T126" i="5" s="1"/>
  <c r="O126" i="5" s="1"/>
  <c r="S126" i="5"/>
  <c r="M126" i="5"/>
  <c r="T127" i="5" s="1"/>
  <c r="O127" i="5" s="1"/>
  <c r="D121" i="4"/>
  <c r="S127" i="5"/>
  <c r="B121" i="4"/>
  <c r="S97" i="5"/>
  <c r="D41" i="4"/>
  <c r="B7" i="4"/>
  <c r="D4" i="18" s="1"/>
  <c r="A272" i="5"/>
  <c r="D62" i="33" l="1"/>
  <c r="B76" i="4"/>
  <c r="B92" i="4"/>
  <c r="B82" i="4"/>
  <c r="D91" i="4"/>
  <c r="Q7" i="33"/>
  <c r="E100" i="33"/>
  <c r="F100" i="33" s="1"/>
  <c r="D96" i="33"/>
  <c r="Q5" i="33"/>
  <c r="Q18" i="33"/>
  <c r="D107" i="33"/>
  <c r="D103" i="33"/>
  <c r="D95" i="33"/>
  <c r="B94" i="4"/>
  <c r="D110" i="33"/>
  <c r="D82" i="4"/>
  <c r="J71" i="4"/>
  <c r="D83" i="4"/>
  <c r="D75" i="4"/>
  <c r="D81" i="4"/>
  <c r="D78" i="4"/>
  <c r="D103" i="28"/>
  <c r="D7" i="33"/>
  <c r="D84" i="28"/>
  <c r="F5" i="18"/>
  <c r="D93" i="4"/>
  <c r="V71" i="4"/>
  <c r="D21" i="33"/>
  <c r="E6" i="33"/>
  <c r="F6" i="33" s="1"/>
  <c r="D88" i="4"/>
  <c r="B81" i="4"/>
  <c r="D76" i="4"/>
  <c r="B78" i="4"/>
  <c r="A182" i="27"/>
  <c r="B82" i="28"/>
  <c r="B89" i="28"/>
  <c r="D94" i="28"/>
  <c r="B76" i="28"/>
  <c r="D91" i="28"/>
  <c r="B75" i="28"/>
  <c r="B80" i="28"/>
  <c r="D82" i="28"/>
  <c r="B81" i="28"/>
  <c r="B90" i="28"/>
  <c r="B83" i="28"/>
  <c r="B78" i="28"/>
  <c r="B84" i="28"/>
  <c r="D87" i="4"/>
  <c r="D90" i="28"/>
  <c r="B96" i="4"/>
  <c r="D96" i="4"/>
  <c r="B91" i="4"/>
  <c r="AE71" i="4"/>
  <c r="A242" i="5"/>
  <c r="D114" i="33"/>
  <c r="E115" i="33"/>
  <c r="F115" i="33" s="1"/>
  <c r="E105" i="33"/>
  <c r="F105" i="33" s="1"/>
  <c r="Q28" i="33"/>
  <c r="B74" i="4"/>
  <c r="E94" i="33"/>
  <c r="F94" i="33" s="1"/>
  <c r="B86" i="28"/>
  <c r="D81" i="28"/>
  <c r="D88" i="28"/>
  <c r="AH71" i="28"/>
  <c r="D87" i="28"/>
  <c r="B96" i="28"/>
  <c r="B74" i="28"/>
  <c r="Z71" i="28"/>
  <c r="B94" i="28"/>
  <c r="D76" i="28"/>
  <c r="D83" i="28"/>
  <c r="B91" i="28"/>
  <c r="D95" i="4"/>
  <c r="B87" i="4"/>
  <c r="D80" i="4"/>
  <c r="E22" i="33"/>
  <c r="F22" i="33" s="1"/>
  <c r="D108" i="33"/>
  <c r="E114" i="33"/>
  <c r="F114" i="33" s="1"/>
  <c r="E93" i="33"/>
  <c r="F93" i="33" s="1"/>
  <c r="N13" i="33"/>
  <c r="N4" i="33" s="1"/>
  <c r="D109" i="33"/>
  <c r="D85" i="4"/>
  <c r="D94" i="4"/>
  <c r="B86" i="4"/>
  <c r="D89" i="4"/>
  <c r="B87" i="28"/>
  <c r="D85" i="28"/>
  <c r="D79" i="28"/>
  <c r="D74" i="28"/>
  <c r="B93" i="28"/>
  <c r="AB71" i="28"/>
  <c r="B88" i="28"/>
  <c r="A242" i="27"/>
  <c r="D78" i="28"/>
  <c r="D80" i="28"/>
  <c r="D93" i="28"/>
  <c r="T71" i="28"/>
  <c r="B72" i="28"/>
  <c r="Y71" i="28"/>
  <c r="D96" i="28"/>
  <c r="D6" i="33"/>
  <c r="D22" i="33"/>
  <c r="D93" i="33"/>
  <c r="Q25" i="33"/>
  <c r="D25" i="33" s="1"/>
  <c r="Q14" i="33"/>
  <c r="D14" i="33" s="1"/>
  <c r="B75" i="4"/>
  <c r="B88" i="4"/>
  <c r="E113" i="33"/>
  <c r="F113" i="33" s="1"/>
  <c r="D13" i="33"/>
  <c r="E101" i="33"/>
  <c r="F101" i="33" s="1"/>
  <c r="D77" i="4"/>
  <c r="D10" i="33"/>
  <c r="E97" i="33"/>
  <c r="F97" i="33" s="1"/>
  <c r="Q26" i="33"/>
  <c r="D26" i="33" s="1"/>
  <c r="M71" i="4"/>
  <c r="D11" i="33"/>
  <c r="F62" i="33"/>
  <c r="D12" i="33"/>
  <c r="E18" i="33"/>
  <c r="F18" i="33" s="1"/>
  <c r="D17" i="33"/>
  <c r="D8" i="33"/>
  <c r="D18" i="33"/>
  <c r="Z91" i="33"/>
  <c r="Y91" i="33"/>
  <c r="D19" i="33"/>
  <c r="E28" i="33"/>
  <c r="F28" i="33" s="1"/>
  <c r="D29" i="33"/>
  <c r="D15" i="33"/>
  <c r="Y5" i="33"/>
  <c r="D9" i="33"/>
  <c r="B77" i="4"/>
  <c r="D27" i="33"/>
  <c r="E7" i="33"/>
  <c r="F7" i="33" s="1"/>
  <c r="B95" i="4"/>
  <c r="D92" i="4"/>
  <c r="D86" i="4"/>
  <c r="Z5" i="33"/>
  <c r="Z4" i="33" s="1"/>
  <c r="D33" i="33"/>
  <c r="E13" i="33"/>
  <c r="F13" i="33" s="1"/>
  <c r="B89" i="4"/>
  <c r="D23" i="33"/>
  <c r="D24" i="33"/>
  <c r="E111" i="33"/>
  <c r="F111" i="33" s="1"/>
  <c r="E62" i="33"/>
  <c r="E109" i="33"/>
  <c r="F109" i="33" s="1"/>
  <c r="D20" i="33"/>
  <c r="D16" i="33"/>
  <c r="D106" i="33"/>
  <c r="R4" i="33"/>
  <c r="D84" i="4"/>
  <c r="D28" i="33"/>
  <c r="Q91" i="33"/>
  <c r="R91" i="33"/>
  <c r="E26" i="33"/>
  <c r="F26" i="33" s="1"/>
  <c r="N91" i="33"/>
  <c r="J24" i="33"/>
  <c r="E24" i="33" s="1"/>
  <c r="F24" i="33" s="1"/>
  <c r="J15" i="33"/>
  <c r="E15" i="33" s="1"/>
  <c r="F15" i="33" s="1"/>
  <c r="E102" i="33"/>
  <c r="F102" i="33" s="1"/>
  <c r="J20" i="33"/>
  <c r="E20" i="33" s="1"/>
  <c r="F20" i="33" s="1"/>
  <c r="E107" i="33"/>
  <c r="F107" i="33" s="1"/>
  <c r="J17" i="33"/>
  <c r="E17" i="33" s="1"/>
  <c r="F17" i="33" s="1"/>
  <c r="E104" i="33"/>
  <c r="F104" i="33" s="1"/>
  <c r="J14" i="33"/>
  <c r="E14" i="33" s="1"/>
  <c r="F14" i="33" s="1"/>
  <c r="J27" i="33"/>
  <c r="E27" i="33" s="1"/>
  <c r="F27" i="33" s="1"/>
  <c r="J10" i="33"/>
  <c r="E10" i="33" s="1"/>
  <c r="F10" i="33" s="1"/>
  <c r="J29" i="33"/>
  <c r="E29" i="33" s="1"/>
  <c r="F29" i="33" s="1"/>
  <c r="E116" i="33"/>
  <c r="F116" i="33" s="1"/>
  <c r="J25" i="33"/>
  <c r="E25" i="33" s="1"/>
  <c r="F25" i="33" s="1"/>
  <c r="E112" i="33"/>
  <c r="F112" i="33" s="1"/>
  <c r="J19" i="33"/>
  <c r="E19" i="33" s="1"/>
  <c r="F19" i="33" s="1"/>
  <c r="E106" i="33"/>
  <c r="F106" i="33" s="1"/>
  <c r="I4" i="33"/>
  <c r="J8" i="33"/>
  <c r="E8" i="33" s="1"/>
  <c r="F8" i="33" s="1"/>
  <c r="E95" i="33"/>
  <c r="F95" i="33" s="1"/>
  <c r="J21" i="33"/>
  <c r="E21" i="33" s="1"/>
  <c r="F21" i="33" s="1"/>
  <c r="E108" i="33"/>
  <c r="F108" i="33" s="1"/>
  <c r="E92" i="33"/>
  <c r="F92" i="33" s="1"/>
  <c r="E33" i="33"/>
  <c r="F33" i="33" s="1"/>
  <c r="J11" i="33"/>
  <c r="E11" i="33" s="1"/>
  <c r="F11" i="33" s="1"/>
  <c r="E98" i="33"/>
  <c r="F98" i="33" s="1"/>
  <c r="E5" i="33"/>
  <c r="J16" i="33"/>
  <c r="E16" i="33" s="1"/>
  <c r="F16" i="33" s="1"/>
  <c r="E103" i="33"/>
  <c r="F103" i="33" s="1"/>
  <c r="J9" i="33"/>
  <c r="E9" i="33" s="1"/>
  <c r="F9" i="33" s="1"/>
  <c r="E96" i="33"/>
  <c r="F96" i="33" s="1"/>
  <c r="J23" i="33"/>
  <c r="E23" i="33" s="1"/>
  <c r="F23" i="33" s="1"/>
  <c r="E110" i="33"/>
  <c r="F110" i="33" s="1"/>
  <c r="B39" i="4"/>
  <c r="D71" i="28"/>
  <c r="D74" i="4"/>
  <c r="A62" i="5"/>
  <c r="W71" i="4"/>
  <c r="B72" i="4"/>
  <c r="A152" i="5"/>
  <c r="K71" i="4"/>
  <c r="Q71" i="4"/>
  <c r="S71" i="4"/>
  <c r="B80" i="4"/>
  <c r="D73" i="4"/>
  <c r="A122" i="5"/>
  <c r="B73" i="4"/>
  <c r="B103" i="4"/>
  <c r="D72" i="4"/>
  <c r="D103" i="4"/>
  <c r="D39" i="4"/>
  <c r="K5" i="18"/>
  <c r="B71" i="28" l="1"/>
  <c r="D91" i="33"/>
  <c r="Q4" i="33"/>
  <c r="Y4" i="33"/>
  <c r="D5" i="33"/>
  <c r="D4" i="33" s="1"/>
  <c r="F5" i="33"/>
  <c r="B71" i="4"/>
  <c r="L4" i="18"/>
  <c r="L5" i="18"/>
  <c r="M4" i="18"/>
  <c r="M5" i="18"/>
  <c r="J4" i="18" l="1"/>
  <c r="H4" i="18" s="1"/>
  <c r="D6" i="5"/>
  <c r="G15" i="4"/>
  <c r="G7" i="4" s="1"/>
  <c r="M14" i="5"/>
  <c r="S7" i="5" s="1"/>
  <c r="Q7" i="5"/>
  <c r="D15" i="4" l="1"/>
  <c r="D7" i="4" s="1"/>
  <c r="E4" i="18" s="1"/>
  <c r="F4" i="18" s="1"/>
  <c r="M6" i="5"/>
  <c r="T7" i="5" s="1"/>
  <c r="O7" i="5" s="1"/>
  <c r="A2" i="5" s="1"/>
  <c r="G79" i="4"/>
  <c r="J99" i="33"/>
  <c r="E12" i="18" l="1"/>
  <c r="G71" i="4"/>
  <c r="D79" i="4"/>
  <c r="D71" i="4" s="1"/>
  <c r="J12" i="33"/>
  <c r="E99" i="33"/>
  <c r="F99" i="33" s="1"/>
  <c r="J91" i="33"/>
  <c r="J5" i="18" l="1"/>
  <c r="H5" i="18" s="1"/>
  <c r="F12" i="18"/>
  <c r="F91" i="33"/>
  <c r="E91" i="33"/>
  <c r="J4" i="33"/>
  <c r="E12" i="33"/>
  <c r="F12" i="33" l="1"/>
  <c r="F4" i="33" s="1"/>
  <c r="E4" i="33"/>
</calcChain>
</file>

<file path=xl/sharedStrings.xml><?xml version="1.0" encoding="utf-8"?>
<sst xmlns="http://schemas.openxmlformats.org/spreadsheetml/2006/main" count="16195" uniqueCount="1472">
  <si>
    <t>공</t>
    <phoneticPr fontId="12" type="noConversion"/>
  </si>
  <si>
    <t>충청남도</t>
    <phoneticPr fontId="12" type="noConversion"/>
  </si>
  <si>
    <t>계</t>
  </si>
  <si>
    <t>구분</t>
  </si>
  <si>
    <t>필지</t>
  </si>
  <si>
    <t>/</t>
  </si>
  <si>
    <t>면적(㎡)</t>
  </si>
  <si>
    <t>전</t>
  </si>
  <si>
    <t>답</t>
  </si>
  <si>
    <t>임야</t>
  </si>
  <si>
    <t>대지</t>
  </si>
  <si>
    <t>도로</t>
  </si>
  <si>
    <t>구거</t>
  </si>
  <si>
    <t>하천</t>
  </si>
  <si>
    <t>유지</t>
  </si>
  <si>
    <t>제방</t>
  </si>
  <si>
    <t>과수원</t>
  </si>
  <si>
    <t>공장</t>
  </si>
  <si>
    <t>목장</t>
  </si>
  <si>
    <t>학교용지</t>
  </si>
  <si>
    <t>철도</t>
  </si>
  <si>
    <t>묘지</t>
  </si>
  <si>
    <t>수도</t>
  </si>
  <si>
    <t>잡종지</t>
  </si>
  <si>
    <t>종교</t>
  </si>
  <si>
    <t>염전</t>
  </si>
  <si>
    <t>공원</t>
  </si>
  <si>
    <t>체육</t>
  </si>
  <si>
    <t>유원지</t>
  </si>
  <si>
    <t>국  유  지</t>
  </si>
  <si>
    <t>사  유  지</t>
  </si>
  <si>
    <t>비고</t>
  </si>
  <si>
    <t>면 적 (㎡)</t>
  </si>
  <si>
    <t>총계</t>
  </si>
  <si>
    <t>국유지</t>
  </si>
  <si>
    <t>사유지</t>
  </si>
  <si>
    <t>국유지+사유지</t>
  </si>
  <si>
    <t>면적</t>
  </si>
  <si>
    <t>공  유  지</t>
  </si>
  <si>
    <t>일련</t>
  </si>
  <si>
    <t>지 번</t>
  </si>
  <si>
    <t>지목</t>
  </si>
  <si>
    <t>지 적</t>
  </si>
  <si>
    <t>편입면적</t>
  </si>
  <si>
    <t>실제이용상황</t>
  </si>
  <si>
    <t>소  유  자</t>
  </si>
  <si>
    <t>관  계  인</t>
  </si>
  <si>
    <t>번호</t>
  </si>
  <si>
    <t>면 적</t>
  </si>
  <si>
    <t>성  명</t>
  </si>
  <si>
    <t>주  소</t>
  </si>
  <si>
    <t>권리관계</t>
  </si>
  <si>
    <t>소   계</t>
  </si>
  <si>
    <t>비  고</t>
    <phoneticPr fontId="5" type="noConversion"/>
  </si>
  <si>
    <t>국유지 편입용지 집계표</t>
    <phoneticPr fontId="5" type="noConversion"/>
  </si>
  <si>
    <t>사유지 편입용지 집계표</t>
    <phoneticPr fontId="5" type="noConversion"/>
  </si>
  <si>
    <t>공유지 편입용지 집계표</t>
    <phoneticPr fontId="5" type="noConversion"/>
  </si>
  <si>
    <t>공  유  지</t>
    <phoneticPr fontId="5" type="noConversion"/>
  </si>
  <si>
    <t>용  지  조  서</t>
    <phoneticPr fontId="12" type="noConversion"/>
  </si>
  <si>
    <r>
      <t>( ㎡</t>
    </r>
    <r>
      <rPr>
        <vertAlign val="superscript"/>
        <sz val="10"/>
        <rFont val="돋움체"/>
        <family val="3"/>
        <charset val="129"/>
      </rPr>
      <t xml:space="preserve"> </t>
    </r>
    <r>
      <rPr>
        <sz val="10"/>
        <rFont val="돋움체"/>
        <family val="3"/>
        <charset val="129"/>
      </rPr>
      <t>)</t>
    </r>
  </si>
  <si>
    <t>주차장</t>
    <phoneticPr fontId="5" type="noConversion"/>
  </si>
  <si>
    <t>주유소용지</t>
    <phoneticPr fontId="5" type="noConversion"/>
  </si>
  <si>
    <t>미지번</t>
    <phoneticPr fontId="5" type="noConversion"/>
  </si>
  <si>
    <t>주차장</t>
    <phoneticPr fontId="5" type="noConversion"/>
  </si>
  <si>
    <t>미지번</t>
    <phoneticPr fontId="5" type="noConversion"/>
  </si>
  <si>
    <t>주차장</t>
    <phoneticPr fontId="5" type="noConversion"/>
  </si>
  <si>
    <t>미지번</t>
    <phoneticPr fontId="5" type="noConversion"/>
  </si>
  <si>
    <t>용  지  조  서</t>
    <phoneticPr fontId="12" type="noConversion"/>
  </si>
  <si>
    <t>총   계</t>
    <phoneticPr fontId="12" type="noConversion"/>
  </si>
  <si>
    <t>서산시 부석면 대두리</t>
    <phoneticPr fontId="12" type="noConversion"/>
  </si>
  <si>
    <t>창고용지</t>
    <phoneticPr fontId="5" type="noConversion"/>
  </si>
  <si>
    <t>공시지가</t>
    <phoneticPr fontId="12" type="noConversion"/>
  </si>
  <si>
    <t>서  산  시</t>
    <phoneticPr fontId="5" type="noConversion"/>
  </si>
  <si>
    <t>부 석 면</t>
    <phoneticPr fontId="5" type="noConversion"/>
  </si>
  <si>
    <t>대두리</t>
    <phoneticPr fontId="5" type="noConversion"/>
  </si>
  <si>
    <t>봉락리</t>
    <phoneticPr fontId="5" type="noConversion"/>
  </si>
  <si>
    <t>칠전리</t>
    <phoneticPr fontId="5" type="noConversion"/>
  </si>
  <si>
    <t>마룡리</t>
    <phoneticPr fontId="5" type="noConversion"/>
  </si>
  <si>
    <t>창 리</t>
    <phoneticPr fontId="5" type="noConversion"/>
  </si>
  <si>
    <t>도</t>
    <phoneticPr fontId="12" type="noConversion"/>
  </si>
  <si>
    <t>전</t>
    <phoneticPr fontId="12" type="noConversion"/>
  </si>
  <si>
    <t>구</t>
    <phoneticPr fontId="12" type="noConversion"/>
  </si>
  <si>
    <t>임</t>
    <phoneticPr fontId="12" type="noConversion"/>
  </si>
  <si>
    <t>253-2</t>
    <phoneticPr fontId="12" type="noConversion"/>
  </si>
  <si>
    <t>280-5</t>
    <phoneticPr fontId="12" type="noConversion"/>
  </si>
  <si>
    <t>공</t>
    <phoneticPr fontId="12" type="noConversion"/>
  </si>
  <si>
    <t>국</t>
    <phoneticPr fontId="12" type="noConversion"/>
  </si>
  <si>
    <t>서산시</t>
    <phoneticPr fontId="12" type="noConversion"/>
  </si>
  <si>
    <t>농림수산식품부</t>
    <phoneticPr fontId="12" type="noConversion"/>
  </si>
  <si>
    <t>국토해양부</t>
    <phoneticPr fontId="12" type="noConversion"/>
  </si>
  <si>
    <t>답</t>
    <phoneticPr fontId="12" type="noConversion"/>
  </si>
  <si>
    <t>대</t>
    <phoneticPr fontId="12" type="noConversion"/>
  </si>
  <si>
    <t>임</t>
    <phoneticPr fontId="12" type="noConversion"/>
  </si>
  <si>
    <t>임</t>
  </si>
  <si>
    <t>485-6</t>
  </si>
  <si>
    <t>480-18</t>
  </si>
  <si>
    <t>480-16</t>
  </si>
  <si>
    <t>지목변경</t>
    <phoneticPr fontId="12" type="noConversion"/>
  </si>
  <si>
    <t>사유지 면적변경</t>
    <phoneticPr fontId="12" type="noConversion"/>
  </si>
  <si>
    <t>공유림</t>
    <phoneticPr fontId="12" type="noConversion"/>
  </si>
  <si>
    <t>332-6</t>
    <phoneticPr fontId="12" type="noConversion"/>
  </si>
  <si>
    <t>282-4</t>
    <phoneticPr fontId="12" type="noConversion"/>
  </si>
  <si>
    <t>248-8</t>
    <phoneticPr fontId="12" type="noConversion"/>
  </si>
  <si>
    <t>254-1</t>
    <phoneticPr fontId="12" type="noConversion"/>
  </si>
  <si>
    <t>332</t>
    <phoneticPr fontId="12" type="noConversion"/>
  </si>
  <si>
    <t>254-5</t>
    <phoneticPr fontId="12" type="noConversion"/>
  </si>
  <si>
    <t>253-3</t>
    <phoneticPr fontId="12" type="noConversion"/>
  </si>
  <si>
    <t>249-5</t>
    <phoneticPr fontId="12" type="noConversion"/>
  </si>
  <si>
    <t>249-6</t>
    <phoneticPr fontId="12" type="noConversion"/>
  </si>
  <si>
    <t>286-82</t>
    <phoneticPr fontId="12" type="noConversion"/>
  </si>
  <si>
    <t>잡</t>
    <phoneticPr fontId="12" type="noConversion"/>
  </si>
  <si>
    <t>286-83</t>
    <phoneticPr fontId="12" type="noConversion"/>
  </si>
  <si>
    <t>286-8</t>
    <phoneticPr fontId="12" type="noConversion"/>
  </si>
  <si>
    <t>286-52</t>
    <phoneticPr fontId="12" type="noConversion"/>
  </si>
  <si>
    <t>이희순</t>
    <phoneticPr fontId="12" type="noConversion"/>
  </si>
  <si>
    <t>서산시 부석면 강당리 469</t>
    <phoneticPr fontId="12" type="noConversion"/>
  </si>
  <si>
    <t>이용구</t>
    <phoneticPr fontId="12" type="noConversion"/>
  </si>
  <si>
    <t xml:space="preserve">이용구 </t>
    <phoneticPr fontId="12" type="noConversion"/>
  </si>
  <si>
    <t>방산갑순</t>
    <phoneticPr fontId="12" type="noConversion"/>
  </si>
  <si>
    <t>서산시 부석면 봉락리 182</t>
    <phoneticPr fontId="12" type="noConversion"/>
  </si>
  <si>
    <t>이종천</t>
    <phoneticPr fontId="12" type="noConversion"/>
  </si>
  <si>
    <t>서산시 부석면 봉락리 88</t>
    <phoneticPr fontId="12" type="noConversion"/>
  </si>
  <si>
    <t>서산시 부석면 마룡리 115</t>
    <phoneticPr fontId="12" type="noConversion"/>
  </si>
  <si>
    <t xml:space="preserve">지용선 </t>
    <phoneticPr fontId="12" type="noConversion"/>
  </si>
  <si>
    <t>경기도 부천시 원미동 186</t>
    <phoneticPr fontId="12" type="noConversion"/>
  </si>
  <si>
    <t>246-4</t>
    <phoneticPr fontId="12" type="noConversion"/>
  </si>
  <si>
    <t>소  계</t>
    <phoneticPr fontId="12" type="noConversion"/>
  </si>
  <si>
    <t>332-4</t>
    <phoneticPr fontId="12" type="noConversion"/>
  </si>
  <si>
    <t>282-2</t>
    <phoneticPr fontId="12" type="noConversion"/>
  </si>
  <si>
    <t>당초</t>
    <phoneticPr fontId="12" type="noConversion"/>
  </si>
  <si>
    <t>변경</t>
    <phoneticPr fontId="12" type="noConversion"/>
  </si>
  <si>
    <t>당초 소유자</t>
    <phoneticPr fontId="12" type="noConversion"/>
  </si>
  <si>
    <t>420-11</t>
    <phoneticPr fontId="12" type="noConversion"/>
  </si>
  <si>
    <t>420-15</t>
    <phoneticPr fontId="12" type="noConversion"/>
  </si>
  <si>
    <t>420-14</t>
    <phoneticPr fontId="12" type="noConversion"/>
  </si>
  <si>
    <t>420-16</t>
    <phoneticPr fontId="12" type="noConversion"/>
  </si>
  <si>
    <t>분할전</t>
    <phoneticPr fontId="12" type="noConversion"/>
  </si>
  <si>
    <t>분할후</t>
    <phoneticPr fontId="12" type="noConversion"/>
  </si>
  <si>
    <t>증감</t>
    <phoneticPr fontId="12" type="noConversion"/>
  </si>
  <si>
    <t>용  지  조  서</t>
    <phoneticPr fontId="12" type="noConversion"/>
  </si>
  <si>
    <t>서산시 부석면 봉락리</t>
    <phoneticPr fontId="12" type="noConversion"/>
  </si>
  <si>
    <t>변경</t>
    <phoneticPr fontId="12" type="noConversion"/>
  </si>
  <si>
    <t>임</t>
    <phoneticPr fontId="12" type="noConversion"/>
  </si>
  <si>
    <t>공</t>
    <phoneticPr fontId="12" type="noConversion"/>
  </si>
  <si>
    <t>전</t>
    <phoneticPr fontId="12" type="noConversion"/>
  </si>
  <si>
    <t>국</t>
    <phoneticPr fontId="12" type="noConversion"/>
  </si>
  <si>
    <t>대</t>
    <phoneticPr fontId="12" type="noConversion"/>
  </si>
  <si>
    <t>가</t>
    <phoneticPr fontId="12" type="noConversion"/>
  </si>
  <si>
    <t>이희철</t>
    <phoneticPr fontId="12" type="noConversion"/>
  </si>
  <si>
    <t>서산시 예천동 524-5 
현대@ 103-901</t>
    <phoneticPr fontId="12" type="noConversion"/>
  </si>
  <si>
    <t>잡</t>
    <phoneticPr fontId="12" type="noConversion"/>
  </si>
  <si>
    <t>전</t>
    <phoneticPr fontId="12" type="noConversion"/>
  </si>
  <si>
    <t>도</t>
    <phoneticPr fontId="12" type="noConversion"/>
  </si>
  <si>
    <t>국토해양부</t>
    <phoneticPr fontId="12" type="noConversion"/>
  </si>
  <si>
    <t>대</t>
    <phoneticPr fontId="12" type="noConversion"/>
  </si>
  <si>
    <t>답</t>
    <phoneticPr fontId="12" type="noConversion"/>
  </si>
  <si>
    <t>유희곤
 외5인</t>
    <phoneticPr fontId="12" type="noConversion"/>
  </si>
  <si>
    <t>박춘삼</t>
    <phoneticPr fontId="12" type="noConversion"/>
  </si>
  <si>
    <t>지제흠 
외3인</t>
    <phoneticPr fontId="12" type="noConversion"/>
  </si>
  <si>
    <t>이광우</t>
    <phoneticPr fontId="12" type="noConversion"/>
  </si>
  <si>
    <t>임</t>
    <phoneticPr fontId="12" type="noConversion"/>
  </si>
  <si>
    <t>서산시 부석면 칠전리</t>
    <phoneticPr fontId="12" type="noConversion"/>
  </si>
  <si>
    <t>유</t>
    <phoneticPr fontId="12" type="noConversion"/>
  </si>
  <si>
    <t>서산시 부석면 마룡리</t>
    <phoneticPr fontId="12" type="noConversion"/>
  </si>
  <si>
    <t>234-63</t>
    <phoneticPr fontId="12" type="noConversion"/>
  </si>
  <si>
    <t>234-58</t>
    <phoneticPr fontId="12" type="noConversion"/>
  </si>
  <si>
    <t>234-62</t>
    <phoneticPr fontId="12" type="noConversion"/>
  </si>
  <si>
    <t>234-64</t>
    <phoneticPr fontId="12" type="noConversion"/>
  </si>
  <si>
    <t>234-61</t>
    <phoneticPr fontId="12" type="noConversion"/>
  </si>
  <si>
    <t>234-59</t>
    <phoneticPr fontId="12" type="noConversion"/>
  </si>
  <si>
    <t>234-60</t>
    <phoneticPr fontId="12" type="noConversion"/>
  </si>
  <si>
    <t>234-57</t>
    <phoneticPr fontId="12" type="noConversion"/>
  </si>
  <si>
    <t>234-65</t>
    <phoneticPr fontId="12" type="noConversion"/>
  </si>
  <si>
    <t>234-67</t>
    <phoneticPr fontId="12" type="noConversion"/>
  </si>
  <si>
    <t>234-56</t>
    <phoneticPr fontId="12" type="noConversion"/>
  </si>
  <si>
    <t>244-3</t>
    <phoneticPr fontId="12" type="noConversion"/>
  </si>
  <si>
    <t>산43</t>
    <phoneticPr fontId="12" type="noConversion"/>
  </si>
  <si>
    <t>담양국씨
희량공파</t>
    <phoneticPr fontId="12" type="noConversion"/>
  </si>
  <si>
    <t>태안군 소원면 모항리 971</t>
    <phoneticPr fontId="12" type="noConversion"/>
  </si>
  <si>
    <t>250-14</t>
    <phoneticPr fontId="12" type="noConversion"/>
  </si>
  <si>
    <t>250-16</t>
    <phoneticPr fontId="12" type="noConversion"/>
  </si>
  <si>
    <t>250-15</t>
    <phoneticPr fontId="12" type="noConversion"/>
  </si>
  <si>
    <t>250-17</t>
    <phoneticPr fontId="12" type="noConversion"/>
  </si>
  <si>
    <t>250-19</t>
    <phoneticPr fontId="12" type="noConversion"/>
  </si>
  <si>
    <t>0-29</t>
    <phoneticPr fontId="12" type="noConversion"/>
  </si>
  <si>
    <t>250-18</t>
    <phoneticPr fontId="12" type="noConversion"/>
  </si>
  <si>
    <t>산93-31</t>
    <phoneticPr fontId="12" type="noConversion"/>
  </si>
  <si>
    <t>257-5</t>
    <phoneticPr fontId="12" type="noConversion"/>
  </si>
  <si>
    <t>257-6</t>
    <phoneticPr fontId="12" type="noConversion"/>
  </si>
  <si>
    <t>277-23</t>
    <phoneticPr fontId="12" type="noConversion"/>
  </si>
  <si>
    <t>277-21</t>
    <phoneticPr fontId="12" type="noConversion"/>
  </si>
  <si>
    <t>신정우
외1인</t>
    <phoneticPr fontId="12" type="noConversion"/>
  </si>
  <si>
    <t>인천시 남동구 구월동 1117-5</t>
    <phoneticPr fontId="12" type="noConversion"/>
  </si>
  <si>
    <t>277-22</t>
    <phoneticPr fontId="12" type="noConversion"/>
  </si>
  <si>
    <t xml:space="preserve">서산시  </t>
    <phoneticPr fontId="12" type="noConversion"/>
  </si>
  <si>
    <t>277-26</t>
    <phoneticPr fontId="12" type="noConversion"/>
  </si>
  <si>
    <t>786</t>
    <phoneticPr fontId="12" type="noConversion"/>
  </si>
  <si>
    <t>277-20</t>
    <phoneticPr fontId="12" type="noConversion"/>
  </si>
  <si>
    <t>278-1</t>
    <phoneticPr fontId="12" type="noConversion"/>
  </si>
  <si>
    <t>279-1</t>
    <phoneticPr fontId="12" type="noConversion"/>
  </si>
  <si>
    <t>산122-1</t>
    <phoneticPr fontId="12" type="noConversion"/>
  </si>
  <si>
    <t>산123-1</t>
    <phoneticPr fontId="12" type="noConversion"/>
  </si>
  <si>
    <t>산122-2</t>
    <phoneticPr fontId="12" type="noConversion"/>
  </si>
  <si>
    <t>421-11</t>
    <phoneticPr fontId="12" type="noConversion"/>
  </si>
  <si>
    <t>421-12</t>
    <phoneticPr fontId="12" type="noConversion"/>
  </si>
  <si>
    <t>421-13</t>
    <phoneticPr fontId="12" type="noConversion"/>
  </si>
  <si>
    <t>산125-1</t>
    <phoneticPr fontId="12" type="noConversion"/>
  </si>
  <si>
    <t>420-2</t>
    <phoneticPr fontId="12" type="noConversion"/>
  </si>
  <si>
    <t>277-27</t>
    <phoneticPr fontId="12" type="noConversion"/>
  </si>
  <si>
    <t>277-28</t>
    <phoneticPr fontId="12" type="noConversion"/>
  </si>
  <si>
    <t>277-25</t>
    <phoneticPr fontId="12" type="noConversion"/>
  </si>
  <si>
    <t>277-5</t>
    <phoneticPr fontId="12" type="noConversion"/>
  </si>
  <si>
    <t>박윤흥</t>
    <phoneticPr fontId="12" type="noConversion"/>
  </si>
  <si>
    <t>마룡리 51</t>
    <phoneticPr fontId="12" type="noConversion"/>
  </si>
  <si>
    <t>280-2</t>
    <phoneticPr fontId="12" type="noConversion"/>
  </si>
  <si>
    <t>432-1</t>
    <phoneticPr fontId="12" type="noConversion"/>
  </si>
  <si>
    <t>430-1</t>
    <phoneticPr fontId="12" type="noConversion"/>
  </si>
  <si>
    <t>429-1</t>
    <phoneticPr fontId="12" type="noConversion"/>
  </si>
  <si>
    <t>423-1</t>
    <phoneticPr fontId="12" type="noConversion"/>
  </si>
  <si>
    <t>422-1</t>
    <phoneticPr fontId="12" type="noConversion"/>
  </si>
  <si>
    <t>624</t>
    <phoneticPr fontId="12" type="noConversion"/>
  </si>
  <si>
    <t>421-10</t>
    <phoneticPr fontId="12" type="noConversion"/>
  </si>
  <si>
    <t>479-4</t>
    <phoneticPr fontId="12" type="noConversion"/>
  </si>
  <si>
    <t>479-6</t>
    <phoneticPr fontId="12" type="noConversion"/>
  </si>
  <si>
    <t>1023-1</t>
    <phoneticPr fontId="12" type="noConversion"/>
  </si>
  <si>
    <t>645-12</t>
    <phoneticPr fontId="12" type="noConversion"/>
  </si>
  <si>
    <t>645-13</t>
    <phoneticPr fontId="12" type="noConversion"/>
  </si>
  <si>
    <t>645-14</t>
    <phoneticPr fontId="12" type="noConversion"/>
  </si>
  <si>
    <t>645-15</t>
    <phoneticPr fontId="12" type="noConversion"/>
  </si>
  <si>
    <t>645-16</t>
    <phoneticPr fontId="12" type="noConversion"/>
  </si>
  <si>
    <t>645-17</t>
    <phoneticPr fontId="12" type="noConversion"/>
  </si>
  <si>
    <t>645-18</t>
    <phoneticPr fontId="12" type="noConversion"/>
  </si>
  <si>
    <t>645-19</t>
    <phoneticPr fontId="12" type="noConversion"/>
  </si>
  <si>
    <t>645-20</t>
    <phoneticPr fontId="12" type="noConversion"/>
  </si>
  <si>
    <t>645-21</t>
    <phoneticPr fontId="12" type="noConversion"/>
  </si>
  <si>
    <t>645-22</t>
    <phoneticPr fontId="12" type="noConversion"/>
  </si>
  <si>
    <t>1032-1</t>
    <phoneticPr fontId="12" type="noConversion"/>
  </si>
  <si>
    <t>1029-1</t>
    <phoneticPr fontId="12" type="noConversion"/>
  </si>
  <si>
    <t>천</t>
    <phoneticPr fontId="12" type="noConversion"/>
  </si>
  <si>
    <t>644-10</t>
    <phoneticPr fontId="12" type="noConversion"/>
  </si>
  <si>
    <t>420-8</t>
    <phoneticPr fontId="12" type="noConversion"/>
  </si>
  <si>
    <t>479-3</t>
    <phoneticPr fontId="12" type="noConversion"/>
  </si>
  <si>
    <t>1030-1</t>
    <phoneticPr fontId="12" type="noConversion"/>
  </si>
  <si>
    <t>1031-1</t>
    <phoneticPr fontId="12" type="noConversion"/>
  </si>
  <si>
    <t>642-7</t>
    <phoneticPr fontId="12" type="noConversion"/>
  </si>
  <si>
    <t>642-8</t>
    <phoneticPr fontId="12" type="noConversion"/>
  </si>
  <si>
    <t>1035</t>
    <phoneticPr fontId="12" type="noConversion"/>
  </si>
  <si>
    <t>642-9</t>
    <phoneticPr fontId="12" type="noConversion"/>
  </si>
  <si>
    <t>642-10</t>
    <phoneticPr fontId="12" type="noConversion"/>
  </si>
  <si>
    <t>642-11</t>
    <phoneticPr fontId="12" type="noConversion"/>
  </si>
  <si>
    <t>642-12</t>
    <phoneticPr fontId="12" type="noConversion"/>
  </si>
  <si>
    <t>643-10</t>
    <phoneticPr fontId="12" type="noConversion"/>
  </si>
  <si>
    <t>644-11</t>
    <phoneticPr fontId="12" type="noConversion"/>
  </si>
  <si>
    <t>644-12</t>
    <phoneticPr fontId="12" type="noConversion"/>
  </si>
  <si>
    <t>644-13</t>
    <phoneticPr fontId="12" type="noConversion"/>
  </si>
  <si>
    <t>644-14</t>
    <phoneticPr fontId="12" type="noConversion"/>
  </si>
  <si>
    <t>644-15</t>
    <phoneticPr fontId="12" type="noConversion"/>
  </si>
  <si>
    <t>644-16</t>
    <phoneticPr fontId="12" type="noConversion"/>
  </si>
  <si>
    <t>644-17</t>
    <phoneticPr fontId="12" type="noConversion"/>
  </si>
  <si>
    <t>644-18</t>
    <phoneticPr fontId="12" type="noConversion"/>
  </si>
  <si>
    <t>1041-1</t>
    <phoneticPr fontId="12" type="noConversion"/>
  </si>
  <si>
    <t>742-7</t>
    <phoneticPr fontId="12" type="noConversion"/>
  </si>
  <si>
    <t>643-11</t>
    <phoneticPr fontId="12" type="noConversion"/>
  </si>
  <si>
    <t>643-12</t>
    <phoneticPr fontId="12" type="noConversion"/>
  </si>
  <si>
    <t>643-14</t>
    <phoneticPr fontId="12" type="noConversion"/>
  </si>
  <si>
    <t>1043</t>
    <phoneticPr fontId="12" type="noConversion"/>
  </si>
  <si>
    <t>1044</t>
    <phoneticPr fontId="12" type="noConversion"/>
  </si>
  <si>
    <t>643-15</t>
    <phoneticPr fontId="12" type="noConversion"/>
  </si>
  <si>
    <t>643-16</t>
    <phoneticPr fontId="12" type="noConversion"/>
  </si>
  <si>
    <t>643-17</t>
    <phoneticPr fontId="12" type="noConversion"/>
  </si>
  <si>
    <t>643-18</t>
    <phoneticPr fontId="12" type="noConversion"/>
  </si>
  <si>
    <t>1048-1</t>
    <phoneticPr fontId="12" type="noConversion"/>
  </si>
  <si>
    <t>716</t>
    <phoneticPr fontId="12" type="noConversion"/>
  </si>
  <si>
    <t>0-12</t>
    <phoneticPr fontId="12" type="noConversion"/>
  </si>
  <si>
    <t>산40-12</t>
    <phoneticPr fontId="12" type="noConversion"/>
  </si>
  <si>
    <t>산41-1</t>
    <phoneticPr fontId="12" type="noConversion"/>
  </si>
  <si>
    <t>산42-2</t>
    <phoneticPr fontId="12" type="noConversion"/>
  </si>
  <si>
    <t>산43-5</t>
    <phoneticPr fontId="12" type="noConversion"/>
  </si>
  <si>
    <t>793</t>
    <phoneticPr fontId="12" type="noConversion"/>
  </si>
  <si>
    <t>산47-1</t>
    <phoneticPr fontId="12" type="noConversion"/>
  </si>
  <si>
    <t>산93-14</t>
    <phoneticPr fontId="12" type="noConversion"/>
  </si>
  <si>
    <t>산93-15</t>
    <phoneticPr fontId="12" type="noConversion"/>
  </si>
  <si>
    <t>산92-2</t>
    <phoneticPr fontId="12" type="noConversion"/>
  </si>
  <si>
    <t>산93-16</t>
    <phoneticPr fontId="12" type="noConversion"/>
  </si>
  <si>
    <t>산92-3</t>
    <phoneticPr fontId="12" type="noConversion"/>
  </si>
  <si>
    <t>서산시 부석면 창리</t>
    <phoneticPr fontId="12" type="noConversion"/>
  </si>
  <si>
    <t>19-7</t>
    <phoneticPr fontId="12" type="noConversion"/>
  </si>
  <si>
    <t>19-9</t>
    <phoneticPr fontId="12" type="noConversion"/>
  </si>
  <si>
    <t>19-8</t>
    <phoneticPr fontId="12" type="noConversion"/>
  </si>
  <si>
    <t>산35-11</t>
    <phoneticPr fontId="12" type="noConversion"/>
  </si>
  <si>
    <t>산35-9</t>
    <phoneticPr fontId="12" type="noConversion"/>
  </si>
  <si>
    <t>15-8</t>
    <phoneticPr fontId="12" type="noConversion"/>
  </si>
  <si>
    <t>산34-3</t>
    <phoneticPr fontId="12" type="noConversion"/>
  </si>
  <si>
    <t>40-5</t>
    <phoneticPr fontId="12" type="noConversion"/>
  </si>
  <si>
    <t>14-11</t>
    <phoneticPr fontId="12" type="noConversion"/>
  </si>
  <si>
    <t>40-4</t>
    <phoneticPr fontId="12" type="noConversion"/>
  </si>
  <si>
    <t>산38-7</t>
    <phoneticPr fontId="12" type="noConversion"/>
  </si>
  <si>
    <t>40-6</t>
    <phoneticPr fontId="12" type="noConversion"/>
  </si>
  <si>
    <t>40-7</t>
    <phoneticPr fontId="12" type="noConversion"/>
  </si>
  <si>
    <t>20-3</t>
    <phoneticPr fontId="12" type="noConversion"/>
  </si>
  <si>
    <t>산36-1</t>
    <phoneticPr fontId="12" type="noConversion"/>
  </si>
  <si>
    <t>39-3</t>
    <phoneticPr fontId="12" type="noConversion"/>
  </si>
  <si>
    <t>39-5</t>
    <phoneticPr fontId="12" type="noConversion"/>
  </si>
  <si>
    <t>66-6</t>
    <phoneticPr fontId="12" type="noConversion"/>
  </si>
  <si>
    <t>66-10</t>
    <phoneticPr fontId="12" type="noConversion"/>
  </si>
  <si>
    <t>66-8</t>
    <phoneticPr fontId="12" type="noConversion"/>
  </si>
  <si>
    <t>66-12</t>
    <phoneticPr fontId="12" type="noConversion"/>
  </si>
  <si>
    <t>65-1</t>
    <phoneticPr fontId="12" type="noConversion"/>
  </si>
  <si>
    <t>70-2</t>
    <phoneticPr fontId="12" type="noConversion"/>
  </si>
  <si>
    <t>99-1</t>
    <phoneticPr fontId="12" type="noConversion"/>
  </si>
  <si>
    <t>98-1</t>
    <phoneticPr fontId="12" type="noConversion"/>
  </si>
  <si>
    <t>90-1</t>
    <phoneticPr fontId="12" type="noConversion"/>
  </si>
  <si>
    <t>89-1</t>
    <phoneticPr fontId="12" type="noConversion"/>
  </si>
  <si>
    <t>88-1</t>
    <phoneticPr fontId="12" type="noConversion"/>
  </si>
  <si>
    <t>89-2</t>
    <phoneticPr fontId="12" type="noConversion"/>
  </si>
  <si>
    <t>90-2</t>
    <phoneticPr fontId="12" type="noConversion"/>
  </si>
  <si>
    <t>91-1</t>
    <phoneticPr fontId="12" type="noConversion"/>
  </si>
  <si>
    <t>96-4</t>
    <phoneticPr fontId="12" type="noConversion"/>
  </si>
  <si>
    <t>96-5</t>
    <phoneticPr fontId="12" type="noConversion"/>
  </si>
  <si>
    <t>95-2</t>
    <phoneticPr fontId="12" type="noConversion"/>
  </si>
  <si>
    <t>96-6</t>
    <phoneticPr fontId="12" type="noConversion"/>
  </si>
  <si>
    <t>94-7</t>
    <phoneticPr fontId="12" type="noConversion"/>
  </si>
  <si>
    <t>94-8</t>
    <phoneticPr fontId="12" type="noConversion"/>
  </si>
  <si>
    <t>92-2</t>
    <phoneticPr fontId="12" type="noConversion"/>
  </si>
  <si>
    <t>92-3</t>
    <phoneticPr fontId="12" type="noConversion"/>
  </si>
  <si>
    <t>93-1</t>
    <phoneticPr fontId="12" type="noConversion"/>
  </si>
  <si>
    <t>81-17</t>
    <phoneticPr fontId="12" type="noConversion"/>
  </si>
  <si>
    <t>81-15</t>
    <phoneticPr fontId="12" type="noConversion"/>
  </si>
  <si>
    <t>81-8</t>
    <phoneticPr fontId="12" type="noConversion"/>
  </si>
  <si>
    <t>제</t>
    <phoneticPr fontId="12" type="noConversion"/>
  </si>
  <si>
    <t>231-33</t>
    <phoneticPr fontId="12" type="noConversion"/>
  </si>
  <si>
    <t>81-16</t>
    <phoneticPr fontId="12" type="noConversion"/>
  </si>
  <si>
    <t>39-6</t>
    <phoneticPr fontId="12" type="noConversion"/>
  </si>
  <si>
    <t>71-3</t>
    <phoneticPr fontId="12" type="noConversion"/>
  </si>
  <si>
    <t>71-4</t>
    <phoneticPr fontId="12" type="noConversion"/>
  </si>
  <si>
    <t>85-1</t>
    <phoneticPr fontId="12" type="noConversion"/>
  </si>
  <si>
    <t>87</t>
    <phoneticPr fontId="12" type="noConversion"/>
  </si>
  <si>
    <t>84-4</t>
    <phoneticPr fontId="12" type="noConversion"/>
  </si>
  <si>
    <t>81-12</t>
    <phoneticPr fontId="12" type="noConversion"/>
  </si>
  <si>
    <t>81-13</t>
    <phoneticPr fontId="12" type="noConversion"/>
  </si>
  <si>
    <t>81-14</t>
    <phoneticPr fontId="12" type="noConversion"/>
  </si>
  <si>
    <t>231-30</t>
    <phoneticPr fontId="12" type="noConversion"/>
  </si>
  <si>
    <t>231-31</t>
    <phoneticPr fontId="12" type="noConversion"/>
  </si>
  <si>
    <t>231-32</t>
    <phoneticPr fontId="12" type="noConversion"/>
  </si>
  <si>
    <t>212-21</t>
    <phoneticPr fontId="12" type="noConversion"/>
  </si>
  <si>
    <t>212-24</t>
    <phoneticPr fontId="12" type="noConversion"/>
  </si>
  <si>
    <t>237-4</t>
    <phoneticPr fontId="12" type="noConversion"/>
  </si>
  <si>
    <t>237-5</t>
    <phoneticPr fontId="12" type="noConversion"/>
  </si>
  <si>
    <t>212-19</t>
    <phoneticPr fontId="12" type="noConversion"/>
  </si>
  <si>
    <t>252-5</t>
    <phoneticPr fontId="12" type="noConversion"/>
  </si>
  <si>
    <t>252-8</t>
    <phoneticPr fontId="12" type="noConversion"/>
  </si>
  <si>
    <t>252-7</t>
    <phoneticPr fontId="12" type="noConversion"/>
  </si>
  <si>
    <t>252-6</t>
    <phoneticPr fontId="12" type="noConversion"/>
  </si>
  <si>
    <t>254-6</t>
    <phoneticPr fontId="12" type="noConversion"/>
  </si>
  <si>
    <t>253-2</t>
    <phoneticPr fontId="12" type="noConversion"/>
  </si>
  <si>
    <t>253-4</t>
    <phoneticPr fontId="12" type="noConversion"/>
  </si>
  <si>
    <t>251-1</t>
    <phoneticPr fontId="12" type="noConversion"/>
  </si>
  <si>
    <t>251-10</t>
    <phoneticPr fontId="12" type="noConversion"/>
  </si>
  <si>
    <t>248-15</t>
    <phoneticPr fontId="12" type="noConversion"/>
  </si>
  <si>
    <t>251-11</t>
    <phoneticPr fontId="12" type="noConversion"/>
  </si>
  <si>
    <t>251-2</t>
    <phoneticPr fontId="12" type="noConversion"/>
  </si>
  <si>
    <t>251-8</t>
    <phoneticPr fontId="12" type="noConversion"/>
  </si>
  <si>
    <t>251-12</t>
    <phoneticPr fontId="12" type="noConversion"/>
  </si>
  <si>
    <t>251-9</t>
    <phoneticPr fontId="12" type="noConversion"/>
  </si>
  <si>
    <t>332-2</t>
    <phoneticPr fontId="12" type="noConversion"/>
  </si>
  <si>
    <t>248-14</t>
    <phoneticPr fontId="12" type="noConversion"/>
  </si>
  <si>
    <t>332-7</t>
    <phoneticPr fontId="12" type="noConversion"/>
  </si>
  <si>
    <t>286-109</t>
    <phoneticPr fontId="12" type="noConversion"/>
  </si>
  <si>
    <t>332-8</t>
    <phoneticPr fontId="12" type="noConversion"/>
  </si>
  <si>
    <t>247-3</t>
    <phoneticPr fontId="12" type="noConversion"/>
  </si>
  <si>
    <t>231-35</t>
    <phoneticPr fontId="12" type="noConversion"/>
  </si>
  <si>
    <t>231-34</t>
    <phoneticPr fontId="12" type="noConversion"/>
  </si>
  <si>
    <t>227-1</t>
    <phoneticPr fontId="12" type="noConversion"/>
  </si>
  <si>
    <t>236-1</t>
    <phoneticPr fontId="12" type="noConversion"/>
  </si>
  <si>
    <t>237-3</t>
    <phoneticPr fontId="12" type="noConversion"/>
  </si>
  <si>
    <t>238-1</t>
    <phoneticPr fontId="12" type="noConversion"/>
  </si>
  <si>
    <t>240-1</t>
    <phoneticPr fontId="12" type="noConversion"/>
  </si>
  <si>
    <t>242-23</t>
    <phoneticPr fontId="12" type="noConversion"/>
  </si>
  <si>
    <t>242-26</t>
    <phoneticPr fontId="12" type="noConversion"/>
  </si>
  <si>
    <t>242-25</t>
    <phoneticPr fontId="12" type="noConversion"/>
  </si>
  <si>
    <t>242-22</t>
    <phoneticPr fontId="12" type="noConversion"/>
  </si>
  <si>
    <t>212-13</t>
    <phoneticPr fontId="12" type="noConversion"/>
  </si>
  <si>
    <t>212-12</t>
    <phoneticPr fontId="12" type="noConversion"/>
  </si>
  <si>
    <t>242-24</t>
    <phoneticPr fontId="12" type="noConversion"/>
  </si>
  <si>
    <t>산58-31</t>
    <phoneticPr fontId="12" type="noConversion"/>
  </si>
  <si>
    <t>산58-32</t>
    <phoneticPr fontId="12" type="noConversion"/>
  </si>
  <si>
    <t>251-3</t>
    <phoneticPr fontId="12" type="noConversion"/>
  </si>
  <si>
    <t>251-6</t>
    <phoneticPr fontId="12" type="noConversion"/>
  </si>
  <si>
    <t>249-7</t>
    <phoneticPr fontId="12" type="noConversion"/>
  </si>
  <si>
    <t>286-110</t>
    <phoneticPr fontId="12" type="noConversion"/>
  </si>
  <si>
    <t>산58-30</t>
    <phoneticPr fontId="12" type="noConversion"/>
  </si>
  <si>
    <t>334</t>
    <phoneticPr fontId="12" type="noConversion"/>
  </si>
  <si>
    <t>303-1</t>
    <phoneticPr fontId="12" type="noConversion"/>
  </si>
  <si>
    <t>332-1</t>
    <phoneticPr fontId="12" type="noConversion"/>
  </si>
  <si>
    <t>248-12</t>
    <phoneticPr fontId="12" type="noConversion"/>
  </si>
  <si>
    <t>250-1</t>
    <phoneticPr fontId="12" type="noConversion"/>
  </si>
  <si>
    <t>산60-9</t>
    <phoneticPr fontId="12" type="noConversion"/>
  </si>
  <si>
    <t>250</t>
    <phoneticPr fontId="12" type="noConversion"/>
  </si>
  <si>
    <t>248-6</t>
    <phoneticPr fontId="12" type="noConversion"/>
  </si>
  <si>
    <t>248-2</t>
    <phoneticPr fontId="12" type="noConversion"/>
  </si>
  <si>
    <t>332-5</t>
    <phoneticPr fontId="12" type="noConversion"/>
  </si>
  <si>
    <t>286-2</t>
    <phoneticPr fontId="12" type="noConversion"/>
  </si>
  <si>
    <t>286-81</t>
    <phoneticPr fontId="12" type="noConversion"/>
  </si>
  <si>
    <t>286-68</t>
    <phoneticPr fontId="12" type="noConversion"/>
  </si>
  <si>
    <t>247-2</t>
    <phoneticPr fontId="12" type="noConversion"/>
  </si>
  <si>
    <t>산46-2</t>
    <phoneticPr fontId="12" type="noConversion"/>
  </si>
  <si>
    <t>245-17</t>
    <phoneticPr fontId="12" type="noConversion"/>
  </si>
  <si>
    <t>248-11</t>
    <phoneticPr fontId="12" type="noConversion"/>
  </si>
  <si>
    <t>답</t>
    <phoneticPr fontId="12" type="noConversion"/>
  </si>
  <si>
    <t>임</t>
    <phoneticPr fontId="12" type="noConversion"/>
  </si>
  <si>
    <t>479-14</t>
    <phoneticPr fontId="12" type="noConversion"/>
  </si>
  <si>
    <t>742-6</t>
    <phoneticPr fontId="12" type="noConversion"/>
  </si>
  <si>
    <t>대</t>
    <phoneticPr fontId="12" type="noConversion"/>
  </si>
  <si>
    <t>19</t>
    <phoneticPr fontId="12" type="noConversion"/>
  </si>
  <si>
    <t>86-1</t>
    <phoneticPr fontId="12" type="noConversion"/>
  </si>
  <si>
    <t>643-13</t>
    <phoneticPr fontId="12" type="noConversion"/>
  </si>
  <si>
    <t>19-11</t>
    <phoneticPr fontId="12" type="noConversion"/>
  </si>
  <si>
    <t>19-12</t>
    <phoneticPr fontId="12" type="noConversion"/>
  </si>
  <si>
    <t>19-13</t>
    <phoneticPr fontId="12" type="noConversion"/>
  </si>
  <si>
    <t>공</t>
    <phoneticPr fontId="12" type="noConversion"/>
  </si>
  <si>
    <t>246-5</t>
    <phoneticPr fontId="12" type="noConversion"/>
  </si>
  <si>
    <t>246-2</t>
    <phoneticPr fontId="12" type="noConversion"/>
  </si>
  <si>
    <t>부석면 강당리 814</t>
    <phoneticPr fontId="12" type="noConversion"/>
  </si>
  <si>
    <t>서산시 읍내동 624-5 
부영@ 101-616</t>
    <phoneticPr fontId="12" type="noConversion"/>
  </si>
  <si>
    <t>봉락리 462</t>
    <phoneticPr fontId="12" type="noConversion"/>
  </si>
  <si>
    <t>인천 부평 십정 168-22 
대화빌라 라동 303</t>
    <phoneticPr fontId="12" type="noConversion"/>
  </si>
  <si>
    <t>서산시 부석면 봉락리 34</t>
    <phoneticPr fontId="12" type="noConversion"/>
  </si>
  <si>
    <t>이호출
 외1인</t>
    <phoneticPr fontId="12" type="noConversion"/>
  </si>
  <si>
    <t>지산영춘</t>
    <phoneticPr fontId="12" type="noConversion"/>
  </si>
  <si>
    <t>서산시 부석면 칠전리 98</t>
    <phoneticPr fontId="12" type="noConversion"/>
  </si>
  <si>
    <t>소  계</t>
    <phoneticPr fontId="12" type="noConversion"/>
  </si>
  <si>
    <t>국</t>
    <phoneticPr fontId="12" type="noConversion"/>
  </si>
  <si>
    <t>공</t>
    <phoneticPr fontId="12" type="noConversion"/>
  </si>
  <si>
    <t>국</t>
    <phoneticPr fontId="12" type="noConversion"/>
  </si>
  <si>
    <t>국</t>
    <phoneticPr fontId="12" type="noConversion"/>
  </si>
  <si>
    <t>공</t>
    <phoneticPr fontId="12" type="noConversion"/>
  </si>
  <si>
    <t>282-17</t>
    <phoneticPr fontId="12" type="noConversion"/>
  </si>
  <si>
    <t>251-17</t>
    <phoneticPr fontId="12" type="noConversion"/>
  </si>
  <si>
    <t>249-2</t>
    <phoneticPr fontId="12" type="noConversion"/>
  </si>
  <si>
    <t>286-101</t>
    <phoneticPr fontId="12" type="noConversion"/>
  </si>
  <si>
    <t>286-10</t>
    <phoneticPr fontId="12" type="noConversion"/>
  </si>
  <si>
    <t>81-9</t>
    <phoneticPr fontId="12" type="noConversion"/>
  </si>
  <si>
    <t>81-11</t>
    <phoneticPr fontId="12" type="noConversion"/>
  </si>
  <si>
    <t>92</t>
    <phoneticPr fontId="12" type="noConversion"/>
  </si>
  <si>
    <t>93</t>
    <phoneticPr fontId="12" type="noConversion"/>
  </si>
  <si>
    <t>산36-2</t>
    <phoneticPr fontId="12" type="noConversion"/>
  </si>
  <si>
    <t>변경</t>
    <phoneticPr fontId="5" type="noConversion"/>
  </si>
  <si>
    <t>(당초) 전체 편입용지 집계표</t>
    <phoneticPr fontId="5" type="noConversion"/>
  </si>
  <si>
    <t>(변경) 전체 편입용지 집계표</t>
    <phoneticPr fontId="5" type="noConversion"/>
  </si>
  <si>
    <t>(변경) 편 입 용 지 집 계 표</t>
    <phoneticPr fontId="5" type="noConversion"/>
  </si>
  <si>
    <t>전</t>
    <phoneticPr fontId="12" type="noConversion"/>
  </si>
  <si>
    <t>공</t>
  </si>
  <si>
    <t>충청남도</t>
  </si>
  <si>
    <t>186-4</t>
  </si>
  <si>
    <t>산9-11</t>
  </si>
  <si>
    <t>도</t>
  </si>
  <si>
    <t>산9-7</t>
  </si>
  <si>
    <t>215-10</t>
  </si>
  <si>
    <t>215-1</t>
  </si>
  <si>
    <t>대</t>
  </si>
  <si>
    <t>215-13</t>
  </si>
  <si>
    <t>803</t>
  </si>
  <si>
    <t>구</t>
  </si>
  <si>
    <t>200-1</t>
  </si>
  <si>
    <t>805</t>
  </si>
  <si>
    <t>215-5</t>
  </si>
  <si>
    <t>215-3</t>
  </si>
  <si>
    <t>215-4</t>
  </si>
  <si>
    <t>215-7</t>
  </si>
  <si>
    <t>216-3</t>
  </si>
  <si>
    <t>216-4</t>
  </si>
  <si>
    <t>216-2</t>
  </si>
  <si>
    <t>216-1</t>
  </si>
  <si>
    <t>186-2</t>
  </si>
  <si>
    <t>201-1</t>
  </si>
  <si>
    <t>246-1</t>
  </si>
  <si>
    <t>246-8</t>
  </si>
  <si>
    <t>203-1</t>
  </si>
  <si>
    <t>807</t>
  </si>
  <si>
    <t>산66-2</t>
  </si>
  <si>
    <t>289-3</t>
  </si>
  <si>
    <t>293-5</t>
  </si>
  <si>
    <t>293-3</t>
  </si>
  <si>
    <t>229</t>
  </si>
  <si>
    <t>유</t>
  </si>
  <si>
    <t>186-1</t>
  </si>
  <si>
    <t>800</t>
  </si>
  <si>
    <t>187-4</t>
  </si>
  <si>
    <t>187-3</t>
  </si>
  <si>
    <t>802</t>
  </si>
  <si>
    <t>188-1</t>
  </si>
  <si>
    <t>188-2</t>
  </si>
  <si>
    <t>188-3</t>
  </si>
  <si>
    <t>280-2</t>
  </si>
  <si>
    <t>280-4</t>
  </si>
  <si>
    <t>279-3</t>
  </si>
  <si>
    <t>279-4</t>
  </si>
  <si>
    <t>277-2</t>
  </si>
  <si>
    <t>276-2</t>
  </si>
  <si>
    <t>275-2</t>
  </si>
  <si>
    <t>274-1</t>
  </si>
  <si>
    <t>288-1</t>
  </si>
  <si>
    <t>231-1</t>
  </si>
  <si>
    <t>796</t>
  </si>
  <si>
    <t>231</t>
  </si>
  <si>
    <t>246-7</t>
  </si>
  <si>
    <t>산63-1</t>
  </si>
  <si>
    <t>688-5</t>
  </si>
  <si>
    <t>801</t>
  </si>
  <si>
    <t>이*구</t>
  </si>
  <si>
    <t>정*훈</t>
  </si>
  <si>
    <t>국</t>
  </si>
  <si>
    <t>농림수산식품부</t>
  </si>
  <si>
    <t>이*종선 외1</t>
  </si>
  <si>
    <t>국토해양부</t>
  </si>
  <si>
    <t>이*선</t>
  </si>
  <si>
    <t>이*식</t>
  </si>
  <si>
    <t>장*순</t>
  </si>
  <si>
    <t>박*희</t>
  </si>
  <si>
    <t>대두리저수지수리계</t>
  </si>
  <si>
    <t>우*수</t>
  </si>
  <si>
    <t>이*호</t>
  </si>
  <si>
    <t>이*섭</t>
  </si>
  <si>
    <t>유*동 외
3인</t>
  </si>
  <si>
    <t>고*옥</t>
  </si>
  <si>
    <t>이*숙</t>
  </si>
  <si>
    <t>박*숙</t>
  </si>
  <si>
    <t>이*설</t>
  </si>
  <si>
    <t>유*천</t>
  </si>
  <si>
    <t>오*임</t>
  </si>
  <si>
    <t>김*배</t>
  </si>
  <si>
    <t>현대건설㈜</t>
    <phoneticPr fontId="12" type="noConversion"/>
  </si>
  <si>
    <t>서울시 종로구 율곡로 75</t>
    <phoneticPr fontId="12" type="noConversion"/>
  </si>
  <si>
    <t>420-18</t>
    <phoneticPr fontId="12" type="noConversion"/>
  </si>
  <si>
    <t>충남 서산시 부석면 봉락리 182</t>
  </si>
  <si>
    <t>이남구 
외1인</t>
    <phoneticPr fontId="12" type="noConversion"/>
  </si>
  <si>
    <t>이*우</t>
  </si>
  <si>
    <t>서산시</t>
  </si>
  <si>
    <t>서울시 종로구 율곡로 75</t>
  </si>
  <si>
    <t>전국</t>
    <phoneticPr fontId="5" type="noConversion"/>
  </si>
  <si>
    <t>답국</t>
    <phoneticPr fontId="5" type="noConversion"/>
  </si>
  <si>
    <t>임국</t>
    <phoneticPr fontId="5" type="noConversion"/>
  </si>
  <si>
    <t>대국</t>
    <phoneticPr fontId="5" type="noConversion"/>
  </si>
  <si>
    <t>도국</t>
    <phoneticPr fontId="5" type="noConversion"/>
  </si>
  <si>
    <t>구국</t>
    <phoneticPr fontId="5" type="noConversion"/>
  </si>
  <si>
    <t>하국</t>
    <phoneticPr fontId="5" type="noConversion"/>
  </si>
  <si>
    <t>유국</t>
    <phoneticPr fontId="5" type="noConversion"/>
  </si>
  <si>
    <t>제국</t>
    <phoneticPr fontId="5" type="noConversion"/>
  </si>
  <si>
    <t>과국</t>
    <phoneticPr fontId="5" type="noConversion"/>
  </si>
  <si>
    <t>공국</t>
    <phoneticPr fontId="5" type="noConversion"/>
  </si>
  <si>
    <t>목국</t>
    <phoneticPr fontId="5" type="noConversion"/>
  </si>
  <si>
    <t>학국</t>
    <phoneticPr fontId="5" type="noConversion"/>
  </si>
  <si>
    <t>철국</t>
    <phoneticPr fontId="5" type="noConversion"/>
  </si>
  <si>
    <t>묘국</t>
    <phoneticPr fontId="5" type="noConversion"/>
  </si>
  <si>
    <t>수국</t>
    <phoneticPr fontId="5" type="noConversion"/>
  </si>
  <si>
    <t>잡국</t>
    <phoneticPr fontId="5" type="noConversion"/>
  </si>
  <si>
    <t>종국</t>
    <phoneticPr fontId="5" type="noConversion"/>
  </si>
  <si>
    <t>염국</t>
    <phoneticPr fontId="5" type="noConversion"/>
  </si>
  <si>
    <t>체국</t>
    <phoneticPr fontId="5" type="noConversion"/>
  </si>
  <si>
    <t>원국</t>
    <phoneticPr fontId="5" type="noConversion"/>
  </si>
  <si>
    <t>차국</t>
    <phoneticPr fontId="5" type="noConversion"/>
  </si>
  <si>
    <t>주국</t>
    <phoneticPr fontId="5" type="noConversion"/>
  </si>
  <si>
    <t>국</t>
    <phoneticPr fontId="5" type="noConversion"/>
  </si>
  <si>
    <t>하</t>
  </si>
  <si>
    <t>제</t>
  </si>
  <si>
    <t>과</t>
  </si>
  <si>
    <t>목</t>
  </si>
  <si>
    <t>학</t>
  </si>
  <si>
    <t>철</t>
  </si>
  <si>
    <t>묘</t>
  </si>
  <si>
    <t>수</t>
  </si>
  <si>
    <t>잡</t>
  </si>
  <si>
    <t>종</t>
  </si>
  <si>
    <t>염</t>
  </si>
  <si>
    <t>체</t>
  </si>
  <si>
    <t>원</t>
  </si>
  <si>
    <t>차</t>
  </si>
  <si>
    <t>주</t>
  </si>
  <si>
    <t>전공</t>
    <phoneticPr fontId="5" type="noConversion"/>
  </si>
  <si>
    <t>답공</t>
    <phoneticPr fontId="5" type="noConversion"/>
  </si>
  <si>
    <t>임공</t>
    <phoneticPr fontId="5" type="noConversion"/>
  </si>
  <si>
    <t>대공</t>
    <phoneticPr fontId="5" type="noConversion"/>
  </si>
  <si>
    <t>도공</t>
    <phoneticPr fontId="5" type="noConversion"/>
  </si>
  <si>
    <t>구공</t>
    <phoneticPr fontId="5" type="noConversion"/>
  </si>
  <si>
    <t>하공</t>
    <phoneticPr fontId="5" type="noConversion"/>
  </si>
  <si>
    <t>유공</t>
    <phoneticPr fontId="5" type="noConversion"/>
  </si>
  <si>
    <t>제공</t>
    <phoneticPr fontId="5" type="noConversion"/>
  </si>
  <si>
    <t>과공</t>
    <phoneticPr fontId="5" type="noConversion"/>
  </si>
  <si>
    <t>공공</t>
    <phoneticPr fontId="5" type="noConversion"/>
  </si>
  <si>
    <t>목공</t>
    <phoneticPr fontId="5" type="noConversion"/>
  </si>
  <si>
    <t>학공</t>
    <phoneticPr fontId="5" type="noConversion"/>
  </si>
  <si>
    <t>철공</t>
    <phoneticPr fontId="5" type="noConversion"/>
  </si>
  <si>
    <t>묘공</t>
    <phoneticPr fontId="5" type="noConversion"/>
  </si>
  <si>
    <t>수공</t>
    <phoneticPr fontId="5" type="noConversion"/>
  </si>
  <si>
    <t>잡공</t>
    <phoneticPr fontId="5" type="noConversion"/>
  </si>
  <si>
    <t>종공</t>
    <phoneticPr fontId="5" type="noConversion"/>
  </si>
  <si>
    <t>염공</t>
    <phoneticPr fontId="5" type="noConversion"/>
  </si>
  <si>
    <t>체공</t>
    <phoneticPr fontId="5" type="noConversion"/>
  </si>
  <si>
    <t>원공</t>
    <phoneticPr fontId="5" type="noConversion"/>
  </si>
  <si>
    <t>차공</t>
    <phoneticPr fontId="5" type="noConversion"/>
  </si>
  <si>
    <t>주공</t>
    <phoneticPr fontId="5" type="noConversion"/>
  </si>
  <si>
    <t>공</t>
    <phoneticPr fontId="5" type="noConversion"/>
  </si>
  <si>
    <t>가</t>
    <phoneticPr fontId="5" type="noConversion"/>
  </si>
  <si>
    <t>국</t>
    <phoneticPr fontId="5" type="noConversion"/>
  </si>
  <si>
    <t>국</t>
    <phoneticPr fontId="12" type="noConversion"/>
  </si>
  <si>
    <t>가국</t>
    <phoneticPr fontId="5" type="noConversion"/>
  </si>
  <si>
    <t>가공</t>
    <phoneticPr fontId="5" type="noConversion"/>
  </si>
  <si>
    <t>(당초) 편 입 용 지 집 계 표</t>
    <phoneticPr fontId="5" type="noConversion"/>
  </si>
  <si>
    <t>창</t>
    <phoneticPr fontId="5" type="noConversion"/>
  </si>
  <si>
    <t>창국</t>
    <phoneticPr fontId="5" type="noConversion"/>
  </si>
  <si>
    <t>창공</t>
    <phoneticPr fontId="5" type="noConversion"/>
  </si>
  <si>
    <t>천</t>
    <phoneticPr fontId="5" type="noConversion"/>
  </si>
  <si>
    <t>천국</t>
    <phoneticPr fontId="5" type="noConversion"/>
  </si>
  <si>
    <t>천공</t>
    <phoneticPr fontId="5" type="noConversion"/>
  </si>
  <si>
    <t>염전</t>
    <phoneticPr fontId="5" type="noConversion"/>
  </si>
  <si>
    <t>염</t>
    <phoneticPr fontId="5" type="noConversion"/>
  </si>
  <si>
    <t>변경</t>
    <phoneticPr fontId="12" type="noConversion"/>
  </si>
  <si>
    <t>804</t>
  </si>
  <si>
    <t>246-13</t>
  </si>
  <si>
    <t>246-14</t>
  </si>
  <si>
    <t>194-2</t>
  </si>
  <si>
    <t>194-4</t>
  </si>
  <si>
    <t>194-5</t>
  </si>
  <si>
    <t>193</t>
  </si>
  <si>
    <t>195-2</t>
  </si>
  <si>
    <t>217-2</t>
  </si>
  <si>
    <t>217-4</t>
  </si>
  <si>
    <t>688-10</t>
  </si>
  <si>
    <t>799</t>
  </si>
  <si>
    <t>229-2</t>
  </si>
  <si>
    <t>186-3</t>
  </si>
  <si>
    <t>186-5</t>
  </si>
  <si>
    <t>800-1</t>
  </si>
  <si>
    <t>801-1</t>
  </si>
  <si>
    <t>187-6</t>
  </si>
  <si>
    <t>187-5</t>
  </si>
  <si>
    <t>222-4</t>
  </si>
  <si>
    <t>223-1</t>
  </si>
  <si>
    <t>810</t>
  </si>
  <si>
    <t>188-4</t>
  </si>
  <si>
    <t>188-5</t>
  </si>
  <si>
    <t>802-1</t>
  </si>
  <si>
    <t>188-6</t>
  </si>
  <si>
    <t>280-7</t>
  </si>
  <si>
    <t>280-8</t>
  </si>
  <si>
    <t>279-7</t>
  </si>
  <si>
    <t>279-8</t>
  </si>
  <si>
    <t>277-4</t>
  </si>
  <si>
    <t>276-5</t>
  </si>
  <si>
    <t>275-5</t>
  </si>
  <si>
    <t>274-5</t>
  </si>
  <si>
    <t>288-5</t>
  </si>
  <si>
    <t>288-3</t>
  </si>
  <si>
    <t>288-2</t>
  </si>
  <si>
    <t>289-8</t>
  </si>
  <si>
    <t>293-9</t>
  </si>
  <si>
    <t>293-8</t>
  </si>
  <si>
    <t>689</t>
  </si>
  <si>
    <t>289-1</t>
  </si>
  <si>
    <t>산69-5</t>
  </si>
  <si>
    <t>산68-1</t>
  </si>
  <si>
    <t>293-10</t>
  </si>
  <si>
    <t>177-3</t>
  </si>
  <si>
    <t>195-1</t>
  </si>
  <si>
    <t>217-1</t>
  </si>
  <si>
    <t>217-3</t>
  </si>
  <si>
    <t>221-3</t>
  </si>
  <si>
    <t>221-1</t>
  </si>
  <si>
    <t>683</t>
  </si>
  <si>
    <t>220-2</t>
  </si>
  <si>
    <t>220-3</t>
  </si>
  <si>
    <t>219-3</t>
  </si>
  <si>
    <t>219-4</t>
  </si>
  <si>
    <t>222-2</t>
  </si>
  <si>
    <t>222-3</t>
  </si>
  <si>
    <t>223-2</t>
  </si>
  <si>
    <t>223-3</t>
  </si>
  <si>
    <t>207-1</t>
  </si>
  <si>
    <t>206-1</t>
  </si>
  <si>
    <t>684-1</t>
  </si>
  <si>
    <t>688-9</t>
  </si>
  <si>
    <t>246-4</t>
  </si>
  <si>
    <t>244-2</t>
  </si>
  <si>
    <t>243-1</t>
  </si>
  <si>
    <t>244-1</t>
  </si>
  <si>
    <t>246-5</t>
  </si>
  <si>
    <t>245-1</t>
  </si>
  <si>
    <t>246-2</t>
  </si>
  <si>
    <t>280-1</t>
  </si>
  <si>
    <t>280-5</t>
  </si>
  <si>
    <t>280-6</t>
  </si>
  <si>
    <t>279-5</t>
  </si>
  <si>
    <t>279-1</t>
  </si>
  <si>
    <t>279-2</t>
  </si>
  <si>
    <t>279-6</t>
  </si>
  <si>
    <t>277-1</t>
  </si>
  <si>
    <t>277-3</t>
  </si>
  <si>
    <t>276-1</t>
  </si>
  <si>
    <t>276-3</t>
  </si>
  <si>
    <t>276-4</t>
  </si>
  <si>
    <t>275-4</t>
  </si>
  <si>
    <t>275-3</t>
  </si>
  <si>
    <t>275-1</t>
  </si>
  <si>
    <t>274-4</t>
  </si>
  <si>
    <t>274-3</t>
  </si>
  <si>
    <t>274-2</t>
  </si>
  <si>
    <t>288-4</t>
  </si>
  <si>
    <t>산66-3</t>
  </si>
  <si>
    <t>289-6</t>
  </si>
  <si>
    <t>289-4</t>
  </si>
  <si>
    <t>289-7</t>
  </si>
  <si>
    <t>산68-2</t>
  </si>
  <si>
    <t>농림축산식품부</t>
  </si>
  <si>
    <t>강*훈</t>
  </si>
  <si>
    <t>한*우</t>
  </si>
  <si>
    <t>국토교통부</t>
  </si>
  <si>
    <t>국</t>
    <phoneticPr fontId="5" type="noConversion"/>
  </si>
  <si>
    <t>공</t>
    <phoneticPr fontId="5" type="noConversion"/>
  </si>
  <si>
    <t>194-6</t>
  </si>
  <si>
    <t>195-4</t>
  </si>
  <si>
    <t>215-23</t>
  </si>
  <si>
    <t>215-22</t>
  </si>
  <si>
    <t>215-24</t>
  </si>
  <si>
    <t>200-11</t>
  </si>
  <si>
    <t>216-5</t>
  </si>
  <si>
    <t>186-7</t>
  </si>
  <si>
    <t>201-8</t>
  </si>
  <si>
    <t>201-9</t>
  </si>
  <si>
    <t>246-15</t>
  </si>
  <si>
    <t>246-16</t>
  </si>
  <si>
    <t>203-7</t>
  </si>
  <si>
    <t>산66-4</t>
  </si>
  <si>
    <t>289-9</t>
  </si>
  <si>
    <t>293-11</t>
  </si>
  <si>
    <t>229-3</t>
  </si>
  <si>
    <t>186-6</t>
  </si>
  <si>
    <t>187-8</t>
  </si>
  <si>
    <t>187-7</t>
  </si>
  <si>
    <t>188-7</t>
  </si>
  <si>
    <t>188-8</t>
  </si>
  <si>
    <t>188-9</t>
  </si>
  <si>
    <t>280-9</t>
  </si>
  <si>
    <t>280-10</t>
  </si>
  <si>
    <t>279-9</t>
  </si>
  <si>
    <t>276-6</t>
  </si>
  <si>
    <t>275-6</t>
  </si>
  <si>
    <t>274-6</t>
  </si>
  <si>
    <t>288-6</t>
  </si>
  <si>
    <t>231-3</t>
  </si>
  <si>
    <t>106-6</t>
  </si>
  <si>
    <t>106-7</t>
  </si>
  <si>
    <t>산87-5</t>
  </si>
  <si>
    <t>108-7</t>
  </si>
  <si>
    <t>155-4</t>
  </si>
  <si>
    <t>154-5</t>
  </si>
  <si>
    <t>154-6</t>
  </si>
  <si>
    <t>153-7</t>
  </si>
  <si>
    <t>184-6</t>
  </si>
  <si>
    <t>153-8</t>
  </si>
  <si>
    <t>153-6</t>
  </si>
  <si>
    <t>180-13</t>
  </si>
  <si>
    <t>0-2</t>
  </si>
  <si>
    <t>153-9</t>
  </si>
  <si>
    <t>153-5</t>
  </si>
  <si>
    <t>184-8</t>
  </si>
  <si>
    <t>184-9</t>
  </si>
  <si>
    <t>189-9</t>
  </si>
  <si>
    <t>189-8</t>
  </si>
  <si>
    <t>106-5</t>
  </si>
  <si>
    <t>110-4</t>
  </si>
  <si>
    <t>150-7</t>
  </si>
  <si>
    <t>150-8</t>
  </si>
  <si>
    <t>151-7</t>
  </si>
  <si>
    <t>151-8</t>
  </si>
  <si>
    <t>138-4</t>
  </si>
  <si>
    <t>406-3</t>
  </si>
  <si>
    <t>407-6</t>
  </si>
  <si>
    <t>407-2</t>
  </si>
  <si>
    <t>407-3</t>
  </si>
  <si>
    <t>405-6</t>
  </si>
  <si>
    <t>405-3</t>
  </si>
  <si>
    <t>404-5</t>
  </si>
  <si>
    <t>1137-1</t>
  </si>
  <si>
    <t>250-20</t>
  </si>
  <si>
    <t>1138-1</t>
  </si>
  <si>
    <t>1139-1</t>
  </si>
  <si>
    <t>141-7</t>
  </si>
  <si>
    <t>139-4</t>
  </si>
  <si>
    <t>409-8</t>
  </si>
  <si>
    <t>409-7</t>
  </si>
  <si>
    <t>409-9</t>
  </si>
  <si>
    <t>408-7</t>
  </si>
  <si>
    <t>408-8</t>
  </si>
  <si>
    <t>413-1</t>
  </si>
  <si>
    <t>1133-3</t>
  </si>
  <si>
    <t>411-2</t>
  </si>
  <si>
    <t>1133-1</t>
  </si>
  <si>
    <t>450-25</t>
  </si>
  <si>
    <t>450-23</t>
  </si>
  <si>
    <t>450-21</t>
  </si>
  <si>
    <t>450-19</t>
  </si>
  <si>
    <t>450-18</t>
  </si>
  <si>
    <t>450-17</t>
  </si>
  <si>
    <t>1133-4</t>
  </si>
  <si>
    <t>852-34</t>
  </si>
  <si>
    <t>421-3</t>
  </si>
  <si>
    <t>421-5</t>
  </si>
  <si>
    <t>425-1</t>
  </si>
  <si>
    <t>426-5</t>
  </si>
  <si>
    <t>426-4</t>
  </si>
  <si>
    <t>430-2</t>
  </si>
  <si>
    <t>429</t>
  </si>
  <si>
    <t>1136-1</t>
  </si>
  <si>
    <t>370-2</t>
  </si>
  <si>
    <t>852-32</t>
  </si>
  <si>
    <t>369-1</t>
  </si>
  <si>
    <t>371-1</t>
  </si>
  <si>
    <t>373-1</t>
  </si>
  <si>
    <t>368-1</t>
  </si>
  <si>
    <t>368-2</t>
  </si>
  <si>
    <t>865</t>
  </si>
  <si>
    <t>362-3</t>
  </si>
  <si>
    <t>363-1</t>
  </si>
  <si>
    <t>353-3</t>
  </si>
  <si>
    <t>355-1</t>
  </si>
  <si>
    <t>354-1</t>
  </si>
  <si>
    <t>353-4</t>
  </si>
  <si>
    <t>352-5</t>
  </si>
  <si>
    <t>351-1</t>
  </si>
  <si>
    <t>350-6</t>
  </si>
  <si>
    <t>295-11</t>
  </si>
  <si>
    <t>295-9</t>
  </si>
  <si>
    <t>1150-1</t>
  </si>
  <si>
    <t>1152-1</t>
  </si>
  <si>
    <t>산86-2</t>
  </si>
  <si>
    <t>산86-1</t>
  </si>
  <si>
    <t>114-1</t>
  </si>
  <si>
    <t>114-3</t>
  </si>
  <si>
    <t>산87-6</t>
  </si>
  <si>
    <t>산87-4</t>
  </si>
  <si>
    <t>109-2</t>
  </si>
  <si>
    <t>109-1</t>
  </si>
  <si>
    <t>108-5</t>
  </si>
  <si>
    <t>108-3</t>
  </si>
  <si>
    <t>155-3</t>
  </si>
  <si>
    <t>155-2</t>
  </si>
  <si>
    <t>154-2</t>
  </si>
  <si>
    <t>154-3</t>
  </si>
  <si>
    <t>152-3</t>
  </si>
  <si>
    <t>152-2</t>
  </si>
  <si>
    <t>153-2</t>
  </si>
  <si>
    <t>산74-3</t>
  </si>
  <si>
    <t>115-1</t>
  </si>
  <si>
    <t>858</t>
  </si>
  <si>
    <t>114-2</t>
  </si>
  <si>
    <t>110-3</t>
  </si>
  <si>
    <t>110-1</t>
  </si>
  <si>
    <t>150-2</t>
  </si>
  <si>
    <t>150-6</t>
  </si>
  <si>
    <t>150-1</t>
  </si>
  <si>
    <t>150-5</t>
  </si>
  <si>
    <t>857</t>
  </si>
  <si>
    <t>859</t>
  </si>
  <si>
    <t>151-1</t>
  </si>
  <si>
    <t>151-3</t>
  </si>
  <si>
    <t>산75-5</t>
  </si>
  <si>
    <t>산75-6</t>
  </si>
  <si>
    <t>산75-7</t>
  </si>
  <si>
    <t>0-1</t>
  </si>
  <si>
    <t>0-5</t>
  </si>
  <si>
    <t>141-2</t>
  </si>
  <si>
    <t>138-3</t>
  </si>
  <si>
    <t>138-2</t>
  </si>
  <si>
    <t>407-4</t>
  </si>
  <si>
    <t>405-2</t>
  </si>
  <si>
    <t>400-3</t>
  </si>
  <si>
    <t>404-2</t>
  </si>
  <si>
    <t>400-2</t>
  </si>
  <si>
    <t>399-3</t>
  </si>
  <si>
    <t>399-2</t>
  </si>
  <si>
    <t>398-2</t>
  </si>
  <si>
    <t>396-3</t>
  </si>
  <si>
    <t>396-2</t>
  </si>
  <si>
    <t>852-8</t>
  </si>
  <si>
    <t>139-2</t>
  </si>
  <si>
    <t>409-4</t>
  </si>
  <si>
    <t>409-3</t>
  </si>
  <si>
    <t>408-2</t>
  </si>
  <si>
    <t>413-2</t>
  </si>
  <si>
    <t>408-6</t>
  </si>
  <si>
    <t>417-2</t>
  </si>
  <si>
    <t>414-1</t>
  </si>
  <si>
    <t>855</t>
  </si>
  <si>
    <t>418-1</t>
  </si>
  <si>
    <t>106-15</t>
  </si>
  <si>
    <t>115-3</t>
  </si>
  <si>
    <t>산89-3</t>
  </si>
  <si>
    <t>창</t>
  </si>
  <si>
    <t>가</t>
  </si>
  <si>
    <t>임*숙</t>
  </si>
  <si>
    <t>박*삼</t>
  </si>
  <si>
    <t>현대건설㈜</t>
  </si>
  <si>
    <t>7-3</t>
  </si>
  <si>
    <t>6-4</t>
  </si>
  <si>
    <t>35-1</t>
  </si>
  <si>
    <t>35-2</t>
  </si>
  <si>
    <t>33-16</t>
  </si>
  <si>
    <t>33-19</t>
  </si>
  <si>
    <t>33-20</t>
  </si>
  <si>
    <t>679-1</t>
  </si>
  <si>
    <t>304-1</t>
  </si>
  <si>
    <t>304-3</t>
  </si>
  <si>
    <t>681-1</t>
  </si>
  <si>
    <t>11-2</t>
  </si>
  <si>
    <t>12-10</t>
  </si>
  <si>
    <t>12-12</t>
  </si>
  <si>
    <t>14-6</t>
  </si>
  <si>
    <t>14-7</t>
  </si>
  <si>
    <t>14-9</t>
  </si>
  <si>
    <t>16-1</t>
  </si>
  <si>
    <t>230-9</t>
  </si>
  <si>
    <t>231-4</t>
  </si>
  <si>
    <t>230-10</t>
  </si>
  <si>
    <t>229-5</t>
  </si>
  <si>
    <t>558-7</t>
  </si>
  <si>
    <t>690-1</t>
  </si>
  <si>
    <t>307-5</t>
  </si>
  <si>
    <t>307-6</t>
  </si>
  <si>
    <t>691-1</t>
  </si>
  <si>
    <t>34</t>
  </si>
  <si>
    <t>9-1</t>
  </si>
  <si>
    <t>33-18</t>
  </si>
  <si>
    <t>11-3</t>
  </si>
  <si>
    <t>684</t>
  </si>
  <si>
    <t>682-1</t>
  </si>
  <si>
    <t>15-1</t>
  </si>
  <si>
    <t>230-6</t>
  </si>
  <si>
    <t>229-6</t>
  </si>
  <si>
    <t>689-1</t>
  </si>
  <si>
    <t>559-6</t>
  </si>
  <si>
    <t>560-3</t>
  </si>
  <si>
    <t>560-6</t>
  </si>
  <si>
    <t>224-1</t>
  </si>
  <si>
    <t>225</t>
  </si>
  <si>
    <t>221-4</t>
  </si>
  <si>
    <t>153-13</t>
  </si>
  <si>
    <t>225-27</t>
  </si>
  <si>
    <t>225-4</t>
  </si>
  <si>
    <t>225-28</t>
  </si>
  <si>
    <t>225-29</t>
  </si>
  <si>
    <t>225-26</t>
  </si>
  <si>
    <t>225-30</t>
  </si>
  <si>
    <t>232-16</t>
  </si>
  <si>
    <t>232-23</t>
  </si>
  <si>
    <t>232-3</t>
  </si>
  <si>
    <t>232-19</t>
  </si>
  <si>
    <t>232-22</t>
  </si>
  <si>
    <t>232-11</t>
  </si>
  <si>
    <t>232-15</t>
  </si>
  <si>
    <t>233-2</t>
  </si>
  <si>
    <t>233-11</t>
  </si>
  <si>
    <t>233-3</t>
  </si>
  <si>
    <t>232-13</t>
  </si>
  <si>
    <t>산51</t>
  </si>
  <si>
    <t>670-1</t>
  </si>
  <si>
    <t>251-2</t>
  </si>
  <si>
    <t>산52-1</t>
  </si>
  <si>
    <t>250-4</t>
  </si>
  <si>
    <t>256-4</t>
  </si>
  <si>
    <t>256-5</t>
  </si>
  <si>
    <t>257-7</t>
  </si>
  <si>
    <t>257-6</t>
  </si>
  <si>
    <t>671-1</t>
  </si>
  <si>
    <t>263-8</t>
  </si>
  <si>
    <t>263-9</t>
  </si>
  <si>
    <t>672-1</t>
  </si>
  <si>
    <t>673-1</t>
  </si>
  <si>
    <t>375-1</t>
  </si>
  <si>
    <t>362-1</t>
  </si>
  <si>
    <t>363-6</t>
  </si>
  <si>
    <t>363-13</t>
  </si>
  <si>
    <t>559-4</t>
  </si>
  <si>
    <t>559-5</t>
  </si>
  <si>
    <t>687</t>
  </si>
  <si>
    <t>559-7</t>
  </si>
  <si>
    <t>686</t>
  </si>
  <si>
    <t>693</t>
  </si>
  <si>
    <t>694</t>
  </si>
  <si>
    <t>232-20</t>
  </si>
  <si>
    <t>232-8</t>
  </si>
  <si>
    <t>232-21</t>
  </si>
  <si>
    <t>253-8</t>
  </si>
  <si>
    <t>260-8</t>
  </si>
  <si>
    <t>260-9</t>
  </si>
  <si>
    <t>260-10</t>
  </si>
  <si>
    <t>260-11</t>
  </si>
  <si>
    <t>260-12</t>
  </si>
  <si>
    <t>260-13</t>
  </si>
  <si>
    <t>571</t>
  </si>
  <si>
    <t>666-1</t>
  </si>
  <si>
    <t>261-7</t>
  </si>
  <si>
    <t>363-15</t>
  </si>
  <si>
    <t>363-16</t>
  </si>
  <si>
    <t>363-14</t>
  </si>
  <si>
    <t>362-4</t>
  </si>
  <si>
    <t>361-9</t>
  </si>
  <si>
    <t>361-5</t>
  </si>
  <si>
    <t>361-8</t>
  </si>
  <si>
    <t>361-6</t>
  </si>
  <si>
    <t>351-5</t>
  </si>
  <si>
    <t>359-4</t>
  </si>
  <si>
    <t>361-4</t>
  </si>
  <si>
    <t>361-3</t>
  </si>
  <si>
    <t>359-3</t>
  </si>
  <si>
    <t>361-7</t>
  </si>
  <si>
    <t>359-2</t>
  </si>
  <si>
    <t>351-7</t>
  </si>
  <si>
    <t>351-8</t>
  </si>
  <si>
    <t>352-1</t>
  </si>
  <si>
    <t>352-2</t>
  </si>
  <si>
    <t>351-9</t>
  </si>
  <si>
    <t>350-7</t>
  </si>
  <si>
    <t>348-8</t>
  </si>
  <si>
    <t>348-9</t>
  </si>
  <si>
    <t>346-4</t>
  </si>
  <si>
    <t>345-7</t>
  </si>
  <si>
    <t>345-6</t>
  </si>
  <si>
    <t>345-9</t>
  </si>
  <si>
    <t>345-10</t>
  </si>
  <si>
    <t>261-8</t>
  </si>
  <si>
    <t>261-9</t>
  </si>
  <si>
    <t>666-3</t>
  </si>
  <si>
    <t>665-1</t>
  </si>
  <si>
    <t>386-3</t>
  </si>
  <si>
    <t>463-4</t>
  </si>
  <si>
    <t>463-3</t>
  </si>
  <si>
    <t>479-4</t>
  </si>
  <si>
    <t>479-6</t>
  </si>
  <si>
    <t>581</t>
  </si>
  <si>
    <t>산111</t>
  </si>
  <si>
    <t>479-7</t>
  </si>
  <si>
    <t>480-13</t>
  </si>
  <si>
    <t>480-14</t>
  </si>
  <si>
    <t>480-15</t>
  </si>
  <si>
    <t>480-17</t>
  </si>
  <si>
    <t>485-4</t>
  </si>
  <si>
    <t>485-5</t>
  </si>
  <si>
    <t>233-9</t>
  </si>
  <si>
    <t>233-5</t>
  </si>
  <si>
    <t>233-6</t>
  </si>
  <si>
    <t>233-10</t>
  </si>
  <si>
    <t>산50-16</t>
  </si>
  <si>
    <t>578</t>
  </si>
  <si>
    <t>산51-2</t>
  </si>
  <si>
    <t>산51-1</t>
  </si>
  <si>
    <t>산52</t>
  </si>
  <si>
    <t>251-4</t>
  </si>
  <si>
    <t>251-3</t>
  </si>
  <si>
    <t>251-1</t>
  </si>
  <si>
    <t>산52-2</t>
  </si>
  <si>
    <t>570</t>
  </si>
  <si>
    <t>산53-17</t>
  </si>
  <si>
    <t>241-5</t>
  </si>
  <si>
    <t>산53-18</t>
  </si>
  <si>
    <t>산53-19</t>
  </si>
  <si>
    <t>255-1</t>
  </si>
  <si>
    <t>255-2</t>
  </si>
  <si>
    <t>256-3</t>
  </si>
  <si>
    <t>256-2</t>
  </si>
  <si>
    <t>257-2</t>
  </si>
  <si>
    <t>257-4</t>
  </si>
  <si>
    <t>254-2</t>
  </si>
  <si>
    <t>258-2</t>
  </si>
  <si>
    <t>376-1</t>
  </si>
  <si>
    <t>570-2</t>
  </si>
  <si>
    <t>377-1</t>
  </si>
  <si>
    <t>254-9</t>
  </si>
  <si>
    <t>383-2</t>
  </si>
  <si>
    <t>258-4</t>
  </si>
  <si>
    <t>383-3</t>
  </si>
  <si>
    <t>363-10</t>
  </si>
  <si>
    <t>363-11</t>
  </si>
  <si>
    <t>362-2</t>
  </si>
  <si>
    <t>363-5</t>
  </si>
  <si>
    <t>363-12</t>
  </si>
  <si>
    <t>362-5</t>
  </si>
  <si>
    <t>361-2</t>
  </si>
  <si>
    <t>351-2</t>
  </si>
  <si>
    <t>384-2</t>
  </si>
  <si>
    <t>384-3</t>
  </si>
  <si>
    <t>351-6</t>
  </si>
  <si>
    <t>570-4</t>
  </si>
  <si>
    <t>350-4</t>
  </si>
  <si>
    <t>350-5</t>
  </si>
  <si>
    <t>350-2</t>
  </si>
  <si>
    <t>348-6</t>
  </si>
  <si>
    <t>348-3</t>
  </si>
  <si>
    <t>348-7</t>
  </si>
  <si>
    <t>346-1</t>
  </si>
  <si>
    <t>346-3</t>
  </si>
  <si>
    <t>산93-2</t>
  </si>
  <si>
    <t>산92-1</t>
  </si>
  <si>
    <t>산94-9</t>
  </si>
  <si>
    <t>산90-3</t>
  </si>
  <si>
    <t>산89-1</t>
  </si>
  <si>
    <t>산88-1</t>
  </si>
  <si>
    <t>산110-1</t>
  </si>
  <si>
    <t>산112-6</t>
  </si>
  <si>
    <t>산87-1</t>
  </si>
  <si>
    <t>산111-1</t>
  </si>
  <si>
    <t>산113-6</t>
  </si>
  <si>
    <t>480-2</t>
  </si>
  <si>
    <t>480-3</t>
  </si>
  <si>
    <t>산113-4</t>
  </si>
  <si>
    <t>산113-5</t>
  </si>
  <si>
    <t>산118-2</t>
  </si>
  <si>
    <t>217-12</t>
  </si>
  <si>
    <t>김*예</t>
  </si>
  <si>
    <t>김*갑
 외2인</t>
  </si>
  <si>
    <t>김*균</t>
  </si>
  <si>
    <t>지*희</t>
  </si>
  <si>
    <t>지*국</t>
  </si>
  <si>
    <t>19-7</t>
  </si>
  <si>
    <t>19-11</t>
  </si>
  <si>
    <t>19-12</t>
  </si>
  <si>
    <t>19-13</t>
  </si>
  <si>
    <t>19-9</t>
  </si>
  <si>
    <t>19-8</t>
  </si>
  <si>
    <t>산35-11</t>
  </si>
  <si>
    <t>산35-9</t>
  </si>
  <si>
    <t>15-8</t>
  </si>
  <si>
    <t>산34-3</t>
  </si>
  <si>
    <t>40-5</t>
  </si>
  <si>
    <t>14-11</t>
  </si>
  <si>
    <t>40-4</t>
  </si>
  <si>
    <t>산38-7</t>
  </si>
  <si>
    <t>40-6</t>
  </si>
  <si>
    <t>40-7</t>
  </si>
  <si>
    <t>20-3</t>
  </si>
  <si>
    <t>산36-1</t>
  </si>
  <si>
    <t>39-3</t>
  </si>
  <si>
    <t>39-5</t>
  </si>
  <si>
    <t>66-6</t>
  </si>
  <si>
    <t>66-10</t>
  </si>
  <si>
    <t>66-8</t>
  </si>
  <si>
    <t>66-12</t>
  </si>
  <si>
    <t>65-1</t>
  </si>
  <si>
    <t>70-2</t>
  </si>
  <si>
    <t>99-1</t>
  </si>
  <si>
    <t>98-1</t>
  </si>
  <si>
    <t>90-1</t>
  </si>
  <si>
    <t>89-1</t>
  </si>
  <si>
    <t>88-1</t>
  </si>
  <si>
    <t>89-2</t>
  </si>
  <si>
    <t>90-2</t>
  </si>
  <si>
    <t>91-1</t>
  </si>
  <si>
    <t>96-4</t>
  </si>
  <si>
    <t>96-5</t>
  </si>
  <si>
    <t>95-2</t>
  </si>
  <si>
    <t>96-6</t>
  </si>
  <si>
    <t>94-7</t>
  </si>
  <si>
    <t>94-8</t>
  </si>
  <si>
    <t>92-2</t>
  </si>
  <si>
    <t>92-3</t>
  </si>
  <si>
    <t>93-1</t>
  </si>
  <si>
    <t>81-17</t>
  </si>
  <si>
    <t>81-15</t>
  </si>
  <si>
    <t>81-8</t>
  </si>
  <si>
    <t>231-33</t>
  </si>
  <si>
    <t>81-16</t>
  </si>
  <si>
    <t>39-6</t>
  </si>
  <si>
    <t>71-3</t>
  </si>
  <si>
    <t>71-4</t>
  </si>
  <si>
    <t>85-1</t>
  </si>
  <si>
    <t>87</t>
  </si>
  <si>
    <t>86-1</t>
  </si>
  <si>
    <t>84-4</t>
  </si>
  <si>
    <t>81-12</t>
  </si>
  <si>
    <t>81-13</t>
  </si>
  <si>
    <t>81-14</t>
  </si>
  <si>
    <t>231-30</t>
  </si>
  <si>
    <t>231-31</t>
  </si>
  <si>
    <t>231-32</t>
  </si>
  <si>
    <t>212-21</t>
  </si>
  <si>
    <t>212-24</t>
  </si>
  <si>
    <t>237-4</t>
  </si>
  <si>
    <t>237-5</t>
  </si>
  <si>
    <t>212-19</t>
  </si>
  <si>
    <t>252-5</t>
  </si>
  <si>
    <t>252-8</t>
  </si>
  <si>
    <t>252-7</t>
  </si>
  <si>
    <t>252-6</t>
  </si>
  <si>
    <t>254-6</t>
  </si>
  <si>
    <t>253-2</t>
  </si>
  <si>
    <t>253-4</t>
  </si>
  <si>
    <t>251-10</t>
  </si>
  <si>
    <t>248-15</t>
  </si>
  <si>
    <t>251-11</t>
  </si>
  <si>
    <t>251-8</t>
  </si>
  <si>
    <t>251-12</t>
  </si>
  <si>
    <t>251-9</t>
  </si>
  <si>
    <t>332-2</t>
  </si>
  <si>
    <t>248-14</t>
  </si>
  <si>
    <t>332-7</t>
  </si>
  <si>
    <t>286-109</t>
  </si>
  <si>
    <t>332-8</t>
  </si>
  <si>
    <t>247-3</t>
  </si>
  <si>
    <t>231-35</t>
  </si>
  <si>
    <t>231-34</t>
  </si>
  <si>
    <t>227-1</t>
  </si>
  <si>
    <t>236-1</t>
  </si>
  <si>
    <t>237-3</t>
  </si>
  <si>
    <t>238-1</t>
  </si>
  <si>
    <t>240-1</t>
  </si>
  <si>
    <t>242-23</t>
  </si>
  <si>
    <t>242-26</t>
  </si>
  <si>
    <t>242-25</t>
  </si>
  <si>
    <t>242-22</t>
  </si>
  <si>
    <t>212-13</t>
  </si>
  <si>
    <t>212-12</t>
  </si>
  <si>
    <t>242-24</t>
  </si>
  <si>
    <t>산58-31</t>
  </si>
  <si>
    <t>245-17</t>
  </si>
  <si>
    <t>산58-32</t>
  </si>
  <si>
    <t>251-6</t>
  </si>
  <si>
    <t>249-7</t>
  </si>
  <si>
    <t>286-110</t>
  </si>
  <si>
    <t>산58-30</t>
  </si>
  <si>
    <t>334</t>
  </si>
  <si>
    <t>303-1</t>
  </si>
  <si>
    <t>332-1</t>
  </si>
  <si>
    <t>248-12</t>
  </si>
  <si>
    <t>250-1</t>
  </si>
  <si>
    <t>산60-9</t>
  </si>
  <si>
    <t>250</t>
  </si>
  <si>
    <t>248-6</t>
  </si>
  <si>
    <t>248-11</t>
  </si>
  <si>
    <t>248-2</t>
  </si>
  <si>
    <t>332-5</t>
  </si>
  <si>
    <t>286-2</t>
  </si>
  <si>
    <t>286-81</t>
  </si>
  <si>
    <t>286-68</t>
  </si>
  <si>
    <t>247-2</t>
  </si>
  <si>
    <t>332-6</t>
  </si>
  <si>
    <t>282-17</t>
  </si>
  <si>
    <t>282-4</t>
  </si>
  <si>
    <t>248-8</t>
  </si>
  <si>
    <t>254-1</t>
  </si>
  <si>
    <t>332</t>
  </si>
  <si>
    <t>254-5</t>
  </si>
  <si>
    <t>253-3</t>
  </si>
  <si>
    <t>251-17</t>
  </si>
  <si>
    <t>249-2</t>
  </si>
  <si>
    <t>249-5</t>
  </si>
  <si>
    <t>249-6</t>
  </si>
  <si>
    <t>286-82</t>
  </si>
  <si>
    <t>286-101</t>
  </si>
  <si>
    <t>286-83</t>
  </si>
  <si>
    <t>286-8</t>
  </si>
  <si>
    <t>286-52</t>
  </si>
  <si>
    <t>286-10</t>
  </si>
  <si>
    <t>332-4</t>
  </si>
  <si>
    <t>282-2</t>
  </si>
  <si>
    <t>81-9</t>
  </si>
  <si>
    <t>81-11</t>
  </si>
  <si>
    <t>92</t>
  </si>
  <si>
    <t>93</t>
  </si>
  <si>
    <t>산36-2</t>
  </si>
  <si>
    <t>19</t>
  </si>
  <si>
    <t>손영자
 외1인</t>
  </si>
  <si>
    <t>도봉구 도봉동 30-1 
도봉한신@ 114-201</t>
  </si>
  <si>
    <t>손영자 
외1인</t>
  </si>
  <si>
    <t>산림청</t>
  </si>
  <si>
    <t>234-63</t>
  </si>
  <si>
    <t>234-58</t>
  </si>
  <si>
    <t>234-62</t>
  </si>
  <si>
    <t>234-64</t>
  </si>
  <si>
    <t>234-61</t>
  </si>
  <si>
    <t>234-59</t>
  </si>
  <si>
    <t>234-60</t>
  </si>
  <si>
    <t>234-57</t>
  </si>
  <si>
    <t>234-65</t>
  </si>
  <si>
    <t>234-67</t>
  </si>
  <si>
    <t>234-56</t>
  </si>
  <si>
    <t>244-3</t>
  </si>
  <si>
    <t>산43</t>
  </si>
  <si>
    <t>250-14</t>
  </si>
  <si>
    <t>250-16</t>
  </si>
  <si>
    <t>250-15</t>
  </si>
  <si>
    <t>250-17</t>
  </si>
  <si>
    <t>250-19</t>
  </si>
  <si>
    <t>0-29</t>
  </si>
  <si>
    <t>250-18</t>
  </si>
  <si>
    <t>산93-31</t>
  </si>
  <si>
    <t>257-5</t>
  </si>
  <si>
    <t>277-23</t>
  </si>
  <si>
    <t>277-21</t>
  </si>
  <si>
    <t>277-22</t>
  </si>
  <si>
    <t>277-26</t>
  </si>
  <si>
    <t>786</t>
  </si>
  <si>
    <t>277-20</t>
  </si>
  <si>
    <t>278-1</t>
  </si>
  <si>
    <t>산122-1</t>
  </si>
  <si>
    <t>산123-1</t>
  </si>
  <si>
    <t>산122-2</t>
  </si>
  <si>
    <t>421-11</t>
  </si>
  <si>
    <t>421-12</t>
  </si>
  <si>
    <t>421-13</t>
  </si>
  <si>
    <t>산125-1</t>
  </si>
  <si>
    <t>420-2</t>
  </si>
  <si>
    <t>277-27</t>
  </si>
  <si>
    <t>277-28</t>
  </si>
  <si>
    <t>277-25</t>
  </si>
  <si>
    <t>277-5</t>
  </si>
  <si>
    <t>432-1</t>
  </si>
  <si>
    <t>430-1</t>
  </si>
  <si>
    <t>429-1</t>
  </si>
  <si>
    <t>423-1</t>
  </si>
  <si>
    <t>422-1</t>
  </si>
  <si>
    <t>624</t>
  </si>
  <si>
    <t>421-10</t>
  </si>
  <si>
    <t>420-11</t>
  </si>
  <si>
    <t>420-15</t>
  </si>
  <si>
    <t>420-18</t>
  </si>
  <si>
    <t>479-14</t>
  </si>
  <si>
    <t>1023-1</t>
  </si>
  <si>
    <t>645-12</t>
  </si>
  <si>
    <t>645-13</t>
  </si>
  <si>
    <t>645-14</t>
  </si>
  <si>
    <t>645-15</t>
  </si>
  <si>
    <t>645-16</t>
  </si>
  <si>
    <t>645-17</t>
  </si>
  <si>
    <t>645-18</t>
  </si>
  <si>
    <t>645-19</t>
  </si>
  <si>
    <t>645-20</t>
  </si>
  <si>
    <t>645-21</t>
  </si>
  <si>
    <t>645-22</t>
  </si>
  <si>
    <t>1032-1</t>
  </si>
  <si>
    <t>1029-1</t>
  </si>
  <si>
    <t>644-10</t>
  </si>
  <si>
    <t>420-8</t>
  </si>
  <si>
    <t>420-14</t>
  </si>
  <si>
    <t>420-16</t>
  </si>
  <si>
    <t>479-3</t>
  </si>
  <si>
    <t>1030-1</t>
  </si>
  <si>
    <t>1031-1</t>
  </si>
  <si>
    <t>642-7</t>
  </si>
  <si>
    <t>642-8</t>
  </si>
  <si>
    <t>1035</t>
  </si>
  <si>
    <t>642-9</t>
  </si>
  <si>
    <t>642-10</t>
  </si>
  <si>
    <t>642-11</t>
  </si>
  <si>
    <t>642-12</t>
  </si>
  <si>
    <t>643-10</t>
  </si>
  <si>
    <t>644-11</t>
  </si>
  <si>
    <t>644-12</t>
  </si>
  <si>
    <t>644-13</t>
  </si>
  <si>
    <t>644-14</t>
  </si>
  <si>
    <t>644-15</t>
  </si>
  <si>
    <t>644-16</t>
  </si>
  <si>
    <t>644-17</t>
  </si>
  <si>
    <t>644-18</t>
  </si>
  <si>
    <t>1041-1</t>
  </si>
  <si>
    <t>742-7</t>
  </si>
  <si>
    <t>742-6</t>
  </si>
  <si>
    <t>643-11</t>
  </si>
  <si>
    <t>643-12</t>
  </si>
  <si>
    <t>643-13</t>
  </si>
  <si>
    <t>643-14</t>
  </si>
  <si>
    <t>1043</t>
  </si>
  <si>
    <t>1044</t>
  </si>
  <si>
    <t>643-15</t>
  </si>
  <si>
    <t>643-16</t>
  </si>
  <si>
    <t>643-17</t>
  </si>
  <si>
    <t>643-18</t>
  </si>
  <si>
    <t>1048-1</t>
  </si>
  <si>
    <t>716</t>
  </si>
  <si>
    <t>0-12</t>
  </si>
  <si>
    <t>산40-12</t>
  </si>
  <si>
    <t>산41-1</t>
  </si>
  <si>
    <t>산42-2</t>
  </si>
  <si>
    <t>산43-5</t>
  </si>
  <si>
    <t>산46-2</t>
  </si>
  <si>
    <t>793</t>
  </si>
  <si>
    <t>산47-1</t>
  </si>
  <si>
    <t>산93-14</t>
  </si>
  <si>
    <t>산93-15</t>
  </si>
  <si>
    <t>산92-2</t>
  </si>
  <si>
    <t>산93-16</t>
  </si>
  <si>
    <t>산92-3</t>
  </si>
  <si>
    <t>천</t>
  </si>
  <si>
    <t>이남구 
외1인</t>
  </si>
  <si>
    <t>담양국씨
희량공파</t>
  </si>
  <si>
    <t>태안군 소원면 모항리 971</t>
  </si>
  <si>
    <t>신정우
외1인</t>
  </si>
  <si>
    <t>인천시 남동구 구월동 1117-5</t>
  </si>
  <si>
    <t xml:space="preserve">서산시  </t>
  </si>
  <si>
    <t>대두리66</t>
    <phoneticPr fontId="12" type="noConversion"/>
  </si>
  <si>
    <t>용인 풍덕천동1168</t>
    <phoneticPr fontId="12" type="noConversion"/>
  </si>
  <si>
    <t>대두리541</t>
    <phoneticPr fontId="12" type="noConversion"/>
  </si>
  <si>
    <t>무학로994</t>
    <phoneticPr fontId="12" type="noConversion"/>
  </si>
  <si>
    <t>대두리163</t>
    <phoneticPr fontId="12" type="noConversion"/>
  </si>
  <si>
    <t>지산리528</t>
    <phoneticPr fontId="12" type="noConversion"/>
  </si>
  <si>
    <t>이*선 외1</t>
    <phoneticPr fontId="12" type="noConversion"/>
  </si>
  <si>
    <t>취평2길17-14</t>
    <phoneticPr fontId="12" type="noConversion"/>
  </si>
  <si>
    <t>무학로968</t>
    <phoneticPr fontId="12" type="noConversion"/>
  </si>
  <si>
    <t>인천남동구논현동634-1</t>
    <phoneticPr fontId="12" type="noConversion"/>
  </si>
  <si>
    <t>서울동작사당223-12</t>
    <phoneticPr fontId="12" type="noConversion"/>
  </si>
  <si>
    <t>대두리198-1</t>
    <phoneticPr fontId="12" type="noConversion"/>
  </si>
  <si>
    <t>무학로992-11</t>
    <phoneticPr fontId="12" type="noConversion"/>
  </si>
  <si>
    <t>서울송파백재고분로45길</t>
    <phoneticPr fontId="12" type="noConversion"/>
  </si>
  <si>
    <t>경기부천신흥로150</t>
    <phoneticPr fontId="12" type="noConversion"/>
  </si>
  <si>
    <t>경기화성향남행정남로99-15</t>
    <phoneticPr fontId="12" type="noConversion"/>
  </si>
  <si>
    <t>서산호수공원3로28</t>
    <phoneticPr fontId="12" type="noConversion"/>
  </si>
  <si>
    <t>수원 장안정자동42-15</t>
    <phoneticPr fontId="12" type="noConversion"/>
  </si>
  <si>
    <t>부석면 취평리299-2</t>
    <phoneticPr fontId="12" type="noConversion"/>
  </si>
  <si>
    <t>부석면 취평2길17-14</t>
    <phoneticPr fontId="12" type="noConversion"/>
  </si>
  <si>
    <t>대두리53</t>
    <phoneticPr fontId="12" type="noConversion"/>
  </si>
  <si>
    <t>인천남동구문화서로49번길6</t>
    <phoneticPr fontId="12" type="noConversion"/>
  </si>
  <si>
    <t>서울영등포구시흥동39-3</t>
    <phoneticPr fontId="12" type="noConversion"/>
  </si>
  <si>
    <t>기정</t>
    <phoneticPr fontId="5" type="noConversion"/>
  </si>
  <si>
    <t>증감</t>
    <phoneticPr fontId="5" type="noConversion"/>
  </si>
  <si>
    <t>유원지</t>
    <phoneticPr fontId="5" type="noConversion"/>
  </si>
  <si>
    <t>계</t>
    <phoneticPr fontId="5" type="noConversion"/>
  </si>
  <si>
    <t>비고</t>
    <phoneticPr fontId="5" type="noConversion"/>
  </si>
  <si>
    <t>부석면 대두리</t>
    <phoneticPr fontId="5" type="noConversion"/>
  </si>
  <si>
    <t>부석면 봉락리</t>
    <phoneticPr fontId="5" type="noConversion"/>
  </si>
  <si>
    <t>부석면 칠전리</t>
    <phoneticPr fontId="5" type="noConversion"/>
  </si>
  <si>
    <t>부석면 마룡리</t>
    <phoneticPr fontId="5" type="noConversion"/>
  </si>
  <si>
    <t>부석면 창 리</t>
    <phoneticPr fontId="5" type="noConversion"/>
  </si>
  <si>
    <t>필지/M2</t>
    <phoneticPr fontId="5" type="noConversion"/>
  </si>
  <si>
    <t>전체편입용지집계표</t>
    <phoneticPr fontId="5" type="noConversion"/>
  </si>
  <si>
    <t>증감량</t>
    <phoneticPr fontId="5" type="noConversion"/>
  </si>
  <si>
    <t>㎡</t>
    <phoneticPr fontId="5" type="noConversion"/>
  </si>
  <si>
    <t xml:space="preserve">               편입용지 집계표</t>
    <phoneticPr fontId="5" type="noConversion"/>
  </si>
  <si>
    <t xml:space="preserve">                    국유지 편입용지 집계표</t>
    <phoneticPr fontId="5" type="noConversion"/>
  </si>
  <si>
    <t xml:space="preserve">                    공유지 편입용지 집계표</t>
    <phoneticPr fontId="5" type="noConversion"/>
  </si>
  <si>
    <t xml:space="preserve">                    사유지 편입용지 집계표</t>
    <phoneticPr fontId="5" type="noConversion"/>
  </si>
  <si>
    <t>기정</t>
    <phoneticPr fontId="12" type="noConversion"/>
  </si>
  <si>
    <t>변경</t>
    <phoneticPr fontId="12" type="noConversion"/>
  </si>
  <si>
    <t>기정</t>
    <phoneticPr fontId="5" type="noConversion"/>
  </si>
  <si>
    <t>남갑순</t>
  </si>
  <si>
    <t>무학로1024-47</t>
  </si>
  <si>
    <t>취평2길17-14</t>
  </si>
  <si>
    <t>인천남동구논현동634-1</t>
  </si>
  <si>
    <t>서울동작사당223-12</t>
  </si>
  <si>
    <t>대두리198-1</t>
  </si>
  <si>
    <t>수원 장안정자동42-15</t>
  </si>
  <si>
    <t>부석면 취평2길17-14</t>
  </si>
  <si>
    <t>대두리53</t>
  </si>
  <si>
    <t>서울영등포구시흥동39-3</t>
  </si>
  <si>
    <t>편입면적( ㎡ )</t>
    <phoneticPr fontId="12" type="noConversion"/>
  </si>
  <si>
    <t>용인 풍덕천동1168</t>
    <phoneticPr fontId="12" type="noConversion"/>
  </si>
  <si>
    <t>강*훈</t>
    <phoneticPr fontId="12" type="noConversion"/>
  </si>
  <si>
    <t>대두리541</t>
    <phoneticPr fontId="12" type="noConversion"/>
  </si>
  <si>
    <t>한*우</t>
    <phoneticPr fontId="12" type="noConversion"/>
  </si>
  <si>
    <t>이*구</t>
    <phoneticPr fontId="12" type="noConversion"/>
  </si>
  <si>
    <t>대두리163</t>
    <phoneticPr fontId="12" type="noConversion"/>
  </si>
  <si>
    <t>현대모비스</t>
    <phoneticPr fontId="12" type="noConversion"/>
  </si>
  <si>
    <t>서울강남테헤란로203</t>
    <phoneticPr fontId="12" type="noConversion"/>
  </si>
  <si>
    <t>이*선 외1</t>
    <phoneticPr fontId="12" type="noConversion"/>
  </si>
  <si>
    <t>지산리528</t>
    <phoneticPr fontId="12" type="noConversion"/>
  </si>
  <si>
    <t>미등기</t>
  </si>
  <si>
    <t>소유자</t>
    <phoneticPr fontId="12" type="noConversion"/>
  </si>
  <si>
    <t>봉락리 627</t>
    <phoneticPr fontId="12" type="noConversion"/>
  </si>
  <si>
    <t>홍콩헤드라인 6번가 비-3호</t>
    <phoneticPr fontId="12" type="noConversion"/>
  </si>
  <si>
    <t>서산시 부석면 창리 293</t>
    <phoneticPr fontId="12" type="noConversion"/>
  </si>
  <si>
    <t>기정</t>
    <phoneticPr fontId="12" type="noConversion"/>
  </si>
  <si>
    <t>기정</t>
    <phoneticPr fontId="12" type="noConversion"/>
  </si>
  <si>
    <t>변경</t>
    <phoneticPr fontId="12" type="noConversion"/>
  </si>
  <si>
    <t>임*숙</t>
    <phoneticPr fontId="12" type="noConversion"/>
  </si>
  <si>
    <t>박*삼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</si>
</sst>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#,##0_ "/>
    <numFmt numFmtId="179" formatCode="#,##0_);[Red]\(#,##0\)"/>
    <numFmt numFmtId="180" formatCode="&quot;₩&quot;#,##0;[Red]&quot;₩&quot;&quot;₩&quot;\-#,##0"/>
    <numFmt numFmtId="181" formatCode="&quot;₩&quot;#,##0.00;[Red]&quot;₩&quot;&quot;₩&quot;&quot;₩&quot;&quot;₩&quot;&quot;₩&quot;&quot;₩&quot;\-#,##0.00"/>
    <numFmt numFmtId="182" formatCode="&quot;₩&quot;#,##0;&quot;₩&quot;&quot;₩&quot;&quot;₩&quot;&quot;₩&quot;&quot;₩&quot;&quot;₩&quot;&quot;₩&quot;&quot;₩&quot;\-#,##0"/>
    <numFmt numFmtId="183" formatCode="&quot;₩&quot;#,##0.00;&quot;₩&quot;&quot;₩&quot;&quot;₩&quot;&quot;₩&quot;&quot;₩&quot;&quot;₩&quot;&quot;₩&quot;&quot;₩&quot;\-#,##0.00"/>
    <numFmt numFmtId="184" formatCode="0;[Red]0"/>
    <numFmt numFmtId="185" formatCode="0_);[Red]\(0\)"/>
    <numFmt numFmtId="186" formatCode="#,##0;[Red]#,##0"/>
    <numFmt numFmtId="187" formatCode="#,##0.0_);[Red]\(#,##0.0\)"/>
    <numFmt numFmtId="188" formatCode="_-* #,##0.0_-;\-* #,##0.0_-;_-* &quot;-&quot;?_-;_-@_-"/>
    <numFmt numFmtId="189" formatCode="_-* #,##0_-;\-* #,##0_-;_-* &quot;-&quot;?_-;_-@_-"/>
    <numFmt numFmtId="190" formatCode="#,##0.0_ "/>
    <numFmt numFmtId="191" formatCode="0_ "/>
  </numFmts>
  <fonts count="22">
    <font>
      <sz val="11"/>
      <name val="돋움"/>
      <family val="3"/>
      <charset val="129"/>
    </font>
    <font>
      <sz val="11"/>
      <name val="돋움"/>
      <family val="3"/>
      <charset val="129"/>
    </font>
    <font>
      <sz val="12"/>
      <name val="뼻뮝"/>
      <family val="1"/>
      <charset val="129"/>
    </font>
    <font>
      <sz val="10"/>
      <name val="Arial"/>
      <family val="2"/>
    </font>
    <font>
      <sz val="10"/>
      <name val="바탕체"/>
      <family val="1"/>
      <charset val="129"/>
    </font>
    <font>
      <sz val="8"/>
      <name val="돋움"/>
      <family val="3"/>
      <charset val="129"/>
    </font>
    <font>
      <b/>
      <sz val="20"/>
      <name val="돋움체"/>
      <family val="3"/>
      <charset val="129"/>
    </font>
    <font>
      <sz val="10"/>
      <name val="돋움체"/>
      <family val="3"/>
      <charset val="129"/>
    </font>
    <font>
      <sz val="22"/>
      <name val="돋움체"/>
      <family val="3"/>
      <charset val="129"/>
    </font>
    <font>
      <sz val="9"/>
      <name val="돋움체"/>
      <family val="3"/>
      <charset val="129"/>
    </font>
    <font>
      <sz val="11"/>
      <name val="돋움체"/>
      <family val="3"/>
      <charset val="129"/>
    </font>
    <font>
      <b/>
      <sz val="9"/>
      <name val="돋움체"/>
      <family val="3"/>
      <charset val="129"/>
    </font>
    <font>
      <sz val="10"/>
      <name val="Times New Roman"/>
      <family val="1"/>
    </font>
    <font>
      <b/>
      <sz val="24"/>
      <name val="돋움체"/>
      <family val="3"/>
      <charset val="129"/>
    </font>
    <font>
      <vertAlign val="superscript"/>
      <sz val="10"/>
      <name val="돋움체"/>
      <family val="3"/>
      <charset val="129"/>
    </font>
    <font>
      <sz val="8"/>
      <name val="돋움체"/>
      <family val="3"/>
      <charset val="129"/>
    </font>
    <font>
      <sz val="7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1"/>
      <color rgb="FFFF0000"/>
      <name val="돋움체"/>
      <family val="3"/>
      <charset val="129"/>
    </font>
    <font>
      <b/>
      <sz val="9"/>
      <color rgb="FFFF0000"/>
      <name val="돋움체"/>
      <family val="3"/>
      <charset val="129"/>
    </font>
    <font>
      <sz val="9"/>
      <color rgb="FFFF0000"/>
      <name val="돋움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179" fontId="1" fillId="0" borderId="0">
      <protection locked="0"/>
    </xf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9" fontId="1" fillId="0" borderId="0">
      <protection locked="0"/>
    </xf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9" fontId="1" fillId="0" borderId="0">
      <protection locked="0"/>
    </xf>
    <xf numFmtId="179" fontId="1" fillId="0" borderId="0">
      <protection locked="0"/>
    </xf>
    <xf numFmtId="179" fontId="1" fillId="0" borderId="0">
      <protection locked="0"/>
    </xf>
    <xf numFmtId="179" fontId="1" fillId="0" borderId="0">
      <protection locked="0"/>
    </xf>
    <xf numFmtId="0" fontId="3" fillId="0" borderId="0"/>
    <xf numFmtId="179" fontId="1" fillId="0" borderId="0">
      <protection locked="0"/>
    </xf>
    <xf numFmtId="179" fontId="1" fillId="0" borderId="1">
      <protection locked="0"/>
    </xf>
    <xf numFmtId="0" fontId="2" fillId="0" borderId="0"/>
    <xf numFmtId="41" fontId="1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521">
    <xf numFmtId="0" fontId="0" fillId="0" borderId="0" xfId="0"/>
    <xf numFmtId="0" fontId="8" fillId="0" borderId="0" xfId="19" applyFont="1" applyFill="1" applyBorder="1"/>
    <xf numFmtId="0" fontId="8" fillId="0" borderId="0" xfId="19" applyFont="1" applyFill="1"/>
    <xf numFmtId="0" fontId="7" fillId="0" borderId="0" xfId="19" applyFont="1" applyFill="1"/>
    <xf numFmtId="0" fontId="7" fillId="0" borderId="0" xfId="19" applyFont="1" applyFill="1" applyAlignment="1">
      <alignment horizontal="center"/>
    </xf>
    <xf numFmtId="0" fontId="7" fillId="0" borderId="0" xfId="19" applyFont="1" applyFill="1" applyBorder="1"/>
    <xf numFmtId="0" fontId="9" fillId="0" borderId="0" xfId="19" applyFont="1" applyFill="1" applyBorder="1"/>
    <xf numFmtId="0" fontId="9" fillId="0" borderId="0" xfId="19" applyFont="1" applyFill="1"/>
    <xf numFmtId="0" fontId="9" fillId="0" borderId="2" xfId="20" applyFont="1" applyFill="1" applyBorder="1" applyAlignment="1" applyProtection="1">
      <alignment horizontal="centerContinuous" vertical="center" wrapText="1"/>
    </xf>
    <xf numFmtId="0" fontId="9" fillId="0" borderId="3" xfId="20" applyFont="1" applyFill="1" applyBorder="1" applyAlignment="1" applyProtection="1">
      <alignment horizontal="centerContinuous" vertical="center" wrapText="1"/>
    </xf>
    <xf numFmtId="0" fontId="7" fillId="0" borderId="0" xfId="20" applyFont="1" applyAlignment="1">
      <alignment vertical="center"/>
    </xf>
    <xf numFmtId="0" fontId="10" fillId="0" borderId="0" xfId="20" applyFont="1" applyBorder="1" applyAlignment="1">
      <alignment horizontal="distributed"/>
    </xf>
    <xf numFmtId="0" fontId="10" fillId="0" borderId="0" xfId="20" applyFont="1" applyBorder="1"/>
    <xf numFmtId="0" fontId="10" fillId="0" borderId="0" xfId="20" applyFont="1" applyBorder="1" applyAlignment="1" applyProtection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0" xfId="20" applyFont="1" applyAlignment="1">
      <alignment horizontal="centerContinuous" vertical="center"/>
    </xf>
    <xf numFmtId="0" fontId="10" fillId="0" borderId="0" xfId="20" applyFont="1" applyBorder="1" applyAlignment="1">
      <alignment horizontal="centerContinuous" vertical="center"/>
    </xf>
    <xf numFmtId="0" fontId="7" fillId="0" borderId="0" xfId="20" applyFont="1"/>
    <xf numFmtId="0" fontId="10" fillId="0" borderId="4" xfId="20" applyFont="1" applyBorder="1" applyAlignment="1">
      <alignment horizontal="distributed" wrapText="1"/>
    </xf>
    <xf numFmtId="0" fontId="10" fillId="0" borderId="5" xfId="20" applyFont="1" applyBorder="1" applyAlignment="1">
      <alignment horizontal="centerContinuous" vertical="center"/>
    </xf>
    <xf numFmtId="0" fontId="10" fillId="0" borderId="6" xfId="20" applyFont="1" applyBorder="1" applyAlignment="1">
      <alignment horizontal="centerContinuous" vertical="center"/>
    </xf>
    <xf numFmtId="0" fontId="10" fillId="0" borderId="7" xfId="20" applyFont="1" applyBorder="1" applyAlignment="1">
      <alignment horizontal="centerContinuous" vertical="center"/>
    </xf>
    <xf numFmtId="0" fontId="10" fillId="0" borderId="7" xfId="20" applyFont="1" applyBorder="1" applyAlignment="1">
      <alignment horizontal="distributed" wrapText="1"/>
    </xf>
    <xf numFmtId="0" fontId="9" fillId="0" borderId="0" xfId="20" applyFont="1" applyAlignment="1">
      <alignment horizontal="center" vertical="center"/>
    </xf>
    <xf numFmtId="0" fontId="9" fillId="0" borderId="0" xfId="20" applyFont="1"/>
    <xf numFmtId="0" fontId="10" fillId="0" borderId="8" xfId="20" applyFont="1" applyBorder="1" applyAlignment="1">
      <alignment horizontal="distributed" wrapText="1"/>
    </xf>
    <xf numFmtId="0" fontId="10" fillId="0" borderId="9" xfId="20" applyFont="1" applyBorder="1" applyAlignment="1">
      <alignment horizontal="distributed" vertical="center" wrapText="1"/>
    </xf>
    <xf numFmtId="0" fontId="10" fillId="0" borderId="10" xfId="20" applyFont="1" applyBorder="1" applyAlignment="1">
      <alignment horizontal="distributed" vertical="center" wrapText="1"/>
    </xf>
    <xf numFmtId="0" fontId="10" fillId="0" borderId="11" xfId="20" applyFont="1" applyBorder="1" applyAlignment="1">
      <alignment horizontal="distributed" vertical="center" wrapText="1"/>
    </xf>
    <xf numFmtId="0" fontId="10" fillId="0" borderId="12" xfId="20" applyFont="1" applyBorder="1"/>
    <xf numFmtId="0" fontId="9" fillId="0" borderId="0" xfId="20" applyFont="1" applyAlignment="1">
      <alignment horizontal="center" vertical="center" wrapText="1"/>
    </xf>
    <xf numFmtId="178" fontId="10" fillId="0" borderId="13" xfId="20" applyNumberFormat="1" applyFont="1" applyBorder="1" applyAlignment="1">
      <alignment horizontal="right" vertical="center"/>
    </xf>
    <xf numFmtId="179" fontId="10" fillId="0" borderId="6" xfId="20" applyNumberFormat="1" applyFont="1" applyBorder="1" applyAlignment="1">
      <alignment horizontal="center" vertical="center"/>
    </xf>
    <xf numFmtId="178" fontId="10" fillId="0" borderId="14" xfId="20" applyNumberFormat="1" applyFont="1" applyBorder="1" applyAlignment="1">
      <alignment horizontal="right" vertical="center"/>
    </xf>
    <xf numFmtId="0" fontId="10" fillId="0" borderId="7" xfId="20" applyFont="1" applyBorder="1" applyAlignment="1">
      <alignment horizontal="center" vertical="center"/>
    </xf>
    <xf numFmtId="179" fontId="9" fillId="0" borderId="0" xfId="20" applyNumberFormat="1" applyFont="1" applyAlignment="1">
      <alignment horizontal="center" vertical="center"/>
    </xf>
    <xf numFmtId="178" fontId="10" fillId="0" borderId="15" xfId="20" applyNumberFormat="1" applyFont="1" applyBorder="1" applyAlignment="1">
      <alignment horizontal="right" vertical="center"/>
    </xf>
    <xf numFmtId="179" fontId="10" fillId="0" borderId="16" xfId="20" applyNumberFormat="1" applyFont="1" applyBorder="1" applyAlignment="1">
      <alignment horizontal="center" vertical="center"/>
    </xf>
    <xf numFmtId="178" fontId="10" fillId="0" borderId="17" xfId="20" applyNumberFormat="1" applyFont="1" applyBorder="1" applyAlignment="1">
      <alignment horizontal="right" vertical="center"/>
    </xf>
    <xf numFmtId="0" fontId="10" fillId="0" borderId="17" xfId="20" applyFont="1" applyBorder="1" applyAlignment="1">
      <alignment horizontal="center" vertical="center"/>
    </xf>
    <xf numFmtId="178" fontId="10" fillId="0" borderId="9" xfId="20" applyNumberFormat="1" applyFont="1" applyBorder="1" applyAlignment="1">
      <alignment horizontal="right" vertical="center"/>
    </xf>
    <xf numFmtId="179" fontId="10" fillId="0" borderId="10" xfId="20" applyNumberFormat="1" applyFont="1" applyBorder="1" applyAlignment="1">
      <alignment horizontal="center" vertical="center"/>
    </xf>
    <xf numFmtId="178" fontId="10" fillId="0" borderId="11" xfId="20" applyNumberFormat="1" applyFont="1" applyBorder="1" applyAlignment="1">
      <alignment horizontal="right" vertical="center"/>
    </xf>
    <xf numFmtId="0" fontId="10" fillId="0" borderId="11" xfId="20" applyFont="1" applyBorder="1" applyAlignment="1">
      <alignment horizontal="center" vertical="center"/>
    </xf>
    <xf numFmtId="0" fontId="7" fillId="0" borderId="0" xfId="20" applyFont="1" applyBorder="1"/>
    <xf numFmtId="0" fontId="13" fillId="0" borderId="0" xfId="18" applyFont="1" applyBorder="1" applyAlignment="1" applyProtection="1">
      <alignment horizontal="centerContinuous"/>
    </xf>
    <xf numFmtId="49" fontId="9" fillId="0" borderId="0" xfId="18" applyNumberFormat="1" applyFont="1" applyBorder="1" applyAlignment="1" applyProtection="1">
      <alignment horizontal="centerContinuous"/>
    </xf>
    <xf numFmtId="0" fontId="9" fillId="0" borderId="0" xfId="18" applyFont="1" applyBorder="1" applyAlignment="1" applyProtection="1">
      <alignment horizontal="centerContinuous"/>
    </xf>
    <xf numFmtId="0" fontId="9" fillId="0" borderId="0" xfId="18" applyFont="1" applyBorder="1" applyAlignment="1" applyProtection="1">
      <alignment horizontal="centerContinuous" vertical="center"/>
    </xf>
    <xf numFmtId="0" fontId="9" fillId="0" borderId="0" xfId="18" applyFont="1" applyAlignment="1" applyProtection="1">
      <alignment horizontal="center"/>
    </xf>
    <xf numFmtId="0" fontId="9" fillId="0" borderId="0" xfId="18" applyFont="1" applyBorder="1" applyProtection="1"/>
    <xf numFmtId="0" fontId="9" fillId="0" borderId="0" xfId="18" applyFont="1"/>
    <xf numFmtId="49" fontId="9" fillId="0" borderId="0" xfId="18" applyNumberFormat="1" applyFont="1" applyBorder="1" applyProtection="1"/>
    <xf numFmtId="0" fontId="9" fillId="0" borderId="0" xfId="18" applyFont="1" applyBorder="1" applyAlignment="1" applyProtection="1">
      <alignment horizontal="right" vertical="center"/>
    </xf>
    <xf numFmtId="0" fontId="10" fillId="0" borderId="0" xfId="0" applyFont="1" applyBorder="1"/>
    <xf numFmtId="0" fontId="10" fillId="0" borderId="0" xfId="18" applyFont="1" applyBorder="1" applyAlignment="1" applyProtection="1">
      <alignment horizontal="centerContinuous"/>
    </xf>
    <xf numFmtId="0" fontId="9" fillId="0" borderId="0" xfId="18" applyFont="1" applyBorder="1" applyAlignment="1" applyProtection="1">
      <alignment horizontal="center"/>
    </xf>
    <xf numFmtId="0" fontId="9" fillId="0" borderId="0" xfId="18" applyFont="1" applyProtection="1"/>
    <xf numFmtId="0" fontId="7" fillId="0" borderId="6" xfId="18" applyFont="1" applyFill="1" applyBorder="1" applyAlignment="1" applyProtection="1">
      <alignment horizontal="centerContinuous" vertical="center"/>
    </xf>
    <xf numFmtId="0" fontId="7" fillId="0" borderId="18" xfId="18" applyFont="1" applyFill="1" applyBorder="1" applyAlignment="1" applyProtection="1">
      <alignment horizontal="centerContinuous" vertical="center" wrapText="1"/>
    </xf>
    <xf numFmtId="0" fontId="7" fillId="0" borderId="19" xfId="18" applyFont="1" applyFill="1" applyBorder="1" applyAlignment="1" applyProtection="1">
      <alignment horizontal="centerContinuous" vertical="center"/>
    </xf>
    <xf numFmtId="178" fontId="7" fillId="0" borderId="0" xfId="18" applyNumberFormat="1" applyFont="1" applyBorder="1" applyAlignment="1" applyProtection="1">
      <alignment horizontal="center" vertical="center" wrapText="1"/>
    </xf>
    <xf numFmtId="0" fontId="7" fillId="0" borderId="20" xfId="18" applyFont="1" applyFill="1" applyBorder="1" applyAlignment="1" applyProtection="1">
      <alignment horizontal="center" vertical="top" wrapText="1"/>
    </xf>
    <xf numFmtId="186" fontId="7" fillId="0" borderId="21" xfId="18" applyNumberFormat="1" applyFont="1" applyFill="1" applyBorder="1" applyAlignment="1" applyProtection="1">
      <alignment horizontal="center" vertical="top"/>
    </xf>
    <xf numFmtId="0" fontId="7" fillId="0" borderId="22" xfId="18" applyFont="1" applyFill="1" applyBorder="1" applyAlignment="1" applyProtection="1">
      <alignment horizontal="center" vertical="center" wrapText="1"/>
    </xf>
    <xf numFmtId="0" fontId="7" fillId="0" borderId="22" xfId="18" applyFont="1" applyFill="1" applyBorder="1" applyAlignment="1" applyProtection="1">
      <alignment horizontal="center" vertical="center"/>
    </xf>
    <xf numFmtId="0" fontId="9" fillId="0" borderId="22" xfId="18" applyFont="1" applyFill="1" applyBorder="1" applyAlignment="1" applyProtection="1">
      <alignment horizontal="center" vertical="center" wrapText="1"/>
    </xf>
    <xf numFmtId="0" fontId="9" fillId="0" borderId="0" xfId="18" applyFont="1" applyBorder="1" applyAlignment="1" applyProtection="1">
      <alignment horizontal="center" vertical="top"/>
    </xf>
    <xf numFmtId="178" fontId="9" fillId="0" borderId="0" xfId="18" applyNumberFormat="1" applyFont="1" applyBorder="1" applyAlignment="1" applyProtection="1">
      <alignment horizontal="center" vertical="center"/>
    </xf>
    <xf numFmtId="0" fontId="9" fillId="0" borderId="23" xfId="18" applyNumberFormat="1" applyFont="1" applyBorder="1" applyAlignment="1" applyProtection="1">
      <alignment horizontal="center" vertical="center" wrapText="1"/>
      <protection locked="0"/>
    </xf>
    <xf numFmtId="0" fontId="9" fillId="0" borderId="24" xfId="18" applyNumberFormat="1" applyFont="1" applyBorder="1" applyAlignment="1" applyProtection="1">
      <alignment horizontal="center" vertical="center" wrapText="1"/>
      <protection locked="0"/>
    </xf>
    <xf numFmtId="178" fontId="9" fillId="0" borderId="0" xfId="18" applyNumberFormat="1" applyFont="1" applyBorder="1" applyAlignment="1" applyProtection="1">
      <alignment horizontal="center" vertical="center" wrapText="1"/>
      <protection locked="0"/>
    </xf>
    <xf numFmtId="178" fontId="9" fillId="0" borderId="0" xfId="18" applyNumberFormat="1" applyFont="1" applyBorder="1" applyAlignment="1" applyProtection="1">
      <alignment horizontal="center" vertical="center" wrapText="1"/>
    </xf>
    <xf numFmtId="0" fontId="9" fillId="0" borderId="25" xfId="18" applyNumberFormat="1" applyFont="1" applyBorder="1" applyAlignment="1" applyProtection="1">
      <alignment horizontal="center" vertical="center" wrapText="1"/>
      <protection locked="0"/>
    </xf>
    <xf numFmtId="0" fontId="9" fillId="0" borderId="26" xfId="18" applyNumberFormat="1" applyFont="1" applyBorder="1" applyAlignment="1" applyProtection="1">
      <alignment horizontal="center" vertical="center" wrapText="1"/>
      <protection locked="0"/>
    </xf>
    <xf numFmtId="0" fontId="9" fillId="0" borderId="0" xfId="18" applyFont="1" applyBorder="1" applyAlignment="1" applyProtection="1">
      <alignment horizontal="center" vertical="center"/>
    </xf>
    <xf numFmtId="0" fontId="9" fillId="0" borderId="0" xfId="18" applyFont="1" applyBorder="1" applyAlignment="1" applyProtection="1">
      <alignment horizontal="center" vertical="center" wrapText="1"/>
    </xf>
    <xf numFmtId="0" fontId="9" fillId="0" borderId="27" xfId="18" applyNumberFormat="1" applyFont="1" applyBorder="1" applyAlignment="1" applyProtection="1">
      <alignment horizontal="center" vertical="center" wrapText="1"/>
      <protection locked="0"/>
    </xf>
    <xf numFmtId="0" fontId="9" fillId="0" borderId="28" xfId="18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1" fillId="0" borderId="29" xfId="18" applyNumberFormat="1" applyFont="1" applyBorder="1" applyAlignment="1" applyProtection="1">
      <alignment horizontal="centerContinuous" vertical="center" wrapText="1"/>
    </xf>
    <xf numFmtId="0" fontId="9" fillId="0" borderId="30" xfId="18" applyNumberFormat="1" applyFont="1" applyBorder="1" applyAlignment="1" applyProtection="1">
      <alignment horizontal="centerContinuous" vertical="center" wrapText="1"/>
    </xf>
    <xf numFmtId="178" fontId="9" fillId="0" borderId="30" xfId="18" applyNumberFormat="1" applyFont="1" applyBorder="1" applyAlignment="1" applyProtection="1">
      <alignment horizontal="right" vertical="center"/>
    </xf>
    <xf numFmtId="0" fontId="9" fillId="0" borderId="30" xfId="18" applyNumberFormat="1" applyFont="1" applyBorder="1" applyAlignment="1" applyProtection="1">
      <alignment horizontal="center" vertical="center" wrapText="1"/>
    </xf>
    <xf numFmtId="0" fontId="9" fillId="0" borderId="31" xfId="18" applyNumberFormat="1" applyFont="1" applyBorder="1" applyAlignment="1" applyProtection="1">
      <alignment horizontal="center" vertical="center" wrapText="1"/>
    </xf>
    <xf numFmtId="0" fontId="9" fillId="0" borderId="32" xfId="18" applyNumberFormat="1" applyFont="1" applyBorder="1" applyAlignment="1" applyProtection="1">
      <alignment horizontal="center" vertical="center" wrapText="1"/>
      <protection locked="0"/>
    </xf>
    <xf numFmtId="0" fontId="9" fillId="0" borderId="33" xfId="18" applyNumberFormat="1" applyFont="1" applyBorder="1" applyAlignment="1" applyProtection="1">
      <alignment horizontal="center" vertical="center" wrapText="1"/>
      <protection locked="0"/>
    </xf>
    <xf numFmtId="0" fontId="9" fillId="0" borderId="34" xfId="18" applyNumberFormat="1" applyFont="1" applyBorder="1" applyAlignment="1" applyProtection="1">
      <alignment horizontal="center" vertical="center" wrapText="1"/>
    </xf>
    <xf numFmtId="49" fontId="9" fillId="0" borderId="25" xfId="18" applyNumberFormat="1" applyFont="1" applyBorder="1" applyAlignment="1" applyProtection="1">
      <alignment horizontal="center" vertical="center" wrapText="1"/>
      <protection locked="0"/>
    </xf>
    <xf numFmtId="178" fontId="9" fillId="0" borderId="25" xfId="18" applyNumberFormat="1" applyFont="1" applyBorder="1" applyAlignment="1" applyProtection="1">
      <alignment horizontal="right" vertical="center"/>
      <protection locked="0"/>
    </xf>
    <xf numFmtId="0" fontId="9" fillId="0" borderId="35" xfId="18" applyNumberFormat="1" applyFont="1" applyBorder="1" applyAlignment="1" applyProtection="1">
      <alignment horizontal="center" vertical="center" wrapText="1"/>
    </xf>
    <xf numFmtId="49" fontId="9" fillId="0" borderId="27" xfId="18" applyNumberFormat="1" applyFont="1" applyBorder="1" applyAlignment="1" applyProtection="1">
      <alignment horizontal="center" vertical="center" wrapText="1"/>
      <protection locked="0"/>
    </xf>
    <xf numFmtId="178" fontId="9" fillId="0" borderId="27" xfId="18" applyNumberFormat="1" applyFont="1" applyBorder="1" applyAlignment="1" applyProtection="1">
      <alignment horizontal="right" vertical="center"/>
      <protection locked="0"/>
    </xf>
    <xf numFmtId="0" fontId="9" fillId="0" borderId="36" xfId="18" applyNumberFormat="1" applyFont="1" applyBorder="1" applyAlignment="1" applyProtection="1">
      <alignment horizontal="center" vertical="center" wrapText="1"/>
    </xf>
    <xf numFmtId="49" fontId="9" fillId="0" borderId="32" xfId="18" applyNumberFormat="1" applyFont="1" applyBorder="1" applyAlignment="1" applyProtection="1">
      <alignment horizontal="center" vertical="center" wrapText="1"/>
      <protection locked="0"/>
    </xf>
    <xf numFmtId="178" fontId="9" fillId="0" borderId="32" xfId="18" applyNumberFormat="1" applyFont="1" applyBorder="1" applyAlignment="1" applyProtection="1">
      <alignment horizontal="right" vertical="center"/>
      <protection locked="0"/>
    </xf>
    <xf numFmtId="0" fontId="9" fillId="0" borderId="31" xfId="18" applyNumberFormat="1" applyFont="1" applyBorder="1" applyAlignment="1" applyProtection="1">
      <alignment horizontal="centerContinuous" vertical="center" wrapText="1"/>
    </xf>
    <xf numFmtId="49" fontId="9" fillId="0" borderId="0" xfId="18" applyNumberFormat="1" applyFont="1"/>
    <xf numFmtId="0" fontId="9" fillId="0" borderId="0" xfId="18" applyFont="1" applyAlignment="1">
      <alignment horizontal="right" vertical="center"/>
    </xf>
    <xf numFmtId="0" fontId="9" fillId="0" borderId="0" xfId="18" applyFont="1" applyBorder="1"/>
    <xf numFmtId="0" fontId="10" fillId="0" borderId="0" xfId="20" applyFont="1" applyBorder="1" applyAlignment="1">
      <alignment horizontal="center" vertical="center" wrapText="1"/>
    </xf>
    <xf numFmtId="178" fontId="10" fillId="0" borderId="0" xfId="20" applyNumberFormat="1" applyFont="1" applyBorder="1" applyAlignment="1">
      <alignment horizontal="distributed" vertical="center"/>
    </xf>
    <xf numFmtId="178" fontId="10" fillId="0" borderId="0" xfId="20" applyNumberFormat="1" applyFont="1" applyBorder="1" applyAlignment="1">
      <alignment horizontal="center" vertical="center" wrapText="1"/>
    </xf>
    <xf numFmtId="0" fontId="7" fillId="0" borderId="37" xfId="19" applyFont="1" applyBorder="1" applyAlignment="1">
      <alignment horizontal="distributed" vertical="center"/>
    </xf>
    <xf numFmtId="0" fontId="7" fillId="0" borderId="38" xfId="19" applyFont="1" applyBorder="1" applyAlignment="1">
      <alignment horizontal="distributed" vertical="center"/>
    </xf>
    <xf numFmtId="0" fontId="7" fillId="0" borderId="38" xfId="19" applyFont="1" applyBorder="1" applyAlignment="1">
      <alignment horizontal="distributed" vertical="center" wrapText="1"/>
    </xf>
    <xf numFmtId="0" fontId="7" fillId="0" borderId="39" xfId="19" applyFont="1" applyBorder="1" applyAlignment="1">
      <alignment horizontal="distributed" vertical="center"/>
    </xf>
    <xf numFmtId="0" fontId="7" fillId="0" borderId="40" xfId="18" applyFont="1" applyFill="1" applyBorder="1" applyAlignment="1" applyProtection="1">
      <alignment horizontal="center" wrapText="1"/>
    </xf>
    <xf numFmtId="186" fontId="7" fillId="0" borderId="41" xfId="18" applyNumberFormat="1" applyFont="1" applyFill="1" applyBorder="1" applyAlignment="1" applyProtection="1">
      <alignment horizontal="center" wrapText="1"/>
    </xf>
    <xf numFmtId="186" fontId="7" fillId="0" borderId="41" xfId="18" applyNumberFormat="1" applyFont="1" applyFill="1" applyBorder="1" applyAlignment="1" applyProtection="1">
      <alignment horizontal="center"/>
    </xf>
    <xf numFmtId="0" fontId="9" fillId="0" borderId="6" xfId="18" applyFont="1" applyFill="1" applyBorder="1" applyAlignment="1" applyProtection="1">
      <alignment horizontal="centerContinuous" vertical="center"/>
    </xf>
    <xf numFmtId="178" fontId="9" fillId="0" borderId="15" xfId="19" applyNumberFormat="1" applyFont="1" applyFill="1" applyBorder="1" applyAlignment="1">
      <alignment horizontal="right" vertical="center"/>
    </xf>
    <xf numFmtId="179" fontId="9" fillId="0" borderId="16" xfId="19" applyNumberFormat="1" applyFont="1" applyFill="1" applyBorder="1" applyAlignment="1">
      <alignment horizontal="center" vertical="center"/>
    </xf>
    <xf numFmtId="178" fontId="9" fillId="0" borderId="42" xfId="19" applyNumberFormat="1" applyFont="1" applyFill="1" applyBorder="1" applyAlignment="1">
      <alignment horizontal="right" vertical="center"/>
    </xf>
    <xf numFmtId="179" fontId="9" fillId="0" borderId="43" xfId="19" applyNumberFormat="1" applyFont="1" applyFill="1" applyBorder="1" applyAlignment="1">
      <alignment horizontal="center" vertical="center"/>
    </xf>
    <xf numFmtId="0" fontId="9" fillId="0" borderId="44" xfId="19" applyFont="1" applyFill="1" applyBorder="1" applyAlignment="1">
      <alignment horizontal="center" vertical="center" wrapText="1"/>
    </xf>
    <xf numFmtId="0" fontId="9" fillId="0" borderId="45" xfId="19" applyFont="1" applyFill="1" applyBorder="1" applyAlignment="1">
      <alignment horizontal="center" vertical="center" wrapText="1"/>
    </xf>
    <xf numFmtId="0" fontId="9" fillId="0" borderId="44" xfId="19" applyFont="1" applyFill="1" applyBorder="1" applyAlignment="1">
      <alignment horizontal="distributed" vertical="center" wrapText="1"/>
    </xf>
    <xf numFmtId="0" fontId="9" fillId="0" borderId="45" xfId="19" applyFont="1" applyFill="1" applyBorder="1" applyAlignment="1">
      <alignment horizontal="distributed" vertical="center" wrapText="1"/>
    </xf>
    <xf numFmtId="0" fontId="9" fillId="0" borderId="46" xfId="19" applyFont="1" applyFill="1" applyBorder="1" applyAlignment="1">
      <alignment horizontal="distributed" wrapText="1"/>
    </xf>
    <xf numFmtId="0" fontId="9" fillId="0" borderId="47" xfId="20" applyFont="1" applyFill="1" applyBorder="1" applyAlignment="1" applyProtection="1">
      <alignment horizontal="centerContinuous" vertical="center" wrapText="1"/>
    </xf>
    <xf numFmtId="0" fontId="9" fillId="0" borderId="48" xfId="20" applyFont="1" applyFill="1" applyBorder="1" applyAlignment="1" applyProtection="1">
      <alignment horizontal="centerContinuous" vertical="center" wrapText="1"/>
    </xf>
    <xf numFmtId="0" fontId="9" fillId="0" borderId="49" xfId="19" applyFont="1" applyFill="1" applyBorder="1" applyAlignment="1">
      <alignment horizontal="distributed" wrapText="1"/>
    </xf>
    <xf numFmtId="0" fontId="9" fillId="0" borderId="49" xfId="19" applyFont="1" applyFill="1" applyBorder="1" applyAlignment="1">
      <alignment horizontal="distributed" vertical="center" wrapText="1"/>
    </xf>
    <xf numFmtId="0" fontId="9" fillId="0" borderId="50" xfId="19" applyFont="1" applyFill="1" applyBorder="1" applyAlignment="1">
      <alignment horizontal="distributed" vertical="center" wrapText="1"/>
    </xf>
    <xf numFmtId="0" fontId="7" fillId="0" borderId="51" xfId="19" applyFont="1" applyBorder="1" applyAlignment="1">
      <alignment horizontal="distributed" vertical="center"/>
    </xf>
    <xf numFmtId="0" fontId="9" fillId="0" borderId="52" xfId="19" applyFont="1" applyFill="1" applyBorder="1"/>
    <xf numFmtId="0" fontId="7" fillId="0" borderId="53" xfId="19" applyFont="1" applyBorder="1" applyAlignment="1">
      <alignment horizontal="distributed" vertical="center"/>
    </xf>
    <xf numFmtId="0" fontId="9" fillId="0" borderId="54" xfId="19" applyFont="1" applyFill="1" applyBorder="1"/>
    <xf numFmtId="0" fontId="7" fillId="0" borderId="53" xfId="19" applyFont="1" applyBorder="1" applyAlignment="1">
      <alignment horizontal="distributed" vertical="center" wrapText="1"/>
    </xf>
    <xf numFmtId="0" fontId="7" fillId="0" borderId="55" xfId="19" applyFont="1" applyBorder="1" applyAlignment="1">
      <alignment horizontal="distributed" vertical="center"/>
    </xf>
    <xf numFmtId="178" fontId="9" fillId="0" borderId="56" xfId="19" applyNumberFormat="1" applyFont="1" applyFill="1" applyBorder="1" applyAlignment="1">
      <alignment horizontal="right" vertical="center"/>
    </xf>
    <xf numFmtId="179" fontId="9" fillId="0" borderId="57" xfId="19" applyNumberFormat="1" applyFont="1" applyFill="1" applyBorder="1" applyAlignment="1">
      <alignment horizontal="center" vertical="center"/>
    </xf>
    <xf numFmtId="0" fontId="9" fillId="0" borderId="58" xfId="19" applyFont="1" applyFill="1" applyBorder="1"/>
    <xf numFmtId="0" fontId="7" fillId="0" borderId="59" xfId="19" applyFont="1" applyBorder="1" applyAlignment="1">
      <alignment horizontal="distributed" vertical="center"/>
    </xf>
    <xf numFmtId="178" fontId="9" fillId="0" borderId="60" xfId="19" applyNumberFormat="1" applyFont="1" applyFill="1" applyBorder="1" applyAlignment="1">
      <alignment horizontal="right" vertical="center"/>
    </xf>
    <xf numFmtId="179" fontId="9" fillId="0" borderId="61" xfId="19" applyNumberFormat="1" applyFont="1" applyFill="1" applyBorder="1" applyAlignment="1">
      <alignment horizontal="center" vertical="center"/>
    </xf>
    <xf numFmtId="0" fontId="9" fillId="0" borderId="62" xfId="19" applyFont="1" applyFill="1" applyBorder="1"/>
    <xf numFmtId="187" fontId="7" fillId="0" borderId="0" xfId="19" applyNumberFormat="1" applyFont="1" applyFill="1" applyAlignment="1">
      <alignment horizontal="right"/>
    </xf>
    <xf numFmtId="187" fontId="9" fillId="0" borderId="63" xfId="19" applyNumberFormat="1" applyFont="1" applyFill="1" applyBorder="1" applyAlignment="1">
      <alignment horizontal="right" vertical="center"/>
    </xf>
    <xf numFmtId="187" fontId="9" fillId="0" borderId="17" xfId="19" applyNumberFormat="1" applyFont="1" applyFill="1" applyBorder="1" applyAlignment="1">
      <alignment horizontal="right" vertical="center"/>
    </xf>
    <xf numFmtId="187" fontId="9" fillId="0" borderId="64" xfId="19" applyNumberFormat="1" applyFont="1" applyFill="1" applyBorder="1" applyAlignment="1">
      <alignment horizontal="right" vertical="center"/>
    </xf>
    <xf numFmtId="187" fontId="9" fillId="0" borderId="65" xfId="19" applyNumberFormat="1" applyFont="1" applyFill="1" applyBorder="1" applyAlignment="1">
      <alignment horizontal="right" vertical="center"/>
    </xf>
    <xf numFmtId="187" fontId="9" fillId="0" borderId="66" xfId="19" applyNumberFormat="1" applyFont="1" applyFill="1" applyBorder="1" applyAlignment="1">
      <alignment horizontal="centerContinuous" vertical="center" wrapText="1"/>
    </xf>
    <xf numFmtId="187" fontId="9" fillId="0" borderId="12" xfId="19" applyNumberFormat="1" applyFont="1" applyFill="1" applyBorder="1" applyAlignment="1">
      <alignment horizontal="centerContinuous" vertical="center" wrapText="1"/>
    </xf>
    <xf numFmtId="187" fontId="9" fillId="0" borderId="67" xfId="19" applyNumberFormat="1" applyFont="1" applyFill="1" applyBorder="1" applyAlignment="1">
      <alignment horizontal="distributed" vertical="center" wrapText="1"/>
    </xf>
    <xf numFmtId="187" fontId="7" fillId="0" borderId="0" xfId="19" applyNumberFormat="1" applyFont="1" applyFill="1" applyBorder="1" applyAlignment="1">
      <alignment horizontal="right"/>
    </xf>
    <xf numFmtId="184" fontId="9" fillId="0" borderId="68" xfId="0" applyNumberFormat="1" applyFont="1" applyFill="1" applyBorder="1" applyAlignment="1">
      <alignment horizontal="center" vertical="center"/>
    </xf>
    <xf numFmtId="185" fontId="9" fillId="0" borderId="23" xfId="0" applyNumberFormat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center" vertical="center"/>
    </xf>
    <xf numFmtId="186" fontId="9" fillId="0" borderId="23" xfId="15" applyNumberFormat="1" applyFont="1" applyFill="1" applyBorder="1" applyAlignment="1">
      <alignment horizontal="center" vertical="center"/>
    </xf>
    <xf numFmtId="178" fontId="9" fillId="0" borderId="23" xfId="18" applyNumberFormat="1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 wrapText="1"/>
    </xf>
    <xf numFmtId="184" fontId="9" fillId="0" borderId="34" xfId="0" applyNumberFormat="1" applyFont="1" applyFill="1" applyBorder="1" applyAlignment="1">
      <alignment horizontal="center" vertical="center"/>
    </xf>
    <xf numFmtId="185" fontId="9" fillId="0" borderId="25" xfId="0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186" fontId="9" fillId="0" borderId="25" xfId="15" applyNumberFormat="1" applyFont="1" applyFill="1" applyBorder="1" applyAlignment="1">
      <alignment horizontal="center" vertical="center"/>
    </xf>
    <xf numFmtId="178" fontId="9" fillId="0" borderId="25" xfId="18" applyNumberFormat="1" applyFont="1" applyFill="1" applyBorder="1" applyAlignment="1" applyProtection="1">
      <alignment horizontal="center" vertical="center" wrapText="1"/>
      <protection locked="0"/>
    </xf>
    <xf numFmtId="0" fontId="9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25" xfId="18" applyFont="1" applyFill="1" applyBorder="1"/>
    <xf numFmtId="184" fontId="9" fillId="0" borderId="35" xfId="0" applyNumberFormat="1" applyFont="1" applyFill="1" applyBorder="1" applyAlignment="1">
      <alignment horizontal="center" vertical="center"/>
    </xf>
    <xf numFmtId="185" fontId="9" fillId="0" borderId="27" xfId="0" applyNumberFormat="1" applyFont="1" applyFill="1" applyBorder="1" applyAlignment="1">
      <alignment horizontal="center" vertical="center"/>
    </xf>
    <xf numFmtId="49" fontId="9" fillId="0" borderId="27" xfId="0" applyNumberFormat="1" applyFont="1" applyFill="1" applyBorder="1" applyAlignment="1">
      <alignment horizontal="center" vertical="center"/>
    </xf>
    <xf numFmtId="186" fontId="9" fillId="0" borderId="27" xfId="15" applyNumberFormat="1" applyFont="1" applyFill="1" applyBorder="1" applyAlignment="1">
      <alignment horizontal="center" vertical="center"/>
    </xf>
    <xf numFmtId="178" fontId="9" fillId="0" borderId="27" xfId="18" applyNumberFormat="1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left" vertical="center" wrapText="1"/>
    </xf>
    <xf numFmtId="184" fontId="9" fillId="0" borderId="36" xfId="0" applyNumberFormat="1" applyFont="1" applyFill="1" applyBorder="1" applyAlignment="1">
      <alignment horizontal="center" vertical="center"/>
    </xf>
    <xf numFmtId="185" fontId="9" fillId="0" borderId="32" xfId="0" applyNumberFormat="1" applyFont="1" applyFill="1" applyBorder="1" applyAlignment="1">
      <alignment horizontal="center" vertical="center"/>
    </xf>
    <xf numFmtId="49" fontId="9" fillId="0" borderId="32" xfId="0" applyNumberFormat="1" applyFont="1" applyFill="1" applyBorder="1" applyAlignment="1">
      <alignment horizontal="center" vertical="center"/>
    </xf>
    <xf numFmtId="186" fontId="9" fillId="0" borderId="32" xfId="15" applyNumberFormat="1" applyFont="1" applyFill="1" applyBorder="1" applyAlignment="1">
      <alignment horizontal="center" vertical="center"/>
    </xf>
    <xf numFmtId="178" fontId="9" fillId="0" borderId="32" xfId="18" applyNumberFormat="1" applyFont="1" applyFill="1" applyBorder="1" applyAlignment="1" applyProtection="1">
      <alignment horizontal="center" vertical="center" wrapText="1"/>
      <protection locked="0"/>
    </xf>
    <xf numFmtId="0" fontId="9" fillId="0" borderId="32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left" vertical="center" wrapText="1"/>
    </xf>
    <xf numFmtId="184" fontId="9" fillId="0" borderId="29" xfId="0" applyNumberFormat="1" applyFont="1" applyFill="1" applyBorder="1" applyAlignment="1">
      <alignment horizontal="center" vertical="center"/>
    </xf>
    <xf numFmtId="179" fontId="7" fillId="0" borderId="0" xfId="19" applyNumberFormat="1" applyFont="1" applyFill="1" applyAlignment="1">
      <alignment horizontal="right"/>
    </xf>
    <xf numFmtId="179" fontId="9" fillId="0" borderId="67" xfId="19" applyNumberFormat="1" applyFont="1" applyFill="1" applyBorder="1" applyAlignment="1">
      <alignment horizontal="center" vertical="center" wrapText="1"/>
    </xf>
    <xf numFmtId="179" fontId="9" fillId="0" borderId="17" xfId="19" applyNumberFormat="1" applyFont="1" applyFill="1" applyBorder="1" applyAlignment="1">
      <alignment horizontal="right" vertical="center"/>
    </xf>
    <xf numFmtId="179" fontId="9" fillId="0" borderId="64" xfId="19" applyNumberFormat="1" applyFont="1" applyFill="1" applyBorder="1" applyAlignment="1">
      <alignment horizontal="right" vertical="center"/>
    </xf>
    <xf numFmtId="179" fontId="9" fillId="0" borderId="65" xfId="19" applyNumberFormat="1" applyFont="1" applyFill="1" applyBorder="1" applyAlignment="1">
      <alignment horizontal="right" vertical="center"/>
    </xf>
    <xf numFmtId="179" fontId="9" fillId="0" borderId="66" xfId="19" applyNumberFormat="1" applyFont="1" applyFill="1" applyBorder="1" applyAlignment="1">
      <alignment horizontal="centerContinuous" vertical="center" wrapText="1"/>
    </xf>
    <xf numFmtId="179" fontId="9" fillId="0" borderId="12" xfId="19" applyNumberFormat="1" applyFont="1" applyFill="1" applyBorder="1" applyAlignment="1">
      <alignment horizontal="centerContinuous" vertical="center" wrapText="1"/>
    </xf>
    <xf numFmtId="0" fontId="10" fillId="0" borderId="12" xfId="20" applyFont="1" applyBorder="1" applyAlignment="1">
      <alignment horizontal="distributed" vertical="center" wrapText="1"/>
    </xf>
    <xf numFmtId="0" fontId="10" fillId="0" borderId="2" xfId="20" applyFont="1" applyBorder="1" applyAlignment="1">
      <alignment horizontal="distributed" vertical="center" wrapText="1"/>
    </xf>
    <xf numFmtId="0" fontId="10" fillId="0" borderId="3" xfId="2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centerContinuous" vertical="center"/>
    </xf>
    <xf numFmtId="179" fontId="7" fillId="0" borderId="0" xfId="19" applyNumberFormat="1" applyFont="1" applyFill="1" applyBorder="1" applyAlignment="1">
      <alignment horizontal="right"/>
    </xf>
    <xf numFmtId="0" fontId="7" fillId="0" borderId="0" xfId="19" applyFont="1" applyFill="1" applyBorder="1" applyAlignment="1">
      <alignment horizontal="center"/>
    </xf>
    <xf numFmtId="0" fontId="6" fillId="0" borderId="69" xfId="19" applyFont="1" applyFill="1" applyBorder="1" applyAlignment="1">
      <alignment horizontal="centerContinuous"/>
    </xf>
    <xf numFmtId="0" fontId="7" fillId="0" borderId="70" xfId="19" applyFont="1" applyFill="1" applyBorder="1" applyAlignment="1">
      <alignment horizontal="centerContinuous"/>
    </xf>
    <xf numFmtId="0" fontId="8" fillId="0" borderId="70" xfId="19" applyFont="1" applyFill="1" applyBorder="1" applyAlignment="1">
      <alignment horizontal="centerContinuous"/>
    </xf>
    <xf numFmtId="179" fontId="8" fillId="0" borderId="70" xfId="19" applyNumberFormat="1" applyFont="1" applyFill="1" applyBorder="1" applyAlignment="1">
      <alignment horizontal="centerContinuous"/>
    </xf>
    <xf numFmtId="187" fontId="8" fillId="0" borderId="70" xfId="19" applyNumberFormat="1" applyFont="1" applyFill="1" applyBorder="1" applyAlignment="1">
      <alignment horizontal="centerContinuous"/>
    </xf>
    <xf numFmtId="0" fontId="8" fillId="0" borderId="71" xfId="19" applyFont="1" applyFill="1" applyBorder="1" applyAlignment="1">
      <alignment horizontal="centerContinuous"/>
    </xf>
    <xf numFmtId="0" fontId="7" fillId="0" borderId="72" xfId="19" applyFont="1" applyFill="1" applyBorder="1"/>
    <xf numFmtId="0" fontId="7" fillId="0" borderId="73" xfId="19" applyFont="1" applyFill="1" applyBorder="1"/>
    <xf numFmtId="0" fontId="7" fillId="0" borderId="71" xfId="19" applyFont="1" applyFill="1" applyBorder="1" applyAlignment="1">
      <alignment horizontal="centerContinuous"/>
    </xf>
    <xf numFmtId="0" fontId="10" fillId="0" borderId="4" xfId="20" applyFont="1" applyBorder="1" applyAlignment="1">
      <alignment horizontal="center" wrapText="1"/>
    </xf>
    <xf numFmtId="49" fontId="9" fillId="0" borderId="32" xfId="18" applyNumberFormat="1" applyFont="1" applyFill="1" applyBorder="1" applyAlignment="1" applyProtection="1">
      <alignment horizontal="center" vertical="center" wrapText="1"/>
      <protection locked="0"/>
    </xf>
    <xf numFmtId="0" fontId="9" fillId="0" borderId="32" xfId="18" applyNumberFormat="1" applyFont="1" applyFill="1" applyBorder="1" applyAlignment="1" applyProtection="1">
      <alignment horizontal="center" vertical="center" wrapText="1"/>
      <protection locked="0"/>
    </xf>
    <xf numFmtId="49" fontId="9" fillId="0" borderId="25" xfId="18" applyNumberFormat="1" applyFont="1" applyFill="1" applyBorder="1" applyAlignment="1" applyProtection="1">
      <alignment horizontal="center" vertical="center" wrapText="1"/>
      <protection locked="0"/>
    </xf>
    <xf numFmtId="0" fontId="9" fillId="0" borderId="25" xfId="18" applyNumberFormat="1" applyFont="1" applyFill="1" applyBorder="1" applyAlignment="1" applyProtection="1">
      <alignment horizontal="center" vertical="center" wrapText="1"/>
      <protection locked="0"/>
    </xf>
    <xf numFmtId="0" fontId="9" fillId="0" borderId="34" xfId="18" applyNumberFormat="1" applyFont="1" applyFill="1" applyBorder="1" applyAlignment="1" applyProtection="1">
      <alignment horizontal="center" vertical="center" wrapText="1"/>
    </xf>
    <xf numFmtId="0" fontId="9" fillId="0" borderId="26" xfId="18" applyNumberFormat="1" applyFont="1" applyFill="1" applyBorder="1" applyAlignment="1" applyProtection="1">
      <alignment horizontal="center" vertical="center" wrapText="1"/>
      <protection locked="0"/>
    </xf>
    <xf numFmtId="49" fontId="7" fillId="0" borderId="41" xfId="18" applyNumberFormat="1" applyFont="1" applyFill="1" applyBorder="1" applyAlignment="1" applyProtection="1">
      <alignment horizontal="center" wrapText="1"/>
    </xf>
    <xf numFmtId="188" fontId="9" fillId="0" borderId="25" xfId="18" applyNumberFormat="1" applyFont="1" applyFill="1" applyBorder="1" applyAlignment="1" applyProtection="1">
      <alignment horizontal="center" vertical="center"/>
      <protection locked="0"/>
    </xf>
    <xf numFmtId="49" fontId="7" fillId="0" borderId="21" xfId="18" applyNumberFormat="1" applyFont="1" applyFill="1" applyBorder="1" applyAlignment="1" applyProtection="1">
      <alignment horizontal="center" vertical="top"/>
    </xf>
    <xf numFmtId="188" fontId="9" fillId="0" borderId="32" xfId="18" applyNumberFormat="1" applyFont="1" applyFill="1" applyBorder="1" applyAlignment="1" applyProtection="1">
      <alignment horizontal="right" vertical="center"/>
      <protection locked="0"/>
    </xf>
    <xf numFmtId="188" fontId="9" fillId="0" borderId="25" xfId="18" applyNumberFormat="1" applyFont="1" applyFill="1" applyBorder="1" applyAlignment="1" applyProtection="1">
      <alignment horizontal="right" vertical="center"/>
      <protection locked="0"/>
    </xf>
    <xf numFmtId="190" fontId="10" fillId="0" borderId="14" xfId="20" applyNumberFormat="1" applyFont="1" applyBorder="1" applyAlignment="1">
      <alignment horizontal="right" vertical="center"/>
    </xf>
    <xf numFmtId="190" fontId="10" fillId="0" borderId="17" xfId="20" applyNumberFormat="1" applyFont="1" applyBorder="1" applyAlignment="1">
      <alignment horizontal="right" vertical="center"/>
    </xf>
    <xf numFmtId="190" fontId="10" fillId="0" borderId="11" xfId="20" applyNumberFormat="1" applyFont="1" applyBorder="1" applyAlignment="1">
      <alignment horizontal="right" vertical="center"/>
    </xf>
    <xf numFmtId="0" fontId="10" fillId="0" borderId="77" xfId="20" applyFont="1" applyBorder="1" applyAlignment="1">
      <alignment horizontal="centerContinuous" vertical="center"/>
    </xf>
    <xf numFmtId="0" fontId="10" fillId="0" borderId="78" xfId="20" applyFont="1" applyBorder="1" applyAlignment="1">
      <alignment horizontal="centerContinuous" vertical="center"/>
    </xf>
    <xf numFmtId="0" fontId="10" fillId="0" borderId="79" xfId="20" applyFont="1" applyBorder="1" applyAlignment="1">
      <alignment horizontal="centerContinuous" vertical="center"/>
    </xf>
    <xf numFmtId="0" fontId="6" fillId="0" borderId="0" xfId="19" applyFont="1" applyFill="1" applyBorder="1" applyAlignment="1">
      <alignment horizontal="centerContinuous"/>
    </xf>
    <xf numFmtId="0" fontId="7" fillId="0" borderId="0" xfId="19" applyFont="1" applyFill="1" applyBorder="1" applyAlignment="1">
      <alignment horizontal="centerContinuous"/>
    </xf>
    <xf numFmtId="0" fontId="8" fillId="0" borderId="0" xfId="19" applyFont="1" applyFill="1" applyBorder="1" applyAlignment="1">
      <alignment horizontal="centerContinuous"/>
    </xf>
    <xf numFmtId="179" fontId="8" fillId="0" borderId="0" xfId="19" applyNumberFormat="1" applyFont="1" applyFill="1" applyBorder="1" applyAlignment="1">
      <alignment horizontal="centerContinuous"/>
    </xf>
    <xf numFmtId="187" fontId="8" fillId="0" borderId="0" xfId="19" applyNumberFormat="1" applyFont="1" applyFill="1" applyBorder="1" applyAlignment="1">
      <alignment horizontal="centerContinuous"/>
    </xf>
    <xf numFmtId="0" fontId="7" fillId="0" borderId="80" xfId="19" applyFont="1" applyFill="1" applyBorder="1"/>
    <xf numFmtId="0" fontId="7" fillId="0" borderId="80" xfId="19" quotePrefix="1" applyFont="1" applyFill="1" applyBorder="1" applyAlignment="1">
      <alignment horizontal="center"/>
    </xf>
    <xf numFmtId="179" fontId="7" fillId="0" borderId="80" xfId="19" applyNumberFormat="1" applyFont="1" applyFill="1" applyBorder="1" applyAlignment="1">
      <alignment horizontal="right"/>
    </xf>
    <xf numFmtId="0" fontId="7" fillId="0" borderId="80" xfId="19" applyFont="1" applyFill="1" applyBorder="1" applyAlignment="1">
      <alignment horizontal="center"/>
    </xf>
    <xf numFmtId="187" fontId="7" fillId="0" borderId="80" xfId="19" applyNumberFormat="1" applyFont="1" applyFill="1" applyBorder="1" applyAlignment="1">
      <alignment horizontal="right"/>
    </xf>
    <xf numFmtId="0" fontId="13" fillId="0" borderId="0" xfId="20" applyFont="1" applyBorder="1" applyAlignment="1">
      <alignment horizontal="centerContinuous" vertical="center"/>
    </xf>
    <xf numFmtId="0" fontId="10" fillId="0" borderId="3" xfId="20" applyFont="1" applyBorder="1" applyAlignment="1">
      <alignment horizontal="distributed"/>
    </xf>
    <xf numFmtId="0" fontId="10" fillId="0" borderId="3" xfId="20" applyFont="1" applyBorder="1"/>
    <xf numFmtId="0" fontId="7" fillId="0" borderId="18" xfId="18" applyFont="1" applyFill="1" applyBorder="1" applyAlignment="1" applyProtection="1">
      <alignment horizontal="centerContinuous" vertical="center"/>
    </xf>
    <xf numFmtId="0" fontId="13" fillId="0" borderId="5" xfId="18" applyFont="1" applyFill="1" applyBorder="1" applyAlignment="1" applyProtection="1">
      <alignment horizontal="centerContinuous"/>
    </xf>
    <xf numFmtId="49" fontId="9" fillId="0" borderId="6" xfId="18" applyNumberFormat="1" applyFont="1" applyFill="1" applyBorder="1" applyAlignment="1" applyProtection="1">
      <alignment horizontal="centerContinuous"/>
    </xf>
    <xf numFmtId="0" fontId="9" fillId="0" borderId="6" xfId="18" applyFont="1" applyFill="1" applyBorder="1" applyAlignment="1" applyProtection="1">
      <alignment horizontal="centerContinuous"/>
    </xf>
    <xf numFmtId="187" fontId="9" fillId="0" borderId="6" xfId="18" applyNumberFormat="1" applyFont="1" applyFill="1" applyBorder="1" applyAlignment="1" applyProtection="1">
      <alignment horizontal="centerContinuous"/>
    </xf>
    <xf numFmtId="188" fontId="9" fillId="0" borderId="6" xfId="18" applyNumberFormat="1" applyFont="1" applyFill="1" applyBorder="1" applyAlignment="1" applyProtection="1">
      <alignment horizontal="centerContinuous" vertical="center"/>
    </xf>
    <xf numFmtId="0" fontId="9" fillId="0" borderId="7" xfId="18" applyFont="1" applyFill="1" applyBorder="1" applyAlignment="1" applyProtection="1">
      <alignment horizontal="centerContinuous"/>
    </xf>
    <xf numFmtId="0" fontId="9" fillId="0" borderId="0" xfId="18" applyFont="1" applyFill="1" applyAlignment="1" applyProtection="1">
      <alignment horizontal="center"/>
    </xf>
    <xf numFmtId="41" fontId="9" fillId="0" borderId="0" xfId="15" applyFont="1" applyFill="1" applyBorder="1" applyProtection="1"/>
    <xf numFmtId="0" fontId="9" fillId="0" borderId="0" xfId="18" applyFont="1" applyFill="1" applyBorder="1" applyProtection="1"/>
    <xf numFmtId="0" fontId="9" fillId="0" borderId="0" xfId="18" applyFont="1" applyFill="1"/>
    <xf numFmtId="0" fontId="9" fillId="0" borderId="75" xfId="18" applyFont="1" applyFill="1" applyBorder="1" applyProtection="1"/>
    <xf numFmtId="49" fontId="9" fillId="0" borderId="0" xfId="18" applyNumberFormat="1" applyFont="1" applyFill="1" applyBorder="1" applyProtection="1"/>
    <xf numFmtId="187" fontId="9" fillId="0" borderId="0" xfId="18" applyNumberFormat="1" applyFont="1" applyFill="1" applyBorder="1" applyProtection="1"/>
    <xf numFmtId="188" fontId="9" fillId="0" borderId="0" xfId="18" applyNumberFormat="1" applyFont="1" applyFill="1" applyBorder="1" applyAlignment="1" applyProtection="1">
      <alignment horizontal="right" vertical="center"/>
    </xf>
    <xf numFmtId="0" fontId="9" fillId="0" borderId="0" xfId="18" applyFont="1" applyFill="1" applyBorder="1" applyAlignment="1" applyProtection="1">
      <alignment horizontal="center"/>
    </xf>
    <xf numFmtId="0" fontId="10" fillId="0" borderId="0" xfId="0" applyFont="1" applyFill="1" applyBorder="1"/>
    <xf numFmtId="0" fontId="10" fillId="0" borderId="0" xfId="18" applyFont="1" applyFill="1" applyBorder="1" applyAlignment="1" applyProtection="1">
      <alignment horizontal="centerContinuous"/>
    </xf>
    <xf numFmtId="0" fontId="9" fillId="0" borderId="0" xfId="18" applyFont="1" applyFill="1" applyBorder="1" applyAlignment="1" applyProtection="1">
      <alignment horizontal="centerContinuous"/>
    </xf>
    <xf numFmtId="0" fontId="9" fillId="0" borderId="76" xfId="18" applyFont="1" applyFill="1" applyBorder="1" applyAlignment="1" applyProtection="1">
      <alignment horizontal="centerContinuous"/>
    </xf>
    <xf numFmtId="0" fontId="9" fillId="0" borderId="2" xfId="18" applyFont="1" applyFill="1" applyBorder="1" applyProtection="1"/>
    <xf numFmtId="49" fontId="9" fillId="0" borderId="3" xfId="18" applyNumberFormat="1" applyFont="1" applyFill="1" applyBorder="1" applyProtection="1"/>
    <xf numFmtId="0" fontId="9" fillId="0" borderId="3" xfId="18" applyFont="1" applyFill="1" applyBorder="1" applyProtection="1"/>
    <xf numFmtId="187" fontId="9" fillId="0" borderId="3" xfId="18" applyNumberFormat="1" applyFont="1" applyFill="1" applyBorder="1" applyProtection="1"/>
    <xf numFmtId="188" fontId="9" fillId="0" borderId="3" xfId="18" applyNumberFormat="1" applyFont="1" applyFill="1" applyBorder="1" applyAlignment="1" applyProtection="1">
      <alignment horizontal="right" vertical="center"/>
    </xf>
    <xf numFmtId="0" fontId="9" fillId="0" borderId="3" xfId="18" applyFont="1" applyFill="1" applyBorder="1" applyAlignment="1" applyProtection="1">
      <alignment horizontal="center"/>
    </xf>
    <xf numFmtId="0" fontId="9" fillId="0" borderId="12" xfId="18" applyFont="1" applyFill="1" applyBorder="1" applyProtection="1"/>
    <xf numFmtId="0" fontId="9" fillId="0" borderId="0" xfId="18" applyFont="1" applyFill="1" applyProtection="1"/>
    <xf numFmtId="178" fontId="7" fillId="0" borderId="0" xfId="18" applyNumberFormat="1" applyFont="1" applyFill="1" applyBorder="1" applyAlignment="1" applyProtection="1">
      <alignment horizontal="center" vertical="center" wrapText="1"/>
    </xf>
    <xf numFmtId="178" fontId="9" fillId="0" borderId="0" xfId="18" applyNumberFormat="1" applyFont="1" applyFill="1" applyBorder="1" applyAlignment="1" applyProtection="1">
      <alignment horizontal="center" vertical="center"/>
    </xf>
    <xf numFmtId="0" fontId="9" fillId="0" borderId="36" xfId="18" applyNumberFormat="1" applyFont="1" applyFill="1" applyBorder="1" applyAlignment="1" applyProtection="1">
      <alignment horizontal="center" vertical="center" wrapText="1"/>
    </xf>
    <xf numFmtId="188" fontId="9" fillId="0" borderId="32" xfId="18" applyNumberFormat="1" applyFont="1" applyFill="1" applyBorder="1" applyAlignment="1" applyProtection="1">
      <alignment horizontal="center" vertical="center"/>
      <protection locked="0"/>
    </xf>
    <xf numFmtId="0" fontId="9" fillId="0" borderId="33" xfId="18" applyNumberFormat="1" applyFont="1" applyFill="1" applyBorder="1" applyAlignment="1" applyProtection="1">
      <alignment horizontal="center" vertical="center" wrapText="1"/>
      <protection locked="0"/>
    </xf>
    <xf numFmtId="178" fontId="9" fillId="0" borderId="0" xfId="18" applyNumberFormat="1" applyFont="1" applyFill="1" applyBorder="1" applyAlignment="1" applyProtection="1">
      <alignment horizontal="center" vertical="center" wrapText="1"/>
      <protection locked="0"/>
    </xf>
    <xf numFmtId="41" fontId="9" fillId="0" borderId="0" xfId="15" applyFont="1" applyFill="1" applyBorder="1" applyAlignment="1" applyProtection="1">
      <alignment horizontal="center" vertical="center" wrapText="1"/>
    </xf>
    <xf numFmtId="178" fontId="9" fillId="0" borderId="0" xfId="18" applyNumberFormat="1" applyFont="1" applyFill="1" applyBorder="1" applyAlignment="1" applyProtection="1">
      <alignment horizontal="center" vertical="center" wrapText="1"/>
    </xf>
    <xf numFmtId="41" fontId="9" fillId="0" borderId="0" xfId="15" applyFont="1" applyFill="1" applyBorder="1" applyAlignment="1" applyProtection="1">
      <alignment horizontal="center" vertical="center"/>
    </xf>
    <xf numFmtId="0" fontId="9" fillId="0" borderId="0" xfId="18" applyFont="1" applyFill="1" applyBorder="1" applyAlignment="1" applyProtection="1">
      <alignment horizontal="center" vertical="center" wrapText="1"/>
    </xf>
    <xf numFmtId="0" fontId="15" fillId="0" borderId="25" xfId="18" applyNumberFormat="1" applyFont="1" applyFill="1" applyBorder="1" applyAlignment="1" applyProtection="1">
      <alignment horizontal="center" vertical="center" wrapText="1"/>
      <protection locked="0"/>
    </xf>
    <xf numFmtId="0" fontId="15" fillId="0" borderId="26" xfId="18" applyNumberFormat="1" applyFont="1" applyFill="1" applyBorder="1" applyAlignment="1" applyProtection="1">
      <alignment horizontal="center" vertical="center" wrapText="1"/>
      <protection locked="0"/>
    </xf>
    <xf numFmtId="0" fontId="9" fillId="0" borderId="29" xfId="18" applyNumberFormat="1" applyFont="1" applyFill="1" applyBorder="1" applyAlignment="1" applyProtection="1">
      <alignment horizontal="centerContinuous" vertical="center" wrapText="1"/>
    </xf>
    <xf numFmtId="49" fontId="9" fillId="0" borderId="30" xfId="18" applyNumberFormat="1" applyFont="1" applyFill="1" applyBorder="1" applyAlignment="1" applyProtection="1">
      <alignment horizontal="centerContinuous" vertical="center" wrapText="1"/>
      <protection locked="0"/>
    </xf>
    <xf numFmtId="188" fontId="9" fillId="0" borderId="30" xfId="18" applyNumberFormat="1" applyFont="1" applyFill="1" applyBorder="1" applyAlignment="1" applyProtection="1">
      <alignment horizontal="center" vertical="center"/>
      <protection locked="0"/>
    </xf>
    <xf numFmtId="0" fontId="9" fillId="0" borderId="30" xfId="18" applyNumberFormat="1" applyFont="1" applyFill="1" applyBorder="1" applyAlignment="1" applyProtection="1">
      <alignment horizontal="center" vertical="center" wrapText="1"/>
      <protection locked="0"/>
    </xf>
    <xf numFmtId="0" fontId="9" fillId="0" borderId="31" xfId="18" applyNumberFormat="1" applyFont="1" applyFill="1" applyBorder="1" applyAlignment="1" applyProtection="1">
      <alignment horizontal="center" vertical="center" wrapText="1"/>
      <protection locked="0"/>
    </xf>
    <xf numFmtId="188" fontId="9" fillId="0" borderId="25" xfId="18" applyNumberFormat="1" applyFont="1" applyFill="1" applyBorder="1" applyAlignment="1" applyProtection="1">
      <alignment horizontal="center" vertical="center" wrapText="1"/>
      <protection locked="0"/>
    </xf>
    <xf numFmtId="0" fontId="16" fillId="0" borderId="26" xfId="18" applyNumberFormat="1" applyFont="1" applyFill="1" applyBorder="1" applyAlignment="1" applyProtection="1">
      <alignment horizontal="center" vertical="center" wrapText="1"/>
      <protection locked="0"/>
    </xf>
    <xf numFmtId="0" fontId="16" fillId="0" borderId="28" xfId="18" applyNumberFormat="1" applyFont="1" applyFill="1" applyBorder="1" applyAlignment="1" applyProtection="1">
      <alignment horizontal="center" vertical="center" wrapText="1"/>
      <protection locked="0"/>
    </xf>
    <xf numFmtId="0" fontId="9" fillId="0" borderId="68" xfId="18" applyNumberFormat="1" applyFont="1" applyFill="1" applyBorder="1" applyAlignment="1" applyProtection="1">
      <alignment horizontal="center" vertical="center" wrapText="1"/>
    </xf>
    <xf numFmtId="0" fontId="9" fillId="0" borderId="23" xfId="18" applyNumberFormat="1" applyFont="1" applyFill="1" applyBorder="1" applyAlignment="1" applyProtection="1">
      <alignment horizontal="center" vertical="center" wrapText="1"/>
      <protection locked="0"/>
    </xf>
    <xf numFmtId="0" fontId="16" fillId="0" borderId="24" xfId="18" applyNumberFormat="1" applyFont="1" applyFill="1" applyBorder="1" applyAlignment="1" applyProtection="1">
      <alignment horizontal="center" vertical="center" wrapText="1"/>
      <protection locked="0"/>
    </xf>
    <xf numFmtId="189" fontId="9" fillId="0" borderId="25" xfId="18" applyNumberFormat="1" applyFont="1" applyFill="1" applyBorder="1" applyAlignment="1" applyProtection="1">
      <alignment horizontal="center" vertical="center"/>
      <protection locked="0"/>
    </xf>
    <xf numFmtId="0" fontId="9" fillId="0" borderId="30" xfId="18" applyNumberFormat="1" applyFont="1" applyFill="1" applyBorder="1" applyAlignment="1" applyProtection="1">
      <alignment horizontal="center" vertical="center" wrapText="1"/>
    </xf>
    <xf numFmtId="0" fontId="9" fillId="0" borderId="31" xfId="18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/>
    <xf numFmtId="0" fontId="9" fillId="0" borderId="20" xfId="18" applyNumberFormat="1" applyFont="1" applyFill="1" applyBorder="1" applyAlignment="1" applyProtection="1">
      <alignment horizontal="center" vertical="center" wrapText="1"/>
    </xf>
    <xf numFmtId="49" fontId="9" fillId="0" borderId="21" xfId="18" applyNumberFormat="1" applyFont="1" applyFill="1" applyBorder="1" applyAlignment="1" applyProtection="1">
      <alignment horizontal="center" vertical="center" wrapText="1"/>
      <protection locked="0"/>
    </xf>
    <xf numFmtId="187" fontId="9" fillId="0" borderId="21" xfId="18" applyNumberFormat="1" applyFont="1" applyFill="1" applyBorder="1" applyAlignment="1" applyProtection="1">
      <alignment horizontal="right" vertical="center"/>
      <protection locked="0"/>
    </xf>
    <xf numFmtId="188" fontId="9" fillId="0" borderId="21" xfId="18" applyNumberFormat="1" applyFont="1" applyFill="1" applyBorder="1" applyAlignment="1" applyProtection="1">
      <alignment horizontal="right" vertical="center"/>
      <protection locked="0"/>
    </xf>
    <xf numFmtId="0" fontId="9" fillId="0" borderId="21" xfId="18" applyNumberFormat="1" applyFont="1" applyFill="1" applyBorder="1" applyAlignment="1" applyProtection="1">
      <alignment horizontal="center" vertical="center" wrapText="1"/>
      <protection locked="0"/>
    </xf>
    <xf numFmtId="0" fontId="9" fillId="0" borderId="74" xfId="18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18" applyNumberFormat="1" applyFont="1" applyFill="1" applyBorder="1" applyAlignment="1" applyProtection="1">
      <alignment horizontal="center" vertical="center" wrapText="1"/>
      <protection locked="0"/>
    </xf>
    <xf numFmtId="0" fontId="9" fillId="0" borderId="29" xfId="18" applyNumberFormat="1" applyFont="1" applyFill="1" applyBorder="1" applyAlignment="1" applyProtection="1">
      <alignment horizontal="center" vertical="center" wrapText="1"/>
    </xf>
    <xf numFmtId="49" fontId="9" fillId="0" borderId="30" xfId="18" applyNumberFormat="1" applyFont="1" applyFill="1" applyBorder="1" applyAlignment="1" applyProtection="1">
      <alignment horizontal="center" vertical="center" wrapText="1"/>
      <protection locked="0"/>
    </xf>
    <xf numFmtId="187" fontId="9" fillId="0" borderId="30" xfId="18" applyNumberFormat="1" applyFont="1" applyFill="1" applyBorder="1" applyAlignment="1" applyProtection="1">
      <alignment horizontal="right" vertical="center"/>
      <protection locked="0"/>
    </xf>
    <xf numFmtId="188" fontId="9" fillId="0" borderId="30" xfId="18" applyNumberFormat="1" applyFont="1" applyFill="1" applyBorder="1" applyAlignment="1" applyProtection="1">
      <alignment horizontal="right" vertical="center"/>
      <protection locked="0"/>
    </xf>
    <xf numFmtId="0" fontId="9" fillId="0" borderId="30" xfId="18" applyNumberFormat="1" applyFont="1" applyFill="1" applyBorder="1" applyAlignment="1" applyProtection="1">
      <alignment horizontal="centerContinuous" vertical="center" wrapText="1"/>
    </xf>
    <xf numFmtId="187" fontId="9" fillId="0" borderId="30" xfId="18" applyNumberFormat="1" applyFont="1" applyFill="1" applyBorder="1" applyAlignment="1" applyProtection="1">
      <alignment horizontal="right" vertical="center"/>
    </xf>
    <xf numFmtId="188" fontId="9" fillId="0" borderId="30" xfId="18" applyNumberFormat="1" applyFont="1" applyFill="1" applyBorder="1" applyAlignment="1" applyProtection="1">
      <alignment horizontal="right" vertical="center"/>
    </xf>
    <xf numFmtId="187" fontId="9" fillId="0" borderId="32" xfId="18" applyNumberFormat="1" applyFont="1" applyFill="1" applyBorder="1" applyAlignment="1" applyProtection="1">
      <alignment horizontal="right" vertical="center"/>
      <protection locked="0"/>
    </xf>
    <xf numFmtId="187" fontId="9" fillId="0" borderId="25" xfId="18" applyNumberFormat="1" applyFont="1" applyFill="1" applyBorder="1" applyAlignment="1" applyProtection="1">
      <alignment horizontal="right" vertical="center"/>
      <protection locked="0"/>
    </xf>
    <xf numFmtId="0" fontId="9" fillId="0" borderId="25" xfId="18" applyNumberFormat="1" applyFont="1" applyFill="1" applyBorder="1" applyAlignment="1" applyProtection="1">
      <alignment horizontal="center" vertical="center" wrapText="1"/>
    </xf>
    <xf numFmtId="0" fontId="9" fillId="0" borderId="26" xfId="18" applyNumberFormat="1" applyFont="1" applyFill="1" applyBorder="1" applyAlignment="1" applyProtection="1">
      <alignment horizontal="center" vertical="center" wrapText="1"/>
    </xf>
    <xf numFmtId="0" fontId="9" fillId="0" borderId="0" xfId="18" applyNumberFormat="1" applyFont="1" applyFill="1" applyBorder="1" applyAlignment="1" applyProtection="1">
      <alignment horizontal="center" vertical="center" wrapText="1"/>
    </xf>
    <xf numFmtId="0" fontId="11" fillId="0" borderId="29" xfId="18" applyNumberFormat="1" applyFont="1" applyFill="1" applyBorder="1" applyAlignment="1" applyProtection="1">
      <alignment horizontal="centerContinuous" vertical="center" wrapText="1"/>
    </xf>
    <xf numFmtId="0" fontId="9" fillId="0" borderId="88" xfId="18" applyNumberFormat="1" applyFont="1" applyFill="1" applyBorder="1" applyAlignment="1" applyProtection="1">
      <alignment horizontal="centerContinuous" vertical="center" wrapText="1"/>
    </xf>
    <xf numFmtId="0" fontId="9" fillId="0" borderId="31" xfId="18" applyNumberFormat="1" applyFont="1" applyFill="1" applyBorder="1" applyAlignment="1" applyProtection="1">
      <alignment horizontal="centerContinuous" vertical="center" wrapText="1"/>
    </xf>
    <xf numFmtId="49" fontId="9" fillId="0" borderId="0" xfId="18" applyNumberFormat="1" applyFont="1" applyFill="1"/>
    <xf numFmtId="187" fontId="9" fillId="0" borderId="0" xfId="18" applyNumberFormat="1" applyFont="1" applyFill="1"/>
    <xf numFmtId="188" fontId="9" fillId="0" borderId="0" xfId="18" applyNumberFormat="1" applyFont="1" applyFill="1" applyAlignment="1">
      <alignment horizontal="right" vertical="center"/>
    </xf>
    <xf numFmtId="0" fontId="9" fillId="0" borderId="0" xfId="18" applyFont="1" applyFill="1" applyAlignment="1">
      <alignment horizontal="center"/>
    </xf>
    <xf numFmtId="0" fontId="9" fillId="0" borderId="0" xfId="18" applyFont="1" applyFill="1" applyBorder="1"/>
    <xf numFmtId="41" fontId="9" fillId="0" borderId="0" xfId="15" applyFont="1" applyFill="1" applyBorder="1"/>
    <xf numFmtId="41" fontId="9" fillId="0" borderId="0" xfId="15" applyFont="1" applyFill="1"/>
    <xf numFmtId="0" fontId="13" fillId="0" borderId="0" xfId="18" applyFont="1" applyFill="1" applyBorder="1" applyAlignment="1" applyProtection="1">
      <alignment horizontal="centerContinuous"/>
    </xf>
    <xf numFmtId="49" fontId="9" fillId="0" borderId="0" xfId="18" applyNumberFormat="1" applyFont="1" applyFill="1" applyBorder="1" applyAlignment="1" applyProtection="1">
      <alignment horizontal="centerContinuous"/>
    </xf>
    <xf numFmtId="187" fontId="9" fillId="0" borderId="0" xfId="18" applyNumberFormat="1" applyFont="1" applyFill="1" applyBorder="1" applyAlignment="1" applyProtection="1">
      <alignment horizontal="centerContinuous"/>
    </xf>
    <xf numFmtId="188" fontId="9" fillId="0" borderId="0" xfId="18" applyNumberFormat="1" applyFont="1" applyFill="1" applyBorder="1" applyAlignment="1" applyProtection="1">
      <alignment horizontal="centerContinuous" vertical="center"/>
    </xf>
    <xf numFmtId="0" fontId="16" fillId="0" borderId="25" xfId="18" applyNumberFormat="1" applyFont="1" applyFill="1" applyBorder="1" applyAlignment="1" applyProtection="1">
      <alignment horizontal="center" vertical="center" wrapText="1"/>
      <protection locked="0"/>
    </xf>
    <xf numFmtId="188" fontId="15" fillId="0" borderId="30" xfId="18" applyNumberFormat="1" applyFont="1" applyFill="1" applyBorder="1" applyAlignment="1" applyProtection="1">
      <alignment horizontal="center" vertical="center"/>
      <protection locked="0"/>
    </xf>
    <xf numFmtId="0" fontId="10" fillId="0" borderId="0" xfId="20" applyFont="1" applyBorder="1" applyAlignment="1">
      <alignment horizontal="center"/>
    </xf>
    <xf numFmtId="0" fontId="10" fillId="0" borderId="10" xfId="20" applyFont="1" applyBorder="1" applyAlignment="1">
      <alignment horizontal="center" vertical="center" wrapText="1"/>
    </xf>
    <xf numFmtId="178" fontId="10" fillId="0" borderId="0" xfId="20" applyNumberFormat="1" applyFont="1" applyBorder="1" applyAlignment="1">
      <alignment horizontal="center" vertical="center"/>
    </xf>
    <xf numFmtId="187" fontId="9" fillId="0" borderId="43" xfId="19" applyNumberFormat="1" applyFont="1" applyFill="1" applyBorder="1" applyAlignment="1">
      <alignment horizontal="center" vertical="center"/>
    </xf>
    <xf numFmtId="187" fontId="9" fillId="0" borderId="16" xfId="19" applyNumberFormat="1" applyFont="1" applyFill="1" applyBorder="1" applyAlignment="1">
      <alignment horizontal="center" vertical="center"/>
    </xf>
    <xf numFmtId="0" fontId="7" fillId="0" borderId="86" xfId="18" applyFont="1" applyFill="1" applyBorder="1" applyAlignment="1" applyProtection="1">
      <alignment horizontal="center" vertical="center" wrapText="1"/>
    </xf>
    <xf numFmtId="41" fontId="9" fillId="2" borderId="0" xfId="15" applyFont="1" applyFill="1" applyBorder="1" applyAlignment="1" applyProtection="1">
      <alignment horizontal="center" vertical="center"/>
    </xf>
    <xf numFmtId="178" fontId="9" fillId="2" borderId="0" xfId="18" applyNumberFormat="1" applyFont="1" applyFill="1" applyBorder="1" applyAlignment="1" applyProtection="1">
      <alignment horizontal="center" vertical="center" wrapText="1"/>
    </xf>
    <xf numFmtId="0" fontId="9" fillId="2" borderId="0" xfId="18" applyFont="1" applyFill="1" applyBorder="1" applyAlignment="1" applyProtection="1">
      <alignment horizontal="center" vertical="center" wrapText="1"/>
    </xf>
    <xf numFmtId="0" fontId="9" fillId="2" borderId="0" xfId="18" applyFont="1" applyFill="1"/>
    <xf numFmtId="41" fontId="9" fillId="3" borderId="0" xfId="15" applyFont="1" applyFill="1" applyBorder="1" applyAlignment="1" applyProtection="1">
      <alignment horizontal="center" vertical="center"/>
    </xf>
    <xf numFmtId="178" fontId="9" fillId="3" borderId="0" xfId="18" applyNumberFormat="1" applyFont="1" applyFill="1" applyBorder="1" applyAlignment="1" applyProtection="1">
      <alignment horizontal="center" vertical="center" wrapText="1"/>
    </xf>
    <xf numFmtId="0" fontId="9" fillId="3" borderId="0" xfId="18" applyFont="1" applyFill="1" applyBorder="1" applyAlignment="1" applyProtection="1">
      <alignment horizontal="center" vertical="center" wrapText="1"/>
    </xf>
    <xf numFmtId="0" fontId="9" fillId="3" borderId="0" xfId="18" applyFont="1" applyFill="1"/>
    <xf numFmtId="0" fontId="9" fillId="0" borderId="0" xfId="20" applyFont="1" applyAlignment="1">
      <alignment vertical="center"/>
    </xf>
    <xf numFmtId="187" fontId="9" fillId="0" borderId="23" xfId="18" applyNumberFormat="1" applyFont="1" applyFill="1" applyBorder="1" applyAlignment="1" applyProtection="1">
      <alignment horizontal="right" vertical="center"/>
      <protection locked="0"/>
    </xf>
    <xf numFmtId="188" fontId="9" fillId="0" borderId="23" xfId="18" applyNumberFormat="1" applyFont="1" applyFill="1" applyBorder="1" applyAlignment="1" applyProtection="1">
      <alignment horizontal="right" vertical="center"/>
      <protection locked="0"/>
    </xf>
    <xf numFmtId="0" fontId="7" fillId="0" borderId="86" xfId="18" applyFont="1" applyFill="1" applyBorder="1" applyAlignment="1" applyProtection="1">
      <alignment horizontal="center" vertical="center" wrapText="1"/>
    </xf>
    <xf numFmtId="0" fontId="7" fillId="0" borderId="22" xfId="18" applyFont="1" applyFill="1" applyBorder="1" applyAlignment="1" applyProtection="1">
      <alignment horizontal="center" vertical="center" wrapText="1"/>
    </xf>
    <xf numFmtId="49" fontId="9" fillId="0" borderId="23" xfId="18" applyNumberFormat="1" applyFont="1" applyFill="1" applyBorder="1" applyAlignment="1" applyProtection="1">
      <alignment horizontal="center" vertical="center" wrapText="1"/>
      <protection locked="0"/>
    </xf>
    <xf numFmtId="188" fontId="16" fillId="0" borderId="30" xfId="18" applyNumberFormat="1" applyFont="1" applyFill="1" applyBorder="1" applyAlignment="1" applyProtection="1">
      <alignment horizontal="center" vertical="center"/>
      <protection locked="0"/>
    </xf>
    <xf numFmtId="191" fontId="9" fillId="0" borderId="34" xfId="18" applyNumberFormat="1" applyFont="1" applyFill="1" applyBorder="1" applyAlignment="1" applyProtection="1">
      <alignment horizontal="center" vertical="center" wrapText="1"/>
      <protection locked="0"/>
    </xf>
    <xf numFmtId="185" fontId="9" fillId="0" borderId="34" xfId="18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/>
    <xf numFmtId="0" fontId="10" fillId="0" borderId="3" xfId="18" applyFont="1" applyFill="1" applyBorder="1" applyAlignment="1" applyProtection="1">
      <alignment horizontal="centerContinuous"/>
    </xf>
    <xf numFmtId="0" fontId="9" fillId="0" borderId="3" xfId="18" applyFont="1" applyFill="1" applyBorder="1" applyAlignment="1" applyProtection="1">
      <alignment horizontal="centerContinuous"/>
    </xf>
    <xf numFmtId="0" fontId="9" fillId="0" borderId="12" xfId="18" applyFont="1" applyFill="1" applyBorder="1" applyAlignment="1" applyProtection="1">
      <alignment horizontal="centerContinuous"/>
    </xf>
    <xf numFmtId="191" fontId="9" fillId="2" borderId="34" xfId="18" applyNumberFormat="1" applyFont="1" applyFill="1" applyBorder="1" applyAlignment="1" applyProtection="1">
      <alignment horizontal="center" vertical="center" wrapText="1"/>
      <protection locked="0"/>
    </xf>
    <xf numFmtId="49" fontId="9" fillId="2" borderId="25" xfId="18" applyNumberFormat="1" applyFont="1" applyFill="1" applyBorder="1" applyAlignment="1" applyProtection="1">
      <alignment horizontal="center" vertical="center" wrapText="1"/>
      <protection locked="0"/>
    </xf>
    <xf numFmtId="188" fontId="9" fillId="2" borderId="25" xfId="18" applyNumberFormat="1" applyFont="1" applyFill="1" applyBorder="1" applyAlignment="1" applyProtection="1">
      <alignment horizontal="center" vertical="center"/>
      <protection locked="0"/>
    </xf>
    <xf numFmtId="0" fontId="9" fillId="2" borderId="25" xfId="18" applyNumberFormat="1" applyFont="1" applyFill="1" applyBorder="1" applyAlignment="1" applyProtection="1">
      <alignment horizontal="center" vertical="center" wrapText="1"/>
      <protection locked="0"/>
    </xf>
    <xf numFmtId="0" fontId="16" fillId="2" borderId="26" xfId="18" applyNumberFormat="1" applyFont="1" applyFill="1" applyBorder="1" applyAlignment="1" applyProtection="1">
      <alignment horizontal="center" vertical="center" wrapText="1"/>
      <protection locked="0"/>
    </xf>
    <xf numFmtId="179" fontId="9" fillId="0" borderId="63" xfId="19" applyNumberFormat="1" applyFont="1" applyFill="1" applyBorder="1" applyAlignment="1">
      <alignment horizontal="right" vertical="center"/>
    </xf>
    <xf numFmtId="179" fontId="9" fillId="0" borderId="48" xfId="19" applyNumberFormat="1" applyFont="1" applyFill="1" applyBorder="1" applyAlignment="1">
      <alignment horizontal="centerContinuous" vertical="center" wrapText="1"/>
    </xf>
    <xf numFmtId="178" fontId="9" fillId="0" borderId="34" xfId="19" applyNumberFormat="1" applyFont="1" applyFill="1" applyBorder="1" applyAlignment="1">
      <alignment horizontal="right" vertical="center"/>
    </xf>
    <xf numFmtId="178" fontId="9" fillId="0" borderId="96" xfId="19" applyNumberFormat="1" applyFont="1" applyFill="1" applyBorder="1" applyAlignment="1">
      <alignment horizontal="right" vertical="center"/>
    </xf>
    <xf numFmtId="178" fontId="9" fillId="0" borderId="68" xfId="19" applyNumberFormat="1" applyFont="1" applyFill="1" applyBorder="1" applyAlignment="1">
      <alignment horizontal="right" vertical="center"/>
    </xf>
    <xf numFmtId="187" fontId="9" fillId="0" borderId="70" xfId="19" applyNumberFormat="1" applyFont="1" applyFill="1" applyBorder="1" applyAlignment="1">
      <alignment horizontal="centerContinuous" vertical="center" wrapText="1"/>
    </xf>
    <xf numFmtId="0" fontId="7" fillId="0" borderId="97" xfId="19" applyFont="1" applyBorder="1" applyAlignment="1">
      <alignment horizontal="distributed" vertical="center"/>
    </xf>
    <xf numFmtId="178" fontId="9" fillId="0" borderId="98" xfId="19" applyNumberFormat="1" applyFont="1" applyFill="1" applyBorder="1" applyAlignment="1">
      <alignment horizontal="right" vertical="center"/>
    </xf>
    <xf numFmtId="187" fontId="9" fillId="0" borderId="99" xfId="19" applyNumberFormat="1" applyFont="1" applyFill="1" applyBorder="1" applyAlignment="1">
      <alignment horizontal="right" vertical="center"/>
    </xf>
    <xf numFmtId="179" fontId="9" fillId="0" borderId="99" xfId="19" applyNumberFormat="1" applyFont="1" applyFill="1" applyBorder="1" applyAlignment="1">
      <alignment horizontal="right" vertical="center"/>
    </xf>
    <xf numFmtId="0" fontId="9" fillId="0" borderId="101" xfId="19" applyFont="1" applyFill="1" applyBorder="1"/>
    <xf numFmtId="178" fontId="9" fillId="0" borderId="103" xfId="19" applyNumberFormat="1" applyFont="1" applyFill="1" applyBorder="1" applyAlignment="1">
      <alignment horizontal="right" vertical="center"/>
    </xf>
    <xf numFmtId="187" fontId="9" fillId="0" borderId="108" xfId="19" applyNumberFormat="1" applyFont="1" applyFill="1" applyBorder="1" applyAlignment="1">
      <alignment horizontal="right" vertical="center"/>
    </xf>
    <xf numFmtId="0" fontId="6" fillId="0" borderId="80" xfId="19" applyFont="1" applyFill="1" applyBorder="1" applyAlignment="1">
      <alignment horizontal="centerContinuous"/>
    </xf>
    <xf numFmtId="0" fontId="7" fillId="0" borderId="80" xfId="19" applyFont="1" applyFill="1" applyBorder="1" applyAlignment="1">
      <alignment horizontal="centerContinuous"/>
    </xf>
    <xf numFmtId="187" fontId="8" fillId="0" borderId="80" xfId="19" applyNumberFormat="1" applyFont="1" applyFill="1" applyBorder="1" applyAlignment="1">
      <alignment horizontal="centerContinuous"/>
    </xf>
    <xf numFmtId="179" fontId="8" fillId="0" borderId="80" xfId="19" applyNumberFormat="1" applyFont="1" applyFill="1" applyBorder="1" applyAlignment="1">
      <alignment horizontal="centerContinuous"/>
    </xf>
    <xf numFmtId="0" fontId="8" fillId="0" borderId="80" xfId="19" applyFont="1" applyFill="1" applyBorder="1" applyAlignment="1">
      <alignment horizontal="centerContinuous"/>
    </xf>
    <xf numFmtId="179" fontId="9" fillId="0" borderId="108" xfId="19" applyNumberFormat="1" applyFont="1" applyFill="1" applyBorder="1" applyAlignment="1">
      <alignment horizontal="right" vertical="center"/>
    </xf>
    <xf numFmtId="187" fontId="17" fillId="0" borderId="0" xfId="19" applyNumberFormat="1" applyFont="1" applyFill="1" applyBorder="1" applyAlignment="1">
      <alignment horizontal="centerContinuous"/>
    </xf>
    <xf numFmtId="0" fontId="10" fillId="0" borderId="29" xfId="20" applyFont="1" applyBorder="1" applyAlignment="1">
      <alignment horizontal="center" vertical="center" wrapText="1"/>
    </xf>
    <xf numFmtId="178" fontId="9" fillId="0" borderId="68" xfId="19" applyNumberFormat="1" applyFont="1" applyFill="1" applyBorder="1" applyAlignment="1">
      <alignment horizontal="center" vertical="center"/>
    </xf>
    <xf numFmtId="178" fontId="9" fillId="0" borderId="34" xfId="19" applyNumberFormat="1" applyFont="1" applyFill="1" applyBorder="1" applyAlignment="1">
      <alignment horizontal="center" vertical="center"/>
    </xf>
    <xf numFmtId="0" fontId="17" fillId="0" borderId="107" xfId="20" applyFont="1" applyBorder="1" applyAlignment="1">
      <alignment horizontal="center" vertical="center" wrapText="1"/>
    </xf>
    <xf numFmtId="190" fontId="9" fillId="0" borderId="38" xfId="19" applyNumberFormat="1" applyFont="1" applyFill="1" applyBorder="1" applyAlignment="1">
      <alignment horizontal="center" vertical="center"/>
    </xf>
    <xf numFmtId="190" fontId="9" fillId="0" borderId="105" xfId="19" applyNumberFormat="1" applyFont="1" applyFill="1" applyBorder="1" applyAlignment="1">
      <alignment horizontal="center" vertical="center"/>
    </xf>
    <xf numFmtId="178" fontId="11" fillId="0" borderId="29" xfId="19" applyNumberFormat="1" applyFont="1" applyFill="1" applyBorder="1" applyAlignment="1">
      <alignment horizontal="center" vertical="center"/>
    </xf>
    <xf numFmtId="187" fontId="11" fillId="0" borderId="78" xfId="19" applyNumberFormat="1" applyFont="1" applyFill="1" applyBorder="1" applyAlignment="1">
      <alignment horizontal="center" vertical="center"/>
    </xf>
    <xf numFmtId="190" fontId="11" fillId="0" borderId="107" xfId="19" applyNumberFormat="1" applyFont="1" applyFill="1" applyBorder="1" applyAlignment="1">
      <alignment horizontal="center" vertical="center"/>
    </xf>
    <xf numFmtId="0" fontId="19" fillId="0" borderId="29" xfId="20" applyFont="1" applyBorder="1" applyAlignment="1">
      <alignment horizontal="center" vertical="center" wrapText="1"/>
    </xf>
    <xf numFmtId="0" fontId="19" fillId="0" borderId="11" xfId="20" applyFont="1" applyBorder="1" applyAlignment="1">
      <alignment horizontal="center" vertical="center" wrapText="1"/>
    </xf>
    <xf numFmtId="178" fontId="20" fillId="0" borderId="29" xfId="19" applyNumberFormat="1" applyFont="1" applyFill="1" applyBorder="1" applyAlignment="1">
      <alignment horizontal="center" vertical="center"/>
    </xf>
    <xf numFmtId="190" fontId="20" fillId="0" borderId="79" xfId="19" applyNumberFormat="1" applyFont="1" applyFill="1" applyBorder="1" applyAlignment="1">
      <alignment horizontal="center" vertical="center"/>
    </xf>
    <xf numFmtId="178" fontId="21" fillId="0" borderId="68" xfId="19" applyNumberFormat="1" applyFont="1" applyFill="1" applyBorder="1" applyAlignment="1">
      <alignment horizontal="center" vertical="center"/>
    </xf>
    <xf numFmtId="187" fontId="21" fillId="0" borderId="63" xfId="19" applyNumberFormat="1" applyFont="1" applyFill="1" applyBorder="1" applyAlignment="1">
      <alignment horizontal="center" vertical="center"/>
    </xf>
    <xf numFmtId="178" fontId="21" fillId="0" borderId="34" xfId="19" applyNumberFormat="1" applyFont="1" applyFill="1" applyBorder="1" applyAlignment="1">
      <alignment horizontal="center" vertical="center"/>
    </xf>
    <xf numFmtId="187" fontId="21" fillId="0" borderId="17" xfId="19" applyNumberFormat="1" applyFont="1" applyFill="1" applyBorder="1" applyAlignment="1">
      <alignment horizontal="center" vertical="center"/>
    </xf>
    <xf numFmtId="178" fontId="20" fillId="0" borderId="98" xfId="19" applyNumberFormat="1" applyFont="1" applyFill="1" applyBorder="1" applyAlignment="1">
      <alignment horizontal="right" vertical="center"/>
    </xf>
    <xf numFmtId="187" fontId="20" fillId="0" borderId="99" xfId="19" applyNumberFormat="1" applyFont="1" applyFill="1" applyBorder="1" applyAlignment="1">
      <alignment horizontal="right" vertical="center"/>
    </xf>
    <xf numFmtId="178" fontId="11" fillId="0" borderId="98" xfId="19" applyNumberFormat="1" applyFont="1" applyFill="1" applyBorder="1" applyAlignment="1">
      <alignment horizontal="right" vertical="center"/>
    </xf>
    <xf numFmtId="179" fontId="11" fillId="0" borderId="99" xfId="19" applyNumberFormat="1" applyFont="1" applyFill="1" applyBorder="1" applyAlignment="1">
      <alignment horizontal="right" vertical="center"/>
    </xf>
    <xf numFmtId="191" fontId="11" fillId="0" borderId="99" xfId="19" applyNumberFormat="1" applyFont="1" applyFill="1" applyBorder="1" applyAlignment="1">
      <alignment horizontal="right" vertical="center"/>
    </xf>
    <xf numFmtId="178" fontId="20" fillId="0" borderId="68" xfId="19" applyNumberFormat="1" applyFont="1" applyFill="1" applyBorder="1" applyAlignment="1">
      <alignment horizontal="right" vertical="center"/>
    </xf>
    <xf numFmtId="187" fontId="20" fillId="0" borderId="63" xfId="19" applyNumberFormat="1" applyFont="1" applyFill="1" applyBorder="1" applyAlignment="1">
      <alignment horizontal="right" vertical="center"/>
    </xf>
    <xf numFmtId="178" fontId="11" fillId="0" borderId="68" xfId="19" applyNumberFormat="1" applyFont="1" applyFill="1" applyBorder="1" applyAlignment="1">
      <alignment horizontal="right" vertical="center"/>
    </xf>
    <xf numFmtId="187" fontId="11" fillId="0" borderId="63" xfId="19" applyNumberFormat="1" applyFont="1" applyFill="1" applyBorder="1" applyAlignment="1">
      <alignment horizontal="right" vertical="center"/>
    </xf>
    <xf numFmtId="191" fontId="11" fillId="0" borderId="43" xfId="19" applyNumberFormat="1" applyFont="1" applyFill="1" applyBorder="1" applyAlignment="1">
      <alignment horizontal="right" vertical="center"/>
    </xf>
    <xf numFmtId="178" fontId="20" fillId="0" borderId="96" xfId="19" applyNumberFormat="1" applyFont="1" applyFill="1" applyBorder="1" applyAlignment="1">
      <alignment horizontal="right" vertical="center"/>
    </xf>
    <xf numFmtId="187" fontId="20" fillId="0" borderId="64" xfId="19" applyNumberFormat="1" applyFont="1" applyFill="1" applyBorder="1" applyAlignment="1">
      <alignment horizontal="right" vertical="center"/>
    </xf>
    <xf numFmtId="178" fontId="11" fillId="0" borderId="96" xfId="19" applyNumberFormat="1" applyFont="1" applyFill="1" applyBorder="1" applyAlignment="1">
      <alignment horizontal="right" vertical="center"/>
    </xf>
    <xf numFmtId="187" fontId="11" fillId="0" borderId="64" xfId="19" applyNumberFormat="1" applyFont="1" applyFill="1" applyBorder="1" applyAlignment="1">
      <alignment horizontal="right" vertical="center"/>
    </xf>
    <xf numFmtId="191" fontId="11" fillId="0" borderId="57" xfId="19" applyNumberFormat="1" applyFont="1" applyFill="1" applyBorder="1" applyAlignment="1">
      <alignment horizontal="right" vertical="center"/>
    </xf>
    <xf numFmtId="179" fontId="11" fillId="0" borderId="95" xfId="19" applyNumberFormat="1" applyFont="1" applyFill="1" applyBorder="1" applyAlignment="1">
      <alignment horizontal="center" vertical="center" wrapText="1"/>
    </xf>
    <xf numFmtId="178" fontId="11" fillId="0" borderId="43" xfId="19" applyNumberFormat="1" applyFont="1" applyFill="1" applyBorder="1" applyAlignment="1">
      <alignment horizontal="right" vertical="center"/>
    </xf>
    <xf numFmtId="178" fontId="11" fillId="0" borderId="100" xfId="19" applyNumberFormat="1" applyFont="1" applyFill="1" applyBorder="1" applyAlignment="1">
      <alignment horizontal="right" vertical="center"/>
    </xf>
    <xf numFmtId="178" fontId="20" fillId="0" borderId="103" xfId="19" applyNumberFormat="1" applyFont="1" applyFill="1" applyBorder="1" applyAlignment="1">
      <alignment horizontal="right" vertical="center"/>
    </xf>
    <xf numFmtId="187" fontId="20" fillId="0" borderId="108" xfId="19" applyNumberFormat="1" applyFont="1" applyFill="1" applyBorder="1" applyAlignment="1">
      <alignment horizontal="right" vertical="center"/>
    </xf>
    <xf numFmtId="178" fontId="11" fillId="0" borderId="103" xfId="19" applyNumberFormat="1" applyFont="1" applyFill="1" applyBorder="1" applyAlignment="1">
      <alignment horizontal="right" vertical="center"/>
    </xf>
    <xf numFmtId="187" fontId="11" fillId="0" borderId="108" xfId="19" applyNumberFormat="1" applyFont="1" applyFill="1" applyBorder="1" applyAlignment="1">
      <alignment horizontal="right" vertical="center"/>
    </xf>
    <xf numFmtId="187" fontId="11" fillId="0" borderId="100" xfId="19" applyNumberFormat="1" applyFont="1" applyFill="1" applyBorder="1" applyAlignment="1">
      <alignment horizontal="right" vertical="center"/>
    </xf>
    <xf numFmtId="178" fontId="20" fillId="0" borderId="102" xfId="19" applyNumberFormat="1" applyFont="1" applyFill="1" applyBorder="1" applyAlignment="1">
      <alignment horizontal="right" vertical="center"/>
    </xf>
    <xf numFmtId="178" fontId="20" fillId="0" borderId="109" xfId="19" applyNumberFormat="1" applyFont="1" applyFill="1" applyBorder="1" applyAlignment="1">
      <alignment horizontal="right" vertical="center"/>
    </xf>
    <xf numFmtId="178" fontId="11" fillId="0" borderId="57" xfId="19" applyNumberFormat="1" applyFont="1" applyFill="1" applyBorder="1" applyAlignment="1">
      <alignment horizontal="right" vertical="center"/>
    </xf>
    <xf numFmtId="178" fontId="11" fillId="0" borderId="105" xfId="19" applyNumberFormat="1" applyFont="1" applyFill="1" applyBorder="1" applyAlignment="1">
      <alignment horizontal="right" vertical="center"/>
    </xf>
    <xf numFmtId="178" fontId="11" fillId="0" borderId="104" xfId="19" applyNumberFormat="1" applyFont="1" applyFill="1" applyBorder="1" applyAlignment="1">
      <alignment horizontal="right" vertical="center"/>
    </xf>
    <xf numFmtId="0" fontId="10" fillId="0" borderId="46" xfId="20" applyFont="1" applyBorder="1" applyAlignment="1">
      <alignment horizontal="center" wrapText="1"/>
    </xf>
    <xf numFmtId="0" fontId="10" fillId="0" borderId="110" xfId="20" applyFont="1" applyBorder="1" applyAlignment="1">
      <alignment horizontal="center" vertical="center" wrapText="1"/>
    </xf>
    <xf numFmtId="0" fontId="10" fillId="0" borderId="82" xfId="20" applyFont="1" applyBorder="1" applyAlignment="1">
      <alignment horizontal="center" wrapText="1"/>
    </xf>
    <xf numFmtId="0" fontId="10" fillId="0" borderId="111" xfId="20" applyFont="1" applyBorder="1" applyAlignment="1">
      <alignment horizontal="center" wrapText="1"/>
    </xf>
    <xf numFmtId="0" fontId="10" fillId="0" borderId="112" xfId="20" applyFont="1" applyBorder="1" applyAlignment="1">
      <alignment horizontal="center"/>
    </xf>
    <xf numFmtId="0" fontId="18" fillId="0" borderId="113" xfId="19" applyFont="1" applyBorder="1" applyAlignment="1">
      <alignment horizontal="center" vertical="center"/>
    </xf>
    <xf numFmtId="0" fontId="10" fillId="0" borderId="114" xfId="20" applyFont="1" applyBorder="1" applyAlignment="1">
      <alignment horizontal="center" vertical="center"/>
    </xf>
    <xf numFmtId="0" fontId="7" fillId="0" borderId="51" xfId="19" applyFont="1" applyBorder="1" applyAlignment="1">
      <alignment horizontal="center" vertical="center"/>
    </xf>
    <xf numFmtId="0" fontId="10" fillId="0" borderId="52" xfId="20" applyFont="1" applyBorder="1" applyAlignment="1">
      <alignment horizontal="center" vertical="center"/>
    </xf>
    <xf numFmtId="0" fontId="7" fillId="0" borderId="53" xfId="19" applyFont="1" applyBorder="1" applyAlignment="1">
      <alignment horizontal="center" vertical="center"/>
    </xf>
    <xf numFmtId="0" fontId="10" fillId="0" borderId="54" xfId="20" applyFont="1" applyBorder="1" applyAlignment="1">
      <alignment horizontal="center" vertical="center"/>
    </xf>
    <xf numFmtId="0" fontId="7" fillId="0" borderId="53" xfId="19" applyFont="1" applyBorder="1" applyAlignment="1">
      <alignment horizontal="center" vertical="center" wrapText="1"/>
    </xf>
    <xf numFmtId="0" fontId="7" fillId="0" borderId="55" xfId="19" applyFont="1" applyBorder="1" applyAlignment="1">
      <alignment horizontal="center" vertical="center"/>
    </xf>
    <xf numFmtId="178" fontId="21" fillId="0" borderId="96" xfId="19" applyNumberFormat="1" applyFont="1" applyFill="1" applyBorder="1" applyAlignment="1">
      <alignment horizontal="center" vertical="center"/>
    </xf>
    <xf numFmtId="187" fontId="21" fillId="0" borderId="64" xfId="19" applyNumberFormat="1" applyFont="1" applyFill="1" applyBorder="1" applyAlignment="1">
      <alignment horizontal="center" vertical="center"/>
    </xf>
    <xf numFmtId="178" fontId="9" fillId="0" borderId="96" xfId="19" applyNumberFormat="1" applyFont="1" applyFill="1" applyBorder="1" applyAlignment="1">
      <alignment horizontal="center" vertical="center"/>
    </xf>
    <xf numFmtId="187" fontId="9" fillId="0" borderId="57" xfId="19" applyNumberFormat="1" applyFont="1" applyFill="1" applyBorder="1" applyAlignment="1">
      <alignment horizontal="center" vertical="center"/>
    </xf>
    <xf numFmtId="190" fontId="9" fillId="0" borderId="106" xfId="19" applyNumberFormat="1" applyFont="1" applyFill="1" applyBorder="1" applyAlignment="1">
      <alignment horizontal="center" vertical="center"/>
    </xf>
    <xf numFmtId="0" fontId="10" fillId="0" borderId="58" xfId="20" applyFont="1" applyBorder="1" applyAlignment="1">
      <alignment horizontal="center" vertical="center"/>
    </xf>
    <xf numFmtId="189" fontId="7" fillId="0" borderId="30" xfId="18" applyNumberFormat="1" applyFont="1" applyFill="1" applyBorder="1" applyAlignment="1" applyProtection="1">
      <alignment horizontal="center" vertical="center"/>
      <protection locked="0"/>
    </xf>
    <xf numFmtId="0" fontId="9" fillId="4" borderId="34" xfId="18" applyNumberFormat="1" applyFont="1" applyFill="1" applyBorder="1" applyAlignment="1" applyProtection="1">
      <alignment horizontal="center" vertical="center" wrapText="1"/>
    </xf>
    <xf numFmtId="49" fontId="9" fillId="4" borderId="25" xfId="18" applyNumberFormat="1" applyFont="1" applyFill="1" applyBorder="1" applyAlignment="1" applyProtection="1">
      <alignment horizontal="center" vertical="center" wrapText="1"/>
      <protection locked="0"/>
    </xf>
    <xf numFmtId="188" fontId="9" fillId="4" borderId="25" xfId="18" applyNumberFormat="1" applyFont="1" applyFill="1" applyBorder="1" applyAlignment="1" applyProtection="1">
      <alignment horizontal="center" vertical="center"/>
      <protection locked="0"/>
    </xf>
    <xf numFmtId="0" fontId="9" fillId="4" borderId="25" xfId="18" applyNumberFormat="1" applyFont="1" applyFill="1" applyBorder="1" applyAlignment="1" applyProtection="1">
      <alignment horizontal="center" vertical="center" wrapText="1"/>
      <protection locked="0"/>
    </xf>
    <xf numFmtId="0" fontId="9" fillId="4" borderId="26" xfId="18" applyNumberFormat="1" applyFont="1" applyFill="1" applyBorder="1" applyAlignment="1" applyProtection="1">
      <alignment horizontal="center" vertical="center" wrapText="1"/>
      <protection locked="0"/>
    </xf>
    <xf numFmtId="178" fontId="9" fillId="4" borderId="0" xfId="18" applyNumberFormat="1" applyFont="1" applyFill="1" applyBorder="1" applyAlignment="1" applyProtection="1">
      <alignment horizontal="center" vertical="center" wrapText="1"/>
    </xf>
    <xf numFmtId="0" fontId="9" fillId="4" borderId="0" xfId="18" applyFont="1" applyFill="1"/>
    <xf numFmtId="0" fontId="7" fillId="5" borderId="40" xfId="18" applyFont="1" applyFill="1" applyBorder="1" applyAlignment="1" applyProtection="1">
      <alignment horizontal="center" wrapText="1"/>
    </xf>
    <xf numFmtId="49" fontId="7" fillId="5" borderId="41" xfId="18" applyNumberFormat="1" applyFont="1" applyFill="1" applyBorder="1" applyAlignment="1" applyProtection="1">
      <alignment horizontal="center" wrapText="1"/>
    </xf>
    <xf numFmtId="0" fontId="7" fillId="5" borderId="18" xfId="18" applyFont="1" applyFill="1" applyBorder="1" applyAlignment="1" applyProtection="1">
      <alignment horizontal="centerContinuous" vertical="center"/>
    </xf>
    <xf numFmtId="0" fontId="7" fillId="5" borderId="6" xfId="18" applyFont="1" applyFill="1" applyBorder="1" applyAlignment="1" applyProtection="1">
      <alignment horizontal="centerContinuous" vertical="center"/>
    </xf>
    <xf numFmtId="0" fontId="7" fillId="5" borderId="19" xfId="18" applyFont="1" applyFill="1" applyBorder="1" applyAlignment="1" applyProtection="1">
      <alignment horizontal="centerContinuous" vertical="center"/>
    </xf>
    <xf numFmtId="0" fontId="7" fillId="5" borderId="20" xfId="18" applyFont="1" applyFill="1" applyBorder="1" applyAlignment="1" applyProtection="1">
      <alignment horizontal="center" vertical="top" wrapText="1"/>
    </xf>
    <xf numFmtId="0" fontId="7" fillId="5" borderId="22" xfId="18" applyFont="1" applyFill="1" applyBorder="1" applyAlignment="1" applyProtection="1">
      <alignment horizontal="center" vertical="center"/>
    </xf>
    <xf numFmtId="49" fontId="7" fillId="5" borderId="21" xfId="18" applyNumberFormat="1" applyFont="1" applyFill="1" applyBorder="1" applyAlignment="1" applyProtection="1">
      <alignment horizontal="center" vertical="top"/>
    </xf>
    <xf numFmtId="0" fontId="7" fillId="5" borderId="22" xfId="18" applyFont="1" applyFill="1" applyBorder="1" applyAlignment="1" applyProtection="1">
      <alignment horizontal="center" vertical="center" wrapText="1"/>
    </xf>
    <xf numFmtId="0" fontId="9" fillId="5" borderId="22" xfId="18" applyFont="1" applyFill="1" applyBorder="1" applyAlignment="1" applyProtection="1">
      <alignment horizontal="center" vertical="center" wrapText="1"/>
    </xf>
    <xf numFmtId="0" fontId="7" fillId="5" borderId="36" xfId="18" applyFont="1" applyFill="1" applyBorder="1" applyAlignment="1" applyProtection="1">
      <alignment horizontal="center" wrapText="1"/>
    </xf>
    <xf numFmtId="0" fontId="7" fillId="5" borderId="32" xfId="18" applyFont="1" applyFill="1" applyBorder="1" applyAlignment="1" applyProtection="1">
      <alignment horizontal="centerContinuous" vertical="center"/>
    </xf>
    <xf numFmtId="0" fontId="7" fillId="5" borderId="90" xfId="18" applyFont="1" applyFill="1" applyBorder="1" applyAlignment="1" applyProtection="1">
      <alignment horizontal="center" vertical="top" wrapText="1"/>
    </xf>
    <xf numFmtId="188" fontId="9" fillId="2" borderId="115" xfId="18" applyNumberFormat="1" applyFont="1" applyFill="1" applyBorder="1" applyAlignment="1" applyProtection="1">
      <alignment horizontal="center" vertical="center"/>
      <protection locked="0"/>
    </xf>
    <xf numFmtId="188" fontId="9" fillId="0" borderId="22" xfId="18" applyNumberFormat="1" applyFont="1" applyFill="1" applyBorder="1" applyAlignment="1" applyProtection="1">
      <alignment horizontal="center" vertical="center"/>
      <protection locked="0"/>
    </xf>
    <xf numFmtId="188" fontId="9" fillId="0" borderId="115" xfId="18" applyNumberFormat="1" applyFont="1" applyFill="1" applyBorder="1" applyAlignment="1" applyProtection="1">
      <alignment horizontal="center" vertical="center"/>
      <protection locked="0"/>
    </xf>
    <xf numFmtId="49" fontId="9" fillId="2" borderId="116" xfId="18" applyNumberFormat="1" applyFont="1" applyFill="1" applyBorder="1" applyAlignment="1" applyProtection="1">
      <alignment horizontal="center" vertical="center" wrapText="1"/>
      <protection locked="0"/>
    </xf>
    <xf numFmtId="49" fontId="9" fillId="0" borderId="116" xfId="18" applyNumberFormat="1" applyFont="1" applyFill="1" applyBorder="1" applyAlignment="1" applyProtection="1">
      <alignment horizontal="center" vertical="center" wrapText="1"/>
      <protection locked="0"/>
    </xf>
    <xf numFmtId="0" fontId="9" fillId="0" borderId="32" xfId="18" applyNumberFormat="1" applyFont="1" applyFill="1" applyBorder="1" applyAlignment="1" applyProtection="1">
      <alignment horizontal="center" vertical="center" wrapText="1"/>
      <protection locked="0"/>
    </xf>
    <xf numFmtId="0" fontId="9" fillId="0" borderId="25" xfId="18" applyNumberFormat="1" applyFont="1" applyFill="1" applyBorder="1" applyAlignment="1" applyProtection="1">
      <alignment horizontal="center" vertical="center" wrapText="1"/>
      <protection locked="0"/>
    </xf>
    <xf numFmtId="188" fontId="9" fillId="0" borderId="25" xfId="18" applyNumberFormat="1" applyFont="1" applyFill="1" applyBorder="1" applyAlignment="1" applyProtection="1">
      <alignment horizontal="center" vertical="center"/>
      <protection locked="0"/>
    </xf>
    <xf numFmtId="188" fontId="9" fillId="0" borderId="32" xfId="18" applyNumberFormat="1" applyFont="1" applyFill="1" applyBorder="1" applyAlignment="1" applyProtection="1">
      <alignment horizontal="center" vertical="center"/>
      <protection locked="0"/>
    </xf>
    <xf numFmtId="0" fontId="10" fillId="0" borderId="47" xfId="20" applyFont="1" applyBorder="1" applyAlignment="1">
      <alignment horizontal="center" vertical="center"/>
    </xf>
    <xf numFmtId="0" fontId="10" fillId="0" borderId="48" xfId="20" applyFont="1" applyBorder="1" applyAlignment="1">
      <alignment horizontal="center" vertical="center"/>
    </xf>
    <xf numFmtId="0" fontId="19" fillId="0" borderId="47" xfId="20" applyFont="1" applyBorder="1" applyAlignment="1">
      <alignment horizontal="center" vertical="center"/>
    </xf>
    <xf numFmtId="0" fontId="19" fillId="0" borderId="48" xfId="20" applyFont="1" applyBorder="1" applyAlignment="1">
      <alignment horizontal="center" vertical="center"/>
    </xf>
    <xf numFmtId="0" fontId="13" fillId="0" borderId="0" xfId="20" applyFont="1" applyBorder="1" applyAlignment="1">
      <alignment horizontal="center" vertical="center"/>
    </xf>
    <xf numFmtId="0" fontId="9" fillId="0" borderId="82" xfId="19" applyFont="1" applyFill="1" applyBorder="1" applyAlignment="1">
      <alignment horizontal="center" vertical="center"/>
    </xf>
    <xf numFmtId="0" fontId="9" fillId="0" borderId="84" xfId="19" applyFont="1" applyFill="1" applyBorder="1" applyAlignment="1">
      <alignment horizontal="center" vertical="center"/>
    </xf>
    <xf numFmtId="0" fontId="20" fillId="0" borderId="94" xfId="19" applyFont="1" applyFill="1" applyBorder="1" applyAlignment="1">
      <alignment horizontal="center" vertical="center" wrapText="1"/>
    </xf>
    <xf numFmtId="0" fontId="20" fillId="0" borderId="95" xfId="19" applyFont="1" applyFill="1" applyBorder="1" applyAlignment="1">
      <alignment horizontal="center" vertical="center" wrapText="1"/>
    </xf>
    <xf numFmtId="0" fontId="11" fillId="0" borderId="94" xfId="19" applyFont="1" applyFill="1" applyBorder="1" applyAlignment="1">
      <alignment horizontal="center" vertical="center" wrapText="1"/>
    </xf>
    <xf numFmtId="0" fontId="11" fillId="0" borderId="95" xfId="19" applyFont="1" applyFill="1" applyBorder="1" applyAlignment="1">
      <alignment horizontal="center" vertical="center" wrapText="1"/>
    </xf>
    <xf numFmtId="0" fontId="11" fillId="0" borderId="81" xfId="19" applyFont="1" applyFill="1" applyBorder="1" applyAlignment="1">
      <alignment horizontal="center" vertical="center"/>
    </xf>
    <xf numFmtId="0" fontId="11" fillId="0" borderId="70" xfId="19" applyFont="1" applyFill="1" applyBorder="1" applyAlignment="1">
      <alignment horizontal="center" vertical="center"/>
    </xf>
    <xf numFmtId="0" fontId="11" fillId="0" borderId="93" xfId="19" applyFont="1" applyFill="1" applyBorder="1" applyAlignment="1">
      <alignment horizontal="center" vertical="center"/>
    </xf>
    <xf numFmtId="0" fontId="9" fillId="0" borderId="94" xfId="19" applyFont="1" applyFill="1" applyBorder="1" applyAlignment="1">
      <alignment horizontal="center" vertical="center" wrapText="1"/>
    </xf>
    <xf numFmtId="0" fontId="9" fillId="0" borderId="95" xfId="19" applyFont="1" applyFill="1" applyBorder="1" applyAlignment="1">
      <alignment horizontal="center" vertical="center" wrapText="1"/>
    </xf>
    <xf numFmtId="0" fontId="9" fillId="0" borderId="46" xfId="19" applyFont="1" applyFill="1" applyBorder="1" applyAlignment="1">
      <alignment horizontal="center" vertical="center" wrapText="1"/>
    </xf>
    <xf numFmtId="0" fontId="9" fillId="0" borderId="50" xfId="19" applyFont="1" applyFill="1" applyBorder="1" applyAlignment="1">
      <alignment horizontal="center" vertical="center" wrapText="1"/>
    </xf>
    <xf numFmtId="0" fontId="9" fillId="0" borderId="81" xfId="19" applyFont="1" applyFill="1" applyBorder="1" applyAlignment="1">
      <alignment horizontal="center" vertical="center"/>
    </xf>
    <xf numFmtId="0" fontId="9" fillId="0" borderId="70" xfId="19" applyFont="1" applyFill="1" applyBorder="1" applyAlignment="1">
      <alignment horizontal="center" vertical="center"/>
    </xf>
    <xf numFmtId="0" fontId="9" fillId="0" borderId="75" xfId="19" applyFont="1" applyFill="1" applyBorder="1" applyAlignment="1">
      <alignment horizontal="center" vertical="center"/>
    </xf>
    <xf numFmtId="0" fontId="9" fillId="0" borderId="0" xfId="19" applyFont="1" applyFill="1" applyBorder="1" applyAlignment="1">
      <alignment horizontal="center" vertical="center"/>
    </xf>
    <xf numFmtId="0" fontId="9" fillId="0" borderId="83" xfId="19" applyFont="1" applyFill="1" applyBorder="1" applyAlignment="1">
      <alignment horizontal="center" vertical="center"/>
    </xf>
    <xf numFmtId="0" fontId="10" fillId="0" borderId="77" xfId="20" applyFont="1" applyBorder="1" applyAlignment="1">
      <alignment horizontal="center" vertical="center"/>
    </xf>
    <xf numFmtId="0" fontId="10" fillId="0" borderId="78" xfId="20" applyFont="1" applyBorder="1" applyAlignment="1">
      <alignment horizontal="center" vertical="center"/>
    </xf>
    <xf numFmtId="49" fontId="9" fillId="0" borderId="27" xfId="18" applyNumberFormat="1" applyFont="1" applyFill="1" applyBorder="1" applyAlignment="1" applyProtection="1">
      <alignment horizontal="center" vertical="center" wrapText="1"/>
      <protection locked="0"/>
    </xf>
    <xf numFmtId="49" fontId="9" fillId="0" borderId="23" xfId="18" applyNumberFormat="1" applyFont="1" applyFill="1" applyBorder="1" applyAlignment="1" applyProtection="1">
      <alignment horizontal="center" vertical="center" wrapText="1"/>
      <protection locked="0"/>
    </xf>
    <xf numFmtId="185" fontId="9" fillId="0" borderId="35" xfId="18" applyNumberFormat="1" applyFont="1" applyFill="1" applyBorder="1" applyAlignment="1" applyProtection="1">
      <alignment horizontal="center" vertical="center" wrapText="1"/>
      <protection locked="0"/>
    </xf>
    <xf numFmtId="185" fontId="9" fillId="0" borderId="68" xfId="18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18" applyFont="1" applyFill="1" applyBorder="1" applyAlignment="1" applyProtection="1">
      <alignment horizontal="center" vertical="center"/>
    </xf>
    <xf numFmtId="0" fontId="7" fillId="0" borderId="63" xfId="18" applyFont="1" applyFill="1" applyBorder="1" applyAlignment="1" applyProtection="1">
      <alignment horizontal="center" vertical="center"/>
    </xf>
    <xf numFmtId="41" fontId="7" fillId="0" borderId="85" xfId="15" applyFont="1" applyFill="1" applyBorder="1" applyAlignment="1" applyProtection="1">
      <alignment horizontal="center" vertical="center"/>
    </xf>
    <xf numFmtId="41" fontId="7" fillId="0" borderId="24" xfId="15" applyFont="1" applyFill="1" applyBorder="1" applyAlignment="1" applyProtection="1">
      <alignment horizontal="center" vertical="center"/>
    </xf>
    <xf numFmtId="0" fontId="7" fillId="0" borderId="86" xfId="18" applyFont="1" applyFill="1" applyBorder="1" applyAlignment="1" applyProtection="1">
      <alignment horizontal="center" vertical="center" wrapText="1"/>
    </xf>
    <xf numFmtId="0" fontId="7" fillId="0" borderId="87" xfId="18" applyFont="1" applyFill="1" applyBorder="1" applyAlignment="1" applyProtection="1">
      <alignment horizontal="center" vertical="center" wrapText="1"/>
    </xf>
    <xf numFmtId="0" fontId="7" fillId="0" borderId="41" xfId="18" applyFont="1" applyFill="1" applyBorder="1" applyAlignment="1" applyProtection="1">
      <alignment horizontal="center" vertical="center" wrapText="1"/>
    </xf>
    <xf numFmtId="0" fontId="7" fillId="0" borderId="21" xfId="18" applyFont="1" applyFill="1" applyBorder="1" applyAlignment="1" applyProtection="1">
      <alignment horizontal="center" vertical="center" wrapText="1"/>
    </xf>
    <xf numFmtId="0" fontId="7" fillId="0" borderId="85" xfId="18" applyFont="1" applyFill="1" applyBorder="1" applyAlignment="1" applyProtection="1">
      <alignment horizontal="center" vertical="center"/>
    </xf>
    <xf numFmtId="0" fontId="7" fillId="0" borderId="74" xfId="18" applyFont="1" applyFill="1" applyBorder="1" applyAlignment="1" applyProtection="1">
      <alignment horizontal="center" vertical="center"/>
    </xf>
    <xf numFmtId="191" fontId="9" fillId="0" borderId="35" xfId="18" applyNumberFormat="1" applyFont="1" applyFill="1" applyBorder="1" applyAlignment="1" applyProtection="1">
      <alignment horizontal="center" vertical="center" wrapText="1"/>
      <protection locked="0"/>
    </xf>
    <xf numFmtId="191" fontId="9" fillId="0" borderId="68" xfId="18" applyNumberFormat="1" applyFont="1" applyFill="1" applyBorder="1" applyAlignment="1" applyProtection="1">
      <alignment horizontal="center" vertical="center" wrapText="1"/>
      <protection locked="0"/>
    </xf>
    <xf numFmtId="49" fontId="9" fillId="0" borderId="92" xfId="18" applyNumberFormat="1" applyFont="1" applyFill="1" applyBorder="1" applyAlignment="1" applyProtection="1">
      <alignment horizontal="center" vertical="center" wrapText="1"/>
      <protection locked="0"/>
    </xf>
    <xf numFmtId="0" fontId="7" fillId="5" borderId="86" xfId="18" applyFont="1" applyFill="1" applyBorder="1" applyAlignment="1" applyProtection="1">
      <alignment horizontal="center" vertical="center" wrapText="1"/>
    </xf>
    <xf numFmtId="0" fontId="7" fillId="5" borderId="87" xfId="18" applyFont="1" applyFill="1" applyBorder="1" applyAlignment="1" applyProtection="1">
      <alignment horizontal="center" vertical="center" wrapText="1"/>
    </xf>
    <xf numFmtId="0" fontId="7" fillId="5" borderId="89" xfId="18" applyFont="1" applyFill="1" applyBorder="1" applyAlignment="1" applyProtection="1">
      <alignment horizontal="center" vertical="center" wrapText="1"/>
    </xf>
    <xf numFmtId="0" fontId="7" fillId="5" borderId="41" xfId="18" applyFont="1" applyFill="1" applyBorder="1" applyAlignment="1" applyProtection="1">
      <alignment horizontal="center" vertical="center" wrapText="1"/>
    </xf>
    <xf numFmtId="0" fontId="7" fillId="5" borderId="21" xfId="18" applyFont="1" applyFill="1" applyBorder="1" applyAlignment="1" applyProtection="1">
      <alignment horizontal="center" vertical="center" wrapText="1"/>
    </xf>
    <xf numFmtId="0" fontId="7" fillId="5" borderId="85" xfId="18" applyFont="1" applyFill="1" applyBorder="1" applyAlignment="1" applyProtection="1">
      <alignment horizontal="center" vertical="center"/>
    </xf>
    <xf numFmtId="0" fontId="7" fillId="5" borderId="74" xfId="18" applyFont="1" applyFill="1" applyBorder="1" applyAlignment="1" applyProtection="1">
      <alignment horizontal="center" vertical="center"/>
    </xf>
    <xf numFmtId="0" fontId="7" fillId="5" borderId="32" xfId="18" applyFont="1" applyFill="1" applyBorder="1" applyAlignment="1" applyProtection="1">
      <alignment horizontal="center" vertical="center" wrapText="1"/>
    </xf>
    <xf numFmtId="0" fontId="7" fillId="5" borderId="22" xfId="18" applyFont="1" applyFill="1" applyBorder="1" applyAlignment="1" applyProtection="1">
      <alignment horizontal="center" vertical="center" wrapText="1"/>
    </xf>
    <xf numFmtId="0" fontId="7" fillId="5" borderId="33" xfId="18" applyFont="1" applyFill="1" applyBorder="1" applyAlignment="1" applyProtection="1">
      <alignment horizontal="center" vertical="center"/>
    </xf>
    <xf numFmtId="0" fontId="7" fillId="5" borderId="91" xfId="18" applyFont="1" applyFill="1" applyBorder="1" applyAlignment="1" applyProtection="1">
      <alignment horizontal="center" vertical="center"/>
    </xf>
    <xf numFmtId="49" fontId="7" fillId="0" borderId="41" xfId="18" applyNumberFormat="1" applyFont="1" applyFill="1" applyBorder="1" applyAlignment="1" applyProtection="1">
      <alignment horizontal="center" vertical="center" wrapText="1"/>
    </xf>
    <xf numFmtId="49" fontId="7" fillId="0" borderId="21" xfId="18" applyNumberFormat="1" applyFont="1" applyFill="1" applyBorder="1" applyAlignment="1" applyProtection="1">
      <alignment horizontal="center" vertical="center" wrapText="1"/>
    </xf>
  </cellXfs>
  <cellStyles count="21">
    <cellStyle name="Comma" xfId="1"/>
    <cellStyle name="Comma [0]_ SG&amp;A Bridge " xfId="2"/>
    <cellStyle name="Comma_ SG&amp;A Bridge " xfId="3"/>
    <cellStyle name="Currency" xfId="4"/>
    <cellStyle name="Currency [0]_ SG&amp;A Bridge " xfId="5"/>
    <cellStyle name="Currency_ SG&amp;A Bridge " xfId="6"/>
    <cellStyle name="Date" xfId="7"/>
    <cellStyle name="Fixed" xfId="8"/>
    <cellStyle name="Heading1" xfId="9"/>
    <cellStyle name="Heading2" xfId="10"/>
    <cellStyle name="Normal_ SG&amp;A Bridge " xfId="11"/>
    <cellStyle name="Percent" xfId="12"/>
    <cellStyle name="Total" xfId="13"/>
    <cellStyle name="뷭?_BOOKSHIP" xfId="14"/>
    <cellStyle name="쉼표 [0]" xfId="15" builtinId="6"/>
    <cellStyle name="콤마 [0]_1202" xfId="16"/>
    <cellStyle name="콤마_1202" xfId="17"/>
    <cellStyle name="표준" xfId="0" builtinId="0"/>
    <cellStyle name="표준_용지조서(1)" xfId="18"/>
    <cellStyle name="표준_전체집계표 (10)" xfId="19"/>
    <cellStyle name="표준_집계표" xfId="2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74"/>
  <sheetViews>
    <sheetView showGridLines="0" showZeros="0" view="pageBreakPreview" topLeftCell="C1" zoomScaleSheetLayoutView="100" workbookViewId="0">
      <selection activeCell="H39" sqref="H39"/>
    </sheetView>
  </sheetViews>
  <sheetFormatPr defaultRowHeight="13.5"/>
  <cols>
    <col min="1" max="1" width="13.88671875" style="320" customWidth="1"/>
    <col min="2" max="7" width="10.6640625" style="320" customWidth="1"/>
    <col min="8" max="13" width="12.21875" style="44" hidden="1" customWidth="1"/>
    <col min="14" max="22" width="12.21875" style="44" customWidth="1"/>
    <col min="23" max="24" width="8.33203125" style="44" customWidth="1"/>
    <col min="25" max="16384" width="8.88671875" style="44"/>
  </cols>
  <sheetData>
    <row r="1" spans="1:26" s="10" customFormat="1" ht="60" customHeight="1" thickBot="1">
      <c r="A1" s="470" t="s">
        <v>1431</v>
      </c>
      <c r="B1" s="470"/>
      <c r="C1" s="470"/>
      <c r="D1" s="470"/>
      <c r="E1" s="470"/>
      <c r="F1" s="470"/>
      <c r="G1" s="470"/>
    </row>
    <row r="2" spans="1:26" s="24" customFormat="1" ht="27.95" customHeight="1">
      <c r="A2" s="417" t="s">
        <v>3</v>
      </c>
      <c r="B2" s="468" t="s">
        <v>1440</v>
      </c>
      <c r="C2" s="469"/>
      <c r="D2" s="466" t="s">
        <v>446</v>
      </c>
      <c r="E2" s="467"/>
      <c r="F2" s="418" t="s">
        <v>1432</v>
      </c>
      <c r="G2" s="419" t="s">
        <v>31</v>
      </c>
      <c r="H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6" s="24" customFormat="1" ht="27.95" customHeight="1">
      <c r="A3" s="420"/>
      <c r="B3" s="381" t="s">
        <v>4</v>
      </c>
      <c r="C3" s="382" t="s">
        <v>32</v>
      </c>
      <c r="D3" s="372" t="s">
        <v>4</v>
      </c>
      <c r="E3" s="321" t="s">
        <v>32</v>
      </c>
      <c r="F3" s="375" t="s">
        <v>1433</v>
      </c>
      <c r="G3" s="421"/>
      <c r="I3" s="23"/>
      <c r="J3" s="30" t="s">
        <v>33</v>
      </c>
      <c r="K3" s="30" t="s">
        <v>34</v>
      </c>
      <c r="L3" s="30" t="s">
        <v>35</v>
      </c>
      <c r="M3" s="30" t="s">
        <v>36</v>
      </c>
      <c r="N3" s="30"/>
      <c r="O3" s="30"/>
      <c r="P3" s="30"/>
      <c r="Q3" s="30"/>
      <c r="R3" s="30"/>
      <c r="S3" s="30"/>
      <c r="T3" s="30"/>
      <c r="U3" s="30"/>
      <c r="V3" s="30"/>
      <c r="W3" s="23"/>
      <c r="X3" s="23"/>
    </row>
    <row r="4" spans="1:26" s="24" customFormat="1" ht="23.1" customHeight="1">
      <c r="A4" s="422" t="s">
        <v>2</v>
      </c>
      <c r="B4" s="383">
        <f>SUM(B5:B29)</f>
        <v>806</v>
      </c>
      <c r="C4" s="384">
        <f ca="1">SUM(C5:C29)</f>
        <v>410200.7</v>
      </c>
      <c r="D4" s="378">
        <f>'(변경)전체'!B7</f>
        <v>804</v>
      </c>
      <c r="E4" s="379">
        <f>'(변경)전체'!D7</f>
        <v>410260.10000000003</v>
      </c>
      <c r="F4" s="380">
        <f ca="1">E4-C4</f>
        <v>59.400000000023283</v>
      </c>
      <c r="G4" s="423"/>
      <c r="H4" s="23" t="e">
        <f>IF(EXACT(J4,M4),"맞음","틀림")</f>
        <v>#REF!</v>
      </c>
      <c r="I4" s="23" t="s">
        <v>4</v>
      </c>
      <c r="J4" s="35">
        <f>SUM(D5:D29)</f>
        <v>804</v>
      </c>
      <c r="K4" s="35" t="e">
        <f>SUM(#REF!)</f>
        <v>#REF!</v>
      </c>
      <c r="L4" s="35" t="e">
        <f>SUM(#REF!)</f>
        <v>#REF!</v>
      </c>
      <c r="M4" s="35" t="e">
        <f>#REF!+#REF!</f>
        <v>#REF!</v>
      </c>
      <c r="N4" s="35"/>
      <c r="O4" s="35"/>
      <c r="P4" s="35"/>
      <c r="Q4" s="35"/>
      <c r="R4" s="35"/>
      <c r="S4" s="35"/>
      <c r="T4" s="35"/>
      <c r="U4" s="35"/>
      <c r="V4" s="35"/>
      <c r="W4" s="23"/>
      <c r="X4" s="125" t="s">
        <v>2</v>
      </c>
      <c r="Y4" s="23"/>
      <c r="Z4" s="23"/>
    </row>
    <row r="5" spans="1:26" s="24" customFormat="1" ht="23.1" customHeight="1">
      <c r="A5" s="424" t="s">
        <v>7</v>
      </c>
      <c r="B5" s="385">
        <f>'(당초)전체'!B8</f>
        <v>116</v>
      </c>
      <c r="C5" s="386">
        <f ca="1">'(당초)전체'!D8</f>
        <v>38581</v>
      </c>
      <c r="D5" s="373">
        <f>'(변경)전체'!B8</f>
        <v>116</v>
      </c>
      <c r="E5" s="323">
        <f>'(변경)전체'!D8</f>
        <v>37751.599999999999</v>
      </c>
      <c r="F5" s="377">
        <f t="shared" ref="F5:F29" ca="1" si="0">E5-C5</f>
        <v>-829.40000000000146</v>
      </c>
      <c r="G5" s="425"/>
      <c r="H5" s="23" t="e">
        <f>IF(EXACT(J5,M5),"맞음","틀림")</f>
        <v>#REF!</v>
      </c>
      <c r="I5" s="23" t="s">
        <v>37</v>
      </c>
      <c r="J5" s="35">
        <f>SUM(E5:E29)</f>
        <v>410260.10000000003</v>
      </c>
      <c r="K5" s="35" t="e">
        <f>SUM(#REF!)</f>
        <v>#REF!</v>
      </c>
      <c r="L5" s="35" t="e">
        <f>SUM(#REF!)</f>
        <v>#REF!</v>
      </c>
      <c r="M5" s="35" t="e">
        <f>#REF!+#REF!</f>
        <v>#REF!</v>
      </c>
      <c r="N5" s="35"/>
      <c r="O5" s="35"/>
      <c r="P5" s="35"/>
      <c r="Q5" s="35"/>
      <c r="R5" s="35"/>
      <c r="S5" s="35"/>
      <c r="T5" s="35"/>
      <c r="U5" s="35"/>
      <c r="V5" s="35"/>
      <c r="W5" s="23"/>
      <c r="X5" s="127" t="s">
        <v>7</v>
      </c>
    </row>
    <row r="6" spans="1:26" s="24" customFormat="1" ht="23.1" customHeight="1">
      <c r="A6" s="426" t="s">
        <v>8</v>
      </c>
      <c r="B6" s="387">
        <f>'(당초)전체'!B9</f>
        <v>169</v>
      </c>
      <c r="C6" s="388">
        <f ca="1">'(당초)전체'!D9</f>
        <v>110634.99999999999</v>
      </c>
      <c r="D6" s="373">
        <f>'(변경)전체'!B9</f>
        <v>168</v>
      </c>
      <c r="E6" s="323">
        <f>'(변경)전체'!D9</f>
        <v>109792.4</v>
      </c>
      <c r="F6" s="376">
        <f t="shared" ca="1" si="0"/>
        <v>-842.59999999999127</v>
      </c>
      <c r="G6" s="427"/>
      <c r="J6" s="23"/>
      <c r="L6" s="23"/>
      <c r="W6" s="23"/>
      <c r="X6" s="127" t="s">
        <v>8</v>
      </c>
    </row>
    <row r="7" spans="1:26" s="24" customFormat="1" ht="23.1" customHeight="1">
      <c r="A7" s="426" t="s">
        <v>9</v>
      </c>
      <c r="B7" s="387">
        <f>'(당초)전체'!B10</f>
        <v>156</v>
      </c>
      <c r="C7" s="388">
        <f ca="1">'(당초)전체'!D10</f>
        <v>158409</v>
      </c>
      <c r="D7" s="374">
        <f>'(변경)전체'!B10</f>
        <v>156</v>
      </c>
      <c r="E7" s="324">
        <f>'(변경)전체'!D10</f>
        <v>156604</v>
      </c>
      <c r="F7" s="376">
        <f t="shared" ca="1" si="0"/>
        <v>-1805</v>
      </c>
      <c r="G7" s="427"/>
      <c r="J7" s="23"/>
      <c r="L7" s="23"/>
      <c r="W7" s="23"/>
      <c r="X7" s="127" t="s">
        <v>9</v>
      </c>
    </row>
    <row r="8" spans="1:26" s="24" customFormat="1" ht="23.1" customHeight="1">
      <c r="A8" s="426" t="s">
        <v>10</v>
      </c>
      <c r="B8" s="387">
        <f>'(당초)전체'!B11</f>
        <v>34</v>
      </c>
      <c r="C8" s="388">
        <f ca="1">'(당초)전체'!D11</f>
        <v>3720</v>
      </c>
      <c r="D8" s="373">
        <f>'(변경)전체'!B11</f>
        <v>34</v>
      </c>
      <c r="E8" s="323">
        <f>'(변경)전체'!D11</f>
        <v>3819</v>
      </c>
      <c r="F8" s="376">
        <f t="shared" ca="1" si="0"/>
        <v>99</v>
      </c>
      <c r="G8" s="427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127" t="s">
        <v>10</v>
      </c>
    </row>
    <row r="9" spans="1:26" s="24" customFormat="1" ht="23.1" customHeight="1">
      <c r="A9" s="426" t="s">
        <v>11</v>
      </c>
      <c r="B9" s="387">
        <f>'(당초)전체'!B12</f>
        <v>251</v>
      </c>
      <c r="C9" s="388">
        <f ca="1">'(당초)전체'!D12</f>
        <v>74911.3</v>
      </c>
      <c r="D9" s="374">
        <f>'(변경)전체'!B12</f>
        <v>250</v>
      </c>
      <c r="E9" s="324">
        <f>'(변경)전체'!D12</f>
        <v>76539.600000000006</v>
      </c>
      <c r="F9" s="376">
        <f t="shared" ca="1" si="0"/>
        <v>1628.3000000000029</v>
      </c>
      <c r="G9" s="427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127" t="s">
        <v>11</v>
      </c>
    </row>
    <row r="10" spans="1:26" s="24" customFormat="1" ht="23.1" customHeight="1">
      <c r="A10" s="426" t="s">
        <v>12</v>
      </c>
      <c r="B10" s="387">
        <f>'(당초)전체'!B13</f>
        <v>45</v>
      </c>
      <c r="C10" s="388">
        <f ca="1">'(당초)전체'!D13</f>
        <v>11349.5</v>
      </c>
      <c r="D10" s="373">
        <f>'(변경)전체'!B13</f>
        <v>45</v>
      </c>
      <c r="E10" s="323">
        <f>'(변경)전체'!D13</f>
        <v>11174.199999999999</v>
      </c>
      <c r="F10" s="376">
        <f t="shared" ca="1" si="0"/>
        <v>-175.30000000000109</v>
      </c>
      <c r="G10" s="427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127" t="s">
        <v>12</v>
      </c>
    </row>
    <row r="11" spans="1:26" s="24" customFormat="1" ht="23.1" customHeight="1">
      <c r="A11" s="426" t="s">
        <v>13</v>
      </c>
      <c r="B11" s="387">
        <f>'(당초)전체'!B14</f>
        <v>1</v>
      </c>
      <c r="C11" s="388">
        <f ca="1">'(당초)전체'!D14</f>
        <v>597.9</v>
      </c>
      <c r="D11" s="374">
        <f>'(변경)전체'!B14</f>
        <v>1</v>
      </c>
      <c r="E11" s="324">
        <f>'(변경)전체'!D14</f>
        <v>597.9</v>
      </c>
      <c r="F11" s="376">
        <f t="shared" ca="1" si="0"/>
        <v>0</v>
      </c>
      <c r="G11" s="427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127" t="s">
        <v>13</v>
      </c>
    </row>
    <row r="12" spans="1:26" s="24" customFormat="1" ht="23.1" customHeight="1">
      <c r="A12" s="426" t="s">
        <v>14</v>
      </c>
      <c r="B12" s="387">
        <f>'(당초)전체'!B15</f>
        <v>8</v>
      </c>
      <c r="C12" s="388">
        <f ca="1">'(당초)전체'!D15</f>
        <v>2406</v>
      </c>
      <c r="D12" s="373">
        <f>'(변경)전체'!B15</f>
        <v>8</v>
      </c>
      <c r="E12" s="323">
        <f>'(변경)전체'!D15</f>
        <v>4390.3999999999996</v>
      </c>
      <c r="F12" s="376">
        <f t="shared" ca="1" si="0"/>
        <v>1984.3999999999996</v>
      </c>
      <c r="G12" s="427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127" t="s">
        <v>14</v>
      </c>
    </row>
    <row r="13" spans="1:26" s="24" customFormat="1" ht="23.1" customHeight="1">
      <c r="A13" s="426" t="s">
        <v>15</v>
      </c>
      <c r="B13" s="387">
        <f>'(당초)전체'!B16</f>
        <v>3</v>
      </c>
      <c r="C13" s="388">
        <f ca="1">'(당초)전체'!D16</f>
        <v>663</v>
      </c>
      <c r="D13" s="374">
        <f>'(변경)전체'!B16</f>
        <v>3</v>
      </c>
      <c r="E13" s="324">
        <f>'(변경)전체'!D16</f>
        <v>663</v>
      </c>
      <c r="F13" s="376">
        <f t="shared" ca="1" si="0"/>
        <v>0</v>
      </c>
      <c r="G13" s="427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127" t="s">
        <v>15</v>
      </c>
    </row>
    <row r="14" spans="1:26" s="24" customFormat="1" ht="23.1" customHeight="1">
      <c r="A14" s="426" t="s">
        <v>16</v>
      </c>
      <c r="B14" s="387">
        <f>'(당초)전체'!B17</f>
        <v>0</v>
      </c>
      <c r="C14" s="388">
        <f ca="1">'(당초)전체'!D17</f>
        <v>0</v>
      </c>
      <c r="D14" s="373">
        <f>'(변경)전체'!B17</f>
        <v>0</v>
      </c>
      <c r="E14" s="323">
        <f>'(변경)전체'!D17</f>
        <v>0</v>
      </c>
      <c r="F14" s="376">
        <f t="shared" ca="1" si="0"/>
        <v>0</v>
      </c>
      <c r="G14" s="427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127" t="s">
        <v>16</v>
      </c>
    </row>
    <row r="15" spans="1:26" s="24" customFormat="1" ht="23.1" customHeight="1">
      <c r="A15" s="426" t="s">
        <v>17</v>
      </c>
      <c r="B15" s="387">
        <f>'(당초)전체'!B18</f>
        <v>0</v>
      </c>
      <c r="C15" s="388">
        <f ca="1">'(당초)전체'!D18</f>
        <v>0</v>
      </c>
      <c r="D15" s="374">
        <f>'(변경)전체'!B18</f>
        <v>0</v>
      </c>
      <c r="E15" s="324">
        <f>'(변경)전체'!D18</f>
        <v>0</v>
      </c>
      <c r="F15" s="376">
        <f t="shared" ca="1" si="0"/>
        <v>0</v>
      </c>
      <c r="G15" s="427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127" t="s">
        <v>17</v>
      </c>
    </row>
    <row r="16" spans="1:26" s="24" customFormat="1" ht="23.1" customHeight="1">
      <c r="A16" s="426" t="s">
        <v>18</v>
      </c>
      <c r="B16" s="387">
        <f>'(당초)전체'!B19</f>
        <v>0</v>
      </c>
      <c r="C16" s="388">
        <f ca="1">'(당초)전체'!D19</f>
        <v>0</v>
      </c>
      <c r="D16" s="373">
        <f>'(변경)전체'!B19</f>
        <v>0</v>
      </c>
      <c r="E16" s="323">
        <f>'(변경)전체'!D19</f>
        <v>0</v>
      </c>
      <c r="F16" s="376">
        <f t="shared" ca="1" si="0"/>
        <v>0</v>
      </c>
      <c r="G16" s="427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127" t="s">
        <v>18</v>
      </c>
    </row>
    <row r="17" spans="1:24" s="24" customFormat="1" ht="23.1" customHeight="1">
      <c r="A17" s="426" t="s">
        <v>19</v>
      </c>
      <c r="B17" s="387">
        <f>'(당초)전체'!B20</f>
        <v>0</v>
      </c>
      <c r="C17" s="388">
        <f ca="1">'(당초)전체'!D20</f>
        <v>0</v>
      </c>
      <c r="D17" s="374">
        <f>'(변경)전체'!B20</f>
        <v>0</v>
      </c>
      <c r="E17" s="324">
        <f>'(변경)전체'!D20</f>
        <v>0</v>
      </c>
      <c r="F17" s="376">
        <f t="shared" ca="1" si="0"/>
        <v>0</v>
      </c>
      <c r="G17" s="427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127" t="s">
        <v>19</v>
      </c>
    </row>
    <row r="18" spans="1:24" s="24" customFormat="1" ht="23.1" customHeight="1">
      <c r="A18" s="426" t="s">
        <v>20</v>
      </c>
      <c r="B18" s="387">
        <f>'(당초)전체'!B21</f>
        <v>0</v>
      </c>
      <c r="C18" s="388">
        <f ca="1">'(당초)전체'!D21</f>
        <v>0</v>
      </c>
      <c r="D18" s="373">
        <f>'(변경)전체'!B21</f>
        <v>0</v>
      </c>
      <c r="E18" s="323">
        <f>'(변경)전체'!D21</f>
        <v>0</v>
      </c>
      <c r="F18" s="376">
        <f t="shared" ca="1" si="0"/>
        <v>0</v>
      </c>
      <c r="G18" s="427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127" t="s">
        <v>20</v>
      </c>
    </row>
    <row r="19" spans="1:24" s="24" customFormat="1" ht="23.1" customHeight="1">
      <c r="A19" s="426" t="s">
        <v>21</v>
      </c>
      <c r="B19" s="387">
        <f>'(당초)전체'!B22</f>
        <v>0</v>
      </c>
      <c r="C19" s="388">
        <f ca="1">'(당초)전체'!D22</f>
        <v>0</v>
      </c>
      <c r="D19" s="374">
        <f>'(변경)전체'!B22</f>
        <v>0</v>
      </c>
      <c r="E19" s="324">
        <f>'(변경)전체'!D22</f>
        <v>0</v>
      </c>
      <c r="F19" s="376">
        <f t="shared" ca="1" si="0"/>
        <v>0</v>
      </c>
      <c r="G19" s="427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127" t="s">
        <v>21</v>
      </c>
    </row>
    <row r="20" spans="1:24" s="24" customFormat="1" ht="23.1" customHeight="1">
      <c r="A20" s="426" t="s">
        <v>22</v>
      </c>
      <c r="B20" s="387">
        <f>'(당초)전체'!B23</f>
        <v>0</v>
      </c>
      <c r="C20" s="388">
        <f ca="1">'(당초)전체'!D23</f>
        <v>0</v>
      </c>
      <c r="D20" s="373">
        <f>'(변경)전체'!B23</f>
        <v>0</v>
      </c>
      <c r="E20" s="323">
        <f>'(변경)전체'!D23</f>
        <v>0</v>
      </c>
      <c r="F20" s="376">
        <f t="shared" ca="1" si="0"/>
        <v>0</v>
      </c>
      <c r="G20" s="427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127" t="s">
        <v>22</v>
      </c>
    </row>
    <row r="21" spans="1:24" s="24" customFormat="1" ht="23.1" customHeight="1">
      <c r="A21" s="426" t="s">
        <v>23</v>
      </c>
      <c r="B21" s="387">
        <f>'(당초)전체'!B24</f>
        <v>16</v>
      </c>
      <c r="C21" s="388">
        <f ca="1">'(당초)전체'!D24</f>
        <v>6966</v>
      </c>
      <c r="D21" s="374">
        <f>'(변경)전체'!B24</f>
        <v>16</v>
      </c>
      <c r="E21" s="324">
        <f>'(변경)전체'!D24</f>
        <v>6966</v>
      </c>
      <c r="F21" s="376">
        <f t="shared" ca="1" si="0"/>
        <v>0</v>
      </c>
      <c r="G21" s="427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127" t="s">
        <v>23</v>
      </c>
    </row>
    <row r="22" spans="1:24" s="24" customFormat="1" ht="23.1" customHeight="1">
      <c r="A22" s="428" t="s">
        <v>24</v>
      </c>
      <c r="B22" s="387">
        <f>'(당초)전체'!B25</f>
        <v>0</v>
      </c>
      <c r="C22" s="388">
        <f ca="1">'(당초)전체'!D25</f>
        <v>0</v>
      </c>
      <c r="D22" s="373">
        <f>'(변경)전체'!B25</f>
        <v>0</v>
      </c>
      <c r="E22" s="323">
        <f>'(변경)전체'!D25</f>
        <v>0</v>
      </c>
      <c r="F22" s="376">
        <f t="shared" ca="1" si="0"/>
        <v>0</v>
      </c>
      <c r="G22" s="427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129" t="s">
        <v>24</v>
      </c>
    </row>
    <row r="23" spans="1:24" s="24" customFormat="1" ht="23.1" customHeight="1">
      <c r="A23" s="428" t="s">
        <v>25</v>
      </c>
      <c r="B23" s="387">
        <f>'(당초)전체'!B26</f>
        <v>0</v>
      </c>
      <c r="C23" s="388">
        <f ca="1">'(당초)전체'!D26</f>
        <v>0</v>
      </c>
      <c r="D23" s="374">
        <f>'(변경)전체'!B26</f>
        <v>0</v>
      </c>
      <c r="E23" s="324">
        <f>'(변경)전체'!D26</f>
        <v>0</v>
      </c>
      <c r="F23" s="376">
        <f t="shared" ca="1" si="0"/>
        <v>0</v>
      </c>
      <c r="G23" s="427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129" t="s">
        <v>25</v>
      </c>
    </row>
    <row r="24" spans="1:24" s="24" customFormat="1" ht="23.1" customHeight="1">
      <c r="A24" s="428" t="s">
        <v>26</v>
      </c>
      <c r="B24" s="387">
        <f>'(당초)전체'!B27</f>
        <v>0</v>
      </c>
      <c r="C24" s="388">
        <f ca="1">'(당초)전체'!D27</f>
        <v>0</v>
      </c>
      <c r="D24" s="373">
        <f>'(변경)전체'!B27</f>
        <v>0</v>
      </c>
      <c r="E24" s="323">
        <f>'(변경)전체'!D27</f>
        <v>0</v>
      </c>
      <c r="F24" s="376">
        <f t="shared" ca="1" si="0"/>
        <v>0</v>
      </c>
      <c r="G24" s="427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129" t="s">
        <v>26</v>
      </c>
    </row>
    <row r="25" spans="1:24" s="24" customFormat="1" ht="23.1" customHeight="1">
      <c r="A25" s="428" t="s">
        <v>27</v>
      </c>
      <c r="B25" s="387">
        <f>'(당초)전체'!B28</f>
        <v>0</v>
      </c>
      <c r="C25" s="388">
        <f ca="1">'(당초)전체'!D28</f>
        <v>0</v>
      </c>
      <c r="D25" s="374">
        <f>'(변경)전체'!B28</f>
        <v>0</v>
      </c>
      <c r="E25" s="324">
        <f>'(변경)전체'!D28</f>
        <v>0</v>
      </c>
      <c r="F25" s="376">
        <f t="shared" ca="1" si="0"/>
        <v>0</v>
      </c>
      <c r="G25" s="427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129" t="s">
        <v>27</v>
      </c>
    </row>
    <row r="26" spans="1:24" s="24" customFormat="1" ht="23.1" customHeight="1">
      <c r="A26" s="428" t="s">
        <v>28</v>
      </c>
      <c r="B26" s="387">
        <f>'(당초)전체'!B29</f>
        <v>0</v>
      </c>
      <c r="C26" s="388">
        <f ca="1">'(당초)전체'!D29</f>
        <v>0</v>
      </c>
      <c r="D26" s="373">
        <f>'(변경)전체'!B29</f>
        <v>0</v>
      </c>
      <c r="E26" s="323">
        <f>'(변경)전체'!D29</f>
        <v>0</v>
      </c>
      <c r="F26" s="376">
        <f t="shared" ca="1" si="0"/>
        <v>0</v>
      </c>
      <c r="G26" s="427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129" t="s">
        <v>28</v>
      </c>
    </row>
    <row r="27" spans="1:24" s="24" customFormat="1" ht="23.1" customHeight="1">
      <c r="A27" s="428" t="s">
        <v>60</v>
      </c>
      <c r="B27" s="387">
        <f>'(당초)전체'!B30</f>
        <v>0</v>
      </c>
      <c r="C27" s="388">
        <f ca="1">'(당초)전체'!D30</f>
        <v>0</v>
      </c>
      <c r="D27" s="374">
        <f>'(변경)전체'!B30</f>
        <v>0</v>
      </c>
      <c r="E27" s="324">
        <f>'(변경)전체'!D30</f>
        <v>0</v>
      </c>
      <c r="F27" s="376">
        <f t="shared" ca="1" si="0"/>
        <v>0</v>
      </c>
      <c r="G27" s="427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129" t="s">
        <v>60</v>
      </c>
    </row>
    <row r="28" spans="1:24" s="24" customFormat="1" ht="23.1" customHeight="1">
      <c r="A28" s="428" t="s">
        <v>70</v>
      </c>
      <c r="B28" s="387">
        <f>'(당초)전체'!B31</f>
        <v>2</v>
      </c>
      <c r="C28" s="388">
        <f ca="1">'(당초)전체'!D31</f>
        <v>452</v>
      </c>
      <c r="D28" s="373">
        <f>'(변경)전체'!B31</f>
        <v>2</v>
      </c>
      <c r="E28" s="323">
        <f>'(변경)전체'!D31</f>
        <v>452</v>
      </c>
      <c r="F28" s="376">
        <f t="shared" ca="1" si="0"/>
        <v>0</v>
      </c>
      <c r="G28" s="427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129" t="s">
        <v>70</v>
      </c>
    </row>
    <row r="29" spans="1:24" s="24" customFormat="1" ht="23.1" customHeight="1" thickBot="1">
      <c r="A29" s="429" t="s">
        <v>62</v>
      </c>
      <c r="B29" s="430">
        <f>'(당초)전체'!B32</f>
        <v>5</v>
      </c>
      <c r="C29" s="431">
        <f ca="1">'(당초)전체'!D32</f>
        <v>1510</v>
      </c>
      <c r="D29" s="432">
        <f>'(변경)전체'!B32</f>
        <v>5</v>
      </c>
      <c r="E29" s="433">
        <f>'(변경)전체'!D32</f>
        <v>1510</v>
      </c>
      <c r="F29" s="434">
        <f t="shared" ca="1" si="0"/>
        <v>0</v>
      </c>
      <c r="G29" s="435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130" t="s">
        <v>62</v>
      </c>
    </row>
    <row r="30" spans="1:24">
      <c r="G30" s="100"/>
    </row>
    <row r="31" spans="1:24">
      <c r="G31" s="100"/>
    </row>
    <row r="32" spans="1:24">
      <c r="G32" s="100"/>
    </row>
    <row r="33" spans="1:7">
      <c r="A33" s="322"/>
      <c r="B33" s="102"/>
      <c r="C33" s="102"/>
      <c r="D33" s="102"/>
      <c r="E33" s="102"/>
      <c r="F33" s="102"/>
      <c r="G33" s="102"/>
    </row>
    <row r="34" spans="1:7">
      <c r="A34" s="322"/>
      <c r="B34" s="102"/>
      <c r="C34" s="102"/>
      <c r="D34" s="102"/>
      <c r="E34" s="102"/>
      <c r="F34" s="102"/>
      <c r="G34" s="102"/>
    </row>
    <row r="35" spans="1:7">
      <c r="A35" s="322"/>
      <c r="B35" s="102"/>
      <c r="C35" s="102"/>
      <c r="D35" s="102"/>
      <c r="E35" s="102"/>
      <c r="F35" s="102"/>
      <c r="G35" s="102"/>
    </row>
    <row r="36" spans="1:7">
      <c r="A36" s="322"/>
      <c r="B36" s="102"/>
      <c r="C36" s="102"/>
      <c r="D36" s="102"/>
      <c r="E36" s="102"/>
      <c r="F36" s="102"/>
      <c r="G36" s="102"/>
    </row>
    <row r="37" spans="1:7">
      <c r="A37" s="322"/>
      <c r="B37" s="102"/>
      <c r="C37" s="102"/>
      <c r="D37" s="102"/>
      <c r="E37" s="102"/>
      <c r="F37" s="102"/>
      <c r="G37" s="102"/>
    </row>
    <row r="38" spans="1:7">
      <c r="A38" s="322"/>
      <c r="B38" s="102"/>
      <c r="C38" s="102"/>
      <c r="D38" s="102"/>
      <c r="E38" s="102"/>
      <c r="F38" s="102"/>
      <c r="G38" s="102"/>
    </row>
    <row r="39" spans="1:7">
      <c r="A39" s="322"/>
      <c r="B39" s="102"/>
      <c r="C39" s="102"/>
      <c r="D39" s="102"/>
      <c r="E39" s="102"/>
      <c r="F39" s="102"/>
      <c r="G39" s="102"/>
    </row>
    <row r="40" spans="1:7">
      <c r="A40" s="322"/>
      <c r="B40" s="102"/>
      <c r="C40" s="102"/>
      <c r="D40" s="102"/>
      <c r="E40" s="102"/>
      <c r="F40" s="102"/>
      <c r="G40" s="102"/>
    </row>
    <row r="41" spans="1:7">
      <c r="A41" s="322"/>
      <c r="B41" s="102"/>
      <c r="C41" s="102"/>
      <c r="D41" s="102"/>
      <c r="E41" s="102"/>
      <c r="F41" s="102"/>
      <c r="G41" s="102"/>
    </row>
    <row r="42" spans="1:7">
      <c r="A42" s="322"/>
      <c r="B42" s="102"/>
      <c r="C42" s="102"/>
      <c r="D42" s="102"/>
      <c r="E42" s="102"/>
      <c r="F42" s="102"/>
      <c r="G42" s="102"/>
    </row>
    <row r="43" spans="1:7">
      <c r="A43" s="322"/>
      <c r="B43" s="102"/>
      <c r="C43" s="102"/>
      <c r="D43" s="102"/>
      <c r="E43" s="102"/>
      <c r="F43" s="102"/>
      <c r="G43" s="102"/>
    </row>
    <row r="44" spans="1:7">
      <c r="A44" s="322"/>
      <c r="B44" s="102"/>
      <c r="C44" s="102"/>
      <c r="D44" s="102"/>
      <c r="E44" s="102"/>
      <c r="F44" s="102"/>
      <c r="G44" s="102"/>
    </row>
    <row r="45" spans="1:7">
      <c r="A45" s="322"/>
      <c r="B45" s="102"/>
      <c r="C45" s="102"/>
      <c r="D45" s="102"/>
      <c r="E45" s="102"/>
      <c r="F45" s="102"/>
      <c r="G45" s="102"/>
    </row>
    <row r="46" spans="1:7">
      <c r="A46" s="322"/>
      <c r="B46" s="102"/>
      <c r="C46" s="102"/>
      <c r="D46" s="102"/>
      <c r="E46" s="102"/>
      <c r="F46" s="102"/>
      <c r="G46" s="102"/>
    </row>
    <row r="47" spans="1:7">
      <c r="A47" s="322"/>
      <c r="B47" s="102"/>
      <c r="C47" s="102"/>
      <c r="D47" s="102"/>
      <c r="E47" s="102"/>
      <c r="F47" s="102"/>
      <c r="G47" s="102"/>
    </row>
    <row r="48" spans="1:7">
      <c r="G48" s="100"/>
    </row>
    <row r="49" spans="1:7">
      <c r="G49" s="100"/>
    </row>
    <row r="50" spans="1:7">
      <c r="G50" s="100"/>
    </row>
    <row r="51" spans="1:7">
      <c r="G51" s="100"/>
    </row>
    <row r="52" spans="1:7">
      <c r="G52" s="100"/>
    </row>
    <row r="53" spans="1:7">
      <c r="G53" s="100"/>
    </row>
    <row r="54" spans="1:7">
      <c r="A54" s="322"/>
      <c r="B54" s="102"/>
      <c r="C54" s="102"/>
      <c r="D54" s="102"/>
      <c r="E54" s="102"/>
      <c r="F54" s="102"/>
      <c r="G54" s="102"/>
    </row>
    <row r="55" spans="1:7">
      <c r="A55" s="322"/>
      <c r="B55" s="102"/>
      <c r="C55" s="102"/>
      <c r="D55" s="102"/>
      <c r="E55" s="102"/>
      <c r="F55" s="102"/>
      <c r="G55" s="102"/>
    </row>
    <row r="56" spans="1:7">
      <c r="A56" s="322"/>
      <c r="B56" s="102"/>
      <c r="C56" s="102"/>
      <c r="D56" s="102"/>
      <c r="E56" s="102"/>
      <c r="F56" s="102"/>
      <c r="G56" s="102"/>
    </row>
    <row r="57" spans="1:7">
      <c r="A57" s="322"/>
      <c r="B57" s="102"/>
      <c r="C57" s="102"/>
      <c r="D57" s="102"/>
      <c r="E57" s="102"/>
      <c r="F57" s="102"/>
      <c r="G57" s="102"/>
    </row>
    <row r="58" spans="1:7">
      <c r="A58" s="322"/>
      <c r="B58" s="102"/>
      <c r="C58" s="102"/>
      <c r="D58" s="102"/>
      <c r="E58" s="102"/>
      <c r="F58" s="102"/>
      <c r="G58" s="102"/>
    </row>
    <row r="59" spans="1:7">
      <c r="A59" s="322"/>
      <c r="B59" s="102"/>
      <c r="C59" s="102"/>
      <c r="D59" s="102"/>
      <c r="E59" s="102"/>
      <c r="F59" s="102"/>
      <c r="G59" s="102"/>
    </row>
    <row r="60" spans="1:7">
      <c r="A60" s="322"/>
      <c r="B60" s="102"/>
      <c r="C60" s="102"/>
      <c r="D60" s="102"/>
      <c r="E60" s="102"/>
      <c r="F60" s="102"/>
      <c r="G60" s="102"/>
    </row>
    <row r="61" spans="1:7">
      <c r="A61" s="322"/>
      <c r="B61" s="102"/>
      <c r="C61" s="102"/>
      <c r="D61" s="102"/>
      <c r="E61" s="102"/>
      <c r="F61" s="102"/>
      <c r="G61" s="102"/>
    </row>
    <row r="62" spans="1:7">
      <c r="A62" s="322"/>
      <c r="B62" s="102"/>
      <c r="C62" s="102"/>
      <c r="D62" s="102"/>
      <c r="E62" s="102"/>
      <c r="F62" s="102"/>
      <c r="G62" s="102"/>
    </row>
    <row r="63" spans="1:7">
      <c r="A63" s="322"/>
      <c r="B63" s="102"/>
      <c r="C63" s="102"/>
      <c r="D63" s="102"/>
      <c r="E63" s="102"/>
      <c r="F63" s="102"/>
      <c r="G63" s="102"/>
    </row>
    <row r="64" spans="1:7">
      <c r="A64" s="322"/>
      <c r="B64" s="102"/>
      <c r="C64" s="102"/>
      <c r="D64" s="102"/>
      <c r="E64" s="102"/>
      <c r="F64" s="102"/>
      <c r="G64" s="102"/>
    </row>
    <row r="65" spans="1:7">
      <c r="A65" s="322"/>
      <c r="B65" s="102"/>
      <c r="C65" s="102"/>
      <c r="D65" s="102"/>
      <c r="E65" s="102"/>
      <c r="F65" s="102"/>
      <c r="G65" s="102"/>
    </row>
    <row r="66" spans="1:7">
      <c r="A66" s="322"/>
      <c r="B66" s="102"/>
      <c r="C66" s="102"/>
      <c r="D66" s="102"/>
      <c r="E66" s="102"/>
      <c r="F66" s="102"/>
      <c r="G66" s="102"/>
    </row>
    <row r="67" spans="1:7">
      <c r="A67" s="322"/>
      <c r="B67" s="102"/>
      <c r="C67" s="102"/>
      <c r="D67" s="102"/>
      <c r="E67" s="102"/>
      <c r="F67" s="102"/>
      <c r="G67" s="102"/>
    </row>
    <row r="68" spans="1:7">
      <c r="A68" s="322"/>
      <c r="B68" s="102"/>
      <c r="C68" s="102"/>
      <c r="D68" s="102"/>
      <c r="E68" s="102"/>
      <c r="F68" s="102"/>
      <c r="G68" s="102"/>
    </row>
    <row r="69" spans="1:7">
      <c r="G69" s="100"/>
    </row>
    <row r="70" spans="1:7">
      <c r="G70" s="100"/>
    </row>
    <row r="71" spans="1:7">
      <c r="G71" s="100"/>
    </row>
    <row r="72" spans="1:7">
      <c r="G72" s="100"/>
    </row>
    <row r="73" spans="1:7">
      <c r="G73" s="100"/>
    </row>
    <row r="74" spans="1:7">
      <c r="G74" s="100"/>
    </row>
  </sheetData>
  <mergeCells count="3">
    <mergeCell ref="D2:E2"/>
    <mergeCell ref="B2:C2"/>
    <mergeCell ref="A1:G1"/>
  </mergeCells>
  <phoneticPr fontId="5" type="noConversion"/>
  <printOptions horizontalCentered="1"/>
  <pageMargins left="0.39370078740157483" right="0.39370078740157483" top="0.39370078740157483" bottom="0.39370078740157483" header="0" footer="0.19685039370078741"/>
  <pageSetup paperSize="9" scale="99" fitToHeight="10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145"/>
  <sheetViews>
    <sheetView showGridLines="0" showZeros="0" view="pageBreakPreview" topLeftCell="A16" zoomScale="91" zoomScaleSheetLayoutView="91" workbookViewId="0">
      <selection activeCell="H39" sqref="H39"/>
    </sheetView>
  </sheetViews>
  <sheetFormatPr defaultRowHeight="18" customHeight="1"/>
  <cols>
    <col min="1" max="1" width="8.77734375" style="3" customWidth="1"/>
    <col min="2" max="2" width="4.77734375" style="4" customWidth="1"/>
    <col min="3" max="3" width="9.77734375" style="138" customWidth="1"/>
    <col min="4" max="4" width="4.77734375" style="4" customWidth="1"/>
    <col min="5" max="5" width="9.77734375" style="177" customWidth="1"/>
    <col min="6" max="6" width="7.77734375" style="177" customWidth="1"/>
    <col min="7" max="7" width="3.77734375" style="4" customWidth="1"/>
    <col min="8" max="8" width="7.77734375" style="177" customWidth="1"/>
    <col min="9" max="9" width="5.77734375" style="177" customWidth="1"/>
    <col min="10" max="10" width="7.77734375" style="177" customWidth="1"/>
    <col min="11" max="11" width="3.77734375" style="4" customWidth="1"/>
    <col min="12" max="12" width="7.77734375" style="177" customWidth="1"/>
    <col min="13" max="13" width="3.77734375" style="177" customWidth="1"/>
    <col min="14" max="14" width="7.77734375" style="177" customWidth="1"/>
    <col min="15" max="15" width="3.77734375" style="4" customWidth="1"/>
    <col min="16" max="16" width="7.77734375" style="177" customWidth="1"/>
    <col min="17" max="17" width="3.77734375" style="177" customWidth="1"/>
    <col min="18" max="18" width="7.77734375" style="177" customWidth="1"/>
    <col min="19" max="19" width="4.33203125" style="4" customWidth="1"/>
    <col min="20" max="20" width="8.77734375" style="177" customWidth="1"/>
    <col min="21" max="21" width="3.77734375" style="177" customWidth="1"/>
    <col min="22" max="22" width="8.77734375" style="177" customWidth="1"/>
    <col min="23" max="23" width="4.33203125" style="4" customWidth="1"/>
    <col min="24" max="24" width="7.77734375" style="138" customWidth="1"/>
    <col min="25" max="25" width="3.77734375" style="138" customWidth="1"/>
    <col min="26" max="26" width="7.77734375" style="138" customWidth="1"/>
    <col min="27" max="27" width="4.33203125" style="3" customWidth="1"/>
    <col min="28" max="28" width="6" style="3" customWidth="1"/>
    <col min="29" max="16384" width="8.88671875" style="3"/>
  </cols>
  <sheetData>
    <row r="1" spans="1:28" s="2" customFormat="1" ht="27.95" customHeight="1" thickBot="1">
      <c r="A1" s="217" t="s">
        <v>1434</v>
      </c>
      <c r="B1" s="218"/>
      <c r="C1" s="221"/>
      <c r="D1" s="218"/>
      <c r="E1" s="220"/>
      <c r="F1" s="220"/>
      <c r="G1" s="219"/>
      <c r="H1" s="220"/>
      <c r="I1" s="220"/>
      <c r="J1" s="220"/>
      <c r="K1" s="219"/>
      <c r="L1" s="220"/>
      <c r="M1" s="220"/>
      <c r="N1" s="220"/>
      <c r="O1" s="219"/>
      <c r="P1" s="220"/>
      <c r="Q1" s="220"/>
      <c r="R1" s="220"/>
      <c r="S1" s="219"/>
      <c r="T1" s="220"/>
      <c r="U1" s="220"/>
      <c r="V1" s="220"/>
      <c r="W1" s="219"/>
      <c r="X1" s="371" t="s">
        <v>1430</v>
      </c>
      <c r="Y1" s="221"/>
      <c r="Z1" s="221"/>
      <c r="AA1" s="219"/>
      <c r="AB1" s="1"/>
    </row>
    <row r="2" spans="1:28" s="7" customFormat="1" ht="30" customHeight="1">
      <c r="A2" s="482" t="s">
        <v>3</v>
      </c>
      <c r="B2" s="477" t="s">
        <v>1423</v>
      </c>
      <c r="C2" s="478"/>
      <c r="D2" s="478"/>
      <c r="E2" s="478"/>
      <c r="F2" s="479"/>
      <c r="G2" s="120" t="s">
        <v>1425</v>
      </c>
      <c r="H2" s="182"/>
      <c r="I2" s="353"/>
      <c r="J2" s="353"/>
      <c r="K2" s="120" t="s">
        <v>1426</v>
      </c>
      <c r="L2" s="182"/>
      <c r="M2" s="353"/>
      <c r="N2" s="353"/>
      <c r="O2" s="120" t="s">
        <v>1427</v>
      </c>
      <c r="P2" s="182"/>
      <c r="Q2" s="353"/>
      <c r="R2" s="353"/>
      <c r="S2" s="120" t="s">
        <v>1428</v>
      </c>
      <c r="T2" s="182"/>
      <c r="U2" s="353"/>
      <c r="V2" s="353"/>
      <c r="W2" s="120" t="s">
        <v>1429</v>
      </c>
      <c r="X2" s="143"/>
      <c r="Y2" s="357"/>
      <c r="Z2" s="357"/>
      <c r="AA2" s="471" t="s">
        <v>1424</v>
      </c>
      <c r="AB2" s="6"/>
    </row>
    <row r="3" spans="1:28" s="7" customFormat="1" ht="30" customHeight="1" thickBot="1">
      <c r="A3" s="483"/>
      <c r="B3" s="473" t="s">
        <v>1420</v>
      </c>
      <c r="C3" s="474"/>
      <c r="D3" s="475" t="s">
        <v>446</v>
      </c>
      <c r="E3" s="476"/>
      <c r="F3" s="404" t="s">
        <v>1421</v>
      </c>
      <c r="G3" s="480" t="s">
        <v>1420</v>
      </c>
      <c r="H3" s="481"/>
      <c r="I3" s="480" t="s">
        <v>446</v>
      </c>
      <c r="J3" s="481"/>
      <c r="K3" s="480" t="s">
        <v>1420</v>
      </c>
      <c r="L3" s="481"/>
      <c r="M3" s="480" t="s">
        <v>446</v>
      </c>
      <c r="N3" s="481"/>
      <c r="O3" s="480" t="s">
        <v>1420</v>
      </c>
      <c r="P3" s="481"/>
      <c r="Q3" s="480" t="s">
        <v>446</v>
      </c>
      <c r="R3" s="481"/>
      <c r="S3" s="480" t="s">
        <v>1420</v>
      </c>
      <c r="T3" s="481"/>
      <c r="U3" s="480" t="s">
        <v>446</v>
      </c>
      <c r="V3" s="481"/>
      <c r="W3" s="480" t="s">
        <v>1420</v>
      </c>
      <c r="X3" s="481"/>
      <c r="Y3" s="480" t="s">
        <v>446</v>
      </c>
      <c r="Z3" s="481"/>
      <c r="AA3" s="472"/>
      <c r="AB3" s="6"/>
    </row>
    <row r="4" spans="1:28" s="7" customFormat="1" ht="22.5" customHeight="1" thickTop="1">
      <c r="A4" s="358" t="s">
        <v>2</v>
      </c>
      <c r="B4" s="389">
        <f t="shared" ref="B4:Z4" si="0">SUM(B5:B29)</f>
        <v>806</v>
      </c>
      <c r="C4" s="390">
        <f t="shared" ca="1" si="0"/>
        <v>410200.7</v>
      </c>
      <c r="D4" s="391" t="e">
        <f t="shared" si="0"/>
        <v>#REF!</v>
      </c>
      <c r="E4" s="392" t="e">
        <f t="shared" si="0"/>
        <v>#REF!</v>
      </c>
      <c r="F4" s="393" t="e">
        <f t="shared" ca="1" si="0"/>
        <v>#REF!</v>
      </c>
      <c r="G4" s="359">
        <f t="shared" si="0"/>
        <v>148</v>
      </c>
      <c r="H4" s="360">
        <f t="shared" ca="1" si="0"/>
        <v>39475.4</v>
      </c>
      <c r="I4" s="359" t="e">
        <f t="shared" si="0"/>
        <v>#REF!</v>
      </c>
      <c r="J4" s="360" t="e">
        <f t="shared" si="0"/>
        <v>#REF!</v>
      </c>
      <c r="K4" s="359">
        <f t="shared" si="0"/>
        <v>150</v>
      </c>
      <c r="L4" s="360">
        <f t="shared" si="0"/>
        <v>57534.399999999994</v>
      </c>
      <c r="M4" s="359" t="e">
        <f t="shared" si="0"/>
        <v>#REF!</v>
      </c>
      <c r="N4" s="360" t="e">
        <f t="shared" si="0"/>
        <v>#REF!</v>
      </c>
      <c r="O4" s="359">
        <f t="shared" si="0"/>
        <v>228</v>
      </c>
      <c r="P4" s="360">
        <f t="shared" si="0"/>
        <v>92654.5</v>
      </c>
      <c r="Q4" s="359" t="e">
        <f t="shared" si="0"/>
        <v>#REF!</v>
      </c>
      <c r="R4" s="360" t="e">
        <f t="shared" si="0"/>
        <v>#REF!</v>
      </c>
      <c r="S4" s="359">
        <f t="shared" si="0"/>
        <v>123</v>
      </c>
      <c r="T4" s="360">
        <f t="shared" si="0"/>
        <v>124209.39999999997</v>
      </c>
      <c r="U4" s="359" t="e">
        <f t="shared" si="0"/>
        <v>#REF!</v>
      </c>
      <c r="V4" s="360" t="e">
        <f t="shared" si="0"/>
        <v>#REF!</v>
      </c>
      <c r="W4" s="359">
        <f t="shared" si="0"/>
        <v>157</v>
      </c>
      <c r="X4" s="360">
        <f t="shared" si="0"/>
        <v>96327</v>
      </c>
      <c r="Y4" s="359" t="e">
        <f t="shared" si="0"/>
        <v>#REF!</v>
      </c>
      <c r="Z4" s="360" t="e">
        <f t="shared" si="0"/>
        <v>#REF!</v>
      </c>
      <c r="AA4" s="362"/>
      <c r="AB4" s="6"/>
    </row>
    <row r="5" spans="1:28" s="7" customFormat="1" ht="22.5" customHeight="1">
      <c r="A5" s="125" t="s">
        <v>7</v>
      </c>
      <c r="B5" s="394">
        <f>SUM(G5,K5,O5,S5,W5)</f>
        <v>116</v>
      </c>
      <c r="C5" s="395">
        <f ca="1">SUM(H5,L5,P5,T5,X5)</f>
        <v>38581</v>
      </c>
      <c r="D5" s="396" t="e">
        <f>SUM(I5,M5,Q5,U5,Y5)</f>
        <v>#REF!</v>
      </c>
      <c r="E5" s="397" t="e">
        <f>SUM(J5,N5,R5,V5,Z5)</f>
        <v>#REF!</v>
      </c>
      <c r="F5" s="398" t="e">
        <f ca="1">E5-C5</f>
        <v>#REF!</v>
      </c>
      <c r="G5" s="356">
        <f t="shared" ref="G5:Z5" si="1">G34+G63+G92</f>
        <v>12</v>
      </c>
      <c r="H5" s="139">
        <f t="shared" ca="1" si="1"/>
        <v>3869</v>
      </c>
      <c r="I5" s="356" t="e">
        <f t="shared" si="1"/>
        <v>#REF!</v>
      </c>
      <c r="J5" s="139" t="e">
        <f t="shared" si="1"/>
        <v>#REF!</v>
      </c>
      <c r="K5" s="356">
        <f t="shared" si="1"/>
        <v>30</v>
      </c>
      <c r="L5" s="139">
        <f t="shared" si="1"/>
        <v>10337</v>
      </c>
      <c r="M5" s="356" t="e">
        <f t="shared" si="1"/>
        <v>#REF!</v>
      </c>
      <c r="N5" s="139" t="e">
        <f t="shared" si="1"/>
        <v>#REF!</v>
      </c>
      <c r="O5" s="356">
        <f t="shared" si="1"/>
        <v>43</v>
      </c>
      <c r="P5" s="139">
        <f t="shared" si="1"/>
        <v>13678</v>
      </c>
      <c r="Q5" s="356" t="e">
        <f t="shared" si="1"/>
        <v>#REF!</v>
      </c>
      <c r="R5" s="139" t="e">
        <f t="shared" si="1"/>
        <v>#REF!</v>
      </c>
      <c r="S5" s="356">
        <f t="shared" si="1"/>
        <v>7</v>
      </c>
      <c r="T5" s="139">
        <f t="shared" si="1"/>
        <v>3505</v>
      </c>
      <c r="U5" s="356" t="e">
        <f t="shared" si="1"/>
        <v>#REF!</v>
      </c>
      <c r="V5" s="139" t="e">
        <f t="shared" si="1"/>
        <v>#REF!</v>
      </c>
      <c r="W5" s="356">
        <f t="shared" si="1"/>
        <v>24</v>
      </c>
      <c r="X5" s="139">
        <f t="shared" si="1"/>
        <v>7192</v>
      </c>
      <c r="Y5" s="356" t="e">
        <f t="shared" si="1"/>
        <v>#REF!</v>
      </c>
      <c r="Z5" s="139" t="e">
        <f t="shared" si="1"/>
        <v>#REF!</v>
      </c>
      <c r="AA5" s="126"/>
      <c r="AB5" s="6"/>
    </row>
    <row r="6" spans="1:28" s="7" customFormat="1" ht="22.5" customHeight="1">
      <c r="A6" s="127" t="s">
        <v>8</v>
      </c>
      <c r="B6" s="394">
        <f t="shared" ref="B6:B29" si="2">SUM(G6,K6,O6,S6,W6)</f>
        <v>169</v>
      </c>
      <c r="C6" s="395">
        <f t="shared" ref="C6:C29" ca="1" si="3">SUM(H6,L6,P6,T6,X6)</f>
        <v>110634.99999999999</v>
      </c>
      <c r="D6" s="396" t="e">
        <f t="shared" ref="D6:D29" si="4">SUM(I6,M6,Q6,U6,Y6)</f>
        <v>#REF!</v>
      </c>
      <c r="E6" s="397" t="e">
        <f t="shared" ref="E6:E29" si="5">SUM(J6,N6,R6,V6,Z6)</f>
        <v>#REF!</v>
      </c>
      <c r="F6" s="398" t="e">
        <f t="shared" ref="F6:F29" ca="1" si="6">E6-C6</f>
        <v>#REF!</v>
      </c>
      <c r="G6" s="354">
        <f t="shared" ref="G6:Q6" si="7">G35+G64+G93</f>
        <v>48</v>
      </c>
      <c r="H6" s="140">
        <f t="shared" ca="1" si="7"/>
        <v>16314.100000000002</v>
      </c>
      <c r="I6" s="354" t="e">
        <f t="shared" si="7"/>
        <v>#REF!</v>
      </c>
      <c r="J6" s="140" t="e">
        <f t="shared" si="7"/>
        <v>#REF!</v>
      </c>
      <c r="K6" s="354">
        <f t="shared" si="7"/>
        <v>17</v>
      </c>
      <c r="L6" s="140">
        <f t="shared" si="7"/>
        <v>16153.899999999998</v>
      </c>
      <c r="M6" s="354" t="e">
        <f t="shared" si="7"/>
        <v>#REF!</v>
      </c>
      <c r="N6" s="140" t="e">
        <f t="shared" si="7"/>
        <v>#REF!</v>
      </c>
      <c r="O6" s="354">
        <f t="shared" si="7"/>
        <v>33</v>
      </c>
      <c r="P6" s="140">
        <f t="shared" si="7"/>
        <v>19354.400000000001</v>
      </c>
      <c r="Q6" s="354" t="e">
        <f t="shared" si="7"/>
        <v>#REF!</v>
      </c>
      <c r="R6" s="139" t="e">
        <f t="shared" ref="R6:R29" si="8">R35+R64+R93</f>
        <v>#REF!</v>
      </c>
      <c r="S6" s="354">
        <f t="shared" ref="S6:Z15" si="9">S35+S64+S93</f>
        <v>44</v>
      </c>
      <c r="T6" s="140">
        <f t="shared" si="9"/>
        <v>46694.599999999984</v>
      </c>
      <c r="U6" s="354" t="e">
        <f t="shared" si="9"/>
        <v>#REF!</v>
      </c>
      <c r="V6" s="140" t="e">
        <f t="shared" si="9"/>
        <v>#REF!</v>
      </c>
      <c r="W6" s="354">
        <f t="shared" si="9"/>
        <v>27</v>
      </c>
      <c r="X6" s="140">
        <f t="shared" si="9"/>
        <v>12118</v>
      </c>
      <c r="Y6" s="354" t="e">
        <f t="shared" si="9"/>
        <v>#REF!</v>
      </c>
      <c r="Z6" s="140" t="e">
        <f t="shared" si="9"/>
        <v>#REF!</v>
      </c>
      <c r="AA6" s="128"/>
      <c r="AB6" s="6"/>
    </row>
    <row r="7" spans="1:28" s="7" customFormat="1" ht="22.5" customHeight="1">
      <c r="A7" s="127" t="s">
        <v>9</v>
      </c>
      <c r="B7" s="394">
        <f t="shared" si="2"/>
        <v>156</v>
      </c>
      <c r="C7" s="395">
        <f t="shared" ca="1" si="3"/>
        <v>158409</v>
      </c>
      <c r="D7" s="396" t="e">
        <f t="shared" si="4"/>
        <v>#REF!</v>
      </c>
      <c r="E7" s="397" t="e">
        <f t="shared" si="5"/>
        <v>#REF!</v>
      </c>
      <c r="F7" s="398" t="e">
        <f t="shared" ca="1" si="6"/>
        <v>#REF!</v>
      </c>
      <c r="G7" s="354">
        <f t="shared" ref="G7:Q7" si="10">G36+G65+G94</f>
        <v>8</v>
      </c>
      <c r="H7" s="140">
        <f t="shared" ca="1" si="10"/>
        <v>3542</v>
      </c>
      <c r="I7" s="354" t="e">
        <f t="shared" si="10"/>
        <v>#REF!</v>
      </c>
      <c r="J7" s="140" t="e">
        <f t="shared" si="10"/>
        <v>#REF!</v>
      </c>
      <c r="K7" s="354">
        <f t="shared" si="10"/>
        <v>17</v>
      </c>
      <c r="L7" s="140">
        <f t="shared" si="10"/>
        <v>13328</v>
      </c>
      <c r="M7" s="354" t="e">
        <f t="shared" si="10"/>
        <v>#REF!</v>
      </c>
      <c r="N7" s="140" t="e">
        <f t="shared" si="10"/>
        <v>#REF!</v>
      </c>
      <c r="O7" s="354">
        <f t="shared" si="10"/>
        <v>46</v>
      </c>
      <c r="P7" s="140">
        <f t="shared" si="10"/>
        <v>30895</v>
      </c>
      <c r="Q7" s="354" t="e">
        <f t="shared" si="10"/>
        <v>#REF!</v>
      </c>
      <c r="R7" s="139" t="e">
        <f t="shared" si="8"/>
        <v>#REF!</v>
      </c>
      <c r="S7" s="354">
        <f t="shared" si="9"/>
        <v>41</v>
      </c>
      <c r="T7" s="140">
        <f t="shared" si="9"/>
        <v>49066</v>
      </c>
      <c r="U7" s="354" t="e">
        <f t="shared" si="9"/>
        <v>#REF!</v>
      </c>
      <c r="V7" s="140" t="e">
        <f t="shared" si="9"/>
        <v>#REF!</v>
      </c>
      <c r="W7" s="354">
        <f t="shared" si="9"/>
        <v>44</v>
      </c>
      <c r="X7" s="140">
        <f t="shared" si="9"/>
        <v>61578</v>
      </c>
      <c r="Y7" s="354" t="e">
        <f t="shared" si="9"/>
        <v>#REF!</v>
      </c>
      <c r="Z7" s="140" t="e">
        <f t="shared" si="9"/>
        <v>#REF!</v>
      </c>
      <c r="AA7" s="128"/>
      <c r="AB7" s="6"/>
    </row>
    <row r="8" spans="1:28" s="7" customFormat="1" ht="22.5" customHeight="1">
      <c r="A8" s="127" t="s">
        <v>10</v>
      </c>
      <c r="B8" s="394">
        <f t="shared" si="2"/>
        <v>34</v>
      </c>
      <c r="C8" s="395">
        <f t="shared" ca="1" si="3"/>
        <v>3720</v>
      </c>
      <c r="D8" s="396" t="e">
        <f t="shared" si="4"/>
        <v>#REF!</v>
      </c>
      <c r="E8" s="397" t="e">
        <f t="shared" si="5"/>
        <v>#REF!</v>
      </c>
      <c r="F8" s="398" t="e">
        <f t="shared" ca="1" si="6"/>
        <v>#REF!</v>
      </c>
      <c r="G8" s="354">
        <f t="shared" ref="G8:Q8" si="11">G37+G66+G95</f>
        <v>6</v>
      </c>
      <c r="H8" s="140">
        <f t="shared" ca="1" si="11"/>
        <v>563</v>
      </c>
      <c r="I8" s="354" t="e">
        <f t="shared" si="11"/>
        <v>#REF!</v>
      </c>
      <c r="J8" s="140" t="e">
        <f t="shared" si="11"/>
        <v>#REF!</v>
      </c>
      <c r="K8" s="354">
        <f t="shared" si="11"/>
        <v>8</v>
      </c>
      <c r="L8" s="140">
        <f t="shared" si="11"/>
        <v>664</v>
      </c>
      <c r="M8" s="354" t="e">
        <f t="shared" si="11"/>
        <v>#REF!</v>
      </c>
      <c r="N8" s="140" t="e">
        <f t="shared" si="11"/>
        <v>#REF!</v>
      </c>
      <c r="O8" s="354">
        <f t="shared" si="11"/>
        <v>9</v>
      </c>
      <c r="P8" s="140">
        <f t="shared" si="11"/>
        <v>1449</v>
      </c>
      <c r="Q8" s="354" t="e">
        <f t="shared" si="11"/>
        <v>#REF!</v>
      </c>
      <c r="R8" s="139" t="e">
        <f t="shared" si="8"/>
        <v>#REF!</v>
      </c>
      <c r="S8" s="354">
        <f t="shared" si="9"/>
        <v>1</v>
      </c>
      <c r="T8" s="140">
        <f t="shared" si="9"/>
        <v>61</v>
      </c>
      <c r="U8" s="354" t="e">
        <f t="shared" si="9"/>
        <v>#REF!</v>
      </c>
      <c r="V8" s="140" t="e">
        <f t="shared" si="9"/>
        <v>#REF!</v>
      </c>
      <c r="W8" s="354">
        <f t="shared" si="9"/>
        <v>10</v>
      </c>
      <c r="X8" s="140">
        <f t="shared" si="9"/>
        <v>983</v>
      </c>
      <c r="Y8" s="354" t="e">
        <f t="shared" si="9"/>
        <v>#REF!</v>
      </c>
      <c r="Z8" s="140" t="e">
        <f t="shared" si="9"/>
        <v>#REF!</v>
      </c>
      <c r="AA8" s="128"/>
      <c r="AB8" s="6"/>
    </row>
    <row r="9" spans="1:28" s="7" customFormat="1" ht="22.5" customHeight="1">
      <c r="A9" s="127" t="s">
        <v>11</v>
      </c>
      <c r="B9" s="394">
        <f t="shared" si="2"/>
        <v>251</v>
      </c>
      <c r="C9" s="395">
        <f t="shared" ca="1" si="3"/>
        <v>74911.3</v>
      </c>
      <c r="D9" s="396" t="e">
        <f t="shared" si="4"/>
        <v>#REF!</v>
      </c>
      <c r="E9" s="397" t="e">
        <f t="shared" si="5"/>
        <v>#REF!</v>
      </c>
      <c r="F9" s="398" t="e">
        <f t="shared" ca="1" si="6"/>
        <v>#REF!</v>
      </c>
      <c r="G9" s="354">
        <f t="shared" ref="G9:Q9" si="12">G38+G67+G96</f>
        <v>55</v>
      </c>
      <c r="H9" s="140">
        <f t="shared" ca="1" si="12"/>
        <v>11417.8</v>
      </c>
      <c r="I9" s="354" t="e">
        <f t="shared" si="12"/>
        <v>#REF!</v>
      </c>
      <c r="J9" s="140" t="e">
        <f t="shared" si="12"/>
        <v>#REF!</v>
      </c>
      <c r="K9" s="354">
        <f t="shared" si="12"/>
        <v>58</v>
      </c>
      <c r="L9" s="140">
        <f t="shared" si="12"/>
        <v>12321.7</v>
      </c>
      <c r="M9" s="354" t="e">
        <f t="shared" si="12"/>
        <v>#REF!</v>
      </c>
      <c r="N9" s="140" t="e">
        <f t="shared" si="12"/>
        <v>#REF!</v>
      </c>
      <c r="O9" s="354">
        <f t="shared" si="12"/>
        <v>80</v>
      </c>
      <c r="P9" s="140">
        <f t="shared" si="12"/>
        <v>22240.9</v>
      </c>
      <c r="Q9" s="354" t="e">
        <f t="shared" si="12"/>
        <v>#REF!</v>
      </c>
      <c r="R9" s="139" t="e">
        <f t="shared" si="8"/>
        <v>#REF!</v>
      </c>
      <c r="S9" s="354">
        <f t="shared" si="9"/>
        <v>20</v>
      </c>
      <c r="T9" s="140">
        <f t="shared" si="9"/>
        <v>21503.9</v>
      </c>
      <c r="U9" s="354" t="e">
        <f t="shared" si="9"/>
        <v>#REF!</v>
      </c>
      <c r="V9" s="140" t="e">
        <f t="shared" si="9"/>
        <v>#REF!</v>
      </c>
      <c r="W9" s="354">
        <f t="shared" si="9"/>
        <v>38</v>
      </c>
      <c r="X9" s="140">
        <f t="shared" si="9"/>
        <v>7427</v>
      </c>
      <c r="Y9" s="354" t="e">
        <f t="shared" si="9"/>
        <v>#REF!</v>
      </c>
      <c r="Z9" s="140" t="e">
        <f t="shared" si="9"/>
        <v>#REF!</v>
      </c>
      <c r="AA9" s="128"/>
      <c r="AB9" s="6"/>
    </row>
    <row r="10" spans="1:28" s="7" customFormat="1" ht="22.5" customHeight="1">
      <c r="A10" s="127" t="s">
        <v>12</v>
      </c>
      <c r="B10" s="394">
        <f t="shared" si="2"/>
        <v>45</v>
      </c>
      <c r="C10" s="395">
        <f t="shared" ca="1" si="3"/>
        <v>11349.5</v>
      </c>
      <c r="D10" s="396" t="e">
        <f t="shared" si="4"/>
        <v>#REF!</v>
      </c>
      <c r="E10" s="397" t="e">
        <f t="shared" si="5"/>
        <v>#REF!</v>
      </c>
      <c r="F10" s="398" t="e">
        <f t="shared" ca="1" si="6"/>
        <v>#REF!</v>
      </c>
      <c r="G10" s="354">
        <f t="shared" ref="G10:Q10" si="13">G39+G68+G97</f>
        <v>13</v>
      </c>
      <c r="H10" s="140">
        <f t="shared" ca="1" si="13"/>
        <v>1615.5</v>
      </c>
      <c r="I10" s="354" t="e">
        <f t="shared" si="13"/>
        <v>#REF!</v>
      </c>
      <c r="J10" s="140" t="e">
        <f t="shared" si="13"/>
        <v>#REF!</v>
      </c>
      <c r="K10" s="354">
        <f t="shared" si="13"/>
        <v>13</v>
      </c>
      <c r="L10" s="140">
        <f t="shared" si="13"/>
        <v>2402.7999999999997</v>
      </c>
      <c r="M10" s="354" t="e">
        <f t="shared" si="13"/>
        <v>#REF!</v>
      </c>
      <c r="N10" s="140" t="e">
        <f t="shared" si="13"/>
        <v>#REF!</v>
      </c>
      <c r="O10" s="354">
        <f t="shared" si="13"/>
        <v>12</v>
      </c>
      <c r="P10" s="140">
        <f t="shared" si="13"/>
        <v>4652.2</v>
      </c>
      <c r="Q10" s="354" t="e">
        <f t="shared" si="13"/>
        <v>#REF!</v>
      </c>
      <c r="R10" s="139" t="e">
        <f t="shared" si="8"/>
        <v>#REF!</v>
      </c>
      <c r="S10" s="354">
        <f t="shared" si="9"/>
        <v>7</v>
      </c>
      <c r="T10" s="140">
        <f t="shared" si="9"/>
        <v>2679</v>
      </c>
      <c r="U10" s="354" t="e">
        <f t="shared" si="9"/>
        <v>#REF!</v>
      </c>
      <c r="V10" s="140" t="e">
        <f t="shared" si="9"/>
        <v>#REF!</v>
      </c>
      <c r="W10" s="354">
        <f t="shared" si="9"/>
        <v>0</v>
      </c>
      <c r="X10" s="140">
        <f t="shared" si="9"/>
        <v>0</v>
      </c>
      <c r="Y10" s="354" t="e">
        <f t="shared" si="9"/>
        <v>#REF!</v>
      </c>
      <c r="Z10" s="140" t="e">
        <f t="shared" si="9"/>
        <v>#REF!</v>
      </c>
      <c r="AA10" s="128"/>
      <c r="AB10" s="6"/>
    </row>
    <row r="11" spans="1:28" s="7" customFormat="1" ht="22.5" customHeight="1">
      <c r="A11" s="127" t="s">
        <v>13</v>
      </c>
      <c r="B11" s="394">
        <f t="shared" si="2"/>
        <v>1</v>
      </c>
      <c r="C11" s="395">
        <f t="shared" ca="1" si="3"/>
        <v>597.9</v>
      </c>
      <c r="D11" s="396" t="e">
        <f t="shared" si="4"/>
        <v>#REF!</v>
      </c>
      <c r="E11" s="397" t="e">
        <f t="shared" si="5"/>
        <v>#REF!</v>
      </c>
      <c r="F11" s="398" t="e">
        <f t="shared" ca="1" si="6"/>
        <v>#REF!</v>
      </c>
      <c r="G11" s="354">
        <f t="shared" ref="G11:Q11" si="14">G40+G69+G98</f>
        <v>0</v>
      </c>
      <c r="H11" s="140">
        <f t="shared" ca="1" si="14"/>
        <v>0</v>
      </c>
      <c r="I11" s="354" t="e">
        <f t="shared" si="14"/>
        <v>#REF!</v>
      </c>
      <c r="J11" s="140" t="e">
        <f t="shared" si="14"/>
        <v>#REF!</v>
      </c>
      <c r="K11" s="354">
        <f t="shared" si="14"/>
        <v>0</v>
      </c>
      <c r="L11" s="140">
        <f t="shared" si="14"/>
        <v>0</v>
      </c>
      <c r="M11" s="354" t="e">
        <f t="shared" si="14"/>
        <v>#REF!</v>
      </c>
      <c r="N11" s="140" t="e">
        <f t="shared" si="14"/>
        <v>#REF!</v>
      </c>
      <c r="O11" s="354">
        <f t="shared" si="14"/>
        <v>0</v>
      </c>
      <c r="P11" s="140">
        <f t="shared" si="14"/>
        <v>0</v>
      </c>
      <c r="Q11" s="354" t="e">
        <f t="shared" si="14"/>
        <v>#REF!</v>
      </c>
      <c r="R11" s="139" t="e">
        <f t="shared" si="8"/>
        <v>#REF!</v>
      </c>
      <c r="S11" s="354">
        <f t="shared" si="9"/>
        <v>1</v>
      </c>
      <c r="T11" s="140">
        <f t="shared" si="9"/>
        <v>597.9</v>
      </c>
      <c r="U11" s="354" t="e">
        <f t="shared" si="9"/>
        <v>#REF!</v>
      </c>
      <c r="V11" s="140" t="e">
        <f t="shared" si="9"/>
        <v>#REF!</v>
      </c>
      <c r="W11" s="354">
        <f t="shared" si="9"/>
        <v>0</v>
      </c>
      <c r="X11" s="140">
        <f t="shared" si="9"/>
        <v>0</v>
      </c>
      <c r="Y11" s="354" t="e">
        <f t="shared" si="9"/>
        <v>#REF!</v>
      </c>
      <c r="Z11" s="140" t="e">
        <f t="shared" si="9"/>
        <v>#REF!</v>
      </c>
      <c r="AA11" s="128"/>
      <c r="AB11" s="6"/>
    </row>
    <row r="12" spans="1:28" s="7" customFormat="1" ht="22.5" customHeight="1">
      <c r="A12" s="127" t="s">
        <v>14</v>
      </c>
      <c r="B12" s="394">
        <f t="shared" si="2"/>
        <v>8</v>
      </c>
      <c r="C12" s="395">
        <f t="shared" ca="1" si="3"/>
        <v>2406</v>
      </c>
      <c r="D12" s="396" t="e">
        <f t="shared" si="4"/>
        <v>#REF!</v>
      </c>
      <c r="E12" s="397" t="e">
        <f t="shared" si="5"/>
        <v>#REF!</v>
      </c>
      <c r="F12" s="398" t="e">
        <f t="shared" ca="1" si="6"/>
        <v>#REF!</v>
      </c>
      <c r="G12" s="354">
        <f t="shared" ref="G12:Q12" si="15">G41+G70+G99</f>
        <v>6</v>
      </c>
      <c r="H12" s="140">
        <f t="shared" ca="1" si="15"/>
        <v>2154</v>
      </c>
      <c r="I12" s="354" t="e">
        <f t="shared" si="15"/>
        <v>#REF!</v>
      </c>
      <c r="J12" s="140" t="e">
        <f t="shared" si="15"/>
        <v>#REF!</v>
      </c>
      <c r="K12" s="354">
        <f t="shared" si="15"/>
        <v>0</v>
      </c>
      <c r="L12" s="140">
        <f t="shared" si="15"/>
        <v>0</v>
      </c>
      <c r="M12" s="354" t="e">
        <f t="shared" si="15"/>
        <v>#REF!</v>
      </c>
      <c r="N12" s="140" t="e">
        <f t="shared" si="15"/>
        <v>#REF!</v>
      </c>
      <c r="O12" s="354">
        <f t="shared" si="15"/>
        <v>2</v>
      </c>
      <c r="P12" s="140">
        <f t="shared" si="15"/>
        <v>252</v>
      </c>
      <c r="Q12" s="354" t="e">
        <f t="shared" si="15"/>
        <v>#REF!</v>
      </c>
      <c r="R12" s="139" t="e">
        <f t="shared" si="8"/>
        <v>#REF!</v>
      </c>
      <c r="S12" s="354">
        <f t="shared" si="9"/>
        <v>0</v>
      </c>
      <c r="T12" s="140">
        <f t="shared" si="9"/>
        <v>0</v>
      </c>
      <c r="U12" s="354" t="e">
        <f t="shared" si="9"/>
        <v>#REF!</v>
      </c>
      <c r="V12" s="140" t="e">
        <f t="shared" si="9"/>
        <v>#REF!</v>
      </c>
      <c r="W12" s="354">
        <f t="shared" si="9"/>
        <v>0</v>
      </c>
      <c r="X12" s="140">
        <f t="shared" si="9"/>
        <v>0</v>
      </c>
      <c r="Y12" s="354" t="e">
        <f t="shared" si="9"/>
        <v>#REF!</v>
      </c>
      <c r="Z12" s="140" t="e">
        <f t="shared" si="9"/>
        <v>#REF!</v>
      </c>
      <c r="AA12" s="128"/>
      <c r="AB12" s="6"/>
    </row>
    <row r="13" spans="1:28" s="7" customFormat="1" ht="22.5" customHeight="1">
      <c r="A13" s="127" t="s">
        <v>15</v>
      </c>
      <c r="B13" s="394">
        <f t="shared" si="2"/>
        <v>3</v>
      </c>
      <c r="C13" s="395">
        <f t="shared" ca="1" si="3"/>
        <v>663</v>
      </c>
      <c r="D13" s="396" t="e">
        <f t="shared" si="4"/>
        <v>#REF!</v>
      </c>
      <c r="E13" s="397" t="e">
        <f t="shared" si="5"/>
        <v>#REF!</v>
      </c>
      <c r="F13" s="398" t="e">
        <f t="shared" ca="1" si="6"/>
        <v>#REF!</v>
      </c>
      <c r="G13" s="354">
        <f t="shared" ref="G13:Q13" si="16">G42+G71+G100</f>
        <v>0</v>
      </c>
      <c r="H13" s="140">
        <f t="shared" ca="1" si="16"/>
        <v>0</v>
      </c>
      <c r="I13" s="354" t="e">
        <f t="shared" si="16"/>
        <v>#REF!</v>
      </c>
      <c r="J13" s="140" t="e">
        <f t="shared" si="16"/>
        <v>#REF!</v>
      </c>
      <c r="K13" s="354">
        <f t="shared" si="16"/>
        <v>0</v>
      </c>
      <c r="L13" s="140">
        <f t="shared" si="16"/>
        <v>0</v>
      </c>
      <c r="M13" s="354" t="e">
        <f t="shared" si="16"/>
        <v>#REF!</v>
      </c>
      <c r="N13" s="140" t="e">
        <f t="shared" si="16"/>
        <v>#REF!</v>
      </c>
      <c r="O13" s="354">
        <f t="shared" si="16"/>
        <v>2</v>
      </c>
      <c r="P13" s="140">
        <f t="shared" si="16"/>
        <v>117</v>
      </c>
      <c r="Q13" s="354" t="e">
        <f t="shared" si="16"/>
        <v>#REF!</v>
      </c>
      <c r="R13" s="139" t="e">
        <f t="shared" si="8"/>
        <v>#REF!</v>
      </c>
      <c r="S13" s="354">
        <f t="shared" si="9"/>
        <v>0</v>
      </c>
      <c r="T13" s="140">
        <f t="shared" si="9"/>
        <v>0</v>
      </c>
      <c r="U13" s="354" t="e">
        <f t="shared" si="9"/>
        <v>#REF!</v>
      </c>
      <c r="V13" s="140" t="e">
        <f t="shared" si="9"/>
        <v>#REF!</v>
      </c>
      <c r="W13" s="354">
        <f t="shared" si="9"/>
        <v>1</v>
      </c>
      <c r="X13" s="140">
        <f t="shared" si="9"/>
        <v>546</v>
      </c>
      <c r="Y13" s="354" t="e">
        <f t="shared" si="9"/>
        <v>#REF!</v>
      </c>
      <c r="Z13" s="140" t="e">
        <f t="shared" si="9"/>
        <v>#REF!</v>
      </c>
      <c r="AA13" s="128"/>
      <c r="AB13" s="6"/>
    </row>
    <row r="14" spans="1:28" s="7" customFormat="1" ht="22.5" customHeight="1">
      <c r="A14" s="127" t="s">
        <v>16</v>
      </c>
      <c r="B14" s="394">
        <f t="shared" si="2"/>
        <v>0</v>
      </c>
      <c r="C14" s="395">
        <f t="shared" ca="1" si="3"/>
        <v>0</v>
      </c>
      <c r="D14" s="396" t="e">
        <f t="shared" si="4"/>
        <v>#REF!</v>
      </c>
      <c r="E14" s="397" t="e">
        <f t="shared" si="5"/>
        <v>#REF!</v>
      </c>
      <c r="F14" s="398" t="e">
        <f t="shared" ca="1" si="6"/>
        <v>#REF!</v>
      </c>
      <c r="G14" s="354">
        <f t="shared" ref="G14:Q14" si="17">G43+G72+G101</f>
        <v>0</v>
      </c>
      <c r="H14" s="140">
        <f t="shared" ca="1" si="17"/>
        <v>0</v>
      </c>
      <c r="I14" s="354" t="e">
        <f t="shared" si="17"/>
        <v>#REF!</v>
      </c>
      <c r="J14" s="140" t="e">
        <f t="shared" si="17"/>
        <v>#REF!</v>
      </c>
      <c r="K14" s="354">
        <f t="shared" si="17"/>
        <v>0</v>
      </c>
      <c r="L14" s="140">
        <f t="shared" si="17"/>
        <v>0</v>
      </c>
      <c r="M14" s="354" t="e">
        <f t="shared" si="17"/>
        <v>#REF!</v>
      </c>
      <c r="N14" s="140" t="e">
        <f t="shared" si="17"/>
        <v>#REF!</v>
      </c>
      <c r="O14" s="354">
        <f t="shared" si="17"/>
        <v>0</v>
      </c>
      <c r="P14" s="140">
        <f t="shared" si="17"/>
        <v>0</v>
      </c>
      <c r="Q14" s="354" t="e">
        <f t="shared" si="17"/>
        <v>#REF!</v>
      </c>
      <c r="R14" s="139" t="e">
        <f t="shared" si="8"/>
        <v>#REF!</v>
      </c>
      <c r="S14" s="354">
        <f t="shared" si="9"/>
        <v>0</v>
      </c>
      <c r="T14" s="140">
        <f t="shared" si="9"/>
        <v>0</v>
      </c>
      <c r="U14" s="354" t="e">
        <f t="shared" si="9"/>
        <v>#REF!</v>
      </c>
      <c r="V14" s="140" t="e">
        <f t="shared" si="9"/>
        <v>#REF!</v>
      </c>
      <c r="W14" s="354">
        <f t="shared" si="9"/>
        <v>0</v>
      </c>
      <c r="X14" s="140">
        <f t="shared" si="9"/>
        <v>0</v>
      </c>
      <c r="Y14" s="354" t="e">
        <f t="shared" si="9"/>
        <v>#REF!</v>
      </c>
      <c r="Z14" s="140" t="e">
        <f t="shared" si="9"/>
        <v>#REF!</v>
      </c>
      <c r="AA14" s="128"/>
      <c r="AB14" s="6"/>
    </row>
    <row r="15" spans="1:28" s="7" customFormat="1" ht="22.5" customHeight="1">
      <c r="A15" s="127" t="s">
        <v>17</v>
      </c>
      <c r="B15" s="394">
        <f t="shared" si="2"/>
        <v>0</v>
      </c>
      <c r="C15" s="395">
        <f t="shared" ca="1" si="3"/>
        <v>0</v>
      </c>
      <c r="D15" s="396" t="e">
        <f t="shared" si="4"/>
        <v>#REF!</v>
      </c>
      <c r="E15" s="397" t="e">
        <f t="shared" si="5"/>
        <v>#REF!</v>
      </c>
      <c r="F15" s="398" t="e">
        <f t="shared" ca="1" si="6"/>
        <v>#REF!</v>
      </c>
      <c r="G15" s="354">
        <f t="shared" ref="G15:Q15" si="18">G44+G73+G102</f>
        <v>0</v>
      </c>
      <c r="H15" s="140">
        <f t="shared" ca="1" si="18"/>
        <v>0</v>
      </c>
      <c r="I15" s="354" t="e">
        <f t="shared" si="18"/>
        <v>#REF!</v>
      </c>
      <c r="J15" s="140" t="e">
        <f t="shared" si="18"/>
        <v>#REF!</v>
      </c>
      <c r="K15" s="354">
        <f t="shared" si="18"/>
        <v>0</v>
      </c>
      <c r="L15" s="140">
        <f t="shared" si="18"/>
        <v>0</v>
      </c>
      <c r="M15" s="354" t="e">
        <f t="shared" si="18"/>
        <v>#REF!</v>
      </c>
      <c r="N15" s="140" t="e">
        <f t="shared" si="18"/>
        <v>#REF!</v>
      </c>
      <c r="O15" s="354">
        <f t="shared" si="18"/>
        <v>0</v>
      </c>
      <c r="P15" s="140">
        <f t="shared" si="18"/>
        <v>0</v>
      </c>
      <c r="Q15" s="354" t="e">
        <f t="shared" si="18"/>
        <v>#REF!</v>
      </c>
      <c r="R15" s="139" t="e">
        <f t="shared" si="8"/>
        <v>#REF!</v>
      </c>
      <c r="S15" s="354">
        <f t="shared" si="9"/>
        <v>0</v>
      </c>
      <c r="T15" s="140">
        <f t="shared" si="9"/>
        <v>0</v>
      </c>
      <c r="U15" s="354" t="e">
        <f t="shared" si="9"/>
        <v>#REF!</v>
      </c>
      <c r="V15" s="140" t="e">
        <f t="shared" si="9"/>
        <v>#REF!</v>
      </c>
      <c r="W15" s="354">
        <f t="shared" si="9"/>
        <v>0</v>
      </c>
      <c r="X15" s="140">
        <f t="shared" si="9"/>
        <v>0</v>
      </c>
      <c r="Y15" s="354" t="e">
        <f t="shared" si="9"/>
        <v>#REF!</v>
      </c>
      <c r="Z15" s="140" t="e">
        <f t="shared" si="9"/>
        <v>#REF!</v>
      </c>
      <c r="AA15" s="128"/>
      <c r="AB15" s="6"/>
    </row>
    <row r="16" spans="1:28" s="7" customFormat="1" ht="22.5" customHeight="1">
      <c r="A16" s="127" t="s">
        <v>18</v>
      </c>
      <c r="B16" s="394">
        <f t="shared" si="2"/>
        <v>0</v>
      </c>
      <c r="C16" s="395">
        <f t="shared" ca="1" si="3"/>
        <v>0</v>
      </c>
      <c r="D16" s="396" t="e">
        <f t="shared" si="4"/>
        <v>#REF!</v>
      </c>
      <c r="E16" s="397" t="e">
        <f t="shared" si="5"/>
        <v>#REF!</v>
      </c>
      <c r="F16" s="398" t="e">
        <f t="shared" ca="1" si="6"/>
        <v>#REF!</v>
      </c>
      <c r="G16" s="354">
        <f t="shared" ref="G16:Q16" si="19">G45+G74+G103</f>
        <v>0</v>
      </c>
      <c r="H16" s="140">
        <f t="shared" ca="1" si="19"/>
        <v>0</v>
      </c>
      <c r="I16" s="354" t="e">
        <f t="shared" si="19"/>
        <v>#REF!</v>
      </c>
      <c r="J16" s="140" t="e">
        <f t="shared" si="19"/>
        <v>#REF!</v>
      </c>
      <c r="K16" s="354">
        <f t="shared" si="19"/>
        <v>0</v>
      </c>
      <c r="L16" s="140">
        <f t="shared" si="19"/>
        <v>0</v>
      </c>
      <c r="M16" s="354" t="e">
        <f t="shared" si="19"/>
        <v>#REF!</v>
      </c>
      <c r="N16" s="140" t="e">
        <f t="shared" si="19"/>
        <v>#REF!</v>
      </c>
      <c r="O16" s="354">
        <f t="shared" si="19"/>
        <v>0</v>
      </c>
      <c r="P16" s="140">
        <f t="shared" si="19"/>
        <v>0</v>
      </c>
      <c r="Q16" s="354" t="e">
        <f t="shared" si="19"/>
        <v>#REF!</v>
      </c>
      <c r="R16" s="139" t="e">
        <f t="shared" si="8"/>
        <v>#REF!</v>
      </c>
      <c r="S16" s="354">
        <f t="shared" ref="S16:Z25" si="20">S45+S74+S103</f>
        <v>0</v>
      </c>
      <c r="T16" s="140">
        <f t="shared" si="20"/>
        <v>0</v>
      </c>
      <c r="U16" s="354" t="e">
        <f t="shared" si="20"/>
        <v>#REF!</v>
      </c>
      <c r="V16" s="140" t="e">
        <f t="shared" si="20"/>
        <v>#REF!</v>
      </c>
      <c r="W16" s="354">
        <f t="shared" si="20"/>
        <v>0</v>
      </c>
      <c r="X16" s="140">
        <f t="shared" si="20"/>
        <v>0</v>
      </c>
      <c r="Y16" s="354" t="e">
        <f t="shared" si="20"/>
        <v>#REF!</v>
      </c>
      <c r="Z16" s="140" t="e">
        <f t="shared" si="20"/>
        <v>#REF!</v>
      </c>
      <c r="AA16" s="128"/>
      <c r="AB16" s="6"/>
    </row>
    <row r="17" spans="1:28" s="7" customFormat="1" ht="22.5" customHeight="1">
      <c r="A17" s="127" t="s">
        <v>19</v>
      </c>
      <c r="B17" s="394">
        <f t="shared" si="2"/>
        <v>0</v>
      </c>
      <c r="C17" s="395">
        <f t="shared" ca="1" si="3"/>
        <v>0</v>
      </c>
      <c r="D17" s="396" t="e">
        <f t="shared" si="4"/>
        <v>#REF!</v>
      </c>
      <c r="E17" s="397" t="e">
        <f t="shared" si="5"/>
        <v>#REF!</v>
      </c>
      <c r="F17" s="398" t="e">
        <f t="shared" ca="1" si="6"/>
        <v>#REF!</v>
      </c>
      <c r="G17" s="354">
        <f t="shared" ref="G17:Q17" si="21">G46+G75+G104</f>
        <v>0</v>
      </c>
      <c r="H17" s="140">
        <f t="shared" ca="1" si="21"/>
        <v>0</v>
      </c>
      <c r="I17" s="354" t="e">
        <f t="shared" si="21"/>
        <v>#REF!</v>
      </c>
      <c r="J17" s="140" t="e">
        <f t="shared" si="21"/>
        <v>#REF!</v>
      </c>
      <c r="K17" s="354">
        <f t="shared" si="21"/>
        <v>0</v>
      </c>
      <c r="L17" s="140">
        <f t="shared" si="21"/>
        <v>0</v>
      </c>
      <c r="M17" s="354" t="e">
        <f t="shared" si="21"/>
        <v>#REF!</v>
      </c>
      <c r="N17" s="140" t="e">
        <f t="shared" si="21"/>
        <v>#REF!</v>
      </c>
      <c r="O17" s="354">
        <f t="shared" si="21"/>
        <v>0</v>
      </c>
      <c r="P17" s="140">
        <f t="shared" si="21"/>
        <v>0</v>
      </c>
      <c r="Q17" s="354" t="e">
        <f t="shared" si="21"/>
        <v>#REF!</v>
      </c>
      <c r="R17" s="139" t="e">
        <f t="shared" si="8"/>
        <v>#REF!</v>
      </c>
      <c r="S17" s="354">
        <f t="shared" si="20"/>
        <v>0</v>
      </c>
      <c r="T17" s="140">
        <f t="shared" si="20"/>
        <v>0</v>
      </c>
      <c r="U17" s="354" t="e">
        <f t="shared" si="20"/>
        <v>#REF!</v>
      </c>
      <c r="V17" s="140" t="e">
        <f t="shared" si="20"/>
        <v>#REF!</v>
      </c>
      <c r="W17" s="354">
        <f t="shared" si="20"/>
        <v>0</v>
      </c>
      <c r="X17" s="140">
        <f t="shared" si="20"/>
        <v>0</v>
      </c>
      <c r="Y17" s="354" t="e">
        <f t="shared" si="20"/>
        <v>#REF!</v>
      </c>
      <c r="Z17" s="140" t="e">
        <f t="shared" si="20"/>
        <v>#REF!</v>
      </c>
      <c r="AA17" s="128"/>
      <c r="AB17" s="6"/>
    </row>
    <row r="18" spans="1:28" s="7" customFormat="1" ht="22.5" customHeight="1">
      <c r="A18" s="127" t="s">
        <v>20</v>
      </c>
      <c r="B18" s="394">
        <f t="shared" si="2"/>
        <v>0</v>
      </c>
      <c r="C18" s="395">
        <f t="shared" ca="1" si="3"/>
        <v>0</v>
      </c>
      <c r="D18" s="396" t="e">
        <f t="shared" si="4"/>
        <v>#REF!</v>
      </c>
      <c r="E18" s="397" t="e">
        <f t="shared" si="5"/>
        <v>#REF!</v>
      </c>
      <c r="F18" s="398" t="e">
        <f t="shared" ca="1" si="6"/>
        <v>#REF!</v>
      </c>
      <c r="G18" s="354">
        <f t="shared" ref="G18:Q18" si="22">G47+G76+G105</f>
        <v>0</v>
      </c>
      <c r="H18" s="140">
        <f t="shared" ca="1" si="22"/>
        <v>0</v>
      </c>
      <c r="I18" s="354" t="e">
        <f t="shared" si="22"/>
        <v>#REF!</v>
      </c>
      <c r="J18" s="140" t="e">
        <f t="shared" si="22"/>
        <v>#REF!</v>
      </c>
      <c r="K18" s="354">
        <f t="shared" si="22"/>
        <v>0</v>
      </c>
      <c r="L18" s="140">
        <f t="shared" si="22"/>
        <v>0</v>
      </c>
      <c r="M18" s="354" t="e">
        <f t="shared" si="22"/>
        <v>#REF!</v>
      </c>
      <c r="N18" s="140" t="e">
        <f t="shared" si="22"/>
        <v>#REF!</v>
      </c>
      <c r="O18" s="354">
        <f t="shared" si="22"/>
        <v>0</v>
      </c>
      <c r="P18" s="140">
        <f t="shared" si="22"/>
        <v>0</v>
      </c>
      <c r="Q18" s="354" t="e">
        <f t="shared" si="22"/>
        <v>#REF!</v>
      </c>
      <c r="R18" s="139" t="e">
        <f t="shared" si="8"/>
        <v>#REF!</v>
      </c>
      <c r="S18" s="354">
        <f t="shared" si="20"/>
        <v>0</v>
      </c>
      <c r="T18" s="140">
        <f t="shared" si="20"/>
        <v>0</v>
      </c>
      <c r="U18" s="354" t="e">
        <f t="shared" si="20"/>
        <v>#REF!</v>
      </c>
      <c r="V18" s="140" t="e">
        <f t="shared" si="20"/>
        <v>#REF!</v>
      </c>
      <c r="W18" s="354">
        <f t="shared" si="20"/>
        <v>0</v>
      </c>
      <c r="X18" s="140">
        <f t="shared" si="20"/>
        <v>0</v>
      </c>
      <c r="Y18" s="354" t="e">
        <f t="shared" si="20"/>
        <v>#REF!</v>
      </c>
      <c r="Z18" s="140" t="e">
        <f t="shared" si="20"/>
        <v>#REF!</v>
      </c>
      <c r="AA18" s="128"/>
      <c r="AB18" s="6"/>
    </row>
    <row r="19" spans="1:28" s="7" customFormat="1" ht="22.5" customHeight="1">
      <c r="A19" s="127" t="s">
        <v>21</v>
      </c>
      <c r="B19" s="394">
        <f t="shared" si="2"/>
        <v>0</v>
      </c>
      <c r="C19" s="395">
        <f t="shared" ca="1" si="3"/>
        <v>0</v>
      </c>
      <c r="D19" s="396" t="e">
        <f t="shared" si="4"/>
        <v>#REF!</v>
      </c>
      <c r="E19" s="397" t="e">
        <f t="shared" si="5"/>
        <v>#REF!</v>
      </c>
      <c r="F19" s="398" t="e">
        <f t="shared" ca="1" si="6"/>
        <v>#REF!</v>
      </c>
      <c r="G19" s="354">
        <f t="shared" ref="G19:Q19" si="23">G48+G77+G106</f>
        <v>0</v>
      </c>
      <c r="H19" s="140">
        <f t="shared" ca="1" si="23"/>
        <v>0</v>
      </c>
      <c r="I19" s="354" t="e">
        <f t="shared" si="23"/>
        <v>#REF!</v>
      </c>
      <c r="J19" s="140" t="e">
        <f t="shared" si="23"/>
        <v>#REF!</v>
      </c>
      <c r="K19" s="354">
        <f t="shared" si="23"/>
        <v>0</v>
      </c>
      <c r="L19" s="140">
        <f t="shared" si="23"/>
        <v>0</v>
      </c>
      <c r="M19" s="354" t="e">
        <f t="shared" si="23"/>
        <v>#REF!</v>
      </c>
      <c r="N19" s="140" t="e">
        <f t="shared" si="23"/>
        <v>#REF!</v>
      </c>
      <c r="O19" s="354">
        <f t="shared" si="23"/>
        <v>0</v>
      </c>
      <c r="P19" s="140">
        <f t="shared" si="23"/>
        <v>0</v>
      </c>
      <c r="Q19" s="354" t="e">
        <f t="shared" si="23"/>
        <v>#REF!</v>
      </c>
      <c r="R19" s="139" t="e">
        <f t="shared" si="8"/>
        <v>#REF!</v>
      </c>
      <c r="S19" s="354">
        <f t="shared" si="20"/>
        <v>0</v>
      </c>
      <c r="T19" s="140">
        <f t="shared" si="20"/>
        <v>0</v>
      </c>
      <c r="U19" s="354" t="e">
        <f t="shared" si="20"/>
        <v>#REF!</v>
      </c>
      <c r="V19" s="140" t="e">
        <f t="shared" si="20"/>
        <v>#REF!</v>
      </c>
      <c r="W19" s="354">
        <f t="shared" si="20"/>
        <v>0</v>
      </c>
      <c r="X19" s="140">
        <f t="shared" si="20"/>
        <v>0</v>
      </c>
      <c r="Y19" s="354" t="e">
        <f t="shared" si="20"/>
        <v>#REF!</v>
      </c>
      <c r="Z19" s="140" t="e">
        <f t="shared" si="20"/>
        <v>#REF!</v>
      </c>
      <c r="AA19" s="128"/>
      <c r="AB19" s="6"/>
    </row>
    <row r="20" spans="1:28" s="7" customFormat="1" ht="22.5" customHeight="1">
      <c r="A20" s="127" t="s">
        <v>22</v>
      </c>
      <c r="B20" s="394">
        <f t="shared" si="2"/>
        <v>0</v>
      </c>
      <c r="C20" s="395">
        <f t="shared" ca="1" si="3"/>
        <v>0</v>
      </c>
      <c r="D20" s="396" t="e">
        <f t="shared" si="4"/>
        <v>#REF!</v>
      </c>
      <c r="E20" s="397" t="e">
        <f t="shared" si="5"/>
        <v>#REF!</v>
      </c>
      <c r="F20" s="398" t="e">
        <f t="shared" ca="1" si="6"/>
        <v>#REF!</v>
      </c>
      <c r="G20" s="354">
        <f t="shared" ref="G20:Q20" si="24">G49+G78+G107</f>
        <v>0</v>
      </c>
      <c r="H20" s="140">
        <f t="shared" ca="1" si="24"/>
        <v>0</v>
      </c>
      <c r="I20" s="354" t="e">
        <f t="shared" si="24"/>
        <v>#REF!</v>
      </c>
      <c r="J20" s="140" t="e">
        <f t="shared" si="24"/>
        <v>#REF!</v>
      </c>
      <c r="K20" s="354">
        <f t="shared" si="24"/>
        <v>0</v>
      </c>
      <c r="L20" s="140">
        <f t="shared" si="24"/>
        <v>0</v>
      </c>
      <c r="M20" s="354" t="e">
        <f t="shared" si="24"/>
        <v>#REF!</v>
      </c>
      <c r="N20" s="140" t="e">
        <f t="shared" si="24"/>
        <v>#REF!</v>
      </c>
      <c r="O20" s="354">
        <f t="shared" si="24"/>
        <v>0</v>
      </c>
      <c r="P20" s="140">
        <f t="shared" si="24"/>
        <v>0</v>
      </c>
      <c r="Q20" s="354" t="e">
        <f t="shared" si="24"/>
        <v>#REF!</v>
      </c>
      <c r="R20" s="139" t="e">
        <f t="shared" si="8"/>
        <v>#REF!</v>
      </c>
      <c r="S20" s="354">
        <f t="shared" si="20"/>
        <v>0</v>
      </c>
      <c r="T20" s="140">
        <f t="shared" si="20"/>
        <v>0</v>
      </c>
      <c r="U20" s="354" t="e">
        <f t="shared" si="20"/>
        <v>#REF!</v>
      </c>
      <c r="V20" s="140" t="e">
        <f t="shared" si="20"/>
        <v>#REF!</v>
      </c>
      <c r="W20" s="354">
        <f t="shared" si="20"/>
        <v>0</v>
      </c>
      <c r="X20" s="140">
        <f t="shared" si="20"/>
        <v>0</v>
      </c>
      <c r="Y20" s="354" t="e">
        <f t="shared" si="20"/>
        <v>#REF!</v>
      </c>
      <c r="Z20" s="140" t="e">
        <f t="shared" si="20"/>
        <v>#REF!</v>
      </c>
      <c r="AA20" s="128"/>
      <c r="AB20" s="6"/>
    </row>
    <row r="21" spans="1:28" s="7" customFormat="1" ht="22.5" customHeight="1">
      <c r="A21" s="127" t="s">
        <v>23</v>
      </c>
      <c r="B21" s="394">
        <f t="shared" si="2"/>
        <v>16</v>
      </c>
      <c r="C21" s="395">
        <f t="shared" ca="1" si="3"/>
        <v>6966</v>
      </c>
      <c r="D21" s="396" t="e">
        <f t="shared" si="4"/>
        <v>#REF!</v>
      </c>
      <c r="E21" s="397" t="e">
        <f t="shared" si="5"/>
        <v>#REF!</v>
      </c>
      <c r="F21" s="398" t="e">
        <f t="shared" ca="1" si="6"/>
        <v>#REF!</v>
      </c>
      <c r="G21" s="354">
        <f t="shared" ref="G21:Q21" si="25">G50+G79+G108</f>
        <v>0</v>
      </c>
      <c r="H21" s="140">
        <f t="shared" ca="1" si="25"/>
        <v>0</v>
      </c>
      <c r="I21" s="354" t="e">
        <f t="shared" si="25"/>
        <v>#REF!</v>
      </c>
      <c r="J21" s="140" t="e">
        <f t="shared" si="25"/>
        <v>#REF!</v>
      </c>
      <c r="K21" s="354">
        <f t="shared" si="25"/>
        <v>3</v>
      </c>
      <c r="L21" s="140">
        <f t="shared" si="25"/>
        <v>483</v>
      </c>
      <c r="M21" s="354" t="e">
        <f t="shared" si="25"/>
        <v>#REF!</v>
      </c>
      <c r="N21" s="140" t="e">
        <f t="shared" si="25"/>
        <v>#REF!</v>
      </c>
      <c r="O21" s="354">
        <f t="shared" si="25"/>
        <v>0</v>
      </c>
      <c r="P21" s="140">
        <f t="shared" si="25"/>
        <v>0</v>
      </c>
      <c r="Q21" s="354" t="e">
        <f t="shared" si="25"/>
        <v>#REF!</v>
      </c>
      <c r="R21" s="139" t="e">
        <f t="shared" si="8"/>
        <v>#REF!</v>
      </c>
      <c r="S21" s="354">
        <f t="shared" si="20"/>
        <v>0</v>
      </c>
      <c r="T21" s="140">
        <f t="shared" si="20"/>
        <v>0</v>
      </c>
      <c r="U21" s="354" t="e">
        <f t="shared" si="20"/>
        <v>#REF!</v>
      </c>
      <c r="V21" s="140" t="e">
        <f t="shared" si="20"/>
        <v>#REF!</v>
      </c>
      <c r="W21" s="354">
        <f t="shared" si="20"/>
        <v>13</v>
      </c>
      <c r="X21" s="140">
        <f t="shared" si="20"/>
        <v>6483</v>
      </c>
      <c r="Y21" s="354" t="e">
        <f t="shared" si="20"/>
        <v>#REF!</v>
      </c>
      <c r="Z21" s="140" t="e">
        <f t="shared" si="20"/>
        <v>#REF!</v>
      </c>
      <c r="AA21" s="128"/>
      <c r="AB21" s="6"/>
    </row>
    <row r="22" spans="1:28" s="7" customFormat="1" ht="22.5" customHeight="1">
      <c r="A22" s="129" t="s">
        <v>24</v>
      </c>
      <c r="B22" s="394">
        <f t="shared" si="2"/>
        <v>0</v>
      </c>
      <c r="C22" s="395">
        <f t="shared" ca="1" si="3"/>
        <v>0</v>
      </c>
      <c r="D22" s="396" t="e">
        <f t="shared" si="4"/>
        <v>#REF!</v>
      </c>
      <c r="E22" s="397" t="e">
        <f t="shared" si="5"/>
        <v>#REF!</v>
      </c>
      <c r="F22" s="398" t="e">
        <f t="shared" ca="1" si="6"/>
        <v>#REF!</v>
      </c>
      <c r="G22" s="354">
        <f t="shared" ref="G22:Q22" si="26">G51+G80+G109</f>
        <v>0</v>
      </c>
      <c r="H22" s="140">
        <f t="shared" ca="1" si="26"/>
        <v>0</v>
      </c>
      <c r="I22" s="354" t="e">
        <f t="shared" si="26"/>
        <v>#REF!</v>
      </c>
      <c r="J22" s="140" t="e">
        <f t="shared" si="26"/>
        <v>#REF!</v>
      </c>
      <c r="K22" s="354">
        <f t="shared" si="26"/>
        <v>0</v>
      </c>
      <c r="L22" s="140">
        <f t="shared" si="26"/>
        <v>0</v>
      </c>
      <c r="M22" s="354" t="e">
        <f t="shared" si="26"/>
        <v>#REF!</v>
      </c>
      <c r="N22" s="140" t="e">
        <f t="shared" si="26"/>
        <v>#REF!</v>
      </c>
      <c r="O22" s="354">
        <f t="shared" si="26"/>
        <v>0</v>
      </c>
      <c r="P22" s="140">
        <f t="shared" si="26"/>
        <v>0</v>
      </c>
      <c r="Q22" s="354" t="e">
        <f t="shared" si="26"/>
        <v>#REF!</v>
      </c>
      <c r="R22" s="139" t="e">
        <f t="shared" si="8"/>
        <v>#REF!</v>
      </c>
      <c r="S22" s="354">
        <f t="shared" si="20"/>
        <v>0</v>
      </c>
      <c r="T22" s="140">
        <f t="shared" si="20"/>
        <v>0</v>
      </c>
      <c r="U22" s="354" t="e">
        <f t="shared" si="20"/>
        <v>#REF!</v>
      </c>
      <c r="V22" s="140" t="e">
        <f t="shared" si="20"/>
        <v>#REF!</v>
      </c>
      <c r="W22" s="354">
        <f t="shared" si="20"/>
        <v>0</v>
      </c>
      <c r="X22" s="140">
        <f t="shared" si="20"/>
        <v>0</v>
      </c>
      <c r="Y22" s="354" t="e">
        <f t="shared" si="20"/>
        <v>#REF!</v>
      </c>
      <c r="Z22" s="140" t="e">
        <f t="shared" si="20"/>
        <v>#REF!</v>
      </c>
      <c r="AA22" s="128"/>
    </row>
    <row r="23" spans="1:28" s="7" customFormat="1" ht="22.5" customHeight="1">
      <c r="A23" s="129" t="s">
        <v>25</v>
      </c>
      <c r="B23" s="394">
        <f t="shared" si="2"/>
        <v>0</v>
      </c>
      <c r="C23" s="395">
        <f t="shared" ca="1" si="3"/>
        <v>0</v>
      </c>
      <c r="D23" s="396" t="e">
        <f t="shared" si="4"/>
        <v>#REF!</v>
      </c>
      <c r="E23" s="397" t="e">
        <f t="shared" si="5"/>
        <v>#REF!</v>
      </c>
      <c r="F23" s="398" t="e">
        <f t="shared" ca="1" si="6"/>
        <v>#REF!</v>
      </c>
      <c r="G23" s="354">
        <f t="shared" ref="G23:Q23" si="27">G52+G81+G110</f>
        <v>0</v>
      </c>
      <c r="H23" s="140">
        <f t="shared" ca="1" si="27"/>
        <v>0</v>
      </c>
      <c r="I23" s="354" t="e">
        <f t="shared" si="27"/>
        <v>#REF!</v>
      </c>
      <c r="J23" s="140" t="e">
        <f t="shared" si="27"/>
        <v>#REF!</v>
      </c>
      <c r="K23" s="354">
        <f t="shared" si="27"/>
        <v>0</v>
      </c>
      <c r="L23" s="140">
        <f t="shared" si="27"/>
        <v>0</v>
      </c>
      <c r="M23" s="354" t="e">
        <f t="shared" si="27"/>
        <v>#REF!</v>
      </c>
      <c r="N23" s="140" t="e">
        <f t="shared" si="27"/>
        <v>#REF!</v>
      </c>
      <c r="O23" s="354">
        <f t="shared" si="27"/>
        <v>0</v>
      </c>
      <c r="P23" s="140">
        <f t="shared" si="27"/>
        <v>0</v>
      </c>
      <c r="Q23" s="354" t="e">
        <f t="shared" si="27"/>
        <v>#REF!</v>
      </c>
      <c r="R23" s="139" t="e">
        <f t="shared" si="8"/>
        <v>#REF!</v>
      </c>
      <c r="S23" s="354">
        <f t="shared" si="20"/>
        <v>0</v>
      </c>
      <c r="T23" s="140">
        <f t="shared" si="20"/>
        <v>0</v>
      </c>
      <c r="U23" s="354" t="e">
        <f t="shared" si="20"/>
        <v>#REF!</v>
      </c>
      <c r="V23" s="140" t="e">
        <f t="shared" si="20"/>
        <v>#REF!</v>
      </c>
      <c r="W23" s="354">
        <f t="shared" si="20"/>
        <v>0</v>
      </c>
      <c r="X23" s="140">
        <f t="shared" si="20"/>
        <v>0</v>
      </c>
      <c r="Y23" s="354" t="e">
        <f t="shared" si="20"/>
        <v>#REF!</v>
      </c>
      <c r="Z23" s="140" t="e">
        <f t="shared" si="20"/>
        <v>#REF!</v>
      </c>
      <c r="AA23" s="128"/>
    </row>
    <row r="24" spans="1:28" s="7" customFormat="1" ht="22.5" customHeight="1">
      <c r="A24" s="129" t="s">
        <v>26</v>
      </c>
      <c r="B24" s="394">
        <f t="shared" si="2"/>
        <v>0</v>
      </c>
      <c r="C24" s="395">
        <f t="shared" ca="1" si="3"/>
        <v>0</v>
      </c>
      <c r="D24" s="396" t="e">
        <f t="shared" si="4"/>
        <v>#REF!</v>
      </c>
      <c r="E24" s="397" t="e">
        <f t="shared" si="5"/>
        <v>#REF!</v>
      </c>
      <c r="F24" s="398" t="e">
        <f t="shared" ca="1" si="6"/>
        <v>#REF!</v>
      </c>
      <c r="G24" s="354">
        <f t="shared" ref="G24:Q24" si="28">G53+G82+G111</f>
        <v>0</v>
      </c>
      <c r="H24" s="140">
        <f t="shared" ca="1" si="28"/>
        <v>0</v>
      </c>
      <c r="I24" s="354" t="e">
        <f t="shared" si="28"/>
        <v>#REF!</v>
      </c>
      <c r="J24" s="140" t="e">
        <f t="shared" si="28"/>
        <v>#REF!</v>
      </c>
      <c r="K24" s="354">
        <f t="shared" si="28"/>
        <v>0</v>
      </c>
      <c r="L24" s="140">
        <f t="shared" si="28"/>
        <v>0</v>
      </c>
      <c r="M24" s="354" t="e">
        <f t="shared" si="28"/>
        <v>#REF!</v>
      </c>
      <c r="N24" s="140" t="e">
        <f t="shared" si="28"/>
        <v>#REF!</v>
      </c>
      <c r="O24" s="354">
        <f t="shared" si="28"/>
        <v>0</v>
      </c>
      <c r="P24" s="140">
        <f t="shared" si="28"/>
        <v>0</v>
      </c>
      <c r="Q24" s="354" t="e">
        <f t="shared" si="28"/>
        <v>#REF!</v>
      </c>
      <c r="R24" s="139" t="e">
        <f t="shared" si="8"/>
        <v>#REF!</v>
      </c>
      <c r="S24" s="354">
        <f t="shared" si="20"/>
        <v>0</v>
      </c>
      <c r="T24" s="140">
        <f t="shared" si="20"/>
        <v>0</v>
      </c>
      <c r="U24" s="354" t="e">
        <f t="shared" si="20"/>
        <v>#REF!</v>
      </c>
      <c r="V24" s="140" t="e">
        <f t="shared" si="20"/>
        <v>#REF!</v>
      </c>
      <c r="W24" s="354">
        <f t="shared" si="20"/>
        <v>0</v>
      </c>
      <c r="X24" s="140">
        <f t="shared" si="20"/>
        <v>0</v>
      </c>
      <c r="Y24" s="354" t="e">
        <f t="shared" si="20"/>
        <v>#REF!</v>
      </c>
      <c r="Z24" s="140" t="e">
        <f t="shared" si="20"/>
        <v>#REF!</v>
      </c>
      <c r="AA24" s="128"/>
    </row>
    <row r="25" spans="1:28" s="7" customFormat="1" ht="22.5" customHeight="1">
      <c r="A25" s="129" t="s">
        <v>27</v>
      </c>
      <c r="B25" s="394">
        <f t="shared" si="2"/>
        <v>0</v>
      </c>
      <c r="C25" s="395">
        <f t="shared" ca="1" si="3"/>
        <v>0</v>
      </c>
      <c r="D25" s="396" t="e">
        <f t="shared" si="4"/>
        <v>#REF!</v>
      </c>
      <c r="E25" s="397" t="e">
        <f t="shared" si="5"/>
        <v>#REF!</v>
      </c>
      <c r="F25" s="398" t="e">
        <f t="shared" ca="1" si="6"/>
        <v>#REF!</v>
      </c>
      <c r="G25" s="354">
        <f t="shared" ref="G25:Q25" si="29">G54+G83+G112</f>
        <v>0</v>
      </c>
      <c r="H25" s="140">
        <f t="shared" ca="1" si="29"/>
        <v>0</v>
      </c>
      <c r="I25" s="354" t="e">
        <f t="shared" si="29"/>
        <v>#REF!</v>
      </c>
      <c r="J25" s="140" t="e">
        <f t="shared" si="29"/>
        <v>#REF!</v>
      </c>
      <c r="K25" s="354">
        <f t="shared" si="29"/>
        <v>0</v>
      </c>
      <c r="L25" s="140">
        <f t="shared" si="29"/>
        <v>0</v>
      </c>
      <c r="M25" s="354" t="e">
        <f t="shared" si="29"/>
        <v>#REF!</v>
      </c>
      <c r="N25" s="140" t="e">
        <f t="shared" si="29"/>
        <v>#REF!</v>
      </c>
      <c r="O25" s="354">
        <f t="shared" si="29"/>
        <v>0</v>
      </c>
      <c r="P25" s="140">
        <f t="shared" si="29"/>
        <v>0</v>
      </c>
      <c r="Q25" s="354" t="e">
        <f t="shared" si="29"/>
        <v>#REF!</v>
      </c>
      <c r="R25" s="139" t="e">
        <f t="shared" si="8"/>
        <v>#REF!</v>
      </c>
      <c r="S25" s="354">
        <f t="shared" si="20"/>
        <v>0</v>
      </c>
      <c r="T25" s="140">
        <f t="shared" si="20"/>
        <v>0</v>
      </c>
      <c r="U25" s="354" t="e">
        <f t="shared" si="20"/>
        <v>#REF!</v>
      </c>
      <c r="V25" s="140" t="e">
        <f t="shared" si="20"/>
        <v>#REF!</v>
      </c>
      <c r="W25" s="354">
        <f t="shared" si="20"/>
        <v>0</v>
      </c>
      <c r="X25" s="140">
        <f t="shared" si="20"/>
        <v>0</v>
      </c>
      <c r="Y25" s="354" t="e">
        <f t="shared" si="20"/>
        <v>#REF!</v>
      </c>
      <c r="Z25" s="140" t="e">
        <f t="shared" si="20"/>
        <v>#REF!</v>
      </c>
      <c r="AA25" s="128"/>
    </row>
    <row r="26" spans="1:28" s="7" customFormat="1" ht="22.5" customHeight="1">
      <c r="A26" s="129" t="s">
        <v>1422</v>
      </c>
      <c r="B26" s="394">
        <f t="shared" si="2"/>
        <v>0</v>
      </c>
      <c r="C26" s="395">
        <f t="shared" ca="1" si="3"/>
        <v>0</v>
      </c>
      <c r="D26" s="396" t="e">
        <f t="shared" si="4"/>
        <v>#REF!</v>
      </c>
      <c r="E26" s="397" t="e">
        <f t="shared" si="5"/>
        <v>#REF!</v>
      </c>
      <c r="F26" s="398" t="e">
        <f t="shared" ca="1" si="6"/>
        <v>#REF!</v>
      </c>
      <c r="G26" s="354">
        <f t="shared" ref="G26:Q26" si="30">G55+G84+G113</f>
        <v>0</v>
      </c>
      <c r="H26" s="140">
        <f t="shared" ca="1" si="30"/>
        <v>0</v>
      </c>
      <c r="I26" s="354" t="e">
        <f t="shared" si="30"/>
        <v>#REF!</v>
      </c>
      <c r="J26" s="140" t="e">
        <f t="shared" si="30"/>
        <v>#REF!</v>
      </c>
      <c r="K26" s="354">
        <f t="shared" si="30"/>
        <v>0</v>
      </c>
      <c r="L26" s="140">
        <f t="shared" si="30"/>
        <v>0</v>
      </c>
      <c r="M26" s="354" t="e">
        <f t="shared" si="30"/>
        <v>#REF!</v>
      </c>
      <c r="N26" s="140" t="e">
        <f t="shared" si="30"/>
        <v>#REF!</v>
      </c>
      <c r="O26" s="354">
        <f t="shared" si="30"/>
        <v>0</v>
      </c>
      <c r="P26" s="140">
        <f t="shared" si="30"/>
        <v>0</v>
      </c>
      <c r="Q26" s="354" t="e">
        <f t="shared" si="30"/>
        <v>#REF!</v>
      </c>
      <c r="R26" s="139" t="e">
        <f t="shared" si="8"/>
        <v>#REF!</v>
      </c>
      <c r="S26" s="354">
        <f t="shared" ref="S26:Z29" si="31">S55+S84+S113</f>
        <v>0</v>
      </c>
      <c r="T26" s="140">
        <f t="shared" si="31"/>
        <v>0</v>
      </c>
      <c r="U26" s="354" t="e">
        <f t="shared" si="31"/>
        <v>#REF!</v>
      </c>
      <c r="V26" s="140" t="e">
        <f t="shared" si="31"/>
        <v>#REF!</v>
      </c>
      <c r="W26" s="354">
        <f t="shared" si="31"/>
        <v>0</v>
      </c>
      <c r="X26" s="140">
        <f t="shared" si="31"/>
        <v>0</v>
      </c>
      <c r="Y26" s="354" t="e">
        <f t="shared" si="31"/>
        <v>#REF!</v>
      </c>
      <c r="Z26" s="140" t="e">
        <f t="shared" si="31"/>
        <v>#REF!</v>
      </c>
      <c r="AA26" s="128"/>
    </row>
    <row r="27" spans="1:28" s="7" customFormat="1" ht="22.5" customHeight="1">
      <c r="A27" s="129" t="s">
        <v>60</v>
      </c>
      <c r="B27" s="394">
        <f t="shared" si="2"/>
        <v>0</v>
      </c>
      <c r="C27" s="395">
        <f t="shared" ca="1" si="3"/>
        <v>0</v>
      </c>
      <c r="D27" s="396" t="e">
        <f t="shared" si="4"/>
        <v>#REF!</v>
      </c>
      <c r="E27" s="397" t="e">
        <f t="shared" si="5"/>
        <v>#REF!</v>
      </c>
      <c r="F27" s="398" t="e">
        <f t="shared" ca="1" si="6"/>
        <v>#REF!</v>
      </c>
      <c r="G27" s="354">
        <f t="shared" ref="G27:Q27" si="32">G56+G85+G114</f>
        <v>0</v>
      </c>
      <c r="H27" s="140">
        <f t="shared" ca="1" si="32"/>
        <v>0</v>
      </c>
      <c r="I27" s="354" t="e">
        <f t="shared" si="32"/>
        <v>#REF!</v>
      </c>
      <c r="J27" s="140" t="e">
        <f t="shared" si="32"/>
        <v>#REF!</v>
      </c>
      <c r="K27" s="354">
        <f t="shared" si="32"/>
        <v>0</v>
      </c>
      <c r="L27" s="140">
        <f t="shared" si="32"/>
        <v>0</v>
      </c>
      <c r="M27" s="354" t="e">
        <f t="shared" si="32"/>
        <v>#REF!</v>
      </c>
      <c r="N27" s="140" t="e">
        <f t="shared" si="32"/>
        <v>#REF!</v>
      </c>
      <c r="O27" s="354">
        <f t="shared" si="32"/>
        <v>0</v>
      </c>
      <c r="P27" s="140">
        <f t="shared" si="32"/>
        <v>0</v>
      </c>
      <c r="Q27" s="354" t="e">
        <f t="shared" si="32"/>
        <v>#REF!</v>
      </c>
      <c r="R27" s="139" t="e">
        <f t="shared" si="8"/>
        <v>#REF!</v>
      </c>
      <c r="S27" s="354">
        <f t="shared" si="31"/>
        <v>0</v>
      </c>
      <c r="T27" s="140">
        <f t="shared" si="31"/>
        <v>0</v>
      </c>
      <c r="U27" s="354" t="e">
        <f t="shared" si="31"/>
        <v>#REF!</v>
      </c>
      <c r="V27" s="140" t="e">
        <f t="shared" si="31"/>
        <v>#REF!</v>
      </c>
      <c r="W27" s="354">
        <f t="shared" si="31"/>
        <v>0</v>
      </c>
      <c r="X27" s="140">
        <f t="shared" si="31"/>
        <v>0</v>
      </c>
      <c r="Y27" s="354" t="e">
        <f t="shared" si="31"/>
        <v>#REF!</v>
      </c>
      <c r="Z27" s="140" t="e">
        <f t="shared" si="31"/>
        <v>#REF!</v>
      </c>
      <c r="AA27" s="128"/>
    </row>
    <row r="28" spans="1:28" s="7" customFormat="1" ht="22.5" customHeight="1">
      <c r="A28" s="129" t="s">
        <v>70</v>
      </c>
      <c r="B28" s="394">
        <f t="shared" si="2"/>
        <v>2</v>
      </c>
      <c r="C28" s="395">
        <f t="shared" ca="1" si="3"/>
        <v>452</v>
      </c>
      <c r="D28" s="396" t="e">
        <f t="shared" si="4"/>
        <v>#REF!</v>
      </c>
      <c r="E28" s="397" t="e">
        <f t="shared" si="5"/>
        <v>#REF!</v>
      </c>
      <c r="F28" s="398" t="e">
        <f t="shared" ca="1" si="6"/>
        <v>#REF!</v>
      </c>
      <c r="G28" s="354">
        <f t="shared" ref="G28:Q28" si="33">G57+G86+G115</f>
        <v>0</v>
      </c>
      <c r="H28" s="140">
        <f t="shared" ca="1" si="33"/>
        <v>0</v>
      </c>
      <c r="I28" s="354" t="e">
        <f t="shared" si="33"/>
        <v>#REF!</v>
      </c>
      <c r="J28" s="140" t="e">
        <f t="shared" si="33"/>
        <v>#REF!</v>
      </c>
      <c r="K28" s="354">
        <f t="shared" si="33"/>
        <v>1</v>
      </c>
      <c r="L28" s="140">
        <f t="shared" si="33"/>
        <v>436</v>
      </c>
      <c r="M28" s="354" t="e">
        <f t="shared" si="33"/>
        <v>#REF!</v>
      </c>
      <c r="N28" s="140" t="e">
        <f t="shared" si="33"/>
        <v>#REF!</v>
      </c>
      <c r="O28" s="354">
        <f t="shared" si="33"/>
        <v>1</v>
      </c>
      <c r="P28" s="140">
        <f t="shared" si="33"/>
        <v>16</v>
      </c>
      <c r="Q28" s="354" t="e">
        <f t="shared" si="33"/>
        <v>#REF!</v>
      </c>
      <c r="R28" s="139" t="e">
        <f t="shared" si="8"/>
        <v>#REF!</v>
      </c>
      <c r="S28" s="354">
        <f t="shared" si="31"/>
        <v>0</v>
      </c>
      <c r="T28" s="140">
        <f t="shared" si="31"/>
        <v>0</v>
      </c>
      <c r="U28" s="354" t="e">
        <f t="shared" si="31"/>
        <v>#REF!</v>
      </c>
      <c r="V28" s="140" t="e">
        <f t="shared" si="31"/>
        <v>#REF!</v>
      </c>
      <c r="W28" s="354">
        <f t="shared" si="31"/>
        <v>0</v>
      </c>
      <c r="X28" s="140">
        <f t="shared" si="31"/>
        <v>0</v>
      </c>
      <c r="Y28" s="354" t="e">
        <f t="shared" si="31"/>
        <v>#REF!</v>
      </c>
      <c r="Z28" s="140" t="e">
        <f t="shared" si="31"/>
        <v>#REF!</v>
      </c>
      <c r="AA28" s="128"/>
    </row>
    <row r="29" spans="1:28" s="7" customFormat="1" ht="22.5" customHeight="1" thickBot="1">
      <c r="A29" s="130" t="s">
        <v>62</v>
      </c>
      <c r="B29" s="399">
        <f t="shared" si="2"/>
        <v>5</v>
      </c>
      <c r="C29" s="400">
        <f t="shared" ca="1" si="3"/>
        <v>1510</v>
      </c>
      <c r="D29" s="401" t="e">
        <f t="shared" si="4"/>
        <v>#REF!</v>
      </c>
      <c r="E29" s="402" t="e">
        <f t="shared" si="5"/>
        <v>#REF!</v>
      </c>
      <c r="F29" s="403" t="e">
        <f t="shared" ca="1" si="6"/>
        <v>#REF!</v>
      </c>
      <c r="G29" s="355">
        <f t="shared" ref="G29:Q29" si="34">G58+G87+G116</f>
        <v>0</v>
      </c>
      <c r="H29" s="141">
        <f t="shared" ca="1" si="34"/>
        <v>0</v>
      </c>
      <c r="I29" s="355" t="e">
        <f t="shared" si="34"/>
        <v>#REF!</v>
      </c>
      <c r="J29" s="141" t="e">
        <f t="shared" si="34"/>
        <v>#REF!</v>
      </c>
      <c r="K29" s="355">
        <f t="shared" si="34"/>
        <v>3</v>
      </c>
      <c r="L29" s="141">
        <f t="shared" si="34"/>
        <v>1408</v>
      </c>
      <c r="M29" s="355" t="e">
        <f t="shared" si="34"/>
        <v>#REF!</v>
      </c>
      <c r="N29" s="141" t="e">
        <f t="shared" si="34"/>
        <v>#REF!</v>
      </c>
      <c r="O29" s="355">
        <f t="shared" si="34"/>
        <v>0</v>
      </c>
      <c r="P29" s="141">
        <f t="shared" si="34"/>
        <v>0</v>
      </c>
      <c r="Q29" s="355" t="e">
        <f t="shared" si="34"/>
        <v>#REF!</v>
      </c>
      <c r="R29" s="141" t="e">
        <f t="shared" si="8"/>
        <v>#REF!</v>
      </c>
      <c r="S29" s="355">
        <f t="shared" si="31"/>
        <v>2</v>
      </c>
      <c r="T29" s="141">
        <f t="shared" si="31"/>
        <v>102</v>
      </c>
      <c r="U29" s="355" t="e">
        <f t="shared" si="31"/>
        <v>#REF!</v>
      </c>
      <c r="V29" s="141" t="e">
        <f t="shared" si="31"/>
        <v>#REF!</v>
      </c>
      <c r="W29" s="355">
        <f t="shared" si="31"/>
        <v>0</v>
      </c>
      <c r="X29" s="141">
        <f t="shared" si="31"/>
        <v>0</v>
      </c>
      <c r="Y29" s="355" t="e">
        <f t="shared" si="31"/>
        <v>#REF!</v>
      </c>
      <c r="Z29" s="141" t="e">
        <f t="shared" si="31"/>
        <v>#REF!</v>
      </c>
      <c r="AA29" s="133"/>
      <c r="AB29" s="6"/>
    </row>
    <row r="30" spans="1:28" s="1" customFormat="1" ht="27.95" customHeight="1" thickBot="1">
      <c r="A30" s="365" t="s">
        <v>1435</v>
      </c>
      <c r="B30" s="366"/>
      <c r="C30" s="367"/>
      <c r="D30" s="366"/>
      <c r="E30" s="368"/>
      <c r="F30" s="368"/>
      <c r="G30" s="369"/>
      <c r="H30" s="368"/>
      <c r="I30" s="368"/>
      <c r="J30" s="368"/>
      <c r="K30" s="369"/>
      <c r="L30" s="368"/>
      <c r="M30" s="368"/>
      <c r="N30" s="368"/>
      <c r="O30" s="369"/>
      <c r="P30" s="368"/>
      <c r="Q30" s="368"/>
      <c r="R30" s="368"/>
      <c r="S30" s="369"/>
      <c r="T30" s="368"/>
      <c r="U30" s="368"/>
      <c r="V30" s="368"/>
      <c r="W30" s="369"/>
      <c r="X30" s="371" t="s">
        <v>1430</v>
      </c>
      <c r="Y30" s="367"/>
      <c r="Z30" s="367"/>
      <c r="AA30" s="369"/>
    </row>
    <row r="31" spans="1:28" s="7" customFormat="1" ht="30" customHeight="1">
      <c r="A31" s="482" t="s">
        <v>3</v>
      </c>
      <c r="B31" s="477" t="s">
        <v>1423</v>
      </c>
      <c r="C31" s="478"/>
      <c r="D31" s="478"/>
      <c r="E31" s="478"/>
      <c r="F31" s="479"/>
      <c r="G31" s="120" t="s">
        <v>1425</v>
      </c>
      <c r="H31" s="182"/>
      <c r="I31" s="353"/>
      <c r="J31" s="353"/>
      <c r="K31" s="120" t="s">
        <v>1426</v>
      </c>
      <c r="L31" s="182"/>
      <c r="M31" s="353"/>
      <c r="N31" s="353"/>
      <c r="O31" s="120" t="s">
        <v>1427</v>
      </c>
      <c r="P31" s="182"/>
      <c r="Q31" s="353"/>
      <c r="R31" s="353"/>
      <c r="S31" s="120" t="s">
        <v>1428</v>
      </c>
      <c r="T31" s="182"/>
      <c r="U31" s="353"/>
      <c r="V31" s="353"/>
      <c r="W31" s="120" t="s">
        <v>1429</v>
      </c>
      <c r="X31" s="143"/>
      <c r="Y31" s="357"/>
      <c r="Z31" s="357"/>
      <c r="AA31" s="471" t="s">
        <v>1424</v>
      </c>
      <c r="AB31" s="6"/>
    </row>
    <row r="32" spans="1:28" s="7" customFormat="1" ht="30" customHeight="1" thickBot="1">
      <c r="A32" s="483"/>
      <c r="B32" s="473" t="s">
        <v>1420</v>
      </c>
      <c r="C32" s="474"/>
      <c r="D32" s="475" t="s">
        <v>446</v>
      </c>
      <c r="E32" s="476"/>
      <c r="F32" s="404" t="s">
        <v>1421</v>
      </c>
      <c r="G32" s="480" t="s">
        <v>1420</v>
      </c>
      <c r="H32" s="481"/>
      <c r="I32" s="480" t="s">
        <v>446</v>
      </c>
      <c r="J32" s="481"/>
      <c r="K32" s="480" t="s">
        <v>1420</v>
      </c>
      <c r="L32" s="481"/>
      <c r="M32" s="480" t="s">
        <v>446</v>
      </c>
      <c r="N32" s="481"/>
      <c r="O32" s="480" t="s">
        <v>1420</v>
      </c>
      <c r="P32" s="481"/>
      <c r="Q32" s="480" t="s">
        <v>446</v>
      </c>
      <c r="R32" s="481"/>
      <c r="S32" s="480" t="s">
        <v>1420</v>
      </c>
      <c r="T32" s="481"/>
      <c r="U32" s="480" t="s">
        <v>446</v>
      </c>
      <c r="V32" s="481"/>
      <c r="W32" s="480" t="s">
        <v>1420</v>
      </c>
      <c r="X32" s="481"/>
      <c r="Y32" s="480" t="s">
        <v>446</v>
      </c>
      <c r="Z32" s="481"/>
      <c r="AA32" s="472"/>
      <c r="AB32" s="6"/>
    </row>
    <row r="33" spans="1:27" s="6" customFormat="1" ht="22.5" customHeight="1" thickTop="1">
      <c r="A33" s="358" t="s">
        <v>2</v>
      </c>
      <c r="B33" s="389">
        <f>SUM(B34:B58)</f>
        <v>144</v>
      </c>
      <c r="C33" s="390">
        <f>SUM(C34:C58)</f>
        <v>45466.1</v>
      </c>
      <c r="D33" s="391" t="e">
        <f>SUM(D34:D58)</f>
        <v>#REF!</v>
      </c>
      <c r="E33" s="392" t="e">
        <f>SUM(E34:E58)</f>
        <v>#REF!</v>
      </c>
      <c r="F33" s="406" t="e">
        <f>E33-C33</f>
        <v>#REF!</v>
      </c>
      <c r="G33" s="359">
        <f t="shared" ref="G33:Z33" si="35">SUM(G34:G58)</f>
        <v>36</v>
      </c>
      <c r="H33" s="361">
        <f t="shared" si="35"/>
        <v>7546.7</v>
      </c>
      <c r="I33" s="359" t="e">
        <f t="shared" si="35"/>
        <v>#REF!</v>
      </c>
      <c r="J33" s="361" t="e">
        <f t="shared" si="35"/>
        <v>#REF!</v>
      </c>
      <c r="K33" s="359">
        <f t="shared" si="35"/>
        <v>34</v>
      </c>
      <c r="L33" s="361">
        <f t="shared" si="35"/>
        <v>9205.5</v>
      </c>
      <c r="M33" s="359" t="e">
        <f t="shared" si="35"/>
        <v>#REF!</v>
      </c>
      <c r="N33" s="361" t="e">
        <f t="shared" si="35"/>
        <v>#REF!</v>
      </c>
      <c r="O33" s="359">
        <f t="shared" si="35"/>
        <v>43</v>
      </c>
      <c r="P33" s="361">
        <f t="shared" si="35"/>
        <v>13662.099999999999</v>
      </c>
      <c r="Q33" s="359" t="e">
        <f t="shared" si="35"/>
        <v>#REF!</v>
      </c>
      <c r="R33" s="361" t="e">
        <f t="shared" si="35"/>
        <v>#REF!</v>
      </c>
      <c r="S33" s="359">
        <f t="shared" si="35"/>
        <v>15</v>
      </c>
      <c r="T33" s="361">
        <f t="shared" si="35"/>
        <v>9891.7999999999993</v>
      </c>
      <c r="U33" s="359" t="e">
        <f t="shared" si="35"/>
        <v>#REF!</v>
      </c>
      <c r="V33" s="361" t="e">
        <f t="shared" si="35"/>
        <v>#REF!</v>
      </c>
      <c r="W33" s="359">
        <f t="shared" si="35"/>
        <v>16</v>
      </c>
      <c r="X33" s="361">
        <f t="shared" si="35"/>
        <v>5160</v>
      </c>
      <c r="Y33" s="359" t="e">
        <f t="shared" si="35"/>
        <v>#REF!</v>
      </c>
      <c r="Z33" s="361" t="e">
        <f t="shared" si="35"/>
        <v>#REF!</v>
      </c>
      <c r="AA33" s="362"/>
    </row>
    <row r="34" spans="1:27" s="6" customFormat="1" ht="22.5" customHeight="1">
      <c r="A34" s="125" t="s">
        <v>7</v>
      </c>
      <c r="B34" s="394">
        <f>SUM(G34,K34,O34,S34,W34)</f>
        <v>0</v>
      </c>
      <c r="C34" s="395">
        <f>SUM(H34,L34,P34,T34,X34)</f>
        <v>0</v>
      </c>
      <c r="D34" s="396" t="e">
        <f>SUM(I34,M34,Q34,U34,Y34)</f>
        <v>#REF!</v>
      </c>
      <c r="E34" s="397" t="e">
        <f>SUM(J34,N34,R34,V34,Z34)</f>
        <v>#REF!</v>
      </c>
      <c r="F34" s="405" t="e">
        <f>E34-C34</f>
        <v>#REF!</v>
      </c>
      <c r="G34" s="356">
        <f>'(당초)집계표'!E7</f>
        <v>0</v>
      </c>
      <c r="H34" s="352">
        <f>'(당초)집계표'!G7</f>
        <v>0</v>
      </c>
      <c r="I34" s="356" t="e">
        <f>'(변경)집계표'!E7</f>
        <v>#REF!</v>
      </c>
      <c r="J34" s="352" t="e">
        <f>'(변경)집계표'!G7</f>
        <v>#REF!</v>
      </c>
      <c r="K34" s="356">
        <f>'(당초)집계표'!E37</f>
        <v>0</v>
      </c>
      <c r="L34" s="352">
        <f>'(당초)집계표'!G37</f>
        <v>0</v>
      </c>
      <c r="M34" s="356" t="e">
        <f>'(변경)집계표'!E37</f>
        <v>#REF!</v>
      </c>
      <c r="N34" s="352" t="e">
        <f>'(변경)집계표'!G37</f>
        <v>#REF!</v>
      </c>
      <c r="O34" s="356">
        <f>'(당초)집계표'!E67</f>
        <v>0</v>
      </c>
      <c r="P34" s="352">
        <f>'(당초)집계표'!G67</f>
        <v>0</v>
      </c>
      <c r="Q34" s="356" t="e">
        <f>'(변경)집계표'!E67</f>
        <v>#REF!</v>
      </c>
      <c r="R34" s="352" t="e">
        <f>'(변경)집계표'!G67</f>
        <v>#REF!</v>
      </c>
      <c r="S34" s="356">
        <f>'(당초)집계표'!E97</f>
        <v>0</v>
      </c>
      <c r="T34" s="352">
        <f>'(당초)집계표'!G97</f>
        <v>0</v>
      </c>
      <c r="U34" s="356" t="e">
        <f>'(변경)집계표'!E97</f>
        <v>#REF!</v>
      </c>
      <c r="V34" s="352" t="e">
        <f>'(변경)집계표'!G97</f>
        <v>#REF!</v>
      </c>
      <c r="W34" s="356">
        <f>'(당초)집계표'!E127</f>
        <v>0</v>
      </c>
      <c r="X34" s="139">
        <f>'(당초)집계표'!G127</f>
        <v>0</v>
      </c>
      <c r="Y34" s="356" t="e">
        <f>'(변경)집계표'!E127</f>
        <v>#REF!</v>
      </c>
      <c r="Z34" s="352" t="e">
        <f>'(변경)집계표'!G127</f>
        <v>#REF!</v>
      </c>
      <c r="AA34" s="126"/>
    </row>
    <row r="35" spans="1:27" s="6" customFormat="1" ht="22.5" customHeight="1">
      <c r="A35" s="127" t="s">
        <v>8</v>
      </c>
      <c r="B35" s="394">
        <f t="shared" ref="B35:D58" si="36">SUM(G35,K35,O35,S35,W35)</f>
        <v>0</v>
      </c>
      <c r="C35" s="395">
        <f t="shared" ref="C35:C58" si="37">SUM(H35,L35,P35,T35,X35)</f>
        <v>0</v>
      </c>
      <c r="D35" s="396" t="e">
        <f>SUM(I35,M35,Q35,U35,Y35)</f>
        <v>#REF!</v>
      </c>
      <c r="E35" s="397" t="e">
        <f t="shared" ref="E35:E36" si="38">SUM(J35,N35,R35,V35,Z35)</f>
        <v>#REF!</v>
      </c>
      <c r="F35" s="405" t="e">
        <f t="shared" ref="F35:F58" si="39">E35-C35</f>
        <v>#REF!</v>
      </c>
      <c r="G35" s="354">
        <f>'(당초)집계표'!E8</f>
        <v>0</v>
      </c>
      <c r="H35" s="179">
        <f>'(당초)집계표'!G8</f>
        <v>0</v>
      </c>
      <c r="I35" s="356" t="e">
        <f>'(변경)집계표'!E8</f>
        <v>#REF!</v>
      </c>
      <c r="J35" s="352" t="e">
        <f>'(변경)집계표'!G8</f>
        <v>#REF!</v>
      </c>
      <c r="K35" s="354">
        <f>'(당초)집계표'!E38</f>
        <v>0</v>
      </c>
      <c r="L35" s="179">
        <f>'(당초)집계표'!G38</f>
        <v>0</v>
      </c>
      <c r="M35" s="356" t="e">
        <f>'(변경)집계표'!E38</f>
        <v>#REF!</v>
      </c>
      <c r="N35" s="352" t="e">
        <f>'(변경)집계표'!G38</f>
        <v>#REF!</v>
      </c>
      <c r="O35" s="354">
        <f>'(당초)집계표'!E68</f>
        <v>0</v>
      </c>
      <c r="P35" s="179">
        <f>'(당초)집계표'!G68</f>
        <v>0</v>
      </c>
      <c r="Q35" s="356" t="e">
        <f>'(변경)집계표'!E68</f>
        <v>#REF!</v>
      </c>
      <c r="R35" s="352" t="e">
        <f>'(변경)집계표'!G68</f>
        <v>#REF!</v>
      </c>
      <c r="S35" s="354">
        <f>'(당초)집계표'!E98</f>
        <v>0</v>
      </c>
      <c r="T35" s="179">
        <f>'(당초)집계표'!G98</f>
        <v>0</v>
      </c>
      <c r="U35" s="356" t="e">
        <f>'(변경)집계표'!E98</f>
        <v>#REF!</v>
      </c>
      <c r="V35" s="352" t="e">
        <f>'(변경)집계표'!G98</f>
        <v>#REF!</v>
      </c>
      <c r="W35" s="354">
        <f>'(당초)집계표'!E128</f>
        <v>0</v>
      </c>
      <c r="X35" s="140">
        <f>'(당초)집계표'!G128</f>
        <v>0</v>
      </c>
      <c r="Y35" s="356" t="e">
        <f>'(변경)집계표'!E128</f>
        <v>#REF!</v>
      </c>
      <c r="Z35" s="352" t="e">
        <f>'(변경)집계표'!G128</f>
        <v>#REF!</v>
      </c>
      <c r="AA35" s="128"/>
    </row>
    <row r="36" spans="1:27" s="6" customFormat="1" ht="22.5" customHeight="1">
      <c r="A36" s="127" t="s">
        <v>9</v>
      </c>
      <c r="B36" s="394">
        <f t="shared" si="36"/>
        <v>3</v>
      </c>
      <c r="C36" s="395">
        <f t="shared" si="37"/>
        <v>3195</v>
      </c>
      <c r="D36" s="396" t="e">
        <f t="shared" si="36"/>
        <v>#REF!</v>
      </c>
      <c r="E36" s="397" t="e">
        <f t="shared" si="38"/>
        <v>#REF!</v>
      </c>
      <c r="F36" s="405" t="e">
        <f t="shared" si="39"/>
        <v>#REF!</v>
      </c>
      <c r="G36" s="354">
        <f>'(당초)집계표'!E9</f>
        <v>0</v>
      </c>
      <c r="H36" s="179">
        <f>'(당초)집계표'!G9</f>
        <v>0</v>
      </c>
      <c r="I36" s="356" t="e">
        <f>'(변경)집계표'!E9</f>
        <v>#REF!</v>
      </c>
      <c r="J36" s="352" t="e">
        <f>'(변경)집계표'!G9</f>
        <v>#REF!</v>
      </c>
      <c r="K36" s="354">
        <f>'(당초)집계표'!E39</f>
        <v>0</v>
      </c>
      <c r="L36" s="179">
        <f>'(당초)집계표'!G39</f>
        <v>0</v>
      </c>
      <c r="M36" s="356" t="e">
        <f>'(변경)집계표'!E39</f>
        <v>#REF!</v>
      </c>
      <c r="N36" s="352" t="e">
        <f>'(변경)집계표'!G39</f>
        <v>#REF!</v>
      </c>
      <c r="O36" s="354">
        <f>'(당초)집계표'!E69</f>
        <v>0</v>
      </c>
      <c r="P36" s="179">
        <f>'(당초)집계표'!G69</f>
        <v>0</v>
      </c>
      <c r="Q36" s="356" t="e">
        <f>'(변경)집계표'!E69</f>
        <v>#REF!</v>
      </c>
      <c r="R36" s="352" t="e">
        <f>'(변경)집계표'!G69</f>
        <v>#REF!</v>
      </c>
      <c r="S36" s="354">
        <f>'(당초)집계표'!E99</f>
        <v>0</v>
      </c>
      <c r="T36" s="179">
        <f>'(당초)집계표'!G99</f>
        <v>0</v>
      </c>
      <c r="U36" s="356" t="e">
        <f>'(변경)집계표'!E99</f>
        <v>#REF!</v>
      </c>
      <c r="V36" s="352" t="e">
        <f>'(변경)집계표'!G99</f>
        <v>#REF!</v>
      </c>
      <c r="W36" s="354">
        <f>'(당초)집계표'!E129</f>
        <v>3</v>
      </c>
      <c r="X36" s="140">
        <f>'(당초)집계표'!G129</f>
        <v>3195</v>
      </c>
      <c r="Y36" s="356" t="e">
        <f>'(변경)집계표'!E129</f>
        <v>#REF!</v>
      </c>
      <c r="Z36" s="352" t="e">
        <f>'(변경)집계표'!G129</f>
        <v>#REF!</v>
      </c>
      <c r="AA36" s="128"/>
    </row>
    <row r="37" spans="1:27" s="6" customFormat="1" ht="22.5" customHeight="1">
      <c r="A37" s="127" t="s">
        <v>10</v>
      </c>
      <c r="B37" s="394">
        <f t="shared" si="36"/>
        <v>1</v>
      </c>
      <c r="C37" s="395">
        <f t="shared" si="37"/>
        <v>95</v>
      </c>
      <c r="D37" s="396" t="e">
        <f t="shared" ref="D37:D58" si="40">SUM(I37,M37,Q37,U37,Y37)</f>
        <v>#REF!</v>
      </c>
      <c r="E37" s="397" t="e">
        <f t="shared" ref="E37:E58" si="41">SUM(J37,N37,R37,V37,Z37)</f>
        <v>#REF!</v>
      </c>
      <c r="F37" s="405" t="e">
        <f t="shared" si="39"/>
        <v>#REF!</v>
      </c>
      <c r="G37" s="354">
        <f>'(당초)집계표'!E10</f>
        <v>0</v>
      </c>
      <c r="H37" s="179">
        <f>'(당초)집계표'!G10</f>
        <v>0</v>
      </c>
      <c r="I37" s="356" t="e">
        <f>'(변경)집계표'!E10</f>
        <v>#REF!</v>
      </c>
      <c r="J37" s="352" t="e">
        <f>'(변경)집계표'!G10</f>
        <v>#REF!</v>
      </c>
      <c r="K37" s="354">
        <f>'(당초)집계표'!E40</f>
        <v>1</v>
      </c>
      <c r="L37" s="179">
        <f>'(당초)집계표'!G40</f>
        <v>95</v>
      </c>
      <c r="M37" s="356" t="e">
        <f>'(변경)집계표'!E40</f>
        <v>#REF!</v>
      </c>
      <c r="N37" s="352" t="e">
        <f>'(변경)집계표'!G40</f>
        <v>#REF!</v>
      </c>
      <c r="O37" s="354">
        <f>'(당초)집계표'!E70</f>
        <v>0</v>
      </c>
      <c r="P37" s="179">
        <f>'(당초)집계표'!G70</f>
        <v>0</v>
      </c>
      <c r="Q37" s="356" t="e">
        <f>'(변경)집계표'!E70</f>
        <v>#REF!</v>
      </c>
      <c r="R37" s="352" t="e">
        <f>'(변경)집계표'!G70</f>
        <v>#REF!</v>
      </c>
      <c r="S37" s="354">
        <f>'(당초)집계표'!E100</f>
        <v>0</v>
      </c>
      <c r="T37" s="179">
        <f>'(당초)집계표'!G100</f>
        <v>0</v>
      </c>
      <c r="U37" s="356" t="e">
        <f>'(변경)집계표'!E100</f>
        <v>#REF!</v>
      </c>
      <c r="V37" s="352" t="e">
        <f>'(변경)집계표'!G100</f>
        <v>#REF!</v>
      </c>
      <c r="W37" s="354">
        <f>'(당초)집계표'!E130</f>
        <v>0</v>
      </c>
      <c r="X37" s="140">
        <f>'(당초)집계표'!G130</f>
        <v>0</v>
      </c>
      <c r="Y37" s="356" t="e">
        <f>'(변경)집계표'!E130</f>
        <v>#REF!</v>
      </c>
      <c r="Z37" s="352" t="e">
        <f>'(변경)집계표'!G130</f>
        <v>#REF!</v>
      </c>
      <c r="AA37" s="128"/>
    </row>
    <row r="38" spans="1:27" s="6" customFormat="1" ht="22.5" customHeight="1">
      <c r="A38" s="127" t="s">
        <v>11</v>
      </c>
      <c r="B38" s="394">
        <f t="shared" si="36"/>
        <v>85</v>
      </c>
      <c r="C38" s="395">
        <f t="shared" si="37"/>
        <v>27479.699999999997</v>
      </c>
      <c r="D38" s="396" t="e">
        <f t="shared" si="40"/>
        <v>#REF!</v>
      </c>
      <c r="E38" s="397" t="e">
        <f t="shared" si="41"/>
        <v>#REF!</v>
      </c>
      <c r="F38" s="405" t="e">
        <f t="shared" si="39"/>
        <v>#REF!</v>
      </c>
      <c r="G38" s="354">
        <f>'(당초)집계표'!E11</f>
        <v>22</v>
      </c>
      <c r="H38" s="179">
        <f>'(당초)집계표'!G11</f>
        <v>5337.2</v>
      </c>
      <c r="I38" s="356" t="e">
        <f>'(변경)집계표'!E11</f>
        <v>#REF!</v>
      </c>
      <c r="J38" s="352" t="e">
        <f>'(변경)집계표'!G11</f>
        <v>#REF!</v>
      </c>
      <c r="K38" s="354">
        <f>'(당초)집계표'!E41</f>
        <v>17</v>
      </c>
      <c r="L38" s="179">
        <f>'(당초)집계표'!G41</f>
        <v>5299.7</v>
      </c>
      <c r="M38" s="356" t="e">
        <f>'(변경)집계표'!E41</f>
        <v>#REF!</v>
      </c>
      <c r="N38" s="352" t="e">
        <f>'(변경)집계표'!G41</f>
        <v>#REF!</v>
      </c>
      <c r="O38" s="354">
        <f>'(당초)집계표'!E71</f>
        <v>28</v>
      </c>
      <c r="P38" s="179">
        <f>'(당초)집계표'!G71</f>
        <v>8739.9</v>
      </c>
      <c r="Q38" s="356" t="e">
        <f>'(변경)집계표'!E71</f>
        <v>#REF!</v>
      </c>
      <c r="R38" s="352" t="e">
        <f>'(변경)집계표'!G71</f>
        <v>#REF!</v>
      </c>
      <c r="S38" s="354">
        <f>'(당초)집계표'!E101</f>
        <v>6</v>
      </c>
      <c r="T38" s="179">
        <f>'(당초)집계표'!G101</f>
        <v>6683.9</v>
      </c>
      <c r="U38" s="356" t="e">
        <f>'(변경)집계표'!E101</f>
        <v>#REF!</v>
      </c>
      <c r="V38" s="352" t="e">
        <f>'(변경)집계표'!G101</f>
        <v>#REF!</v>
      </c>
      <c r="W38" s="354">
        <f>'(당초)집계표'!E131</f>
        <v>12</v>
      </c>
      <c r="X38" s="140">
        <f>'(당초)집계표'!G131</f>
        <v>1419</v>
      </c>
      <c r="Y38" s="356" t="e">
        <f>'(변경)집계표'!E131</f>
        <v>#REF!</v>
      </c>
      <c r="Z38" s="352" t="e">
        <f>'(변경)집계표'!G131</f>
        <v>#REF!</v>
      </c>
      <c r="AA38" s="128"/>
    </row>
    <row r="39" spans="1:27" s="6" customFormat="1" ht="22.5" customHeight="1">
      <c r="A39" s="127" t="s">
        <v>12</v>
      </c>
      <c r="B39" s="394">
        <f t="shared" si="36"/>
        <v>44</v>
      </c>
      <c r="C39" s="395">
        <f t="shared" si="37"/>
        <v>11178.5</v>
      </c>
      <c r="D39" s="396" t="e">
        <f t="shared" si="40"/>
        <v>#REF!</v>
      </c>
      <c r="E39" s="397" t="e">
        <f t="shared" si="41"/>
        <v>#REF!</v>
      </c>
      <c r="F39" s="405" t="e">
        <f t="shared" si="39"/>
        <v>#REF!</v>
      </c>
      <c r="G39" s="354">
        <f>'(당초)집계표'!E12</f>
        <v>13</v>
      </c>
      <c r="H39" s="179">
        <f>'(당초)집계표'!G12</f>
        <v>1615.5</v>
      </c>
      <c r="I39" s="356" t="e">
        <f>'(변경)집계표'!E12</f>
        <v>#REF!</v>
      </c>
      <c r="J39" s="352" t="e">
        <f>'(변경)집계표'!G12</f>
        <v>#REF!</v>
      </c>
      <c r="K39" s="354">
        <f>'(당초)집계표'!E42</f>
        <v>13</v>
      </c>
      <c r="L39" s="179">
        <f>'(당초)집계표'!G42</f>
        <v>2402.7999999999997</v>
      </c>
      <c r="M39" s="356" t="e">
        <f>'(변경)집계표'!E42</f>
        <v>#REF!</v>
      </c>
      <c r="N39" s="352" t="e">
        <f>'(변경)집계표'!G42</f>
        <v>#REF!</v>
      </c>
      <c r="O39" s="354">
        <f>'(당초)집계표'!E72</f>
        <v>12</v>
      </c>
      <c r="P39" s="179">
        <f>'(당초)집계표'!G72</f>
        <v>4652.2</v>
      </c>
      <c r="Q39" s="356" t="e">
        <f>'(변경)집계표'!E72</f>
        <v>#REF!</v>
      </c>
      <c r="R39" s="352" t="e">
        <f>'(변경)집계표'!G72</f>
        <v>#REF!</v>
      </c>
      <c r="S39" s="354">
        <f>'(당초)집계표'!E102</f>
        <v>6</v>
      </c>
      <c r="T39" s="179">
        <f>'(당초)집계표'!G102</f>
        <v>2508</v>
      </c>
      <c r="U39" s="356" t="e">
        <f>'(변경)집계표'!E102</f>
        <v>#REF!</v>
      </c>
      <c r="V39" s="352" t="e">
        <f>'(변경)집계표'!G102</f>
        <v>#REF!</v>
      </c>
      <c r="W39" s="354">
        <f>'(당초)집계표'!E132</f>
        <v>0</v>
      </c>
      <c r="X39" s="140">
        <f>'(당초)집계표'!G132</f>
        <v>0</v>
      </c>
      <c r="Y39" s="356" t="e">
        <f>'(변경)집계표'!E132</f>
        <v>#REF!</v>
      </c>
      <c r="Z39" s="352" t="e">
        <f>'(변경)집계표'!G132</f>
        <v>#REF!</v>
      </c>
      <c r="AA39" s="128"/>
    </row>
    <row r="40" spans="1:27" s="6" customFormat="1" ht="22.5" customHeight="1">
      <c r="A40" s="127" t="s">
        <v>13</v>
      </c>
      <c r="B40" s="394">
        <f t="shared" si="36"/>
        <v>1</v>
      </c>
      <c r="C40" s="395">
        <f t="shared" si="37"/>
        <v>597.9</v>
      </c>
      <c r="D40" s="396" t="e">
        <f t="shared" si="40"/>
        <v>#REF!</v>
      </c>
      <c r="E40" s="397" t="e">
        <f t="shared" si="41"/>
        <v>#REF!</v>
      </c>
      <c r="F40" s="405" t="e">
        <f t="shared" si="39"/>
        <v>#REF!</v>
      </c>
      <c r="G40" s="354">
        <f>'(당초)집계표'!E13</f>
        <v>0</v>
      </c>
      <c r="H40" s="179">
        <f>'(당초)집계표'!G13</f>
        <v>0</v>
      </c>
      <c r="I40" s="356" t="e">
        <f>'(변경)집계표'!E13</f>
        <v>#REF!</v>
      </c>
      <c r="J40" s="352" t="e">
        <f>'(변경)집계표'!G13</f>
        <v>#REF!</v>
      </c>
      <c r="K40" s="354">
        <f>'(당초)집계표'!E43</f>
        <v>0</v>
      </c>
      <c r="L40" s="179">
        <f>'(당초)집계표'!G43</f>
        <v>0</v>
      </c>
      <c r="M40" s="356" t="e">
        <f>'(변경)집계표'!E43</f>
        <v>#REF!</v>
      </c>
      <c r="N40" s="352" t="e">
        <f>'(변경)집계표'!G43</f>
        <v>#REF!</v>
      </c>
      <c r="O40" s="354">
        <f>'(당초)집계표'!E73</f>
        <v>0</v>
      </c>
      <c r="P40" s="179">
        <f>'(당초)집계표'!G73</f>
        <v>0</v>
      </c>
      <c r="Q40" s="356" t="e">
        <f>'(변경)집계표'!E73</f>
        <v>#REF!</v>
      </c>
      <c r="R40" s="352" t="e">
        <f>'(변경)집계표'!G73</f>
        <v>#REF!</v>
      </c>
      <c r="S40" s="354">
        <f>'(당초)집계표'!E103</f>
        <v>1</v>
      </c>
      <c r="T40" s="179">
        <f>'(당초)집계표'!G103</f>
        <v>597.9</v>
      </c>
      <c r="U40" s="356" t="e">
        <f>'(변경)집계표'!E103</f>
        <v>#REF!</v>
      </c>
      <c r="V40" s="352" t="e">
        <f>'(변경)집계표'!G103</f>
        <v>#REF!</v>
      </c>
      <c r="W40" s="354">
        <f>'(당초)집계표'!E133</f>
        <v>0</v>
      </c>
      <c r="X40" s="140">
        <f>'(당초)집계표'!G133</f>
        <v>0</v>
      </c>
      <c r="Y40" s="356" t="e">
        <f>'(변경)집계표'!E133</f>
        <v>#REF!</v>
      </c>
      <c r="Z40" s="352" t="e">
        <f>'(변경)집계표'!G133</f>
        <v>#REF!</v>
      </c>
      <c r="AA40" s="128"/>
    </row>
    <row r="41" spans="1:27" s="6" customFormat="1" ht="22.5" customHeight="1">
      <c r="A41" s="127" t="s">
        <v>14</v>
      </c>
      <c r="B41" s="394">
        <f t="shared" si="36"/>
        <v>3</v>
      </c>
      <c r="C41" s="395">
        <f t="shared" si="37"/>
        <v>846</v>
      </c>
      <c r="D41" s="396" t="e">
        <f t="shared" si="40"/>
        <v>#REF!</v>
      </c>
      <c r="E41" s="397" t="e">
        <f t="shared" si="41"/>
        <v>#REF!</v>
      </c>
      <c r="F41" s="405" t="e">
        <f t="shared" si="39"/>
        <v>#REF!</v>
      </c>
      <c r="G41" s="354">
        <f>'(당초)집계표'!E14</f>
        <v>1</v>
      </c>
      <c r="H41" s="179">
        <f>'(당초)집계표'!G14</f>
        <v>594</v>
      </c>
      <c r="I41" s="356" t="e">
        <f>'(변경)집계표'!E14</f>
        <v>#REF!</v>
      </c>
      <c r="J41" s="352" t="e">
        <f>'(변경)집계표'!G14</f>
        <v>#REF!</v>
      </c>
      <c r="K41" s="354">
        <f>'(당초)집계표'!E44</f>
        <v>0</v>
      </c>
      <c r="L41" s="179">
        <f>'(당초)집계표'!G44</f>
        <v>0</v>
      </c>
      <c r="M41" s="356" t="e">
        <f>'(변경)집계표'!E44</f>
        <v>#REF!</v>
      </c>
      <c r="N41" s="352" t="e">
        <f>'(변경)집계표'!G44</f>
        <v>#REF!</v>
      </c>
      <c r="O41" s="354">
        <f>'(당초)집계표'!E74</f>
        <v>2</v>
      </c>
      <c r="P41" s="179">
        <f>'(당초)집계표'!G74</f>
        <v>252</v>
      </c>
      <c r="Q41" s="356" t="e">
        <f>'(변경)집계표'!E74</f>
        <v>#REF!</v>
      </c>
      <c r="R41" s="352" t="e">
        <f>'(변경)집계표'!G74</f>
        <v>#REF!</v>
      </c>
      <c r="S41" s="354">
        <f>'(당초)집계표'!E104</f>
        <v>0</v>
      </c>
      <c r="T41" s="179">
        <f>'(당초)집계표'!G104</f>
        <v>0</v>
      </c>
      <c r="U41" s="356" t="e">
        <f>'(변경)집계표'!E104</f>
        <v>#REF!</v>
      </c>
      <c r="V41" s="352" t="e">
        <f>'(변경)집계표'!G104</f>
        <v>#REF!</v>
      </c>
      <c r="W41" s="354">
        <f>'(당초)집계표'!E134</f>
        <v>0</v>
      </c>
      <c r="X41" s="140">
        <f>'(당초)집계표'!G134</f>
        <v>0</v>
      </c>
      <c r="Y41" s="356" t="e">
        <f>'(변경)집계표'!E134</f>
        <v>#REF!</v>
      </c>
      <c r="Z41" s="352" t="e">
        <f>'(변경)집계표'!G134</f>
        <v>#REF!</v>
      </c>
      <c r="AA41" s="128"/>
    </row>
    <row r="42" spans="1:27" s="6" customFormat="1" ht="22.5" customHeight="1">
      <c r="A42" s="127" t="s">
        <v>15</v>
      </c>
      <c r="B42" s="394">
        <f t="shared" si="36"/>
        <v>2</v>
      </c>
      <c r="C42" s="395">
        <f t="shared" si="37"/>
        <v>564</v>
      </c>
      <c r="D42" s="396" t="e">
        <f t="shared" si="40"/>
        <v>#REF!</v>
      </c>
      <c r="E42" s="397" t="e">
        <f t="shared" si="41"/>
        <v>#REF!</v>
      </c>
      <c r="F42" s="405" t="e">
        <f t="shared" si="39"/>
        <v>#REF!</v>
      </c>
      <c r="G42" s="354">
        <f>'(당초)집계표'!E15</f>
        <v>0</v>
      </c>
      <c r="H42" s="179">
        <f>'(당초)집계표'!G15</f>
        <v>0</v>
      </c>
      <c r="I42" s="356" t="e">
        <f>'(변경)집계표'!E15</f>
        <v>#REF!</v>
      </c>
      <c r="J42" s="352" t="e">
        <f>'(변경)집계표'!G15</f>
        <v>#REF!</v>
      </c>
      <c r="K42" s="354">
        <f>'(당초)집계표'!E45</f>
        <v>0</v>
      </c>
      <c r="L42" s="179">
        <f>'(당초)집계표'!G45</f>
        <v>0</v>
      </c>
      <c r="M42" s="356" t="e">
        <f>'(변경)집계표'!E45</f>
        <v>#REF!</v>
      </c>
      <c r="N42" s="352" t="e">
        <f>'(변경)집계표'!G45</f>
        <v>#REF!</v>
      </c>
      <c r="O42" s="354">
        <f>'(당초)집계표'!E75</f>
        <v>1</v>
      </c>
      <c r="P42" s="179">
        <f>'(당초)집계표'!G75</f>
        <v>18</v>
      </c>
      <c r="Q42" s="356" t="e">
        <f>'(변경)집계표'!E75</f>
        <v>#REF!</v>
      </c>
      <c r="R42" s="352" t="e">
        <f>'(변경)집계표'!G75</f>
        <v>#REF!</v>
      </c>
      <c r="S42" s="354">
        <f>'(당초)집계표'!E105</f>
        <v>0</v>
      </c>
      <c r="T42" s="179">
        <f>'(당초)집계표'!G105</f>
        <v>0</v>
      </c>
      <c r="U42" s="356" t="e">
        <f>'(변경)집계표'!E105</f>
        <v>#REF!</v>
      </c>
      <c r="V42" s="352" t="e">
        <f>'(변경)집계표'!G105</f>
        <v>#REF!</v>
      </c>
      <c r="W42" s="354">
        <f>'(당초)집계표'!E135</f>
        <v>1</v>
      </c>
      <c r="X42" s="140">
        <f>'(당초)집계표'!G135</f>
        <v>546</v>
      </c>
      <c r="Y42" s="356" t="e">
        <f>'(변경)집계표'!E135</f>
        <v>#REF!</v>
      </c>
      <c r="Z42" s="352" t="e">
        <f>'(변경)집계표'!G135</f>
        <v>#REF!</v>
      </c>
      <c r="AA42" s="128"/>
    </row>
    <row r="43" spans="1:27" s="6" customFormat="1" ht="22.5" customHeight="1">
      <c r="A43" s="127" t="s">
        <v>16</v>
      </c>
      <c r="B43" s="394">
        <f t="shared" si="36"/>
        <v>0</v>
      </c>
      <c r="C43" s="395">
        <f t="shared" si="37"/>
        <v>0</v>
      </c>
      <c r="D43" s="396" t="e">
        <f t="shared" si="40"/>
        <v>#REF!</v>
      </c>
      <c r="E43" s="397" t="e">
        <f t="shared" si="41"/>
        <v>#REF!</v>
      </c>
      <c r="F43" s="405" t="e">
        <f t="shared" si="39"/>
        <v>#REF!</v>
      </c>
      <c r="G43" s="354">
        <f>'(당초)집계표'!E16</f>
        <v>0</v>
      </c>
      <c r="H43" s="179">
        <f>'(당초)집계표'!G16</f>
        <v>0</v>
      </c>
      <c r="I43" s="356" t="e">
        <f>'(변경)집계표'!E16</f>
        <v>#REF!</v>
      </c>
      <c r="J43" s="352" t="e">
        <f>'(변경)집계표'!G16</f>
        <v>#REF!</v>
      </c>
      <c r="K43" s="354">
        <f>'(당초)집계표'!E46</f>
        <v>0</v>
      </c>
      <c r="L43" s="179">
        <f>'(당초)집계표'!G46</f>
        <v>0</v>
      </c>
      <c r="M43" s="356" t="e">
        <f>'(변경)집계표'!E46</f>
        <v>#REF!</v>
      </c>
      <c r="N43" s="352" t="e">
        <f>'(변경)집계표'!G46</f>
        <v>#REF!</v>
      </c>
      <c r="O43" s="354">
        <f>'(당초)집계표'!E76</f>
        <v>0</v>
      </c>
      <c r="P43" s="179">
        <f>'(당초)집계표'!G76</f>
        <v>0</v>
      </c>
      <c r="Q43" s="356" t="e">
        <f>'(변경)집계표'!E76</f>
        <v>#REF!</v>
      </c>
      <c r="R43" s="352" t="e">
        <f>'(변경)집계표'!G76</f>
        <v>#REF!</v>
      </c>
      <c r="S43" s="354">
        <f>'(당초)집계표'!E106</f>
        <v>0</v>
      </c>
      <c r="T43" s="179">
        <f>'(당초)집계표'!G106</f>
        <v>0</v>
      </c>
      <c r="U43" s="356" t="e">
        <f>'(변경)집계표'!E106</f>
        <v>#REF!</v>
      </c>
      <c r="V43" s="352" t="e">
        <f>'(변경)집계표'!G106</f>
        <v>#REF!</v>
      </c>
      <c r="W43" s="354">
        <f>'(당초)집계표'!E136</f>
        <v>0</v>
      </c>
      <c r="X43" s="140">
        <f>'(당초)집계표'!G136</f>
        <v>0</v>
      </c>
      <c r="Y43" s="356" t="e">
        <f>'(변경)집계표'!E136</f>
        <v>#REF!</v>
      </c>
      <c r="Z43" s="352" t="e">
        <f>'(변경)집계표'!G136</f>
        <v>#REF!</v>
      </c>
      <c r="AA43" s="128"/>
    </row>
    <row r="44" spans="1:27" s="6" customFormat="1" ht="22.5" customHeight="1">
      <c r="A44" s="127" t="s">
        <v>17</v>
      </c>
      <c r="B44" s="394">
        <f t="shared" si="36"/>
        <v>0</v>
      </c>
      <c r="C44" s="395">
        <f t="shared" si="37"/>
        <v>0</v>
      </c>
      <c r="D44" s="396" t="e">
        <f t="shared" si="40"/>
        <v>#REF!</v>
      </c>
      <c r="E44" s="397" t="e">
        <f t="shared" si="41"/>
        <v>#REF!</v>
      </c>
      <c r="F44" s="405" t="e">
        <f t="shared" si="39"/>
        <v>#REF!</v>
      </c>
      <c r="G44" s="354">
        <f>'(당초)집계표'!E17</f>
        <v>0</v>
      </c>
      <c r="H44" s="179">
        <f>'(당초)집계표'!G17</f>
        <v>0</v>
      </c>
      <c r="I44" s="356" t="e">
        <f>'(변경)집계표'!E17</f>
        <v>#REF!</v>
      </c>
      <c r="J44" s="352" t="e">
        <f>'(변경)집계표'!G17</f>
        <v>#REF!</v>
      </c>
      <c r="K44" s="354">
        <f>'(당초)집계표'!E47</f>
        <v>0</v>
      </c>
      <c r="L44" s="179">
        <f>'(당초)집계표'!G47</f>
        <v>0</v>
      </c>
      <c r="M44" s="356" t="e">
        <f>'(변경)집계표'!E47</f>
        <v>#REF!</v>
      </c>
      <c r="N44" s="352" t="e">
        <f>'(변경)집계표'!G47</f>
        <v>#REF!</v>
      </c>
      <c r="O44" s="354">
        <f>'(당초)집계표'!E77</f>
        <v>0</v>
      </c>
      <c r="P44" s="179">
        <f>'(당초)집계표'!G77</f>
        <v>0</v>
      </c>
      <c r="Q44" s="356" t="e">
        <f>'(변경)집계표'!E77</f>
        <v>#REF!</v>
      </c>
      <c r="R44" s="352" t="e">
        <f>'(변경)집계표'!G77</f>
        <v>#REF!</v>
      </c>
      <c r="S44" s="354">
        <f>'(당초)집계표'!E107</f>
        <v>0</v>
      </c>
      <c r="T44" s="179">
        <f>'(당초)집계표'!G107</f>
        <v>0</v>
      </c>
      <c r="U44" s="356" t="e">
        <f>'(변경)집계표'!E107</f>
        <v>#REF!</v>
      </c>
      <c r="V44" s="352" t="e">
        <f>'(변경)집계표'!G107</f>
        <v>#REF!</v>
      </c>
      <c r="W44" s="354">
        <f>'(당초)집계표'!E137</f>
        <v>0</v>
      </c>
      <c r="X44" s="140">
        <f>'(당초)집계표'!G137</f>
        <v>0</v>
      </c>
      <c r="Y44" s="356" t="e">
        <f>'(변경)집계표'!E137</f>
        <v>#REF!</v>
      </c>
      <c r="Z44" s="352" t="e">
        <f>'(변경)집계표'!G137</f>
        <v>#REF!</v>
      </c>
      <c r="AA44" s="128"/>
    </row>
    <row r="45" spans="1:27" s="6" customFormat="1" ht="22.5" customHeight="1">
      <c r="A45" s="127" t="s">
        <v>18</v>
      </c>
      <c r="B45" s="394">
        <f t="shared" si="36"/>
        <v>0</v>
      </c>
      <c r="C45" s="395">
        <f t="shared" si="37"/>
        <v>0</v>
      </c>
      <c r="D45" s="396" t="e">
        <f t="shared" si="40"/>
        <v>#REF!</v>
      </c>
      <c r="E45" s="397" t="e">
        <f t="shared" si="41"/>
        <v>#REF!</v>
      </c>
      <c r="F45" s="405" t="e">
        <f t="shared" si="39"/>
        <v>#REF!</v>
      </c>
      <c r="G45" s="354">
        <f>'(당초)집계표'!E18</f>
        <v>0</v>
      </c>
      <c r="H45" s="179">
        <f>'(당초)집계표'!G18</f>
        <v>0</v>
      </c>
      <c r="I45" s="356" t="e">
        <f>'(변경)집계표'!E18</f>
        <v>#REF!</v>
      </c>
      <c r="J45" s="352" t="e">
        <f>'(변경)집계표'!G18</f>
        <v>#REF!</v>
      </c>
      <c r="K45" s="354">
        <f>'(당초)집계표'!E48</f>
        <v>0</v>
      </c>
      <c r="L45" s="179">
        <f>'(당초)집계표'!G48</f>
        <v>0</v>
      </c>
      <c r="M45" s="356" t="e">
        <f>'(변경)집계표'!E48</f>
        <v>#REF!</v>
      </c>
      <c r="N45" s="352" t="e">
        <f>'(변경)집계표'!G48</f>
        <v>#REF!</v>
      </c>
      <c r="O45" s="354">
        <f>'(당초)집계표'!E78</f>
        <v>0</v>
      </c>
      <c r="P45" s="179">
        <f>'(당초)집계표'!G78</f>
        <v>0</v>
      </c>
      <c r="Q45" s="356" t="e">
        <f>'(변경)집계표'!E78</f>
        <v>#REF!</v>
      </c>
      <c r="R45" s="352" t="e">
        <f>'(변경)집계표'!G78</f>
        <v>#REF!</v>
      </c>
      <c r="S45" s="354">
        <f>'(당초)집계표'!E108</f>
        <v>0</v>
      </c>
      <c r="T45" s="179">
        <f>'(당초)집계표'!G108</f>
        <v>0</v>
      </c>
      <c r="U45" s="356" t="e">
        <f>'(변경)집계표'!E108</f>
        <v>#REF!</v>
      </c>
      <c r="V45" s="352" t="e">
        <f>'(변경)집계표'!G108</f>
        <v>#REF!</v>
      </c>
      <c r="W45" s="354">
        <f>'(당초)집계표'!E138</f>
        <v>0</v>
      </c>
      <c r="X45" s="140">
        <f>'(당초)집계표'!G138</f>
        <v>0</v>
      </c>
      <c r="Y45" s="356" t="e">
        <f>'(변경)집계표'!E138</f>
        <v>#REF!</v>
      </c>
      <c r="Z45" s="352" t="e">
        <f>'(변경)집계표'!G138</f>
        <v>#REF!</v>
      </c>
      <c r="AA45" s="128"/>
    </row>
    <row r="46" spans="1:27" s="6" customFormat="1" ht="22.5" customHeight="1">
      <c r="A46" s="127" t="s">
        <v>19</v>
      </c>
      <c r="B46" s="394">
        <f t="shared" si="36"/>
        <v>0</v>
      </c>
      <c r="C46" s="395">
        <f t="shared" si="37"/>
        <v>0</v>
      </c>
      <c r="D46" s="396" t="e">
        <f t="shared" si="40"/>
        <v>#REF!</v>
      </c>
      <c r="E46" s="397" t="e">
        <f t="shared" si="41"/>
        <v>#REF!</v>
      </c>
      <c r="F46" s="405" t="e">
        <f t="shared" si="39"/>
        <v>#REF!</v>
      </c>
      <c r="G46" s="354">
        <f>'(당초)집계표'!E19</f>
        <v>0</v>
      </c>
      <c r="H46" s="179">
        <f>'(당초)집계표'!G19</f>
        <v>0</v>
      </c>
      <c r="I46" s="356" t="e">
        <f>'(변경)집계표'!E19</f>
        <v>#REF!</v>
      </c>
      <c r="J46" s="352" t="e">
        <f>'(변경)집계표'!G19</f>
        <v>#REF!</v>
      </c>
      <c r="K46" s="354">
        <f>'(당초)집계표'!E49</f>
        <v>0</v>
      </c>
      <c r="L46" s="179">
        <f>'(당초)집계표'!G49</f>
        <v>0</v>
      </c>
      <c r="M46" s="356" t="e">
        <f>'(변경)집계표'!E49</f>
        <v>#REF!</v>
      </c>
      <c r="N46" s="352" t="e">
        <f>'(변경)집계표'!G49</f>
        <v>#REF!</v>
      </c>
      <c r="O46" s="354">
        <f>'(당초)집계표'!E79</f>
        <v>0</v>
      </c>
      <c r="P46" s="179">
        <f>'(당초)집계표'!G79</f>
        <v>0</v>
      </c>
      <c r="Q46" s="356" t="e">
        <f>'(변경)집계표'!E79</f>
        <v>#REF!</v>
      </c>
      <c r="R46" s="352" t="e">
        <f>'(변경)집계표'!G79</f>
        <v>#REF!</v>
      </c>
      <c r="S46" s="354">
        <f>'(당초)집계표'!E109</f>
        <v>0</v>
      </c>
      <c r="T46" s="179">
        <f>'(당초)집계표'!G109</f>
        <v>0</v>
      </c>
      <c r="U46" s="356" t="e">
        <f>'(변경)집계표'!E109</f>
        <v>#REF!</v>
      </c>
      <c r="V46" s="352" t="e">
        <f>'(변경)집계표'!G109</f>
        <v>#REF!</v>
      </c>
      <c r="W46" s="354">
        <f>'(당초)집계표'!E139</f>
        <v>0</v>
      </c>
      <c r="X46" s="140">
        <f>'(당초)집계표'!G139</f>
        <v>0</v>
      </c>
      <c r="Y46" s="356" t="e">
        <f>'(변경)집계표'!E139</f>
        <v>#REF!</v>
      </c>
      <c r="Z46" s="352" t="e">
        <f>'(변경)집계표'!G139</f>
        <v>#REF!</v>
      </c>
      <c r="AA46" s="128"/>
    </row>
    <row r="47" spans="1:27" s="6" customFormat="1" ht="22.5" customHeight="1">
      <c r="A47" s="127" t="s">
        <v>20</v>
      </c>
      <c r="B47" s="394">
        <f t="shared" si="36"/>
        <v>0</v>
      </c>
      <c r="C47" s="395">
        <f t="shared" si="37"/>
        <v>0</v>
      </c>
      <c r="D47" s="396" t="e">
        <f t="shared" si="40"/>
        <v>#REF!</v>
      </c>
      <c r="E47" s="397" t="e">
        <f t="shared" si="41"/>
        <v>#REF!</v>
      </c>
      <c r="F47" s="405" t="e">
        <f t="shared" si="39"/>
        <v>#REF!</v>
      </c>
      <c r="G47" s="354">
        <f>'(당초)집계표'!E20</f>
        <v>0</v>
      </c>
      <c r="H47" s="179">
        <f>'(당초)집계표'!G20</f>
        <v>0</v>
      </c>
      <c r="I47" s="356" t="e">
        <f>'(변경)집계표'!E20</f>
        <v>#REF!</v>
      </c>
      <c r="J47" s="352" t="e">
        <f>'(변경)집계표'!G20</f>
        <v>#REF!</v>
      </c>
      <c r="K47" s="354">
        <f>'(당초)집계표'!E50</f>
        <v>0</v>
      </c>
      <c r="L47" s="179">
        <f>'(당초)집계표'!G50</f>
        <v>0</v>
      </c>
      <c r="M47" s="356" t="e">
        <f>'(변경)집계표'!E50</f>
        <v>#REF!</v>
      </c>
      <c r="N47" s="352" t="e">
        <f>'(변경)집계표'!G50</f>
        <v>#REF!</v>
      </c>
      <c r="O47" s="354">
        <f>'(당초)집계표'!E80</f>
        <v>0</v>
      </c>
      <c r="P47" s="179">
        <f>'(당초)집계표'!G80</f>
        <v>0</v>
      </c>
      <c r="Q47" s="356" t="e">
        <f>'(변경)집계표'!E80</f>
        <v>#REF!</v>
      </c>
      <c r="R47" s="352" t="e">
        <f>'(변경)집계표'!G80</f>
        <v>#REF!</v>
      </c>
      <c r="S47" s="354">
        <f>'(당초)집계표'!E110</f>
        <v>0</v>
      </c>
      <c r="T47" s="179">
        <f>'(당초)집계표'!G110</f>
        <v>0</v>
      </c>
      <c r="U47" s="356" t="e">
        <f>'(변경)집계표'!E110</f>
        <v>#REF!</v>
      </c>
      <c r="V47" s="352" t="e">
        <f>'(변경)집계표'!G110</f>
        <v>#REF!</v>
      </c>
      <c r="W47" s="354">
        <f>'(당초)집계표'!E140</f>
        <v>0</v>
      </c>
      <c r="X47" s="140">
        <f>'(당초)집계표'!G140</f>
        <v>0</v>
      </c>
      <c r="Y47" s="356" t="e">
        <f>'(변경)집계표'!E140</f>
        <v>#REF!</v>
      </c>
      <c r="Z47" s="352" t="e">
        <f>'(변경)집계표'!G140</f>
        <v>#REF!</v>
      </c>
      <c r="AA47" s="128"/>
    </row>
    <row r="48" spans="1:27" s="6" customFormat="1" ht="22.5" customHeight="1">
      <c r="A48" s="127" t="s">
        <v>21</v>
      </c>
      <c r="B48" s="394">
        <f t="shared" si="36"/>
        <v>0</v>
      </c>
      <c r="C48" s="395">
        <f t="shared" si="37"/>
        <v>0</v>
      </c>
      <c r="D48" s="396" t="e">
        <f t="shared" si="40"/>
        <v>#REF!</v>
      </c>
      <c r="E48" s="397" t="e">
        <f t="shared" si="41"/>
        <v>#REF!</v>
      </c>
      <c r="F48" s="405" t="e">
        <f t="shared" si="39"/>
        <v>#REF!</v>
      </c>
      <c r="G48" s="354">
        <f>'(당초)집계표'!E21</f>
        <v>0</v>
      </c>
      <c r="H48" s="179">
        <f>'(당초)집계표'!G21</f>
        <v>0</v>
      </c>
      <c r="I48" s="356" t="e">
        <f>'(변경)집계표'!E21</f>
        <v>#REF!</v>
      </c>
      <c r="J48" s="352" t="e">
        <f>'(변경)집계표'!G21</f>
        <v>#REF!</v>
      </c>
      <c r="K48" s="354">
        <f>'(당초)집계표'!E51</f>
        <v>0</v>
      </c>
      <c r="L48" s="179">
        <f>'(당초)집계표'!G51</f>
        <v>0</v>
      </c>
      <c r="M48" s="356" t="e">
        <f>'(변경)집계표'!E51</f>
        <v>#REF!</v>
      </c>
      <c r="N48" s="352" t="e">
        <f>'(변경)집계표'!G51</f>
        <v>#REF!</v>
      </c>
      <c r="O48" s="354">
        <f>'(당초)집계표'!E81</f>
        <v>0</v>
      </c>
      <c r="P48" s="179">
        <f>'(당초)집계표'!G81</f>
        <v>0</v>
      </c>
      <c r="Q48" s="356" t="e">
        <f>'(변경)집계표'!E81</f>
        <v>#REF!</v>
      </c>
      <c r="R48" s="352" t="e">
        <f>'(변경)집계표'!G81</f>
        <v>#REF!</v>
      </c>
      <c r="S48" s="354">
        <f>'(당초)집계표'!E111</f>
        <v>0</v>
      </c>
      <c r="T48" s="179">
        <f>'(당초)집계표'!G111</f>
        <v>0</v>
      </c>
      <c r="U48" s="356" t="e">
        <f>'(변경)집계표'!E111</f>
        <v>#REF!</v>
      </c>
      <c r="V48" s="352" t="e">
        <f>'(변경)집계표'!G111</f>
        <v>#REF!</v>
      </c>
      <c r="W48" s="354">
        <f>'(당초)집계표'!E141</f>
        <v>0</v>
      </c>
      <c r="X48" s="140">
        <f>'(당초)집계표'!G141</f>
        <v>0</v>
      </c>
      <c r="Y48" s="356" t="e">
        <f>'(변경)집계표'!E141</f>
        <v>#REF!</v>
      </c>
      <c r="Z48" s="352" t="e">
        <f>'(변경)집계표'!G141</f>
        <v>#REF!</v>
      </c>
      <c r="AA48" s="128"/>
    </row>
    <row r="49" spans="1:28" s="6" customFormat="1" ht="22.5" customHeight="1">
      <c r="A49" s="127" t="s">
        <v>22</v>
      </c>
      <c r="B49" s="394">
        <f t="shared" si="36"/>
        <v>0</v>
      </c>
      <c r="C49" s="395">
        <f t="shared" si="37"/>
        <v>0</v>
      </c>
      <c r="D49" s="396" t="e">
        <f t="shared" si="40"/>
        <v>#REF!</v>
      </c>
      <c r="E49" s="397" t="e">
        <f t="shared" si="41"/>
        <v>#REF!</v>
      </c>
      <c r="F49" s="405" t="e">
        <f t="shared" si="39"/>
        <v>#REF!</v>
      </c>
      <c r="G49" s="354">
        <f>'(당초)집계표'!E22</f>
        <v>0</v>
      </c>
      <c r="H49" s="179">
        <f>'(당초)집계표'!G22</f>
        <v>0</v>
      </c>
      <c r="I49" s="356" t="e">
        <f>'(변경)집계표'!E22</f>
        <v>#REF!</v>
      </c>
      <c r="J49" s="352" t="e">
        <f>'(변경)집계표'!G22</f>
        <v>#REF!</v>
      </c>
      <c r="K49" s="354">
        <f>'(당초)집계표'!E52</f>
        <v>0</v>
      </c>
      <c r="L49" s="179">
        <f>'(당초)집계표'!G52</f>
        <v>0</v>
      </c>
      <c r="M49" s="356" t="e">
        <f>'(변경)집계표'!E52</f>
        <v>#REF!</v>
      </c>
      <c r="N49" s="352" t="e">
        <f>'(변경)집계표'!G52</f>
        <v>#REF!</v>
      </c>
      <c r="O49" s="354">
        <f>'(당초)집계표'!E82</f>
        <v>0</v>
      </c>
      <c r="P49" s="179">
        <f>'(당초)집계표'!G82</f>
        <v>0</v>
      </c>
      <c r="Q49" s="356" t="e">
        <f>'(변경)집계표'!E82</f>
        <v>#REF!</v>
      </c>
      <c r="R49" s="352" t="e">
        <f>'(변경)집계표'!G82</f>
        <v>#REF!</v>
      </c>
      <c r="S49" s="354">
        <f>'(당초)집계표'!E112</f>
        <v>0</v>
      </c>
      <c r="T49" s="179">
        <f>'(당초)집계표'!G112</f>
        <v>0</v>
      </c>
      <c r="U49" s="356" t="e">
        <f>'(변경)집계표'!E112</f>
        <v>#REF!</v>
      </c>
      <c r="V49" s="352" t="e">
        <f>'(변경)집계표'!G112</f>
        <v>#REF!</v>
      </c>
      <c r="W49" s="354">
        <f>'(당초)집계표'!E142</f>
        <v>0</v>
      </c>
      <c r="X49" s="140">
        <f>'(당초)집계표'!G142</f>
        <v>0</v>
      </c>
      <c r="Y49" s="356" t="e">
        <f>'(변경)집계표'!E142</f>
        <v>#REF!</v>
      </c>
      <c r="Z49" s="352" t="e">
        <f>'(변경)집계표'!G142</f>
        <v>#REF!</v>
      </c>
      <c r="AA49" s="128"/>
    </row>
    <row r="50" spans="1:28" s="6" customFormat="1" ht="22.5" customHeight="1">
      <c r="A50" s="127" t="s">
        <v>23</v>
      </c>
      <c r="B50" s="394">
        <f t="shared" si="36"/>
        <v>0</v>
      </c>
      <c r="C50" s="395">
        <f t="shared" si="37"/>
        <v>0</v>
      </c>
      <c r="D50" s="396" t="e">
        <f t="shared" si="40"/>
        <v>#REF!</v>
      </c>
      <c r="E50" s="397" t="e">
        <f t="shared" si="41"/>
        <v>#REF!</v>
      </c>
      <c r="F50" s="405" t="e">
        <f t="shared" si="39"/>
        <v>#REF!</v>
      </c>
      <c r="G50" s="354">
        <f>'(당초)집계표'!E23</f>
        <v>0</v>
      </c>
      <c r="H50" s="179">
        <f>'(당초)집계표'!G23</f>
        <v>0</v>
      </c>
      <c r="I50" s="356" t="e">
        <f>'(변경)집계표'!E23</f>
        <v>#REF!</v>
      </c>
      <c r="J50" s="352" t="e">
        <f>'(변경)집계표'!G23</f>
        <v>#REF!</v>
      </c>
      <c r="K50" s="354">
        <f>'(당초)집계표'!E53</f>
        <v>0</v>
      </c>
      <c r="L50" s="179">
        <f>'(당초)집계표'!G53</f>
        <v>0</v>
      </c>
      <c r="M50" s="356" t="e">
        <f>'(변경)집계표'!E53</f>
        <v>#REF!</v>
      </c>
      <c r="N50" s="352" t="e">
        <f>'(변경)집계표'!G53</f>
        <v>#REF!</v>
      </c>
      <c r="O50" s="354">
        <f>'(당초)집계표'!E83</f>
        <v>0</v>
      </c>
      <c r="P50" s="179">
        <f>'(당초)집계표'!G83</f>
        <v>0</v>
      </c>
      <c r="Q50" s="356" t="e">
        <f>'(변경)집계표'!E83</f>
        <v>#REF!</v>
      </c>
      <c r="R50" s="352" t="e">
        <f>'(변경)집계표'!G83</f>
        <v>#REF!</v>
      </c>
      <c r="S50" s="354">
        <f>'(당초)집계표'!E113</f>
        <v>0</v>
      </c>
      <c r="T50" s="179">
        <f>'(당초)집계표'!G113</f>
        <v>0</v>
      </c>
      <c r="U50" s="356" t="e">
        <f>'(변경)집계표'!E113</f>
        <v>#REF!</v>
      </c>
      <c r="V50" s="352" t="e">
        <f>'(변경)집계표'!G113</f>
        <v>#REF!</v>
      </c>
      <c r="W50" s="354">
        <f>'(당초)집계표'!E143</f>
        <v>0</v>
      </c>
      <c r="X50" s="140">
        <f>'(당초)집계표'!G143</f>
        <v>0</v>
      </c>
      <c r="Y50" s="356" t="e">
        <f>'(변경)집계표'!E143</f>
        <v>#REF!</v>
      </c>
      <c r="Z50" s="352" t="e">
        <f>'(변경)집계표'!G143</f>
        <v>#REF!</v>
      </c>
      <c r="AA50" s="128"/>
    </row>
    <row r="51" spans="1:28" s="6" customFormat="1" ht="22.5" customHeight="1">
      <c r="A51" s="129" t="s">
        <v>24</v>
      </c>
      <c r="B51" s="394">
        <f t="shared" si="36"/>
        <v>0</v>
      </c>
      <c r="C51" s="395">
        <f t="shared" si="37"/>
        <v>0</v>
      </c>
      <c r="D51" s="396" t="e">
        <f t="shared" si="40"/>
        <v>#REF!</v>
      </c>
      <c r="E51" s="397" t="e">
        <f t="shared" si="41"/>
        <v>#REF!</v>
      </c>
      <c r="F51" s="405" t="e">
        <f t="shared" si="39"/>
        <v>#REF!</v>
      </c>
      <c r="G51" s="354">
        <f>'(당초)집계표'!E24</f>
        <v>0</v>
      </c>
      <c r="H51" s="179">
        <f>'(당초)집계표'!G24</f>
        <v>0</v>
      </c>
      <c r="I51" s="356" t="e">
        <f>'(변경)집계표'!E24</f>
        <v>#REF!</v>
      </c>
      <c r="J51" s="352" t="e">
        <f>'(변경)집계표'!G24</f>
        <v>#REF!</v>
      </c>
      <c r="K51" s="354">
        <f>'(당초)집계표'!E54</f>
        <v>0</v>
      </c>
      <c r="L51" s="179">
        <f>'(당초)집계표'!G54</f>
        <v>0</v>
      </c>
      <c r="M51" s="356" t="e">
        <f>'(변경)집계표'!E54</f>
        <v>#REF!</v>
      </c>
      <c r="N51" s="352" t="e">
        <f>'(변경)집계표'!G54</f>
        <v>#REF!</v>
      </c>
      <c r="O51" s="354">
        <f>'(당초)집계표'!E84</f>
        <v>0</v>
      </c>
      <c r="P51" s="179">
        <f>'(당초)집계표'!G84</f>
        <v>0</v>
      </c>
      <c r="Q51" s="356" t="e">
        <f>'(변경)집계표'!E84</f>
        <v>#REF!</v>
      </c>
      <c r="R51" s="352" t="e">
        <f>'(변경)집계표'!G84</f>
        <v>#REF!</v>
      </c>
      <c r="S51" s="354">
        <f>'(당초)집계표'!E114</f>
        <v>0</v>
      </c>
      <c r="T51" s="179">
        <f>'(당초)집계표'!G114</f>
        <v>0</v>
      </c>
      <c r="U51" s="356" t="e">
        <f>'(변경)집계표'!E114</f>
        <v>#REF!</v>
      </c>
      <c r="V51" s="352" t="e">
        <f>'(변경)집계표'!G114</f>
        <v>#REF!</v>
      </c>
      <c r="W51" s="354">
        <f>'(당초)집계표'!E144</f>
        <v>0</v>
      </c>
      <c r="X51" s="140">
        <f>'(당초)집계표'!G144</f>
        <v>0</v>
      </c>
      <c r="Y51" s="356" t="e">
        <f>'(변경)집계표'!E144</f>
        <v>#REF!</v>
      </c>
      <c r="Z51" s="352" t="e">
        <f>'(변경)집계표'!G144</f>
        <v>#REF!</v>
      </c>
      <c r="AA51" s="128"/>
    </row>
    <row r="52" spans="1:28" s="6" customFormat="1" ht="22.5" customHeight="1">
      <c r="A52" s="129" t="s">
        <v>25</v>
      </c>
      <c r="B52" s="394">
        <f t="shared" si="36"/>
        <v>0</v>
      </c>
      <c r="C52" s="395">
        <f t="shared" si="37"/>
        <v>0</v>
      </c>
      <c r="D52" s="396" t="e">
        <f t="shared" si="40"/>
        <v>#REF!</v>
      </c>
      <c r="E52" s="397" t="e">
        <f t="shared" si="41"/>
        <v>#REF!</v>
      </c>
      <c r="F52" s="405" t="e">
        <f t="shared" si="39"/>
        <v>#REF!</v>
      </c>
      <c r="G52" s="354">
        <f>'(당초)집계표'!E25</f>
        <v>0</v>
      </c>
      <c r="H52" s="179">
        <f>'(당초)집계표'!G25</f>
        <v>0</v>
      </c>
      <c r="I52" s="356" t="e">
        <f>'(변경)집계표'!E25</f>
        <v>#REF!</v>
      </c>
      <c r="J52" s="352" t="e">
        <f>'(변경)집계표'!G25</f>
        <v>#REF!</v>
      </c>
      <c r="K52" s="354">
        <f>'(당초)집계표'!E55</f>
        <v>0</v>
      </c>
      <c r="L52" s="179">
        <f>'(당초)집계표'!G55</f>
        <v>0</v>
      </c>
      <c r="M52" s="356" t="e">
        <f>'(변경)집계표'!E55</f>
        <v>#REF!</v>
      </c>
      <c r="N52" s="352" t="e">
        <f>'(변경)집계표'!G55</f>
        <v>#REF!</v>
      </c>
      <c r="O52" s="354">
        <f>'(당초)집계표'!E85</f>
        <v>0</v>
      </c>
      <c r="P52" s="179">
        <f>'(당초)집계표'!G85</f>
        <v>0</v>
      </c>
      <c r="Q52" s="356" t="e">
        <f>'(변경)집계표'!E85</f>
        <v>#REF!</v>
      </c>
      <c r="R52" s="352" t="e">
        <f>'(변경)집계표'!G85</f>
        <v>#REF!</v>
      </c>
      <c r="S52" s="354">
        <f>'(당초)집계표'!E115</f>
        <v>0</v>
      </c>
      <c r="T52" s="179">
        <f>'(당초)집계표'!G115</f>
        <v>0</v>
      </c>
      <c r="U52" s="356" t="e">
        <f>'(변경)집계표'!E115</f>
        <v>#REF!</v>
      </c>
      <c r="V52" s="352" t="e">
        <f>'(변경)집계표'!G115</f>
        <v>#REF!</v>
      </c>
      <c r="W52" s="354">
        <f>'(당초)집계표'!E145</f>
        <v>0</v>
      </c>
      <c r="X52" s="140">
        <f>'(당초)집계표'!G145</f>
        <v>0</v>
      </c>
      <c r="Y52" s="356" t="e">
        <f>'(변경)집계표'!E145</f>
        <v>#REF!</v>
      </c>
      <c r="Z52" s="352" t="e">
        <f>'(변경)집계표'!G145</f>
        <v>#REF!</v>
      </c>
      <c r="AA52" s="128"/>
    </row>
    <row r="53" spans="1:28" s="6" customFormat="1" ht="22.5" customHeight="1">
      <c r="A53" s="129" t="s">
        <v>26</v>
      </c>
      <c r="B53" s="394">
        <f t="shared" si="36"/>
        <v>0</v>
      </c>
      <c r="C53" s="395">
        <f t="shared" si="37"/>
        <v>0</v>
      </c>
      <c r="D53" s="396" t="e">
        <f t="shared" si="40"/>
        <v>#REF!</v>
      </c>
      <c r="E53" s="397" t="e">
        <f t="shared" si="41"/>
        <v>#REF!</v>
      </c>
      <c r="F53" s="405" t="e">
        <f t="shared" si="39"/>
        <v>#REF!</v>
      </c>
      <c r="G53" s="354">
        <f>'(당초)집계표'!E26</f>
        <v>0</v>
      </c>
      <c r="H53" s="179">
        <f>'(당초)집계표'!G26</f>
        <v>0</v>
      </c>
      <c r="I53" s="356" t="e">
        <f>'(변경)집계표'!E26</f>
        <v>#REF!</v>
      </c>
      <c r="J53" s="352" t="e">
        <f>'(변경)집계표'!G26</f>
        <v>#REF!</v>
      </c>
      <c r="K53" s="354">
        <f>'(당초)집계표'!E56</f>
        <v>0</v>
      </c>
      <c r="L53" s="179">
        <f>'(당초)집계표'!G56</f>
        <v>0</v>
      </c>
      <c r="M53" s="356" t="e">
        <f>'(변경)집계표'!E56</f>
        <v>#REF!</v>
      </c>
      <c r="N53" s="352" t="e">
        <f>'(변경)집계표'!G56</f>
        <v>#REF!</v>
      </c>
      <c r="O53" s="354">
        <f>'(당초)집계표'!E86</f>
        <v>0</v>
      </c>
      <c r="P53" s="179">
        <f>'(당초)집계표'!G86</f>
        <v>0</v>
      </c>
      <c r="Q53" s="356" t="e">
        <f>'(변경)집계표'!E86</f>
        <v>#REF!</v>
      </c>
      <c r="R53" s="352" t="e">
        <f>'(변경)집계표'!G86</f>
        <v>#REF!</v>
      </c>
      <c r="S53" s="354">
        <f>'(당초)집계표'!E116</f>
        <v>0</v>
      </c>
      <c r="T53" s="179">
        <f>'(당초)집계표'!G116</f>
        <v>0</v>
      </c>
      <c r="U53" s="356" t="e">
        <f>'(변경)집계표'!E116</f>
        <v>#REF!</v>
      </c>
      <c r="V53" s="352" t="e">
        <f>'(변경)집계표'!G116</f>
        <v>#REF!</v>
      </c>
      <c r="W53" s="354">
        <f>'(당초)집계표'!E146</f>
        <v>0</v>
      </c>
      <c r="X53" s="140">
        <f>'(당초)집계표'!G146</f>
        <v>0</v>
      </c>
      <c r="Y53" s="356" t="e">
        <f>'(변경)집계표'!E146</f>
        <v>#REF!</v>
      </c>
      <c r="Z53" s="352" t="e">
        <f>'(변경)집계표'!G146</f>
        <v>#REF!</v>
      </c>
      <c r="AA53" s="128"/>
    </row>
    <row r="54" spans="1:28" s="6" customFormat="1" ht="22.5" customHeight="1">
      <c r="A54" s="129" t="s">
        <v>27</v>
      </c>
      <c r="B54" s="394">
        <f t="shared" si="36"/>
        <v>0</v>
      </c>
      <c r="C54" s="395">
        <f t="shared" si="37"/>
        <v>0</v>
      </c>
      <c r="D54" s="396" t="e">
        <f t="shared" si="40"/>
        <v>#REF!</v>
      </c>
      <c r="E54" s="397" t="e">
        <f t="shared" si="41"/>
        <v>#REF!</v>
      </c>
      <c r="F54" s="405" t="e">
        <f t="shared" si="39"/>
        <v>#REF!</v>
      </c>
      <c r="G54" s="354">
        <f>'(당초)집계표'!E27</f>
        <v>0</v>
      </c>
      <c r="H54" s="179">
        <f>'(당초)집계표'!G27</f>
        <v>0</v>
      </c>
      <c r="I54" s="356" t="e">
        <f>'(변경)집계표'!E27</f>
        <v>#REF!</v>
      </c>
      <c r="J54" s="352" t="e">
        <f>'(변경)집계표'!G27</f>
        <v>#REF!</v>
      </c>
      <c r="K54" s="354">
        <f>'(당초)집계표'!E57</f>
        <v>0</v>
      </c>
      <c r="L54" s="179">
        <f>'(당초)집계표'!G57</f>
        <v>0</v>
      </c>
      <c r="M54" s="356" t="e">
        <f>'(변경)집계표'!E57</f>
        <v>#REF!</v>
      </c>
      <c r="N54" s="352" t="e">
        <f>'(변경)집계표'!G57</f>
        <v>#REF!</v>
      </c>
      <c r="O54" s="354">
        <f>'(당초)집계표'!E87</f>
        <v>0</v>
      </c>
      <c r="P54" s="179">
        <f>'(당초)집계표'!G87</f>
        <v>0</v>
      </c>
      <c r="Q54" s="356" t="e">
        <f>'(변경)집계표'!E87</f>
        <v>#REF!</v>
      </c>
      <c r="R54" s="352" t="e">
        <f>'(변경)집계표'!G87</f>
        <v>#REF!</v>
      </c>
      <c r="S54" s="354">
        <f>'(당초)집계표'!E117</f>
        <v>0</v>
      </c>
      <c r="T54" s="179">
        <f>'(당초)집계표'!G117</f>
        <v>0</v>
      </c>
      <c r="U54" s="356" t="e">
        <f>'(변경)집계표'!E117</f>
        <v>#REF!</v>
      </c>
      <c r="V54" s="352" t="e">
        <f>'(변경)집계표'!G117</f>
        <v>#REF!</v>
      </c>
      <c r="W54" s="354">
        <f>'(당초)집계표'!E147</f>
        <v>0</v>
      </c>
      <c r="X54" s="140">
        <f>'(당초)집계표'!G147</f>
        <v>0</v>
      </c>
      <c r="Y54" s="356" t="e">
        <f>'(변경)집계표'!E147</f>
        <v>#REF!</v>
      </c>
      <c r="Z54" s="352" t="e">
        <f>'(변경)집계표'!G147</f>
        <v>#REF!</v>
      </c>
      <c r="AA54" s="128"/>
    </row>
    <row r="55" spans="1:28" s="6" customFormat="1" ht="22.5" customHeight="1">
      <c r="A55" s="129" t="s">
        <v>28</v>
      </c>
      <c r="B55" s="394">
        <f t="shared" si="36"/>
        <v>0</v>
      </c>
      <c r="C55" s="395">
        <f t="shared" si="37"/>
        <v>0</v>
      </c>
      <c r="D55" s="396" t="e">
        <f t="shared" si="40"/>
        <v>#REF!</v>
      </c>
      <c r="E55" s="397" t="e">
        <f t="shared" si="41"/>
        <v>#REF!</v>
      </c>
      <c r="F55" s="405" t="e">
        <f t="shared" si="39"/>
        <v>#REF!</v>
      </c>
      <c r="G55" s="354">
        <f>'(당초)집계표'!E28</f>
        <v>0</v>
      </c>
      <c r="H55" s="179">
        <f>'(당초)집계표'!G28</f>
        <v>0</v>
      </c>
      <c r="I55" s="356" t="e">
        <f>'(변경)집계표'!E28</f>
        <v>#REF!</v>
      </c>
      <c r="J55" s="352" t="e">
        <f>'(변경)집계표'!G28</f>
        <v>#REF!</v>
      </c>
      <c r="K55" s="354">
        <f>'(당초)집계표'!E58</f>
        <v>0</v>
      </c>
      <c r="L55" s="179">
        <f>'(당초)집계표'!G58</f>
        <v>0</v>
      </c>
      <c r="M55" s="356" t="e">
        <f>'(변경)집계표'!E58</f>
        <v>#REF!</v>
      </c>
      <c r="N55" s="352" t="e">
        <f>'(변경)집계표'!G58</f>
        <v>#REF!</v>
      </c>
      <c r="O55" s="354">
        <f>'(당초)집계표'!E88</f>
        <v>0</v>
      </c>
      <c r="P55" s="179">
        <f>'(당초)집계표'!G88</f>
        <v>0</v>
      </c>
      <c r="Q55" s="356" t="e">
        <f>'(변경)집계표'!E88</f>
        <v>#REF!</v>
      </c>
      <c r="R55" s="352" t="e">
        <f>'(변경)집계표'!G88</f>
        <v>#REF!</v>
      </c>
      <c r="S55" s="354">
        <f>'(당초)집계표'!E118</f>
        <v>0</v>
      </c>
      <c r="T55" s="179">
        <f>'(당초)집계표'!G118</f>
        <v>0</v>
      </c>
      <c r="U55" s="356" t="e">
        <f>'(변경)집계표'!E118</f>
        <v>#REF!</v>
      </c>
      <c r="V55" s="352" t="e">
        <f>'(변경)집계표'!G118</f>
        <v>#REF!</v>
      </c>
      <c r="W55" s="354">
        <f>'(당초)집계표'!E148</f>
        <v>0</v>
      </c>
      <c r="X55" s="140">
        <f>'(당초)집계표'!G148</f>
        <v>0</v>
      </c>
      <c r="Y55" s="356" t="e">
        <f>'(변경)집계표'!E148</f>
        <v>#REF!</v>
      </c>
      <c r="Z55" s="352" t="e">
        <f>'(변경)집계표'!G148</f>
        <v>#REF!</v>
      </c>
      <c r="AA55" s="128"/>
    </row>
    <row r="56" spans="1:28" s="6" customFormat="1" ht="22.5" customHeight="1">
      <c r="A56" s="129" t="s">
        <v>60</v>
      </c>
      <c r="B56" s="394">
        <f t="shared" si="36"/>
        <v>0</v>
      </c>
      <c r="C56" s="395">
        <f t="shared" si="37"/>
        <v>0</v>
      </c>
      <c r="D56" s="396" t="e">
        <f t="shared" si="40"/>
        <v>#REF!</v>
      </c>
      <c r="E56" s="397" t="e">
        <f t="shared" si="41"/>
        <v>#REF!</v>
      </c>
      <c r="F56" s="405" t="e">
        <f t="shared" si="39"/>
        <v>#REF!</v>
      </c>
      <c r="G56" s="354">
        <f>'(당초)집계표'!E29</f>
        <v>0</v>
      </c>
      <c r="H56" s="179">
        <f>'(당초)집계표'!G29</f>
        <v>0</v>
      </c>
      <c r="I56" s="356" t="e">
        <f>'(변경)집계표'!E29</f>
        <v>#REF!</v>
      </c>
      <c r="J56" s="352" t="e">
        <f>'(변경)집계표'!G29</f>
        <v>#REF!</v>
      </c>
      <c r="K56" s="354">
        <f>'(당초)집계표'!E59</f>
        <v>0</v>
      </c>
      <c r="L56" s="179">
        <f>'(당초)집계표'!G59</f>
        <v>0</v>
      </c>
      <c r="M56" s="356" t="e">
        <f>'(변경)집계표'!E59</f>
        <v>#REF!</v>
      </c>
      <c r="N56" s="352" t="e">
        <f>'(변경)집계표'!G59</f>
        <v>#REF!</v>
      </c>
      <c r="O56" s="354">
        <f>'(당초)집계표'!E89</f>
        <v>0</v>
      </c>
      <c r="P56" s="179">
        <f>'(당초)집계표'!G89</f>
        <v>0</v>
      </c>
      <c r="Q56" s="356" t="e">
        <f>'(변경)집계표'!E89</f>
        <v>#REF!</v>
      </c>
      <c r="R56" s="352" t="e">
        <f>'(변경)집계표'!G89</f>
        <v>#REF!</v>
      </c>
      <c r="S56" s="354">
        <f>'(당초)집계표'!E119</f>
        <v>0</v>
      </c>
      <c r="T56" s="179">
        <f>'(당초)집계표'!G119</f>
        <v>0</v>
      </c>
      <c r="U56" s="356" t="e">
        <f>'(변경)집계표'!E119</f>
        <v>#REF!</v>
      </c>
      <c r="V56" s="352" t="e">
        <f>'(변경)집계표'!G119</f>
        <v>#REF!</v>
      </c>
      <c r="W56" s="354">
        <f>'(당초)집계표'!E149</f>
        <v>0</v>
      </c>
      <c r="X56" s="140">
        <f>'(당초)집계표'!G149</f>
        <v>0</v>
      </c>
      <c r="Y56" s="356" t="e">
        <f>'(변경)집계표'!E149</f>
        <v>#REF!</v>
      </c>
      <c r="Z56" s="352" t="e">
        <f>'(변경)집계표'!G149</f>
        <v>#REF!</v>
      </c>
      <c r="AA56" s="128"/>
    </row>
    <row r="57" spans="1:28" s="6" customFormat="1" ht="22.5" customHeight="1">
      <c r="A57" s="129" t="s">
        <v>70</v>
      </c>
      <c r="B57" s="394">
        <f t="shared" si="36"/>
        <v>0</v>
      </c>
      <c r="C57" s="395">
        <f t="shared" si="37"/>
        <v>0</v>
      </c>
      <c r="D57" s="396" t="e">
        <f t="shared" si="40"/>
        <v>#REF!</v>
      </c>
      <c r="E57" s="397" t="e">
        <f t="shared" si="41"/>
        <v>#REF!</v>
      </c>
      <c r="F57" s="405" t="e">
        <f t="shared" si="39"/>
        <v>#REF!</v>
      </c>
      <c r="G57" s="354">
        <f>'(당초)집계표'!E30</f>
        <v>0</v>
      </c>
      <c r="H57" s="179">
        <f>'(당초)집계표'!G30</f>
        <v>0</v>
      </c>
      <c r="I57" s="356" t="e">
        <f>'(변경)집계표'!E30</f>
        <v>#REF!</v>
      </c>
      <c r="J57" s="352" t="e">
        <f>'(변경)집계표'!G30</f>
        <v>#REF!</v>
      </c>
      <c r="K57" s="354">
        <f>'(당초)집계표'!E60</f>
        <v>0</v>
      </c>
      <c r="L57" s="179">
        <f>'(당초)집계표'!G60</f>
        <v>0</v>
      </c>
      <c r="M57" s="356" t="e">
        <f>'(변경)집계표'!E60</f>
        <v>#REF!</v>
      </c>
      <c r="N57" s="352" t="e">
        <f>'(변경)집계표'!G60</f>
        <v>#REF!</v>
      </c>
      <c r="O57" s="354">
        <f>'(당초)집계표'!E90</f>
        <v>0</v>
      </c>
      <c r="P57" s="179">
        <f>'(당초)집계표'!G90</f>
        <v>0</v>
      </c>
      <c r="Q57" s="356" t="e">
        <f>'(변경)집계표'!E90</f>
        <v>#REF!</v>
      </c>
      <c r="R57" s="352" t="e">
        <f>'(변경)집계표'!G90</f>
        <v>#REF!</v>
      </c>
      <c r="S57" s="354">
        <f>'(당초)집계표'!E120</f>
        <v>0</v>
      </c>
      <c r="T57" s="179">
        <f>'(당초)집계표'!G120</f>
        <v>0</v>
      </c>
      <c r="U57" s="356" t="e">
        <f>'(변경)집계표'!E120</f>
        <v>#REF!</v>
      </c>
      <c r="V57" s="352" t="e">
        <f>'(변경)집계표'!G120</f>
        <v>#REF!</v>
      </c>
      <c r="W57" s="354">
        <f>'(당초)집계표'!E150</f>
        <v>0</v>
      </c>
      <c r="X57" s="140">
        <f>'(당초)집계표'!G150</f>
        <v>0</v>
      </c>
      <c r="Y57" s="356" t="e">
        <f>'(변경)집계표'!E150</f>
        <v>#REF!</v>
      </c>
      <c r="Z57" s="352" t="e">
        <f>'(변경)집계표'!G150</f>
        <v>#REF!</v>
      </c>
      <c r="AA57" s="128"/>
    </row>
    <row r="58" spans="1:28" s="6" customFormat="1" ht="22.5" customHeight="1" thickBot="1">
      <c r="A58" s="130" t="s">
        <v>62</v>
      </c>
      <c r="B58" s="399">
        <f t="shared" si="36"/>
        <v>5</v>
      </c>
      <c r="C58" s="400">
        <f t="shared" si="37"/>
        <v>1510</v>
      </c>
      <c r="D58" s="401" t="e">
        <f t="shared" si="40"/>
        <v>#REF!</v>
      </c>
      <c r="E58" s="402" t="e">
        <f t="shared" si="41"/>
        <v>#REF!</v>
      </c>
      <c r="F58" s="405" t="e">
        <f t="shared" si="39"/>
        <v>#REF!</v>
      </c>
      <c r="G58" s="355">
        <f>'(당초)집계표'!E31</f>
        <v>0</v>
      </c>
      <c r="H58" s="180">
        <f>'(당초)집계표'!G31</f>
        <v>0</v>
      </c>
      <c r="I58" s="355" t="e">
        <f>'(변경)집계표'!E31</f>
        <v>#REF!</v>
      </c>
      <c r="J58" s="180" t="e">
        <f>'(변경)집계표'!G31</f>
        <v>#REF!</v>
      </c>
      <c r="K58" s="355">
        <f>'(당초)집계표'!E61</f>
        <v>3</v>
      </c>
      <c r="L58" s="180">
        <f>'(당초)집계표'!G61</f>
        <v>1408</v>
      </c>
      <c r="M58" s="355" t="e">
        <f>'(변경)집계표'!E61</f>
        <v>#REF!</v>
      </c>
      <c r="N58" s="180" t="e">
        <f>'(변경)집계표'!G61</f>
        <v>#REF!</v>
      </c>
      <c r="O58" s="355">
        <f>'(당초)집계표'!E91</f>
        <v>0</v>
      </c>
      <c r="P58" s="180">
        <f>'(당초)집계표'!G91</f>
        <v>0</v>
      </c>
      <c r="Q58" s="355" t="e">
        <f>'(변경)집계표'!E91</f>
        <v>#REF!</v>
      </c>
      <c r="R58" s="180" t="e">
        <f>'(변경)집계표'!G91</f>
        <v>#REF!</v>
      </c>
      <c r="S58" s="355">
        <f>'(당초)집계표'!E121</f>
        <v>2</v>
      </c>
      <c r="T58" s="180">
        <f>'(당초)집계표'!G121</f>
        <v>102</v>
      </c>
      <c r="U58" s="355" t="e">
        <f>'(변경)집계표'!E121</f>
        <v>#REF!</v>
      </c>
      <c r="V58" s="180" t="e">
        <f>'(변경)집계표'!G121</f>
        <v>#REF!</v>
      </c>
      <c r="W58" s="355">
        <f>'(당초)집계표'!E151</f>
        <v>0</v>
      </c>
      <c r="X58" s="141">
        <f>'(당초)집계표'!G151</f>
        <v>0</v>
      </c>
      <c r="Y58" s="355" t="e">
        <f>'(변경)집계표'!E151</f>
        <v>#REF!</v>
      </c>
      <c r="Z58" s="180" t="e">
        <f>'(변경)집계표'!G151</f>
        <v>#REF!</v>
      </c>
      <c r="AA58" s="133"/>
    </row>
    <row r="59" spans="1:28" s="1" customFormat="1" ht="27.95" customHeight="1" thickBot="1">
      <c r="A59" s="365" t="s">
        <v>1436</v>
      </c>
      <c r="B59" s="366"/>
      <c r="C59" s="367"/>
      <c r="D59" s="366"/>
      <c r="E59" s="368"/>
      <c r="F59" s="368"/>
      <c r="G59" s="369"/>
      <c r="H59" s="368"/>
      <c r="I59" s="368"/>
      <c r="J59" s="368"/>
      <c r="K59" s="369"/>
      <c r="L59" s="368"/>
      <c r="M59" s="368"/>
      <c r="N59" s="368"/>
      <c r="O59" s="369"/>
      <c r="P59" s="368"/>
      <c r="Q59" s="368"/>
      <c r="R59" s="368"/>
      <c r="S59" s="369"/>
      <c r="T59" s="368"/>
      <c r="U59" s="368"/>
      <c r="V59" s="368"/>
      <c r="W59" s="369"/>
      <c r="X59" s="371" t="s">
        <v>1430</v>
      </c>
      <c r="Y59" s="367"/>
      <c r="Z59" s="367"/>
      <c r="AA59" s="369"/>
    </row>
    <row r="60" spans="1:28" s="7" customFormat="1" ht="30" customHeight="1">
      <c r="A60" s="482" t="s">
        <v>3</v>
      </c>
      <c r="B60" s="477" t="s">
        <v>1423</v>
      </c>
      <c r="C60" s="478"/>
      <c r="D60" s="478"/>
      <c r="E60" s="478"/>
      <c r="F60" s="479"/>
      <c r="G60" s="120" t="s">
        <v>1425</v>
      </c>
      <c r="H60" s="182"/>
      <c r="I60" s="353"/>
      <c r="J60" s="353"/>
      <c r="K60" s="120" t="s">
        <v>1426</v>
      </c>
      <c r="L60" s="182"/>
      <c r="M60" s="353"/>
      <c r="N60" s="353"/>
      <c r="O60" s="120" t="s">
        <v>1427</v>
      </c>
      <c r="P60" s="182"/>
      <c r="Q60" s="353"/>
      <c r="R60" s="353"/>
      <c r="S60" s="120" t="s">
        <v>1428</v>
      </c>
      <c r="T60" s="182"/>
      <c r="U60" s="353"/>
      <c r="V60" s="353"/>
      <c r="W60" s="120" t="s">
        <v>1429</v>
      </c>
      <c r="X60" s="143"/>
      <c r="Y60" s="357"/>
      <c r="Z60" s="357"/>
      <c r="AA60" s="471" t="s">
        <v>1424</v>
      </c>
      <c r="AB60" s="6"/>
    </row>
    <row r="61" spans="1:28" s="7" customFormat="1" ht="30" customHeight="1" thickBot="1">
      <c r="A61" s="483"/>
      <c r="B61" s="473" t="s">
        <v>1420</v>
      </c>
      <c r="C61" s="474"/>
      <c r="D61" s="475" t="s">
        <v>446</v>
      </c>
      <c r="E61" s="476"/>
      <c r="F61" s="404" t="s">
        <v>1421</v>
      </c>
      <c r="G61" s="480" t="s">
        <v>1420</v>
      </c>
      <c r="H61" s="481"/>
      <c r="I61" s="480" t="s">
        <v>446</v>
      </c>
      <c r="J61" s="481"/>
      <c r="K61" s="480" t="s">
        <v>1420</v>
      </c>
      <c r="L61" s="481"/>
      <c r="M61" s="480" t="s">
        <v>446</v>
      </c>
      <c r="N61" s="481"/>
      <c r="O61" s="480" t="s">
        <v>1420</v>
      </c>
      <c r="P61" s="481"/>
      <c r="Q61" s="480" t="s">
        <v>446</v>
      </c>
      <c r="R61" s="481"/>
      <c r="S61" s="480" t="s">
        <v>1420</v>
      </c>
      <c r="T61" s="481"/>
      <c r="U61" s="480" t="s">
        <v>446</v>
      </c>
      <c r="V61" s="481"/>
      <c r="W61" s="480" t="s">
        <v>1420</v>
      </c>
      <c r="X61" s="481"/>
      <c r="Y61" s="480" t="s">
        <v>446</v>
      </c>
      <c r="Z61" s="481"/>
      <c r="AA61" s="472"/>
      <c r="AB61" s="6"/>
    </row>
    <row r="62" spans="1:28" s="6" customFormat="1" ht="22.5" customHeight="1" thickTop="1">
      <c r="A62" s="358" t="s">
        <v>2</v>
      </c>
      <c r="B62" s="389">
        <f t="shared" ref="B62:Z62" si="42">SUM(B63:B87)</f>
        <v>609</v>
      </c>
      <c r="C62" s="390">
        <f t="shared" si="42"/>
        <v>351687.6</v>
      </c>
      <c r="D62" s="391" t="e">
        <f t="shared" si="42"/>
        <v>#REF!</v>
      </c>
      <c r="E62" s="411" t="e">
        <f t="shared" si="42"/>
        <v>#REF!</v>
      </c>
      <c r="F62" s="416" t="e">
        <f t="shared" si="42"/>
        <v>#REF!</v>
      </c>
      <c r="G62" s="359">
        <f t="shared" si="42"/>
        <v>74</v>
      </c>
      <c r="H62" s="361">
        <f t="shared" si="42"/>
        <v>27483.700000000004</v>
      </c>
      <c r="I62" s="359" t="e">
        <f t="shared" si="42"/>
        <v>#REF!</v>
      </c>
      <c r="J62" s="361" t="e">
        <f t="shared" si="42"/>
        <v>#REF!</v>
      </c>
      <c r="K62" s="359">
        <f t="shared" si="42"/>
        <v>114</v>
      </c>
      <c r="L62" s="361">
        <f t="shared" si="42"/>
        <v>47268.899999999994</v>
      </c>
      <c r="M62" s="359" t="e">
        <f t="shared" si="42"/>
        <v>#REF!</v>
      </c>
      <c r="N62" s="361" t="e">
        <f t="shared" si="42"/>
        <v>#REF!</v>
      </c>
      <c r="O62" s="359">
        <f t="shared" si="42"/>
        <v>178</v>
      </c>
      <c r="P62" s="361">
        <f t="shared" si="42"/>
        <v>74749.399999999994</v>
      </c>
      <c r="Q62" s="359" t="e">
        <f t="shared" si="42"/>
        <v>#REF!</v>
      </c>
      <c r="R62" s="361" t="e">
        <f t="shared" si="42"/>
        <v>#REF!</v>
      </c>
      <c r="S62" s="359">
        <f t="shared" si="42"/>
        <v>104</v>
      </c>
      <c r="T62" s="361">
        <f t="shared" si="42"/>
        <v>113742.59999999998</v>
      </c>
      <c r="U62" s="359" t="e">
        <f t="shared" si="42"/>
        <v>#REF!</v>
      </c>
      <c r="V62" s="361" t="e">
        <f t="shared" si="42"/>
        <v>#REF!</v>
      </c>
      <c r="W62" s="359">
        <f t="shared" si="42"/>
        <v>139</v>
      </c>
      <c r="X62" s="361">
        <f t="shared" si="42"/>
        <v>88443</v>
      </c>
      <c r="Y62" s="359" t="e">
        <f t="shared" si="42"/>
        <v>#REF!</v>
      </c>
      <c r="Z62" s="361" t="e">
        <f t="shared" si="42"/>
        <v>#REF!</v>
      </c>
      <c r="AA62" s="362"/>
    </row>
    <row r="63" spans="1:28" s="6" customFormat="1" ht="22.5" customHeight="1">
      <c r="A63" s="125" t="s">
        <v>7</v>
      </c>
      <c r="B63" s="394">
        <f>SUM(G63,K63,O63,S63,W63)</f>
        <v>107</v>
      </c>
      <c r="C63" s="412">
        <f>SUM(H63,L63,P63,T63,X63)</f>
        <v>36706</v>
      </c>
      <c r="D63" s="396" t="e">
        <f t="shared" ref="D63:D87" si="43">SUM(I63,M63,Q63,U63,Y63)</f>
        <v>#REF!</v>
      </c>
      <c r="E63" s="405" t="e">
        <f t="shared" ref="E63:E87" si="44">SUM(J63,N63,R63,V63,Z63)</f>
        <v>#REF!</v>
      </c>
      <c r="F63" s="415" t="e">
        <f>E63-C63</f>
        <v>#REF!</v>
      </c>
      <c r="G63" s="356">
        <f>'(당초)집계표'!H7</f>
        <v>5</v>
      </c>
      <c r="H63" s="352">
        <f>'(당초)집계표'!J7</f>
        <v>3511</v>
      </c>
      <c r="I63" s="356" t="e">
        <f>'(변경)집계표'!H7</f>
        <v>#REF!</v>
      </c>
      <c r="J63" s="352" t="e">
        <f>'(변경)집계표'!J7</f>
        <v>#REF!</v>
      </c>
      <c r="K63" s="356">
        <f>'(당초)집계표'!H37</f>
        <v>30</v>
      </c>
      <c r="L63" s="352">
        <f>'(당초)집계표'!J37</f>
        <v>10337</v>
      </c>
      <c r="M63" s="356" t="e">
        <f>'(변경)집계표'!H37</f>
        <v>#REF!</v>
      </c>
      <c r="N63" s="352" t="e">
        <f>'(변경)집계표'!J37</f>
        <v>#REF!</v>
      </c>
      <c r="O63" s="356">
        <f>'(당초)집계표'!H67</f>
        <v>42</v>
      </c>
      <c r="P63" s="352">
        <f>'(당초)집계표'!J67</f>
        <v>12204</v>
      </c>
      <c r="Q63" s="356" t="e">
        <f>'(변경)집계표'!H67</f>
        <v>#REF!</v>
      </c>
      <c r="R63" s="352" t="e">
        <f>'(변경)집계표'!J67</f>
        <v>#REF!</v>
      </c>
      <c r="S63" s="356">
        <f>'(당초)집계표'!H97</f>
        <v>6</v>
      </c>
      <c r="T63" s="352">
        <f>'(당초)집계표'!J97</f>
        <v>3462</v>
      </c>
      <c r="U63" s="356" t="e">
        <f>'(변경)집계표'!H97</f>
        <v>#REF!</v>
      </c>
      <c r="V63" s="352" t="e">
        <f>'(변경)집계표'!J97</f>
        <v>#REF!</v>
      </c>
      <c r="W63" s="356">
        <f>'(당초)집계표'!H127</f>
        <v>24</v>
      </c>
      <c r="X63" s="139">
        <f>'(당초)집계표'!J127</f>
        <v>7192</v>
      </c>
      <c r="Y63" s="356" t="e">
        <f>'(변경)집계표'!H127</f>
        <v>#REF!</v>
      </c>
      <c r="Z63" s="352" t="e">
        <f>'(변경)집계표'!J127</f>
        <v>#REF!</v>
      </c>
      <c r="AA63" s="126"/>
    </row>
    <row r="64" spans="1:28" s="6" customFormat="1" ht="22.5" customHeight="1">
      <c r="A64" s="127" t="s">
        <v>8</v>
      </c>
      <c r="B64" s="394">
        <f t="shared" ref="B64:B87" si="45">SUM(G64,K64,O64,S64,W64)</f>
        <v>150</v>
      </c>
      <c r="C64" s="412">
        <f t="shared" ref="C64:C87" si="46">SUM(H64,L64,P64,T64,X64)</f>
        <v>107655.99999999997</v>
      </c>
      <c r="D64" s="396" t="e">
        <f t="shared" si="43"/>
        <v>#REF!</v>
      </c>
      <c r="E64" s="405" t="e">
        <f t="shared" si="44"/>
        <v>#REF!</v>
      </c>
      <c r="F64" s="415" t="e">
        <f t="shared" ref="F64:F87" si="47">E64-C64</f>
        <v>#REF!</v>
      </c>
      <c r="G64" s="354">
        <f>'(당초)집계표'!H8</f>
        <v>30</v>
      </c>
      <c r="H64" s="179">
        <f>'(당초)집계표'!J8</f>
        <v>13378.100000000002</v>
      </c>
      <c r="I64" s="356" t="e">
        <f>'(변경)집계표'!H8</f>
        <v>#REF!</v>
      </c>
      <c r="J64" s="352" t="e">
        <f>'(변경)집계표'!J8</f>
        <v>#REF!</v>
      </c>
      <c r="K64" s="354">
        <f>'(당초)집계표'!H38</f>
        <v>17</v>
      </c>
      <c r="L64" s="179">
        <f>'(당초)집계표'!J38</f>
        <v>16153.899999999998</v>
      </c>
      <c r="M64" s="356" t="e">
        <f>'(변경)집계표'!H38</f>
        <v>#REF!</v>
      </c>
      <c r="N64" s="352" t="e">
        <f>'(변경)집계표'!J38</f>
        <v>#REF!</v>
      </c>
      <c r="O64" s="354">
        <f>'(당초)집계표'!H68</f>
        <v>32</v>
      </c>
      <c r="P64" s="179">
        <f>'(당초)집계표'!J68</f>
        <v>19311.399999999998</v>
      </c>
      <c r="Q64" s="356" t="e">
        <f>'(변경)집계표'!H68</f>
        <v>#REF!</v>
      </c>
      <c r="R64" s="352" t="e">
        <f>'(변경)집계표'!J68</f>
        <v>#REF!</v>
      </c>
      <c r="S64" s="354">
        <f>'(당초)집계표'!H98</f>
        <v>44</v>
      </c>
      <c r="T64" s="179">
        <f>'(당초)집계표'!J98</f>
        <v>46694.599999999984</v>
      </c>
      <c r="U64" s="356" t="e">
        <f>'(변경)집계표'!H98</f>
        <v>#REF!</v>
      </c>
      <c r="V64" s="352" t="e">
        <f>'(변경)집계표'!J98</f>
        <v>#REF!</v>
      </c>
      <c r="W64" s="354">
        <f>'(당초)집계표'!H128</f>
        <v>27</v>
      </c>
      <c r="X64" s="140">
        <f>'(당초)집계표'!J128</f>
        <v>12118</v>
      </c>
      <c r="Y64" s="356" t="e">
        <f>'(변경)집계표'!H128</f>
        <v>#REF!</v>
      </c>
      <c r="Z64" s="352" t="e">
        <f>'(변경)집계표'!J128</f>
        <v>#REF!</v>
      </c>
      <c r="AA64" s="128"/>
    </row>
    <row r="65" spans="1:28" s="6" customFormat="1" ht="22.5" customHeight="1">
      <c r="A65" s="127" t="s">
        <v>9</v>
      </c>
      <c r="B65" s="394">
        <f t="shared" si="45"/>
        <v>142</v>
      </c>
      <c r="C65" s="412">
        <f t="shared" si="46"/>
        <v>149386</v>
      </c>
      <c r="D65" s="396" t="e">
        <f t="shared" si="43"/>
        <v>#REF!</v>
      </c>
      <c r="E65" s="405" t="e">
        <f t="shared" si="44"/>
        <v>#REF!</v>
      </c>
      <c r="F65" s="415" t="e">
        <f t="shared" si="47"/>
        <v>#REF!</v>
      </c>
      <c r="G65" s="354">
        <f>'(당초)집계표'!H9</f>
        <v>5</v>
      </c>
      <c r="H65" s="179">
        <f>'(당초)집계표'!J9</f>
        <v>3394</v>
      </c>
      <c r="I65" s="356" t="e">
        <f>'(변경)집계표'!H9</f>
        <v>#REF!</v>
      </c>
      <c r="J65" s="352" t="e">
        <f>'(변경)집계표'!J9</f>
        <v>#REF!</v>
      </c>
      <c r="K65" s="354">
        <f>'(당초)집계표'!H39</f>
        <v>16</v>
      </c>
      <c r="L65" s="179">
        <f>'(당초)집계표'!J39</f>
        <v>12344</v>
      </c>
      <c r="M65" s="356" t="e">
        <f>'(변경)집계표'!H39</f>
        <v>#REF!</v>
      </c>
      <c r="N65" s="352" t="e">
        <f>'(변경)집계표'!J39</f>
        <v>#REF!</v>
      </c>
      <c r="O65" s="354">
        <f>'(당초)집계표'!H69</f>
        <v>44</v>
      </c>
      <c r="P65" s="179">
        <f>'(당초)집계표'!J69</f>
        <v>29455</v>
      </c>
      <c r="Q65" s="356" t="e">
        <f>'(변경)집계표'!H69</f>
        <v>#REF!</v>
      </c>
      <c r="R65" s="352" t="e">
        <f>'(변경)집계표'!J69</f>
        <v>#REF!</v>
      </c>
      <c r="S65" s="354">
        <f>'(당초)집계표'!H99</f>
        <v>38</v>
      </c>
      <c r="T65" s="179">
        <f>'(당초)집계표'!J99</f>
        <v>48534</v>
      </c>
      <c r="U65" s="356" t="e">
        <f>'(변경)집계표'!H99</f>
        <v>#REF!</v>
      </c>
      <c r="V65" s="352" t="e">
        <f>'(변경)집계표'!J99</f>
        <v>#REF!</v>
      </c>
      <c r="W65" s="354">
        <f>'(당초)집계표'!H129</f>
        <v>39</v>
      </c>
      <c r="X65" s="140">
        <f>'(당초)집계표'!J129</f>
        <v>55659</v>
      </c>
      <c r="Y65" s="356" t="e">
        <f>'(변경)집계표'!H129</f>
        <v>#REF!</v>
      </c>
      <c r="Z65" s="352" t="e">
        <f>'(변경)집계표'!J129</f>
        <v>#REF!</v>
      </c>
      <c r="AA65" s="128"/>
    </row>
    <row r="66" spans="1:28" s="6" customFormat="1" ht="22.5" customHeight="1">
      <c r="A66" s="127" t="s">
        <v>10</v>
      </c>
      <c r="B66" s="394">
        <f t="shared" si="45"/>
        <v>28</v>
      </c>
      <c r="C66" s="412">
        <f t="shared" si="46"/>
        <v>3358</v>
      </c>
      <c r="D66" s="396" t="e">
        <f t="shared" si="43"/>
        <v>#REF!</v>
      </c>
      <c r="E66" s="405" t="e">
        <f t="shared" si="44"/>
        <v>#REF!</v>
      </c>
      <c r="F66" s="415" t="e">
        <f t="shared" si="47"/>
        <v>#REF!</v>
      </c>
      <c r="G66" s="354">
        <f>'(당초)집계표'!H10</f>
        <v>1</v>
      </c>
      <c r="H66" s="179">
        <f>'(당초)집계표'!J10</f>
        <v>296</v>
      </c>
      <c r="I66" s="356" t="e">
        <f>'(변경)집계표'!H10</f>
        <v>#REF!</v>
      </c>
      <c r="J66" s="352" t="e">
        <f>'(변경)집계표'!J10</f>
        <v>#REF!</v>
      </c>
      <c r="K66" s="354">
        <f>'(당초)집계표'!H40</f>
        <v>7</v>
      </c>
      <c r="L66" s="179">
        <f>'(당초)집계표'!J40</f>
        <v>569</v>
      </c>
      <c r="M66" s="356" t="e">
        <f>'(변경)집계표'!H40</f>
        <v>#REF!</v>
      </c>
      <c r="N66" s="352" t="e">
        <f>'(변경)집계표'!J40</f>
        <v>#REF!</v>
      </c>
      <c r="O66" s="354">
        <f>'(당초)집계표'!H70</f>
        <v>9</v>
      </c>
      <c r="P66" s="179">
        <f>'(당초)집계표'!J70</f>
        <v>1449</v>
      </c>
      <c r="Q66" s="356" t="e">
        <f>'(변경)집계표'!H70</f>
        <v>#REF!</v>
      </c>
      <c r="R66" s="352" t="e">
        <f>'(변경)집계표'!J70</f>
        <v>#REF!</v>
      </c>
      <c r="S66" s="354">
        <f>'(당초)집계표'!H100</f>
        <v>1</v>
      </c>
      <c r="T66" s="179">
        <f>'(당초)집계표'!J100</f>
        <v>61</v>
      </c>
      <c r="U66" s="356" t="e">
        <f>'(변경)집계표'!H100</f>
        <v>#REF!</v>
      </c>
      <c r="V66" s="352" t="e">
        <f>'(변경)집계표'!J100</f>
        <v>#REF!</v>
      </c>
      <c r="W66" s="354">
        <f>'(당초)집계표'!H130</f>
        <v>10</v>
      </c>
      <c r="X66" s="140">
        <f>'(당초)집계표'!J130</f>
        <v>983</v>
      </c>
      <c r="Y66" s="356" t="e">
        <f>'(변경)집계표'!H130</f>
        <v>#REF!</v>
      </c>
      <c r="Z66" s="352" t="e">
        <f>'(변경)집계표'!J130</f>
        <v>#REF!</v>
      </c>
      <c r="AA66" s="128"/>
    </row>
    <row r="67" spans="1:28" s="6" customFormat="1" ht="22.5" customHeight="1">
      <c r="A67" s="127" t="s">
        <v>11</v>
      </c>
      <c r="B67" s="394">
        <f t="shared" si="45"/>
        <v>161</v>
      </c>
      <c r="C67" s="412">
        <f t="shared" si="46"/>
        <v>45851.6</v>
      </c>
      <c r="D67" s="396" t="e">
        <f t="shared" si="43"/>
        <v>#REF!</v>
      </c>
      <c r="E67" s="405" t="e">
        <f t="shared" si="44"/>
        <v>#REF!</v>
      </c>
      <c r="F67" s="415" t="e">
        <f t="shared" si="47"/>
        <v>#REF!</v>
      </c>
      <c r="G67" s="354">
        <f>'(당초)집계표'!H11</f>
        <v>31</v>
      </c>
      <c r="H67" s="179">
        <f>'(당초)집계표'!J11</f>
        <v>5763.6</v>
      </c>
      <c r="I67" s="356" t="e">
        <f>'(변경)집계표'!H11</f>
        <v>#REF!</v>
      </c>
      <c r="J67" s="352" t="e">
        <f>'(변경)집계표'!J11</f>
        <v>#REF!</v>
      </c>
      <c r="K67" s="354">
        <f>'(당초)집계표'!H41</f>
        <v>40</v>
      </c>
      <c r="L67" s="179">
        <f>'(당초)집계표'!J41</f>
        <v>6946</v>
      </c>
      <c r="M67" s="356" t="e">
        <f>'(변경)집계표'!H41</f>
        <v>#REF!</v>
      </c>
      <c r="N67" s="352" t="e">
        <f>'(변경)집계표'!J41</f>
        <v>#REF!</v>
      </c>
      <c r="O67" s="354">
        <f>'(당초)집계표'!H71</f>
        <v>50</v>
      </c>
      <c r="P67" s="179">
        <f>'(당초)집계표'!J71</f>
        <v>12314</v>
      </c>
      <c r="Q67" s="356" t="e">
        <f>'(변경)집계표'!H71</f>
        <v>#REF!</v>
      </c>
      <c r="R67" s="352" t="e">
        <f>'(변경)집계표'!J71</f>
        <v>#REF!</v>
      </c>
      <c r="S67" s="354">
        <f>'(당초)집계표'!H101</f>
        <v>14</v>
      </c>
      <c r="T67" s="179">
        <f>'(당초)집계표'!J101</f>
        <v>14820</v>
      </c>
      <c r="U67" s="356" t="e">
        <f>'(변경)집계표'!H101</f>
        <v>#REF!</v>
      </c>
      <c r="V67" s="352" t="e">
        <f>'(변경)집계표'!J101</f>
        <v>#REF!</v>
      </c>
      <c r="W67" s="354">
        <f>'(당초)집계표'!H131</f>
        <v>26</v>
      </c>
      <c r="X67" s="140">
        <f>'(당초)집계표'!J131</f>
        <v>6008</v>
      </c>
      <c r="Y67" s="356" t="e">
        <f>'(변경)집계표'!H131</f>
        <v>#REF!</v>
      </c>
      <c r="Z67" s="352" t="e">
        <f>'(변경)집계표'!J131</f>
        <v>#REF!</v>
      </c>
      <c r="AA67" s="128"/>
    </row>
    <row r="68" spans="1:28" s="6" customFormat="1" ht="22.5" customHeight="1">
      <c r="A68" s="127" t="s">
        <v>12</v>
      </c>
      <c r="B68" s="394">
        <f t="shared" si="45"/>
        <v>1</v>
      </c>
      <c r="C68" s="412">
        <f t="shared" si="46"/>
        <v>171</v>
      </c>
      <c r="D68" s="396" t="e">
        <f t="shared" si="43"/>
        <v>#REF!</v>
      </c>
      <c r="E68" s="405" t="e">
        <f t="shared" si="44"/>
        <v>#REF!</v>
      </c>
      <c r="F68" s="415" t="e">
        <f t="shared" si="47"/>
        <v>#REF!</v>
      </c>
      <c r="G68" s="354">
        <f>'(당초)집계표'!H12</f>
        <v>0</v>
      </c>
      <c r="H68" s="179">
        <f>'(당초)집계표'!J12</f>
        <v>0</v>
      </c>
      <c r="I68" s="356" t="e">
        <f>'(변경)집계표'!H12</f>
        <v>#REF!</v>
      </c>
      <c r="J68" s="352" t="e">
        <f>'(변경)집계표'!J12</f>
        <v>#REF!</v>
      </c>
      <c r="K68" s="354">
        <f>'(당초)집계표'!H42</f>
        <v>0</v>
      </c>
      <c r="L68" s="179">
        <f>'(당초)집계표'!J42</f>
        <v>0</v>
      </c>
      <c r="M68" s="356" t="e">
        <f>'(변경)집계표'!H42</f>
        <v>#REF!</v>
      </c>
      <c r="N68" s="352" t="e">
        <f>'(변경)집계표'!J42</f>
        <v>#REF!</v>
      </c>
      <c r="O68" s="354">
        <f>'(당초)집계표'!H72</f>
        <v>0</v>
      </c>
      <c r="P68" s="179">
        <f>'(당초)집계표'!J72</f>
        <v>0</v>
      </c>
      <c r="Q68" s="356" t="e">
        <f>'(변경)집계표'!H72</f>
        <v>#REF!</v>
      </c>
      <c r="R68" s="352" t="e">
        <f>'(변경)집계표'!J72</f>
        <v>#REF!</v>
      </c>
      <c r="S68" s="354">
        <f>'(당초)집계표'!H102</f>
        <v>1</v>
      </c>
      <c r="T68" s="179">
        <f>'(당초)집계표'!J102</f>
        <v>171</v>
      </c>
      <c r="U68" s="356" t="e">
        <f>'(변경)집계표'!H102</f>
        <v>#REF!</v>
      </c>
      <c r="V68" s="352" t="e">
        <f>'(변경)집계표'!J102</f>
        <v>#REF!</v>
      </c>
      <c r="W68" s="354">
        <f>'(당초)집계표'!H132</f>
        <v>0</v>
      </c>
      <c r="X68" s="140">
        <f>'(당초)집계표'!J132</f>
        <v>0</v>
      </c>
      <c r="Y68" s="356" t="e">
        <f>'(변경)집계표'!H132</f>
        <v>#REF!</v>
      </c>
      <c r="Z68" s="352" t="e">
        <f>'(변경)집계표'!J132</f>
        <v>#REF!</v>
      </c>
      <c r="AA68" s="128"/>
    </row>
    <row r="69" spans="1:28" s="6" customFormat="1" ht="22.5" customHeight="1">
      <c r="A69" s="127" t="s">
        <v>13</v>
      </c>
      <c r="B69" s="394">
        <f t="shared" si="45"/>
        <v>0</v>
      </c>
      <c r="C69" s="412">
        <f t="shared" si="46"/>
        <v>0</v>
      </c>
      <c r="D69" s="396" t="e">
        <f t="shared" si="43"/>
        <v>#REF!</v>
      </c>
      <c r="E69" s="405" t="e">
        <f t="shared" si="44"/>
        <v>#REF!</v>
      </c>
      <c r="F69" s="415" t="e">
        <f t="shared" si="47"/>
        <v>#REF!</v>
      </c>
      <c r="G69" s="354">
        <f>'(당초)집계표'!H13</f>
        <v>0</v>
      </c>
      <c r="H69" s="179">
        <f>'(당초)집계표'!J13</f>
        <v>0</v>
      </c>
      <c r="I69" s="356" t="e">
        <f>'(변경)집계표'!H13</f>
        <v>#REF!</v>
      </c>
      <c r="J69" s="352" t="e">
        <f>'(변경)집계표'!J13</f>
        <v>#REF!</v>
      </c>
      <c r="K69" s="354">
        <f>'(당초)집계표'!H43</f>
        <v>0</v>
      </c>
      <c r="L69" s="179">
        <f>'(당초)집계표'!J43</f>
        <v>0</v>
      </c>
      <c r="M69" s="356" t="e">
        <f>'(변경)집계표'!H43</f>
        <v>#REF!</v>
      </c>
      <c r="N69" s="352" t="e">
        <f>'(변경)집계표'!J43</f>
        <v>#REF!</v>
      </c>
      <c r="O69" s="354">
        <f>'(당초)집계표'!H73</f>
        <v>0</v>
      </c>
      <c r="P69" s="179">
        <f>'(당초)집계표'!J73</f>
        <v>0</v>
      </c>
      <c r="Q69" s="356" t="e">
        <f>'(변경)집계표'!H73</f>
        <v>#REF!</v>
      </c>
      <c r="R69" s="352" t="e">
        <f>'(변경)집계표'!J73</f>
        <v>#REF!</v>
      </c>
      <c r="S69" s="354">
        <f>'(당초)집계표'!H103</f>
        <v>0</v>
      </c>
      <c r="T69" s="179">
        <f>'(당초)집계표'!J103</f>
        <v>0</v>
      </c>
      <c r="U69" s="356" t="e">
        <f>'(변경)집계표'!H103</f>
        <v>#REF!</v>
      </c>
      <c r="V69" s="352" t="e">
        <f>'(변경)집계표'!J103</f>
        <v>#REF!</v>
      </c>
      <c r="W69" s="354">
        <f>'(당초)집계표'!H133</f>
        <v>0</v>
      </c>
      <c r="X69" s="140">
        <f>'(당초)집계표'!J133</f>
        <v>0</v>
      </c>
      <c r="Y69" s="356" t="e">
        <f>'(변경)집계표'!H133</f>
        <v>#REF!</v>
      </c>
      <c r="Z69" s="352" t="e">
        <f>'(변경)집계표'!J133</f>
        <v>#REF!</v>
      </c>
      <c r="AA69" s="128"/>
    </row>
    <row r="70" spans="1:28" s="6" customFormat="1" ht="22.5" customHeight="1">
      <c r="A70" s="127" t="s">
        <v>14</v>
      </c>
      <c r="B70" s="394">
        <f t="shared" si="45"/>
        <v>2</v>
      </c>
      <c r="C70" s="412">
        <f t="shared" si="46"/>
        <v>1141</v>
      </c>
      <c r="D70" s="396" t="e">
        <f t="shared" si="43"/>
        <v>#REF!</v>
      </c>
      <c r="E70" s="405" t="e">
        <f t="shared" si="44"/>
        <v>#REF!</v>
      </c>
      <c r="F70" s="415" t="e">
        <f t="shared" si="47"/>
        <v>#REF!</v>
      </c>
      <c r="G70" s="354">
        <f>'(당초)집계표'!H14</f>
        <v>2</v>
      </c>
      <c r="H70" s="179">
        <f>'(당초)집계표'!J14</f>
        <v>1141</v>
      </c>
      <c r="I70" s="356" t="e">
        <f>'(변경)집계표'!H14</f>
        <v>#REF!</v>
      </c>
      <c r="J70" s="352" t="e">
        <f>'(변경)집계표'!J14</f>
        <v>#REF!</v>
      </c>
      <c r="K70" s="354">
        <f>'(당초)집계표'!H44</f>
        <v>0</v>
      </c>
      <c r="L70" s="179">
        <f>'(당초)집계표'!J44</f>
        <v>0</v>
      </c>
      <c r="M70" s="356" t="e">
        <f>'(변경)집계표'!H44</f>
        <v>#REF!</v>
      </c>
      <c r="N70" s="352" t="e">
        <f>'(변경)집계표'!J44</f>
        <v>#REF!</v>
      </c>
      <c r="O70" s="354">
        <f>'(당초)집계표'!H74</f>
        <v>0</v>
      </c>
      <c r="P70" s="179">
        <f>'(당초)집계표'!J74</f>
        <v>0</v>
      </c>
      <c r="Q70" s="356" t="e">
        <f>'(변경)집계표'!H74</f>
        <v>#REF!</v>
      </c>
      <c r="R70" s="352" t="e">
        <f>'(변경)집계표'!J74</f>
        <v>#REF!</v>
      </c>
      <c r="S70" s="354">
        <f>'(당초)집계표'!H104</f>
        <v>0</v>
      </c>
      <c r="T70" s="179">
        <f>'(당초)집계표'!J104</f>
        <v>0</v>
      </c>
      <c r="U70" s="356" t="e">
        <f>'(변경)집계표'!H104</f>
        <v>#REF!</v>
      </c>
      <c r="V70" s="352" t="e">
        <f>'(변경)집계표'!J104</f>
        <v>#REF!</v>
      </c>
      <c r="W70" s="354">
        <f>'(당초)집계표'!H134</f>
        <v>0</v>
      </c>
      <c r="X70" s="140">
        <f>'(당초)집계표'!J134</f>
        <v>0</v>
      </c>
      <c r="Y70" s="356" t="e">
        <f>'(변경)집계표'!H134</f>
        <v>#REF!</v>
      </c>
      <c r="Z70" s="352" t="e">
        <f>'(변경)집계표'!J134</f>
        <v>#REF!</v>
      </c>
      <c r="AA70" s="128"/>
    </row>
    <row r="71" spans="1:28" s="6" customFormat="1" ht="22.5" customHeight="1">
      <c r="A71" s="127" t="s">
        <v>15</v>
      </c>
      <c r="B71" s="394">
        <f t="shared" si="45"/>
        <v>0</v>
      </c>
      <c r="C71" s="412">
        <f t="shared" si="46"/>
        <v>0</v>
      </c>
      <c r="D71" s="396" t="e">
        <f t="shared" si="43"/>
        <v>#REF!</v>
      </c>
      <c r="E71" s="405" t="e">
        <f t="shared" si="44"/>
        <v>#REF!</v>
      </c>
      <c r="F71" s="415" t="e">
        <f t="shared" si="47"/>
        <v>#REF!</v>
      </c>
      <c r="G71" s="354">
        <f>'(당초)집계표'!H15</f>
        <v>0</v>
      </c>
      <c r="H71" s="179">
        <f>'(당초)집계표'!J15</f>
        <v>0</v>
      </c>
      <c r="I71" s="356" t="e">
        <f>'(변경)집계표'!H15</f>
        <v>#REF!</v>
      </c>
      <c r="J71" s="352" t="e">
        <f>'(변경)집계표'!J15</f>
        <v>#REF!</v>
      </c>
      <c r="K71" s="354">
        <f>'(당초)집계표'!H45</f>
        <v>0</v>
      </c>
      <c r="L71" s="179">
        <f>'(당초)집계표'!J45</f>
        <v>0</v>
      </c>
      <c r="M71" s="356" t="e">
        <f>'(변경)집계표'!H45</f>
        <v>#REF!</v>
      </c>
      <c r="N71" s="352" t="e">
        <f>'(변경)집계표'!J45</f>
        <v>#REF!</v>
      </c>
      <c r="O71" s="354">
        <f>'(당초)집계표'!H75</f>
        <v>0</v>
      </c>
      <c r="P71" s="179">
        <f>'(당초)집계표'!J75</f>
        <v>0</v>
      </c>
      <c r="Q71" s="356" t="e">
        <f>'(변경)집계표'!H75</f>
        <v>#REF!</v>
      </c>
      <c r="R71" s="352" t="e">
        <f>'(변경)집계표'!J75</f>
        <v>#REF!</v>
      </c>
      <c r="S71" s="354">
        <f>'(당초)집계표'!H105</f>
        <v>0</v>
      </c>
      <c r="T71" s="179">
        <f>'(당초)집계표'!J105</f>
        <v>0</v>
      </c>
      <c r="U71" s="356" t="e">
        <f>'(변경)집계표'!H105</f>
        <v>#REF!</v>
      </c>
      <c r="V71" s="352" t="e">
        <f>'(변경)집계표'!J105</f>
        <v>#REF!</v>
      </c>
      <c r="W71" s="354">
        <f>'(당초)집계표'!H135</f>
        <v>0</v>
      </c>
      <c r="X71" s="140">
        <f>'(당초)집계표'!J135</f>
        <v>0</v>
      </c>
      <c r="Y71" s="356" t="e">
        <f>'(변경)집계표'!H135</f>
        <v>#REF!</v>
      </c>
      <c r="Z71" s="352" t="e">
        <f>'(변경)집계표'!J135</f>
        <v>#REF!</v>
      </c>
      <c r="AA71" s="128"/>
    </row>
    <row r="72" spans="1:28" s="6" customFormat="1" ht="22.5" customHeight="1">
      <c r="A72" s="127" t="s">
        <v>16</v>
      </c>
      <c r="B72" s="394">
        <f t="shared" si="45"/>
        <v>0</v>
      </c>
      <c r="C72" s="412">
        <f t="shared" si="46"/>
        <v>0</v>
      </c>
      <c r="D72" s="396" t="e">
        <f t="shared" si="43"/>
        <v>#REF!</v>
      </c>
      <c r="E72" s="405" t="e">
        <f t="shared" si="44"/>
        <v>#REF!</v>
      </c>
      <c r="F72" s="415" t="e">
        <f t="shared" si="47"/>
        <v>#REF!</v>
      </c>
      <c r="G72" s="354">
        <f>'(당초)집계표'!H16</f>
        <v>0</v>
      </c>
      <c r="H72" s="179">
        <f>'(당초)집계표'!J16</f>
        <v>0</v>
      </c>
      <c r="I72" s="356" t="e">
        <f>'(변경)집계표'!H16</f>
        <v>#REF!</v>
      </c>
      <c r="J72" s="352" t="e">
        <f>'(변경)집계표'!J16</f>
        <v>#REF!</v>
      </c>
      <c r="K72" s="354">
        <f>'(당초)집계표'!H46</f>
        <v>0</v>
      </c>
      <c r="L72" s="179">
        <f>'(당초)집계표'!J46</f>
        <v>0</v>
      </c>
      <c r="M72" s="356" t="e">
        <f>'(변경)집계표'!H46</f>
        <v>#REF!</v>
      </c>
      <c r="N72" s="352" t="e">
        <f>'(변경)집계표'!J46</f>
        <v>#REF!</v>
      </c>
      <c r="O72" s="354">
        <f>'(당초)집계표'!H76</f>
        <v>0</v>
      </c>
      <c r="P72" s="179">
        <f>'(당초)집계표'!J76</f>
        <v>0</v>
      </c>
      <c r="Q72" s="356" t="e">
        <f>'(변경)집계표'!H76</f>
        <v>#REF!</v>
      </c>
      <c r="R72" s="352" t="e">
        <f>'(변경)집계표'!J76</f>
        <v>#REF!</v>
      </c>
      <c r="S72" s="354">
        <f>'(당초)집계표'!H106</f>
        <v>0</v>
      </c>
      <c r="T72" s="179">
        <f>'(당초)집계표'!J106</f>
        <v>0</v>
      </c>
      <c r="U72" s="356" t="e">
        <f>'(변경)집계표'!H106</f>
        <v>#REF!</v>
      </c>
      <c r="V72" s="352" t="e">
        <f>'(변경)집계표'!J106</f>
        <v>#REF!</v>
      </c>
      <c r="W72" s="354">
        <f>'(당초)집계표'!H136</f>
        <v>0</v>
      </c>
      <c r="X72" s="140">
        <f>'(당초)집계표'!J136</f>
        <v>0</v>
      </c>
      <c r="Y72" s="356" t="e">
        <f>'(변경)집계표'!H136</f>
        <v>#REF!</v>
      </c>
      <c r="Z72" s="352" t="e">
        <f>'(변경)집계표'!J136</f>
        <v>#REF!</v>
      </c>
      <c r="AA72" s="128"/>
    </row>
    <row r="73" spans="1:28" s="6" customFormat="1" ht="22.5" customHeight="1">
      <c r="A73" s="127" t="s">
        <v>17</v>
      </c>
      <c r="B73" s="394">
        <f t="shared" si="45"/>
        <v>0</v>
      </c>
      <c r="C73" s="412">
        <f t="shared" si="46"/>
        <v>0</v>
      </c>
      <c r="D73" s="396" t="e">
        <f t="shared" si="43"/>
        <v>#REF!</v>
      </c>
      <c r="E73" s="405" t="e">
        <f t="shared" si="44"/>
        <v>#REF!</v>
      </c>
      <c r="F73" s="415" t="e">
        <f t="shared" si="47"/>
        <v>#REF!</v>
      </c>
      <c r="G73" s="354">
        <f>'(당초)집계표'!H17</f>
        <v>0</v>
      </c>
      <c r="H73" s="179">
        <f>'(당초)집계표'!J17</f>
        <v>0</v>
      </c>
      <c r="I73" s="356" t="e">
        <f>'(변경)집계표'!H17</f>
        <v>#REF!</v>
      </c>
      <c r="J73" s="352" t="e">
        <f>'(변경)집계표'!J17</f>
        <v>#REF!</v>
      </c>
      <c r="K73" s="354">
        <f>'(당초)집계표'!H47</f>
        <v>0</v>
      </c>
      <c r="L73" s="179">
        <f>'(당초)집계표'!J47</f>
        <v>0</v>
      </c>
      <c r="M73" s="356" t="e">
        <f>'(변경)집계표'!H47</f>
        <v>#REF!</v>
      </c>
      <c r="N73" s="352" t="e">
        <f>'(변경)집계표'!J47</f>
        <v>#REF!</v>
      </c>
      <c r="O73" s="354">
        <f>'(당초)집계표'!H77</f>
        <v>0</v>
      </c>
      <c r="P73" s="179">
        <f>'(당초)집계표'!J77</f>
        <v>0</v>
      </c>
      <c r="Q73" s="356" t="e">
        <f>'(변경)집계표'!H77</f>
        <v>#REF!</v>
      </c>
      <c r="R73" s="352" t="e">
        <f>'(변경)집계표'!J77</f>
        <v>#REF!</v>
      </c>
      <c r="S73" s="354">
        <f>'(당초)집계표'!H107</f>
        <v>0</v>
      </c>
      <c r="T73" s="179">
        <f>'(당초)집계표'!J107</f>
        <v>0</v>
      </c>
      <c r="U73" s="356" t="e">
        <f>'(변경)집계표'!H107</f>
        <v>#REF!</v>
      </c>
      <c r="V73" s="352" t="e">
        <f>'(변경)집계표'!J107</f>
        <v>#REF!</v>
      </c>
      <c r="W73" s="354">
        <f>'(당초)집계표'!H137</f>
        <v>0</v>
      </c>
      <c r="X73" s="140">
        <f>'(당초)집계표'!J137</f>
        <v>0</v>
      </c>
      <c r="Y73" s="356" t="e">
        <f>'(변경)집계표'!H137</f>
        <v>#REF!</v>
      </c>
      <c r="Z73" s="352" t="e">
        <f>'(변경)집계표'!J137</f>
        <v>#REF!</v>
      </c>
      <c r="AA73" s="128"/>
    </row>
    <row r="74" spans="1:28" s="7" customFormat="1" ht="22.5" customHeight="1">
      <c r="A74" s="127" t="s">
        <v>18</v>
      </c>
      <c r="B74" s="394">
        <f t="shared" si="45"/>
        <v>0</v>
      </c>
      <c r="C74" s="412">
        <f t="shared" si="46"/>
        <v>0</v>
      </c>
      <c r="D74" s="396" t="e">
        <f t="shared" si="43"/>
        <v>#REF!</v>
      </c>
      <c r="E74" s="405" t="e">
        <f t="shared" si="44"/>
        <v>#REF!</v>
      </c>
      <c r="F74" s="415" t="e">
        <f t="shared" si="47"/>
        <v>#REF!</v>
      </c>
      <c r="G74" s="354">
        <f>'(당초)집계표'!H18</f>
        <v>0</v>
      </c>
      <c r="H74" s="179">
        <f>'(당초)집계표'!J18</f>
        <v>0</v>
      </c>
      <c r="I74" s="356" t="e">
        <f>'(변경)집계표'!H18</f>
        <v>#REF!</v>
      </c>
      <c r="J74" s="352" t="e">
        <f>'(변경)집계표'!J18</f>
        <v>#REF!</v>
      </c>
      <c r="K74" s="354">
        <f>'(당초)집계표'!H48</f>
        <v>0</v>
      </c>
      <c r="L74" s="179">
        <f>'(당초)집계표'!J48</f>
        <v>0</v>
      </c>
      <c r="M74" s="356" t="e">
        <f>'(변경)집계표'!H48</f>
        <v>#REF!</v>
      </c>
      <c r="N74" s="352" t="e">
        <f>'(변경)집계표'!J48</f>
        <v>#REF!</v>
      </c>
      <c r="O74" s="354">
        <f>'(당초)집계표'!H78</f>
        <v>0</v>
      </c>
      <c r="P74" s="179">
        <f>'(당초)집계표'!J78</f>
        <v>0</v>
      </c>
      <c r="Q74" s="356" t="e">
        <f>'(변경)집계표'!H78</f>
        <v>#REF!</v>
      </c>
      <c r="R74" s="352" t="e">
        <f>'(변경)집계표'!J78</f>
        <v>#REF!</v>
      </c>
      <c r="S74" s="354">
        <f>'(당초)집계표'!H108</f>
        <v>0</v>
      </c>
      <c r="T74" s="179">
        <f>'(당초)집계표'!J108</f>
        <v>0</v>
      </c>
      <c r="U74" s="356" t="e">
        <f>'(변경)집계표'!H108</f>
        <v>#REF!</v>
      </c>
      <c r="V74" s="352" t="e">
        <f>'(변경)집계표'!J108</f>
        <v>#REF!</v>
      </c>
      <c r="W74" s="354">
        <f>'(당초)집계표'!H138</f>
        <v>0</v>
      </c>
      <c r="X74" s="140">
        <f>'(당초)집계표'!J138</f>
        <v>0</v>
      </c>
      <c r="Y74" s="356" t="e">
        <f>'(변경)집계표'!H138</f>
        <v>#REF!</v>
      </c>
      <c r="Z74" s="352" t="e">
        <f>'(변경)집계표'!J138</f>
        <v>#REF!</v>
      </c>
      <c r="AA74" s="128"/>
      <c r="AB74" s="6"/>
    </row>
    <row r="75" spans="1:28" s="7" customFormat="1" ht="22.5" customHeight="1">
      <c r="A75" s="127" t="s">
        <v>19</v>
      </c>
      <c r="B75" s="394">
        <f t="shared" si="45"/>
        <v>0</v>
      </c>
      <c r="C75" s="412">
        <f t="shared" si="46"/>
        <v>0</v>
      </c>
      <c r="D75" s="396" t="e">
        <f t="shared" si="43"/>
        <v>#REF!</v>
      </c>
      <c r="E75" s="405" t="e">
        <f t="shared" si="44"/>
        <v>#REF!</v>
      </c>
      <c r="F75" s="415" t="e">
        <f t="shared" si="47"/>
        <v>#REF!</v>
      </c>
      <c r="G75" s="354">
        <f>'(당초)집계표'!H19</f>
        <v>0</v>
      </c>
      <c r="H75" s="179">
        <f>'(당초)집계표'!J19</f>
        <v>0</v>
      </c>
      <c r="I75" s="356" t="e">
        <f>'(변경)집계표'!H19</f>
        <v>#REF!</v>
      </c>
      <c r="J75" s="352" t="e">
        <f>'(변경)집계표'!J19</f>
        <v>#REF!</v>
      </c>
      <c r="K75" s="354">
        <f>'(당초)집계표'!H49</f>
        <v>0</v>
      </c>
      <c r="L75" s="179">
        <f>'(당초)집계표'!J49</f>
        <v>0</v>
      </c>
      <c r="M75" s="356" t="e">
        <f>'(변경)집계표'!H49</f>
        <v>#REF!</v>
      </c>
      <c r="N75" s="352" t="e">
        <f>'(변경)집계표'!J49</f>
        <v>#REF!</v>
      </c>
      <c r="O75" s="354">
        <f>'(당초)집계표'!H79</f>
        <v>0</v>
      </c>
      <c r="P75" s="179">
        <f>'(당초)집계표'!J79</f>
        <v>0</v>
      </c>
      <c r="Q75" s="356" t="e">
        <f>'(변경)집계표'!H79</f>
        <v>#REF!</v>
      </c>
      <c r="R75" s="352" t="e">
        <f>'(변경)집계표'!J79</f>
        <v>#REF!</v>
      </c>
      <c r="S75" s="354">
        <f>'(당초)집계표'!H109</f>
        <v>0</v>
      </c>
      <c r="T75" s="179">
        <f>'(당초)집계표'!J109</f>
        <v>0</v>
      </c>
      <c r="U75" s="356" t="e">
        <f>'(변경)집계표'!H109</f>
        <v>#REF!</v>
      </c>
      <c r="V75" s="352" t="e">
        <f>'(변경)집계표'!J109</f>
        <v>#REF!</v>
      </c>
      <c r="W75" s="354">
        <f>'(당초)집계표'!H139</f>
        <v>0</v>
      </c>
      <c r="X75" s="140">
        <f>'(당초)집계표'!J139</f>
        <v>0</v>
      </c>
      <c r="Y75" s="356" t="e">
        <f>'(변경)집계표'!H139</f>
        <v>#REF!</v>
      </c>
      <c r="Z75" s="352" t="e">
        <f>'(변경)집계표'!J139</f>
        <v>#REF!</v>
      </c>
      <c r="AA75" s="128"/>
      <c r="AB75" s="6"/>
    </row>
    <row r="76" spans="1:28" s="7" customFormat="1" ht="22.5" customHeight="1">
      <c r="A76" s="127" t="s">
        <v>20</v>
      </c>
      <c r="B76" s="394">
        <f t="shared" si="45"/>
        <v>0</v>
      </c>
      <c r="C76" s="412">
        <f t="shared" si="46"/>
        <v>0</v>
      </c>
      <c r="D76" s="396" t="e">
        <f t="shared" si="43"/>
        <v>#REF!</v>
      </c>
      <c r="E76" s="405" t="e">
        <f t="shared" si="44"/>
        <v>#REF!</v>
      </c>
      <c r="F76" s="415" t="e">
        <f t="shared" si="47"/>
        <v>#REF!</v>
      </c>
      <c r="G76" s="354">
        <f>'(당초)집계표'!H20</f>
        <v>0</v>
      </c>
      <c r="H76" s="179">
        <f>'(당초)집계표'!J20</f>
        <v>0</v>
      </c>
      <c r="I76" s="356" t="e">
        <f>'(변경)집계표'!H20</f>
        <v>#REF!</v>
      </c>
      <c r="J76" s="352" t="e">
        <f>'(변경)집계표'!J20</f>
        <v>#REF!</v>
      </c>
      <c r="K76" s="354">
        <f>'(당초)집계표'!H50</f>
        <v>0</v>
      </c>
      <c r="L76" s="179">
        <f>'(당초)집계표'!J50</f>
        <v>0</v>
      </c>
      <c r="M76" s="356" t="e">
        <f>'(변경)집계표'!H50</f>
        <v>#REF!</v>
      </c>
      <c r="N76" s="352" t="e">
        <f>'(변경)집계표'!J50</f>
        <v>#REF!</v>
      </c>
      <c r="O76" s="354">
        <f>'(당초)집계표'!H80</f>
        <v>0</v>
      </c>
      <c r="P76" s="179">
        <f>'(당초)집계표'!J80</f>
        <v>0</v>
      </c>
      <c r="Q76" s="356" t="e">
        <f>'(변경)집계표'!H80</f>
        <v>#REF!</v>
      </c>
      <c r="R76" s="352" t="e">
        <f>'(변경)집계표'!J80</f>
        <v>#REF!</v>
      </c>
      <c r="S76" s="354">
        <f>'(당초)집계표'!H110</f>
        <v>0</v>
      </c>
      <c r="T76" s="179">
        <f>'(당초)집계표'!J110</f>
        <v>0</v>
      </c>
      <c r="U76" s="356" t="e">
        <f>'(변경)집계표'!H110</f>
        <v>#REF!</v>
      </c>
      <c r="V76" s="352" t="e">
        <f>'(변경)집계표'!J110</f>
        <v>#REF!</v>
      </c>
      <c r="W76" s="354">
        <f>'(당초)집계표'!H140</f>
        <v>0</v>
      </c>
      <c r="X76" s="140">
        <f>'(당초)집계표'!J140</f>
        <v>0</v>
      </c>
      <c r="Y76" s="356" t="e">
        <f>'(변경)집계표'!H140</f>
        <v>#REF!</v>
      </c>
      <c r="Z76" s="352" t="e">
        <f>'(변경)집계표'!J140</f>
        <v>#REF!</v>
      </c>
      <c r="AA76" s="128"/>
      <c r="AB76" s="6"/>
    </row>
    <row r="77" spans="1:28" s="7" customFormat="1" ht="22.5" customHeight="1">
      <c r="A77" s="127" t="s">
        <v>21</v>
      </c>
      <c r="B77" s="394">
        <f t="shared" si="45"/>
        <v>0</v>
      </c>
      <c r="C77" s="412">
        <f t="shared" si="46"/>
        <v>0</v>
      </c>
      <c r="D77" s="396" t="e">
        <f t="shared" si="43"/>
        <v>#REF!</v>
      </c>
      <c r="E77" s="405" t="e">
        <f t="shared" si="44"/>
        <v>#REF!</v>
      </c>
      <c r="F77" s="415" t="e">
        <f t="shared" si="47"/>
        <v>#REF!</v>
      </c>
      <c r="G77" s="354">
        <f>'(당초)집계표'!H21</f>
        <v>0</v>
      </c>
      <c r="H77" s="179">
        <f>'(당초)집계표'!J21</f>
        <v>0</v>
      </c>
      <c r="I77" s="356" t="e">
        <f>'(변경)집계표'!H21</f>
        <v>#REF!</v>
      </c>
      <c r="J77" s="352" t="e">
        <f>'(변경)집계표'!J21</f>
        <v>#REF!</v>
      </c>
      <c r="K77" s="354">
        <f>'(당초)집계표'!H51</f>
        <v>0</v>
      </c>
      <c r="L77" s="179">
        <f>'(당초)집계표'!J51</f>
        <v>0</v>
      </c>
      <c r="M77" s="356" t="e">
        <f>'(변경)집계표'!H51</f>
        <v>#REF!</v>
      </c>
      <c r="N77" s="352" t="e">
        <f>'(변경)집계표'!J51</f>
        <v>#REF!</v>
      </c>
      <c r="O77" s="354">
        <f>'(당초)집계표'!H81</f>
        <v>0</v>
      </c>
      <c r="P77" s="179">
        <f>'(당초)집계표'!J81</f>
        <v>0</v>
      </c>
      <c r="Q77" s="356" t="e">
        <f>'(변경)집계표'!H81</f>
        <v>#REF!</v>
      </c>
      <c r="R77" s="352" t="e">
        <f>'(변경)집계표'!J81</f>
        <v>#REF!</v>
      </c>
      <c r="S77" s="354">
        <f>'(당초)집계표'!H111</f>
        <v>0</v>
      </c>
      <c r="T77" s="179">
        <f>'(당초)집계표'!J111</f>
        <v>0</v>
      </c>
      <c r="U77" s="356" t="e">
        <f>'(변경)집계표'!H111</f>
        <v>#REF!</v>
      </c>
      <c r="V77" s="352" t="e">
        <f>'(변경)집계표'!J111</f>
        <v>#REF!</v>
      </c>
      <c r="W77" s="354">
        <f>'(당초)집계표'!H141</f>
        <v>0</v>
      </c>
      <c r="X77" s="140">
        <f>'(당초)집계표'!J141</f>
        <v>0</v>
      </c>
      <c r="Y77" s="356" t="e">
        <f>'(변경)집계표'!H141</f>
        <v>#REF!</v>
      </c>
      <c r="Z77" s="352" t="e">
        <f>'(변경)집계표'!J141</f>
        <v>#REF!</v>
      </c>
      <c r="AA77" s="128"/>
      <c r="AB77" s="6"/>
    </row>
    <row r="78" spans="1:28" s="7" customFormat="1" ht="22.5" customHeight="1">
      <c r="A78" s="127" t="s">
        <v>22</v>
      </c>
      <c r="B78" s="394">
        <f t="shared" si="45"/>
        <v>0</v>
      </c>
      <c r="C78" s="412">
        <f t="shared" si="46"/>
        <v>0</v>
      </c>
      <c r="D78" s="396" t="e">
        <f t="shared" si="43"/>
        <v>#REF!</v>
      </c>
      <c r="E78" s="405" t="e">
        <f t="shared" si="44"/>
        <v>#REF!</v>
      </c>
      <c r="F78" s="415" t="e">
        <f t="shared" si="47"/>
        <v>#REF!</v>
      </c>
      <c r="G78" s="354">
        <f>'(당초)집계표'!H22</f>
        <v>0</v>
      </c>
      <c r="H78" s="179">
        <f>'(당초)집계표'!J22</f>
        <v>0</v>
      </c>
      <c r="I78" s="356" t="e">
        <f>'(변경)집계표'!H22</f>
        <v>#REF!</v>
      </c>
      <c r="J78" s="352" t="e">
        <f>'(변경)집계표'!J22</f>
        <v>#REF!</v>
      </c>
      <c r="K78" s="354">
        <f>'(당초)집계표'!H52</f>
        <v>0</v>
      </c>
      <c r="L78" s="179">
        <f>'(당초)집계표'!J52</f>
        <v>0</v>
      </c>
      <c r="M78" s="356" t="e">
        <f>'(변경)집계표'!H52</f>
        <v>#REF!</v>
      </c>
      <c r="N78" s="352" t="e">
        <f>'(변경)집계표'!J52</f>
        <v>#REF!</v>
      </c>
      <c r="O78" s="354">
        <f>'(당초)집계표'!H82</f>
        <v>0</v>
      </c>
      <c r="P78" s="179">
        <f>'(당초)집계표'!J82</f>
        <v>0</v>
      </c>
      <c r="Q78" s="356" t="e">
        <f>'(변경)집계표'!H82</f>
        <v>#REF!</v>
      </c>
      <c r="R78" s="352" t="e">
        <f>'(변경)집계표'!J82</f>
        <v>#REF!</v>
      </c>
      <c r="S78" s="354">
        <f>'(당초)집계표'!H112</f>
        <v>0</v>
      </c>
      <c r="T78" s="179">
        <f>'(당초)집계표'!J112</f>
        <v>0</v>
      </c>
      <c r="U78" s="356" t="e">
        <f>'(변경)집계표'!H112</f>
        <v>#REF!</v>
      </c>
      <c r="V78" s="352" t="e">
        <f>'(변경)집계표'!J112</f>
        <v>#REF!</v>
      </c>
      <c r="W78" s="354">
        <f>'(당초)집계표'!H142</f>
        <v>0</v>
      </c>
      <c r="X78" s="140">
        <f>'(당초)집계표'!J142</f>
        <v>0</v>
      </c>
      <c r="Y78" s="356" t="e">
        <f>'(변경)집계표'!H142</f>
        <v>#REF!</v>
      </c>
      <c r="Z78" s="352" t="e">
        <f>'(변경)집계표'!J142</f>
        <v>#REF!</v>
      </c>
      <c r="AA78" s="128"/>
      <c r="AB78" s="6"/>
    </row>
    <row r="79" spans="1:28" s="7" customFormat="1" ht="22.5" customHeight="1">
      <c r="A79" s="127" t="s">
        <v>23</v>
      </c>
      <c r="B79" s="394">
        <f t="shared" si="45"/>
        <v>16</v>
      </c>
      <c r="C79" s="412">
        <f t="shared" si="46"/>
        <v>6966</v>
      </c>
      <c r="D79" s="396" t="e">
        <f t="shared" si="43"/>
        <v>#REF!</v>
      </c>
      <c r="E79" s="405" t="e">
        <f t="shared" si="44"/>
        <v>#REF!</v>
      </c>
      <c r="F79" s="415" t="e">
        <f t="shared" si="47"/>
        <v>#REF!</v>
      </c>
      <c r="G79" s="354">
        <f>'(당초)집계표'!H23</f>
        <v>0</v>
      </c>
      <c r="H79" s="179">
        <f>'(당초)집계표'!J23</f>
        <v>0</v>
      </c>
      <c r="I79" s="356" t="e">
        <f>'(변경)집계표'!H23</f>
        <v>#REF!</v>
      </c>
      <c r="J79" s="352" t="e">
        <f>'(변경)집계표'!J23</f>
        <v>#REF!</v>
      </c>
      <c r="K79" s="354">
        <f>'(당초)집계표'!H53</f>
        <v>3</v>
      </c>
      <c r="L79" s="179">
        <f>'(당초)집계표'!J53</f>
        <v>483</v>
      </c>
      <c r="M79" s="356" t="e">
        <f>'(변경)집계표'!H53</f>
        <v>#REF!</v>
      </c>
      <c r="N79" s="352" t="e">
        <f>'(변경)집계표'!J53</f>
        <v>#REF!</v>
      </c>
      <c r="O79" s="354">
        <f>'(당초)집계표'!H83</f>
        <v>0</v>
      </c>
      <c r="P79" s="179">
        <f>'(당초)집계표'!J83</f>
        <v>0</v>
      </c>
      <c r="Q79" s="356" t="e">
        <f>'(변경)집계표'!H83</f>
        <v>#REF!</v>
      </c>
      <c r="R79" s="352" t="e">
        <f>'(변경)집계표'!J83</f>
        <v>#REF!</v>
      </c>
      <c r="S79" s="354">
        <f>'(당초)집계표'!H113</f>
        <v>0</v>
      </c>
      <c r="T79" s="179">
        <f>'(당초)집계표'!J113</f>
        <v>0</v>
      </c>
      <c r="U79" s="356" t="e">
        <f>'(변경)집계표'!H113</f>
        <v>#REF!</v>
      </c>
      <c r="V79" s="352" t="e">
        <f>'(변경)집계표'!J113</f>
        <v>#REF!</v>
      </c>
      <c r="W79" s="354">
        <f>'(당초)집계표'!H143</f>
        <v>13</v>
      </c>
      <c r="X79" s="140">
        <f>'(당초)집계표'!J143</f>
        <v>6483</v>
      </c>
      <c r="Y79" s="356" t="e">
        <f>'(변경)집계표'!H143</f>
        <v>#REF!</v>
      </c>
      <c r="Z79" s="352" t="e">
        <f>'(변경)집계표'!J143</f>
        <v>#REF!</v>
      </c>
      <c r="AA79" s="128"/>
      <c r="AB79" s="6"/>
    </row>
    <row r="80" spans="1:28" s="7" customFormat="1" ht="22.5" customHeight="1">
      <c r="A80" s="129" t="s">
        <v>24</v>
      </c>
      <c r="B80" s="394">
        <f t="shared" si="45"/>
        <v>0</v>
      </c>
      <c r="C80" s="412">
        <f t="shared" si="46"/>
        <v>0</v>
      </c>
      <c r="D80" s="396" t="e">
        <f t="shared" si="43"/>
        <v>#REF!</v>
      </c>
      <c r="E80" s="405" t="e">
        <f t="shared" si="44"/>
        <v>#REF!</v>
      </c>
      <c r="F80" s="415" t="e">
        <f t="shared" si="47"/>
        <v>#REF!</v>
      </c>
      <c r="G80" s="354">
        <f>'(당초)집계표'!H24</f>
        <v>0</v>
      </c>
      <c r="H80" s="179">
        <f>'(당초)집계표'!J24</f>
        <v>0</v>
      </c>
      <c r="I80" s="356" t="e">
        <f>'(변경)집계표'!H24</f>
        <v>#REF!</v>
      </c>
      <c r="J80" s="352" t="e">
        <f>'(변경)집계표'!J24</f>
        <v>#REF!</v>
      </c>
      <c r="K80" s="354">
        <f>'(당초)집계표'!H54</f>
        <v>0</v>
      </c>
      <c r="L80" s="179">
        <f>'(당초)집계표'!J54</f>
        <v>0</v>
      </c>
      <c r="M80" s="356" t="e">
        <f>'(변경)집계표'!H54</f>
        <v>#REF!</v>
      </c>
      <c r="N80" s="352" t="e">
        <f>'(변경)집계표'!J54</f>
        <v>#REF!</v>
      </c>
      <c r="O80" s="354">
        <f>'(당초)집계표'!H84</f>
        <v>0</v>
      </c>
      <c r="P80" s="179">
        <f>'(당초)집계표'!J84</f>
        <v>0</v>
      </c>
      <c r="Q80" s="356" t="e">
        <f>'(변경)집계표'!H84</f>
        <v>#REF!</v>
      </c>
      <c r="R80" s="352" t="e">
        <f>'(변경)집계표'!J84</f>
        <v>#REF!</v>
      </c>
      <c r="S80" s="354">
        <f>'(당초)집계표'!H114</f>
        <v>0</v>
      </c>
      <c r="T80" s="179">
        <f>'(당초)집계표'!J114</f>
        <v>0</v>
      </c>
      <c r="U80" s="356" t="e">
        <f>'(변경)집계표'!H114</f>
        <v>#REF!</v>
      </c>
      <c r="V80" s="352" t="e">
        <f>'(변경)집계표'!J114</f>
        <v>#REF!</v>
      </c>
      <c r="W80" s="354">
        <f>'(당초)집계표'!H144</f>
        <v>0</v>
      </c>
      <c r="X80" s="140">
        <f>'(당초)집계표'!J144</f>
        <v>0</v>
      </c>
      <c r="Y80" s="356" t="e">
        <f>'(변경)집계표'!H144</f>
        <v>#REF!</v>
      </c>
      <c r="Z80" s="352" t="e">
        <f>'(변경)집계표'!J144</f>
        <v>#REF!</v>
      </c>
      <c r="AA80" s="128"/>
      <c r="AB80" s="6"/>
    </row>
    <row r="81" spans="1:28" s="7" customFormat="1" ht="22.5" customHeight="1">
      <c r="A81" s="129" t="s">
        <v>25</v>
      </c>
      <c r="B81" s="394">
        <f t="shared" si="45"/>
        <v>0</v>
      </c>
      <c r="C81" s="412">
        <f t="shared" si="46"/>
        <v>0</v>
      </c>
      <c r="D81" s="396" t="e">
        <f t="shared" si="43"/>
        <v>#REF!</v>
      </c>
      <c r="E81" s="405" t="e">
        <f t="shared" si="44"/>
        <v>#REF!</v>
      </c>
      <c r="F81" s="415" t="e">
        <f t="shared" si="47"/>
        <v>#REF!</v>
      </c>
      <c r="G81" s="354">
        <f>'(당초)집계표'!H25</f>
        <v>0</v>
      </c>
      <c r="H81" s="179">
        <f>'(당초)집계표'!J25</f>
        <v>0</v>
      </c>
      <c r="I81" s="356" t="e">
        <f>'(변경)집계표'!H25</f>
        <v>#REF!</v>
      </c>
      <c r="J81" s="352" t="e">
        <f>'(변경)집계표'!J25</f>
        <v>#REF!</v>
      </c>
      <c r="K81" s="354">
        <f>'(당초)집계표'!H55</f>
        <v>0</v>
      </c>
      <c r="L81" s="179">
        <f>'(당초)집계표'!J55</f>
        <v>0</v>
      </c>
      <c r="M81" s="356" t="e">
        <f>'(변경)집계표'!H55</f>
        <v>#REF!</v>
      </c>
      <c r="N81" s="352" t="e">
        <f>'(변경)집계표'!J55</f>
        <v>#REF!</v>
      </c>
      <c r="O81" s="354">
        <f>'(당초)집계표'!H85</f>
        <v>0</v>
      </c>
      <c r="P81" s="179">
        <f>'(당초)집계표'!J85</f>
        <v>0</v>
      </c>
      <c r="Q81" s="356" t="e">
        <f>'(변경)집계표'!H85</f>
        <v>#REF!</v>
      </c>
      <c r="R81" s="352" t="e">
        <f>'(변경)집계표'!J85</f>
        <v>#REF!</v>
      </c>
      <c r="S81" s="354">
        <f>'(당초)집계표'!H115</f>
        <v>0</v>
      </c>
      <c r="T81" s="179">
        <f>'(당초)집계표'!J115</f>
        <v>0</v>
      </c>
      <c r="U81" s="356" t="e">
        <f>'(변경)집계표'!H115</f>
        <v>#REF!</v>
      </c>
      <c r="V81" s="352" t="e">
        <f>'(변경)집계표'!J115</f>
        <v>#REF!</v>
      </c>
      <c r="W81" s="354">
        <f>'(당초)집계표'!H145</f>
        <v>0</v>
      </c>
      <c r="X81" s="140">
        <f>'(당초)집계표'!J145</f>
        <v>0</v>
      </c>
      <c r="Y81" s="356" t="e">
        <f>'(변경)집계표'!H145</f>
        <v>#REF!</v>
      </c>
      <c r="Z81" s="352" t="e">
        <f>'(변경)집계표'!J145</f>
        <v>#REF!</v>
      </c>
      <c r="AA81" s="128"/>
      <c r="AB81" s="6"/>
    </row>
    <row r="82" spans="1:28" s="7" customFormat="1" ht="22.5" customHeight="1">
      <c r="A82" s="129" t="s">
        <v>26</v>
      </c>
      <c r="B82" s="394">
        <f t="shared" si="45"/>
        <v>0</v>
      </c>
      <c r="C82" s="412">
        <f t="shared" si="46"/>
        <v>0</v>
      </c>
      <c r="D82" s="396" t="e">
        <f t="shared" si="43"/>
        <v>#REF!</v>
      </c>
      <c r="E82" s="405" t="e">
        <f t="shared" si="44"/>
        <v>#REF!</v>
      </c>
      <c r="F82" s="415" t="e">
        <f t="shared" si="47"/>
        <v>#REF!</v>
      </c>
      <c r="G82" s="354">
        <f>'(당초)집계표'!H26</f>
        <v>0</v>
      </c>
      <c r="H82" s="179">
        <f>'(당초)집계표'!J26</f>
        <v>0</v>
      </c>
      <c r="I82" s="356" t="e">
        <f>'(변경)집계표'!H26</f>
        <v>#REF!</v>
      </c>
      <c r="J82" s="352" t="e">
        <f>'(변경)집계표'!J26</f>
        <v>#REF!</v>
      </c>
      <c r="K82" s="354">
        <f>'(당초)집계표'!H56</f>
        <v>0</v>
      </c>
      <c r="L82" s="179">
        <f>'(당초)집계표'!J56</f>
        <v>0</v>
      </c>
      <c r="M82" s="356" t="e">
        <f>'(변경)집계표'!H56</f>
        <v>#REF!</v>
      </c>
      <c r="N82" s="352" t="e">
        <f>'(변경)집계표'!J56</f>
        <v>#REF!</v>
      </c>
      <c r="O82" s="354">
        <f>'(당초)집계표'!H86</f>
        <v>0</v>
      </c>
      <c r="P82" s="179">
        <f>'(당초)집계표'!J86</f>
        <v>0</v>
      </c>
      <c r="Q82" s="356" t="e">
        <f>'(변경)집계표'!H86</f>
        <v>#REF!</v>
      </c>
      <c r="R82" s="352" t="e">
        <f>'(변경)집계표'!J86</f>
        <v>#REF!</v>
      </c>
      <c r="S82" s="354">
        <f>'(당초)집계표'!H116</f>
        <v>0</v>
      </c>
      <c r="T82" s="179">
        <f>'(당초)집계표'!J116</f>
        <v>0</v>
      </c>
      <c r="U82" s="356" t="e">
        <f>'(변경)집계표'!H116</f>
        <v>#REF!</v>
      </c>
      <c r="V82" s="352" t="e">
        <f>'(변경)집계표'!J116</f>
        <v>#REF!</v>
      </c>
      <c r="W82" s="354">
        <f>'(당초)집계표'!H146</f>
        <v>0</v>
      </c>
      <c r="X82" s="140">
        <f>'(당초)집계표'!J146</f>
        <v>0</v>
      </c>
      <c r="Y82" s="356" t="e">
        <f>'(변경)집계표'!H146</f>
        <v>#REF!</v>
      </c>
      <c r="Z82" s="352" t="e">
        <f>'(변경)집계표'!J146</f>
        <v>#REF!</v>
      </c>
      <c r="AA82" s="128"/>
      <c r="AB82" s="6"/>
    </row>
    <row r="83" spans="1:28" s="7" customFormat="1" ht="22.5" customHeight="1">
      <c r="A83" s="129" t="s">
        <v>27</v>
      </c>
      <c r="B83" s="394">
        <f t="shared" si="45"/>
        <v>0</v>
      </c>
      <c r="C83" s="412">
        <f t="shared" si="46"/>
        <v>0</v>
      </c>
      <c r="D83" s="396" t="e">
        <f t="shared" si="43"/>
        <v>#REF!</v>
      </c>
      <c r="E83" s="405" t="e">
        <f t="shared" si="44"/>
        <v>#REF!</v>
      </c>
      <c r="F83" s="415" t="e">
        <f t="shared" si="47"/>
        <v>#REF!</v>
      </c>
      <c r="G83" s="354">
        <f>'(당초)집계표'!H27</f>
        <v>0</v>
      </c>
      <c r="H83" s="179">
        <f>'(당초)집계표'!J27</f>
        <v>0</v>
      </c>
      <c r="I83" s="356" t="e">
        <f>'(변경)집계표'!H27</f>
        <v>#REF!</v>
      </c>
      <c r="J83" s="352" t="e">
        <f>'(변경)집계표'!J27</f>
        <v>#REF!</v>
      </c>
      <c r="K83" s="354">
        <f>'(당초)집계표'!H57</f>
        <v>0</v>
      </c>
      <c r="L83" s="179">
        <f>'(당초)집계표'!J57</f>
        <v>0</v>
      </c>
      <c r="M83" s="356" t="e">
        <f>'(변경)집계표'!H57</f>
        <v>#REF!</v>
      </c>
      <c r="N83" s="352" t="e">
        <f>'(변경)집계표'!J57</f>
        <v>#REF!</v>
      </c>
      <c r="O83" s="354">
        <f>'(당초)집계표'!H87</f>
        <v>0</v>
      </c>
      <c r="P83" s="179">
        <f>'(당초)집계표'!J87</f>
        <v>0</v>
      </c>
      <c r="Q83" s="356" t="e">
        <f>'(변경)집계표'!H87</f>
        <v>#REF!</v>
      </c>
      <c r="R83" s="352" t="e">
        <f>'(변경)집계표'!J87</f>
        <v>#REF!</v>
      </c>
      <c r="S83" s="354">
        <f>'(당초)집계표'!H117</f>
        <v>0</v>
      </c>
      <c r="T83" s="179">
        <f>'(당초)집계표'!J117</f>
        <v>0</v>
      </c>
      <c r="U83" s="356" t="e">
        <f>'(변경)집계표'!H117</f>
        <v>#REF!</v>
      </c>
      <c r="V83" s="352" t="e">
        <f>'(변경)집계표'!J117</f>
        <v>#REF!</v>
      </c>
      <c r="W83" s="354">
        <f>'(당초)집계표'!H147</f>
        <v>0</v>
      </c>
      <c r="X83" s="140">
        <f>'(당초)집계표'!J147</f>
        <v>0</v>
      </c>
      <c r="Y83" s="356" t="e">
        <f>'(변경)집계표'!H147</f>
        <v>#REF!</v>
      </c>
      <c r="Z83" s="352" t="e">
        <f>'(변경)집계표'!J147</f>
        <v>#REF!</v>
      </c>
      <c r="AA83" s="128"/>
      <c r="AB83" s="6"/>
    </row>
    <row r="84" spans="1:28" s="7" customFormat="1" ht="22.5" customHeight="1">
      <c r="A84" s="129" t="s">
        <v>28</v>
      </c>
      <c r="B84" s="394">
        <f t="shared" si="45"/>
        <v>0</v>
      </c>
      <c r="C84" s="412">
        <f t="shared" si="46"/>
        <v>0</v>
      </c>
      <c r="D84" s="396" t="e">
        <f t="shared" si="43"/>
        <v>#REF!</v>
      </c>
      <c r="E84" s="405" t="e">
        <f t="shared" si="44"/>
        <v>#REF!</v>
      </c>
      <c r="F84" s="415" t="e">
        <f t="shared" si="47"/>
        <v>#REF!</v>
      </c>
      <c r="G84" s="354">
        <f>'(당초)집계표'!H28</f>
        <v>0</v>
      </c>
      <c r="H84" s="179">
        <f>'(당초)집계표'!J28</f>
        <v>0</v>
      </c>
      <c r="I84" s="356" t="e">
        <f>'(변경)집계표'!H28</f>
        <v>#REF!</v>
      </c>
      <c r="J84" s="352" t="e">
        <f>'(변경)집계표'!J28</f>
        <v>#REF!</v>
      </c>
      <c r="K84" s="354">
        <f>'(당초)집계표'!H58</f>
        <v>0</v>
      </c>
      <c r="L84" s="179">
        <f>'(당초)집계표'!J58</f>
        <v>0</v>
      </c>
      <c r="M84" s="356" t="e">
        <f>'(변경)집계표'!H58</f>
        <v>#REF!</v>
      </c>
      <c r="N84" s="352" t="e">
        <f>'(변경)집계표'!J58</f>
        <v>#REF!</v>
      </c>
      <c r="O84" s="354">
        <f>'(당초)집계표'!H88</f>
        <v>0</v>
      </c>
      <c r="P84" s="179">
        <f>'(당초)집계표'!J88</f>
        <v>0</v>
      </c>
      <c r="Q84" s="356" t="e">
        <f>'(변경)집계표'!H88</f>
        <v>#REF!</v>
      </c>
      <c r="R84" s="352" t="e">
        <f>'(변경)집계표'!J88</f>
        <v>#REF!</v>
      </c>
      <c r="S84" s="354">
        <f>'(당초)집계표'!H118</f>
        <v>0</v>
      </c>
      <c r="T84" s="179">
        <f>'(당초)집계표'!J118</f>
        <v>0</v>
      </c>
      <c r="U84" s="356" t="e">
        <f>'(변경)집계표'!H118</f>
        <v>#REF!</v>
      </c>
      <c r="V84" s="352" t="e">
        <f>'(변경)집계표'!J118</f>
        <v>#REF!</v>
      </c>
      <c r="W84" s="354">
        <f>'(당초)집계표'!H148</f>
        <v>0</v>
      </c>
      <c r="X84" s="140">
        <f>'(당초)집계표'!J148</f>
        <v>0</v>
      </c>
      <c r="Y84" s="356" t="e">
        <f>'(변경)집계표'!H148</f>
        <v>#REF!</v>
      </c>
      <c r="Z84" s="352" t="e">
        <f>'(변경)집계표'!J148</f>
        <v>#REF!</v>
      </c>
      <c r="AA84" s="128"/>
      <c r="AB84" s="6"/>
    </row>
    <row r="85" spans="1:28" s="7" customFormat="1" ht="22.5" customHeight="1">
      <c r="A85" s="129" t="s">
        <v>60</v>
      </c>
      <c r="B85" s="394">
        <f t="shared" si="45"/>
        <v>0</v>
      </c>
      <c r="C85" s="412">
        <f t="shared" si="46"/>
        <v>0</v>
      </c>
      <c r="D85" s="396" t="e">
        <f t="shared" si="43"/>
        <v>#REF!</v>
      </c>
      <c r="E85" s="405" t="e">
        <f t="shared" si="44"/>
        <v>#REF!</v>
      </c>
      <c r="F85" s="415" t="e">
        <f t="shared" si="47"/>
        <v>#REF!</v>
      </c>
      <c r="G85" s="354">
        <f>'(당초)집계표'!H29</f>
        <v>0</v>
      </c>
      <c r="H85" s="179">
        <f>'(당초)집계표'!J29</f>
        <v>0</v>
      </c>
      <c r="I85" s="356" t="e">
        <f>'(변경)집계표'!H29</f>
        <v>#REF!</v>
      </c>
      <c r="J85" s="352" t="e">
        <f>'(변경)집계표'!J29</f>
        <v>#REF!</v>
      </c>
      <c r="K85" s="354">
        <f>'(당초)집계표'!H59</f>
        <v>0</v>
      </c>
      <c r="L85" s="179">
        <f>'(당초)집계표'!J59</f>
        <v>0</v>
      </c>
      <c r="M85" s="356" t="e">
        <f>'(변경)집계표'!H59</f>
        <v>#REF!</v>
      </c>
      <c r="N85" s="352" t="e">
        <f>'(변경)집계표'!J59</f>
        <v>#REF!</v>
      </c>
      <c r="O85" s="354">
        <f>'(당초)집계표'!H89</f>
        <v>0</v>
      </c>
      <c r="P85" s="179">
        <f>'(당초)집계표'!J89</f>
        <v>0</v>
      </c>
      <c r="Q85" s="356" t="e">
        <f>'(변경)집계표'!H89</f>
        <v>#REF!</v>
      </c>
      <c r="R85" s="352" t="e">
        <f>'(변경)집계표'!J89</f>
        <v>#REF!</v>
      </c>
      <c r="S85" s="354">
        <f>'(당초)집계표'!H119</f>
        <v>0</v>
      </c>
      <c r="T85" s="179">
        <f>'(당초)집계표'!J119</f>
        <v>0</v>
      </c>
      <c r="U85" s="356" t="e">
        <f>'(변경)집계표'!H119</f>
        <v>#REF!</v>
      </c>
      <c r="V85" s="352" t="e">
        <f>'(변경)집계표'!J119</f>
        <v>#REF!</v>
      </c>
      <c r="W85" s="354">
        <f>'(당초)집계표'!H149</f>
        <v>0</v>
      </c>
      <c r="X85" s="140">
        <f>'(당초)집계표'!J149</f>
        <v>0</v>
      </c>
      <c r="Y85" s="356" t="e">
        <f>'(변경)집계표'!H149</f>
        <v>#REF!</v>
      </c>
      <c r="Z85" s="352" t="e">
        <f>'(변경)집계표'!J149</f>
        <v>#REF!</v>
      </c>
      <c r="AA85" s="128"/>
      <c r="AB85" s="6"/>
    </row>
    <row r="86" spans="1:28" s="7" customFormat="1" ht="22.5" customHeight="1">
      <c r="A86" s="129" t="s">
        <v>70</v>
      </c>
      <c r="B86" s="394">
        <f t="shared" si="45"/>
        <v>2</v>
      </c>
      <c r="C86" s="412">
        <f t="shared" si="46"/>
        <v>452</v>
      </c>
      <c r="D86" s="396" t="e">
        <f t="shared" si="43"/>
        <v>#REF!</v>
      </c>
      <c r="E86" s="405" t="e">
        <f t="shared" si="44"/>
        <v>#REF!</v>
      </c>
      <c r="F86" s="415" t="e">
        <f t="shared" si="47"/>
        <v>#REF!</v>
      </c>
      <c r="G86" s="354">
        <f>'(당초)집계표'!H30</f>
        <v>0</v>
      </c>
      <c r="H86" s="179">
        <f>'(당초)집계표'!J30</f>
        <v>0</v>
      </c>
      <c r="I86" s="356" t="e">
        <f>'(변경)집계표'!H30</f>
        <v>#REF!</v>
      </c>
      <c r="J86" s="352" t="e">
        <f>'(변경)집계표'!J30</f>
        <v>#REF!</v>
      </c>
      <c r="K86" s="354">
        <f>'(당초)집계표'!H60</f>
        <v>1</v>
      </c>
      <c r="L86" s="179">
        <f>'(당초)집계표'!J60</f>
        <v>436</v>
      </c>
      <c r="M86" s="356" t="e">
        <f>'(변경)집계표'!H60</f>
        <v>#REF!</v>
      </c>
      <c r="N86" s="352" t="e">
        <f>'(변경)집계표'!J60</f>
        <v>#REF!</v>
      </c>
      <c r="O86" s="354">
        <f>'(당초)집계표'!H90</f>
        <v>1</v>
      </c>
      <c r="P86" s="179">
        <f>'(당초)집계표'!J90</f>
        <v>16</v>
      </c>
      <c r="Q86" s="356" t="e">
        <f>'(변경)집계표'!H90</f>
        <v>#REF!</v>
      </c>
      <c r="R86" s="352" t="e">
        <f>'(변경)집계표'!J90</f>
        <v>#REF!</v>
      </c>
      <c r="S86" s="354">
        <f>'(당초)집계표'!H120</f>
        <v>0</v>
      </c>
      <c r="T86" s="179">
        <f>'(당초)집계표'!J120</f>
        <v>0</v>
      </c>
      <c r="U86" s="356" t="e">
        <f>'(변경)집계표'!H120</f>
        <v>#REF!</v>
      </c>
      <c r="V86" s="352" t="e">
        <f>'(변경)집계표'!J120</f>
        <v>#REF!</v>
      </c>
      <c r="W86" s="354">
        <f>'(당초)집계표'!H150</f>
        <v>0</v>
      </c>
      <c r="X86" s="140">
        <f>'(당초)집계표'!J150</f>
        <v>0</v>
      </c>
      <c r="Y86" s="356" t="e">
        <f>'(변경)집계표'!H150</f>
        <v>#REF!</v>
      </c>
      <c r="Z86" s="352" t="e">
        <f>'(변경)집계표'!J150</f>
        <v>#REF!</v>
      </c>
      <c r="AA86" s="128"/>
      <c r="AB86" s="6"/>
    </row>
    <row r="87" spans="1:28" s="7" customFormat="1" ht="22.5" customHeight="1" thickBot="1">
      <c r="A87" s="130" t="s">
        <v>62</v>
      </c>
      <c r="B87" s="399">
        <f t="shared" si="45"/>
        <v>0</v>
      </c>
      <c r="C87" s="413">
        <f t="shared" si="46"/>
        <v>0</v>
      </c>
      <c r="D87" s="401" t="e">
        <f t="shared" si="43"/>
        <v>#REF!</v>
      </c>
      <c r="E87" s="414" t="e">
        <f t="shared" si="44"/>
        <v>#REF!</v>
      </c>
      <c r="F87" s="415" t="e">
        <f t="shared" si="47"/>
        <v>#REF!</v>
      </c>
      <c r="G87" s="355">
        <f>'(당초)집계표'!H31</f>
        <v>0</v>
      </c>
      <c r="H87" s="180">
        <f>'(당초)집계표'!J31</f>
        <v>0</v>
      </c>
      <c r="I87" s="355" t="e">
        <f>'(변경)집계표'!H31</f>
        <v>#REF!</v>
      </c>
      <c r="J87" s="180" t="e">
        <f>'(변경)집계표'!J31</f>
        <v>#REF!</v>
      </c>
      <c r="K87" s="355">
        <f>'(당초)집계표'!H61</f>
        <v>0</v>
      </c>
      <c r="L87" s="180">
        <f>'(당초)집계표'!J61</f>
        <v>0</v>
      </c>
      <c r="M87" s="355" t="e">
        <f>'(변경)집계표'!H61</f>
        <v>#REF!</v>
      </c>
      <c r="N87" s="180" t="e">
        <f>'(변경)집계표'!J61</f>
        <v>#REF!</v>
      </c>
      <c r="O87" s="355">
        <f>'(당초)집계표'!H91</f>
        <v>0</v>
      </c>
      <c r="P87" s="180">
        <f>'(당초)집계표'!J91</f>
        <v>0</v>
      </c>
      <c r="Q87" s="355" t="e">
        <f>'(변경)집계표'!H91</f>
        <v>#REF!</v>
      </c>
      <c r="R87" s="180" t="e">
        <f>'(변경)집계표'!J91</f>
        <v>#REF!</v>
      </c>
      <c r="S87" s="355">
        <f>'(당초)집계표'!H121</f>
        <v>0</v>
      </c>
      <c r="T87" s="180">
        <f>'(당초)집계표'!J121</f>
        <v>0</v>
      </c>
      <c r="U87" s="355" t="e">
        <f>'(변경)집계표'!H121</f>
        <v>#REF!</v>
      </c>
      <c r="V87" s="180" t="e">
        <f>'(변경)집계표'!J121</f>
        <v>#REF!</v>
      </c>
      <c r="W87" s="355">
        <f>'(당초)집계표'!H151</f>
        <v>0</v>
      </c>
      <c r="X87" s="141">
        <f>'(당초)집계표'!J151</f>
        <v>0</v>
      </c>
      <c r="Y87" s="355" t="e">
        <f>'(변경)집계표'!H151</f>
        <v>#REF!</v>
      </c>
      <c r="Z87" s="180" t="e">
        <f>'(변경)집계표'!J151</f>
        <v>#REF!</v>
      </c>
      <c r="AA87" s="133"/>
      <c r="AB87" s="6"/>
    </row>
    <row r="88" spans="1:28" s="5" customFormat="1" ht="27.95" customHeight="1" thickBot="1">
      <c r="A88" s="365" t="s">
        <v>1437</v>
      </c>
      <c r="B88" s="366"/>
      <c r="C88" s="367"/>
      <c r="D88" s="366"/>
      <c r="E88" s="368"/>
      <c r="F88" s="368"/>
      <c r="G88" s="369"/>
      <c r="H88" s="368"/>
      <c r="I88" s="368"/>
      <c r="J88" s="368"/>
      <c r="K88" s="369"/>
      <c r="L88" s="368"/>
      <c r="M88" s="368"/>
      <c r="N88" s="368"/>
      <c r="O88" s="369"/>
      <c r="P88" s="368"/>
      <c r="Q88" s="368"/>
      <c r="R88" s="368"/>
      <c r="S88" s="369"/>
      <c r="T88" s="368"/>
      <c r="U88" s="368"/>
      <c r="V88" s="368"/>
      <c r="W88" s="369"/>
      <c r="X88" s="371" t="s">
        <v>1430</v>
      </c>
      <c r="Y88" s="367"/>
      <c r="Z88" s="367"/>
      <c r="AA88" s="366"/>
    </row>
    <row r="89" spans="1:28" s="7" customFormat="1" ht="30" customHeight="1">
      <c r="A89" s="482" t="s">
        <v>3</v>
      </c>
      <c r="B89" s="477" t="s">
        <v>1423</v>
      </c>
      <c r="C89" s="478"/>
      <c r="D89" s="478"/>
      <c r="E89" s="478"/>
      <c r="F89" s="479"/>
      <c r="G89" s="120" t="s">
        <v>1425</v>
      </c>
      <c r="H89" s="182"/>
      <c r="I89" s="353"/>
      <c r="J89" s="353"/>
      <c r="K89" s="120" t="s">
        <v>1426</v>
      </c>
      <c r="L89" s="182"/>
      <c r="M89" s="353"/>
      <c r="N89" s="353"/>
      <c r="O89" s="120" t="s">
        <v>1427</v>
      </c>
      <c r="P89" s="182"/>
      <c r="Q89" s="353"/>
      <c r="R89" s="353"/>
      <c r="S89" s="120" t="s">
        <v>1428</v>
      </c>
      <c r="T89" s="182"/>
      <c r="U89" s="353"/>
      <c r="V89" s="353"/>
      <c r="W89" s="120" t="s">
        <v>1429</v>
      </c>
      <c r="X89" s="143"/>
      <c r="Y89" s="357"/>
      <c r="Z89" s="357"/>
      <c r="AA89" s="471" t="s">
        <v>1424</v>
      </c>
      <c r="AB89" s="6"/>
    </row>
    <row r="90" spans="1:28" s="7" customFormat="1" ht="30" customHeight="1" thickBot="1">
      <c r="A90" s="483"/>
      <c r="B90" s="473" t="s">
        <v>1420</v>
      </c>
      <c r="C90" s="474"/>
      <c r="D90" s="475" t="s">
        <v>446</v>
      </c>
      <c r="E90" s="476"/>
      <c r="F90" s="404" t="s">
        <v>1421</v>
      </c>
      <c r="G90" s="480" t="s">
        <v>1420</v>
      </c>
      <c r="H90" s="481"/>
      <c r="I90" s="480" t="s">
        <v>446</v>
      </c>
      <c r="J90" s="481"/>
      <c r="K90" s="480" t="s">
        <v>1420</v>
      </c>
      <c r="L90" s="481"/>
      <c r="M90" s="480" t="s">
        <v>446</v>
      </c>
      <c r="N90" s="481"/>
      <c r="O90" s="480" t="s">
        <v>1420</v>
      </c>
      <c r="P90" s="481"/>
      <c r="Q90" s="480" t="s">
        <v>446</v>
      </c>
      <c r="R90" s="481"/>
      <c r="S90" s="480" t="s">
        <v>1420</v>
      </c>
      <c r="T90" s="481"/>
      <c r="U90" s="480" t="s">
        <v>446</v>
      </c>
      <c r="V90" s="481"/>
      <c r="W90" s="480" t="s">
        <v>1420</v>
      </c>
      <c r="X90" s="481"/>
      <c r="Y90" s="480" t="s">
        <v>446</v>
      </c>
      <c r="Z90" s="481"/>
      <c r="AA90" s="472"/>
      <c r="AB90" s="6"/>
    </row>
    <row r="91" spans="1:28" s="6" customFormat="1" ht="22.5" customHeight="1" thickTop="1">
      <c r="A91" s="358" t="s">
        <v>2</v>
      </c>
      <c r="B91" s="389">
        <f t="shared" ref="B91:Z91" si="48">SUM(B92:B116)</f>
        <v>53</v>
      </c>
      <c r="C91" s="390">
        <f t="shared" ca="1" si="48"/>
        <v>13047.000000000009</v>
      </c>
      <c r="D91" s="391" t="e">
        <f t="shared" si="48"/>
        <v>#REF!</v>
      </c>
      <c r="E91" s="392" t="e">
        <f t="shared" si="48"/>
        <v>#REF!</v>
      </c>
      <c r="F91" s="393" t="e">
        <f t="shared" ca="1" si="48"/>
        <v>#REF!</v>
      </c>
      <c r="G91" s="359">
        <f t="shared" si="48"/>
        <v>38</v>
      </c>
      <c r="H91" s="361">
        <f t="shared" ca="1" si="48"/>
        <v>4445.0000000000009</v>
      </c>
      <c r="I91" s="359" t="e">
        <f t="shared" si="48"/>
        <v>#REF!</v>
      </c>
      <c r="J91" s="361" t="e">
        <f t="shared" si="48"/>
        <v>#REF!</v>
      </c>
      <c r="K91" s="359">
        <f t="shared" si="48"/>
        <v>2</v>
      </c>
      <c r="L91" s="361">
        <f t="shared" si="48"/>
        <v>1060.0000000000009</v>
      </c>
      <c r="M91" s="359" t="e">
        <f t="shared" si="48"/>
        <v>#REF!</v>
      </c>
      <c r="N91" s="361" t="e">
        <f t="shared" si="48"/>
        <v>#REF!</v>
      </c>
      <c r="O91" s="359">
        <f t="shared" si="48"/>
        <v>7</v>
      </c>
      <c r="P91" s="361">
        <f t="shared" si="48"/>
        <v>4243.0000000000055</v>
      </c>
      <c r="Q91" s="359" t="e">
        <f t="shared" si="48"/>
        <v>#REF!</v>
      </c>
      <c r="R91" s="361" t="e">
        <f t="shared" si="48"/>
        <v>#REF!</v>
      </c>
      <c r="S91" s="359">
        <f t="shared" si="48"/>
        <v>4</v>
      </c>
      <c r="T91" s="361">
        <f t="shared" si="48"/>
        <v>575.00000000000182</v>
      </c>
      <c r="U91" s="359" t="e">
        <f t="shared" si="48"/>
        <v>#REF!</v>
      </c>
      <c r="V91" s="361" t="e">
        <f t="shared" si="48"/>
        <v>#REF!</v>
      </c>
      <c r="W91" s="359">
        <f t="shared" si="48"/>
        <v>2</v>
      </c>
      <c r="X91" s="361">
        <f t="shared" si="48"/>
        <v>2724</v>
      </c>
      <c r="Y91" s="359" t="e">
        <f t="shared" si="48"/>
        <v>#REF!</v>
      </c>
      <c r="Z91" s="361" t="e">
        <f t="shared" si="48"/>
        <v>#REF!</v>
      </c>
      <c r="AA91" s="362"/>
    </row>
    <row r="92" spans="1:28" s="6" customFormat="1" ht="22.5" customHeight="1">
      <c r="A92" s="125" t="s">
        <v>7</v>
      </c>
      <c r="B92" s="394">
        <f>SUM(G92,K92,O92,S92,W92)</f>
        <v>9</v>
      </c>
      <c r="C92" s="395">
        <f ca="1">SUM(H92,L92,P92,T92,X92)</f>
        <v>1875</v>
      </c>
      <c r="D92" s="396" t="e">
        <f>SUM(I92,M92,Q92,U92)</f>
        <v>#REF!</v>
      </c>
      <c r="E92" s="397" t="e">
        <f>SUM(J92,N92,R92,V92)</f>
        <v>#REF!</v>
      </c>
      <c r="F92" s="398" t="e">
        <f ca="1">E92-C92</f>
        <v>#REF!</v>
      </c>
      <c r="G92" s="356">
        <f>'(당초)집계표'!K7</f>
        <v>7</v>
      </c>
      <c r="H92" s="352">
        <f ca="1">'(당초)집계표'!M7</f>
        <v>358</v>
      </c>
      <c r="I92" s="356" t="e">
        <f>'(변경)집계표'!K7</f>
        <v>#REF!</v>
      </c>
      <c r="J92" s="352" t="e">
        <f>'(변경)집계표'!M7</f>
        <v>#REF!</v>
      </c>
      <c r="K92" s="356">
        <f>'(당초)집계표'!K37</f>
        <v>0</v>
      </c>
      <c r="L92" s="352">
        <f>'(당초)집계표'!M37</f>
        <v>0</v>
      </c>
      <c r="M92" s="356" t="e">
        <f>'(변경)집계표'!K37</f>
        <v>#REF!</v>
      </c>
      <c r="N92" s="352" t="e">
        <f>'(변경)집계표'!M37</f>
        <v>#REF!</v>
      </c>
      <c r="O92" s="356">
        <f>'(당초)집계표'!K67</f>
        <v>1</v>
      </c>
      <c r="P92" s="352">
        <f>'(당초)집계표'!M67</f>
        <v>1474</v>
      </c>
      <c r="Q92" s="356" t="e">
        <f>'(변경)집계표'!K67</f>
        <v>#REF!</v>
      </c>
      <c r="R92" s="352" t="e">
        <f>'(변경)집계표'!M67</f>
        <v>#REF!</v>
      </c>
      <c r="S92" s="356">
        <f>'(당초)집계표'!K97</f>
        <v>1</v>
      </c>
      <c r="T92" s="352">
        <f>'(당초)집계표'!M97</f>
        <v>43</v>
      </c>
      <c r="U92" s="356" t="e">
        <f>'(변경)집계표'!K97</f>
        <v>#REF!</v>
      </c>
      <c r="V92" s="352" t="e">
        <f>'(변경)집계표'!M97</f>
        <v>#REF!</v>
      </c>
      <c r="W92" s="356">
        <f>'(당초)집계표'!K127</f>
        <v>0</v>
      </c>
      <c r="X92" s="139">
        <f>'(당초)집계표'!M127</f>
        <v>0</v>
      </c>
      <c r="Y92" s="356" t="e">
        <f>'(변경)집계표'!K127</f>
        <v>#REF!</v>
      </c>
      <c r="Z92" s="139" t="e">
        <f>'(변경)집계표'!M127</f>
        <v>#REF!</v>
      </c>
      <c r="AA92" s="126"/>
    </row>
    <row r="93" spans="1:28" s="6" customFormat="1" ht="22.5" customHeight="1">
      <c r="A93" s="127" t="s">
        <v>8</v>
      </c>
      <c r="B93" s="394">
        <f t="shared" ref="B93:B116" si="49">SUM(G93,K93,O93,S93,W93)</f>
        <v>19</v>
      </c>
      <c r="C93" s="395">
        <f t="shared" ref="C93:C116" ca="1" si="50">SUM(H93,L93,P93,T93,X93)</f>
        <v>2979.0000000000036</v>
      </c>
      <c r="D93" s="396" t="e">
        <f t="shared" ref="D93:D116" si="51">SUM(I93,M93,Q93,U93)</f>
        <v>#REF!</v>
      </c>
      <c r="E93" s="397" t="e">
        <f t="shared" ref="E93:E116" si="52">SUM(J93,N93,R93,V93)</f>
        <v>#REF!</v>
      </c>
      <c r="F93" s="398" t="e">
        <f t="shared" ref="F93:F116" ca="1" si="53">E93-C93</f>
        <v>#REF!</v>
      </c>
      <c r="G93" s="354">
        <f>'(당초)집계표'!K8</f>
        <v>18</v>
      </c>
      <c r="H93" s="179">
        <f ca="1">'(당초)집계표'!M8</f>
        <v>2936</v>
      </c>
      <c r="I93" s="356" t="e">
        <f>'(변경)집계표'!K8</f>
        <v>#REF!</v>
      </c>
      <c r="J93" s="352" t="e">
        <f>'(변경)집계표'!M8</f>
        <v>#REF!</v>
      </c>
      <c r="K93" s="354">
        <f>'(당초)집계표'!K38</f>
        <v>0</v>
      </c>
      <c r="L93" s="179">
        <f>'(당초)집계표'!M38</f>
        <v>0</v>
      </c>
      <c r="M93" s="356" t="e">
        <f>'(변경)집계표'!K38</f>
        <v>#REF!</v>
      </c>
      <c r="N93" s="352" t="e">
        <f>'(변경)집계표'!M38</f>
        <v>#REF!</v>
      </c>
      <c r="O93" s="354">
        <f>'(당초)집계표'!K68</f>
        <v>1</v>
      </c>
      <c r="P93" s="179">
        <f>'(당초)집계표'!M68</f>
        <v>43.000000000003638</v>
      </c>
      <c r="Q93" s="356" t="e">
        <f>'(변경)집계표'!K68</f>
        <v>#REF!</v>
      </c>
      <c r="R93" s="352" t="e">
        <f>'(변경)집계표'!M68</f>
        <v>#REF!</v>
      </c>
      <c r="S93" s="354">
        <f>'(당초)집계표'!K98</f>
        <v>0</v>
      </c>
      <c r="T93" s="179">
        <f>'(당초)집계표'!M98</f>
        <v>0</v>
      </c>
      <c r="U93" s="356" t="e">
        <f>'(변경)집계표'!K98</f>
        <v>#REF!</v>
      </c>
      <c r="V93" s="352" t="e">
        <f>'(변경)집계표'!M98</f>
        <v>#REF!</v>
      </c>
      <c r="W93" s="354">
        <f>'(당초)집계표'!K128</f>
        <v>0</v>
      </c>
      <c r="X93" s="140">
        <f>'(당초)집계표'!M128</f>
        <v>0</v>
      </c>
      <c r="Y93" s="356" t="e">
        <f>'(변경)집계표'!K128</f>
        <v>#REF!</v>
      </c>
      <c r="Z93" s="139" t="e">
        <f>'(변경)집계표'!M128</f>
        <v>#REF!</v>
      </c>
      <c r="AA93" s="128"/>
    </row>
    <row r="94" spans="1:28" s="6" customFormat="1" ht="22.5" customHeight="1">
      <c r="A94" s="127" t="s">
        <v>9</v>
      </c>
      <c r="B94" s="394">
        <f t="shared" si="49"/>
        <v>11</v>
      </c>
      <c r="C94" s="395">
        <f t="shared" ca="1" si="50"/>
        <v>5828</v>
      </c>
      <c r="D94" s="396" t="e">
        <f t="shared" si="51"/>
        <v>#REF!</v>
      </c>
      <c r="E94" s="397" t="e">
        <f t="shared" si="52"/>
        <v>#REF!</v>
      </c>
      <c r="F94" s="398" t="e">
        <f t="shared" ca="1" si="53"/>
        <v>#REF!</v>
      </c>
      <c r="G94" s="354">
        <f>'(당초)집계표'!K9</f>
        <v>3</v>
      </c>
      <c r="H94" s="179">
        <f ca="1">'(당초)집계표'!M9</f>
        <v>148</v>
      </c>
      <c r="I94" s="356" t="e">
        <f>'(변경)집계표'!K9</f>
        <v>#REF!</v>
      </c>
      <c r="J94" s="352" t="e">
        <f>'(변경)집계표'!M9</f>
        <v>#REF!</v>
      </c>
      <c r="K94" s="354">
        <f>'(당초)집계표'!K39</f>
        <v>1</v>
      </c>
      <c r="L94" s="179">
        <f>'(당초)집계표'!M39</f>
        <v>984</v>
      </c>
      <c r="M94" s="356" t="e">
        <f>'(변경)집계표'!K39</f>
        <v>#REF!</v>
      </c>
      <c r="N94" s="352" t="e">
        <f>'(변경)집계표'!M39</f>
        <v>#REF!</v>
      </c>
      <c r="O94" s="354">
        <f>'(당초)집계표'!K69</f>
        <v>2</v>
      </c>
      <c r="P94" s="179">
        <f>'(당초)집계표'!M69</f>
        <v>1440</v>
      </c>
      <c r="Q94" s="356" t="e">
        <f>'(변경)집계표'!K69</f>
        <v>#REF!</v>
      </c>
      <c r="R94" s="352" t="e">
        <f>'(변경)집계표'!M69</f>
        <v>#REF!</v>
      </c>
      <c r="S94" s="354">
        <f>'(당초)집계표'!K99</f>
        <v>3</v>
      </c>
      <c r="T94" s="179">
        <f>'(당초)집계표'!M99</f>
        <v>532</v>
      </c>
      <c r="U94" s="356" t="e">
        <f>'(변경)집계표'!K99</f>
        <v>#REF!</v>
      </c>
      <c r="V94" s="352" t="e">
        <f>'(변경)집계표'!M99</f>
        <v>#REF!</v>
      </c>
      <c r="W94" s="354">
        <f>'(당초)집계표'!K129</f>
        <v>2</v>
      </c>
      <c r="X94" s="140">
        <f>'(당초)집계표'!M129</f>
        <v>2724</v>
      </c>
      <c r="Y94" s="356" t="e">
        <f>'(변경)집계표'!K129</f>
        <v>#REF!</v>
      </c>
      <c r="Z94" s="139" t="e">
        <f>'(변경)집계표'!M129</f>
        <v>#REF!</v>
      </c>
      <c r="AA94" s="128"/>
    </row>
    <row r="95" spans="1:28" s="6" customFormat="1" ht="22.5" customHeight="1">
      <c r="A95" s="127" t="s">
        <v>10</v>
      </c>
      <c r="B95" s="394">
        <f t="shared" si="49"/>
        <v>5</v>
      </c>
      <c r="C95" s="395">
        <f t="shared" ca="1" si="50"/>
        <v>267</v>
      </c>
      <c r="D95" s="396" t="e">
        <f t="shared" si="51"/>
        <v>#REF!</v>
      </c>
      <c r="E95" s="397" t="e">
        <f t="shared" si="52"/>
        <v>#REF!</v>
      </c>
      <c r="F95" s="398" t="e">
        <f t="shared" ca="1" si="53"/>
        <v>#REF!</v>
      </c>
      <c r="G95" s="354">
        <f>'(당초)집계표'!K10</f>
        <v>5</v>
      </c>
      <c r="H95" s="179">
        <f ca="1">'(당초)집계표'!M10</f>
        <v>267</v>
      </c>
      <c r="I95" s="356" t="e">
        <f>'(변경)집계표'!K10</f>
        <v>#REF!</v>
      </c>
      <c r="J95" s="352" t="e">
        <f>'(변경)집계표'!M10</f>
        <v>#REF!</v>
      </c>
      <c r="K95" s="354">
        <f>'(당초)집계표'!K40</f>
        <v>0</v>
      </c>
      <c r="L95" s="179">
        <f>'(당초)집계표'!M40</f>
        <v>0</v>
      </c>
      <c r="M95" s="356" t="e">
        <f>'(변경)집계표'!K40</f>
        <v>#REF!</v>
      </c>
      <c r="N95" s="352" t="e">
        <f>'(변경)집계표'!M40</f>
        <v>#REF!</v>
      </c>
      <c r="O95" s="354">
        <f>'(당초)집계표'!K70</f>
        <v>0</v>
      </c>
      <c r="P95" s="179">
        <f>'(당초)집계표'!M70</f>
        <v>0</v>
      </c>
      <c r="Q95" s="356" t="e">
        <f>'(변경)집계표'!K70</f>
        <v>#REF!</v>
      </c>
      <c r="R95" s="352" t="e">
        <f>'(변경)집계표'!M70</f>
        <v>#REF!</v>
      </c>
      <c r="S95" s="354">
        <f>'(당초)집계표'!K100</f>
        <v>0</v>
      </c>
      <c r="T95" s="179">
        <f>'(당초)집계표'!M100</f>
        <v>0</v>
      </c>
      <c r="U95" s="356" t="e">
        <f>'(변경)집계표'!K100</f>
        <v>#REF!</v>
      </c>
      <c r="V95" s="352" t="e">
        <f>'(변경)집계표'!M100</f>
        <v>#REF!</v>
      </c>
      <c r="W95" s="354">
        <f>'(당초)집계표'!K130</f>
        <v>0</v>
      </c>
      <c r="X95" s="140">
        <f>'(당초)집계표'!M130</f>
        <v>0</v>
      </c>
      <c r="Y95" s="356" t="e">
        <f>'(변경)집계표'!K130</f>
        <v>#REF!</v>
      </c>
      <c r="Z95" s="139" t="e">
        <f>'(변경)집계표'!M130</f>
        <v>#REF!</v>
      </c>
      <c r="AA95" s="128"/>
    </row>
    <row r="96" spans="1:28" s="6" customFormat="1" ht="22.5" customHeight="1">
      <c r="A96" s="127" t="s">
        <v>11</v>
      </c>
      <c r="B96" s="394">
        <f t="shared" si="49"/>
        <v>5</v>
      </c>
      <c r="C96" s="395">
        <f t="shared" ca="1" si="50"/>
        <v>1580.0000000000055</v>
      </c>
      <c r="D96" s="396" t="e">
        <f t="shared" si="51"/>
        <v>#REF!</v>
      </c>
      <c r="E96" s="397" t="e">
        <f t="shared" si="52"/>
        <v>#REF!</v>
      </c>
      <c r="F96" s="398" t="e">
        <f t="shared" ca="1" si="53"/>
        <v>#REF!</v>
      </c>
      <c r="G96" s="354">
        <f>'(당초)집계표'!K11</f>
        <v>2</v>
      </c>
      <c r="H96" s="179">
        <f ca="1">'(당초)집계표'!M11</f>
        <v>317.00000000000091</v>
      </c>
      <c r="I96" s="356" t="e">
        <f>'(변경)집계표'!K11</f>
        <v>#REF!</v>
      </c>
      <c r="J96" s="352" t="e">
        <f>'(변경)집계표'!M11</f>
        <v>#REF!</v>
      </c>
      <c r="K96" s="354">
        <f>'(당초)집계표'!K41</f>
        <v>1</v>
      </c>
      <c r="L96" s="179">
        <f>'(당초)집계표'!M41</f>
        <v>76.000000000000909</v>
      </c>
      <c r="M96" s="356" t="e">
        <f>'(변경)집계표'!K41</f>
        <v>#REF!</v>
      </c>
      <c r="N96" s="352" t="e">
        <f>'(변경)집계표'!M41</f>
        <v>#REF!</v>
      </c>
      <c r="O96" s="354">
        <f>'(당초)집계표'!K71</f>
        <v>2</v>
      </c>
      <c r="P96" s="179">
        <f>'(당초)집계표'!M71</f>
        <v>1187.0000000000018</v>
      </c>
      <c r="Q96" s="356" t="e">
        <f>'(변경)집계표'!K71</f>
        <v>#REF!</v>
      </c>
      <c r="R96" s="352" t="e">
        <f>'(변경)집계표'!M71</f>
        <v>#REF!</v>
      </c>
      <c r="S96" s="354">
        <f>'(당초)집계표'!K101</f>
        <v>0</v>
      </c>
      <c r="T96" s="179">
        <f>'(당초)집계표'!M101</f>
        <v>1.8189894035458565E-12</v>
      </c>
      <c r="U96" s="356" t="e">
        <f>'(변경)집계표'!K101</f>
        <v>#REF!</v>
      </c>
      <c r="V96" s="352" t="e">
        <f>'(변경)집계표'!M101</f>
        <v>#REF!</v>
      </c>
      <c r="W96" s="354">
        <f>'(당초)집계표'!K131</f>
        <v>0</v>
      </c>
      <c r="X96" s="140">
        <f>'(당초)집계표'!M131</f>
        <v>0</v>
      </c>
      <c r="Y96" s="356" t="e">
        <f>'(변경)집계표'!K131</f>
        <v>#REF!</v>
      </c>
      <c r="Z96" s="139" t="e">
        <f>'(변경)집계표'!M131</f>
        <v>#REF!</v>
      </c>
      <c r="AA96" s="128"/>
    </row>
    <row r="97" spans="1:28" s="6" customFormat="1" ht="22.5" customHeight="1">
      <c r="A97" s="127" t="s">
        <v>12</v>
      </c>
      <c r="B97" s="394">
        <f t="shared" si="49"/>
        <v>0</v>
      </c>
      <c r="C97" s="395">
        <f t="shared" ca="1" si="50"/>
        <v>0</v>
      </c>
      <c r="D97" s="396" t="e">
        <f t="shared" si="51"/>
        <v>#REF!</v>
      </c>
      <c r="E97" s="397" t="e">
        <f t="shared" si="52"/>
        <v>#REF!</v>
      </c>
      <c r="F97" s="398" t="e">
        <f t="shared" ca="1" si="53"/>
        <v>#REF!</v>
      </c>
      <c r="G97" s="354">
        <f>'(당초)집계표'!K12</f>
        <v>0</v>
      </c>
      <c r="H97" s="179">
        <f ca="1">'(당초)집계표'!M12</f>
        <v>0</v>
      </c>
      <c r="I97" s="356" t="e">
        <f>'(변경)집계표'!K12</f>
        <v>#REF!</v>
      </c>
      <c r="J97" s="352" t="e">
        <f>'(변경)집계표'!M12</f>
        <v>#REF!</v>
      </c>
      <c r="K97" s="354">
        <f>'(당초)집계표'!K42</f>
        <v>0</v>
      </c>
      <c r="L97" s="179">
        <f>'(당초)집계표'!M42</f>
        <v>0</v>
      </c>
      <c r="M97" s="356" t="e">
        <f>'(변경)집계표'!K42</f>
        <v>#REF!</v>
      </c>
      <c r="N97" s="352" t="e">
        <f>'(변경)집계표'!M42</f>
        <v>#REF!</v>
      </c>
      <c r="O97" s="354">
        <f>'(당초)집계표'!K72</f>
        <v>0</v>
      </c>
      <c r="P97" s="179">
        <f>'(당초)집계표'!M72</f>
        <v>0</v>
      </c>
      <c r="Q97" s="356" t="e">
        <f>'(변경)집계표'!K72</f>
        <v>#REF!</v>
      </c>
      <c r="R97" s="352" t="e">
        <f>'(변경)집계표'!M72</f>
        <v>#REF!</v>
      </c>
      <c r="S97" s="354">
        <f>'(당초)집계표'!K102</f>
        <v>0</v>
      </c>
      <c r="T97" s="179">
        <f>'(당초)집계표'!M102</f>
        <v>0</v>
      </c>
      <c r="U97" s="356" t="e">
        <f>'(변경)집계표'!K102</f>
        <v>#REF!</v>
      </c>
      <c r="V97" s="352" t="e">
        <f>'(변경)집계표'!M102</f>
        <v>#REF!</v>
      </c>
      <c r="W97" s="354">
        <f>'(당초)집계표'!K132</f>
        <v>0</v>
      </c>
      <c r="X97" s="140">
        <f>'(당초)집계표'!M132</f>
        <v>0</v>
      </c>
      <c r="Y97" s="356" t="e">
        <f>'(변경)집계표'!K132</f>
        <v>#REF!</v>
      </c>
      <c r="Z97" s="139" t="e">
        <f>'(변경)집계표'!M132</f>
        <v>#REF!</v>
      </c>
      <c r="AA97" s="128"/>
    </row>
    <row r="98" spans="1:28" s="6" customFormat="1" ht="22.5" customHeight="1">
      <c r="A98" s="127" t="s">
        <v>13</v>
      </c>
      <c r="B98" s="394">
        <f t="shared" si="49"/>
        <v>0</v>
      </c>
      <c r="C98" s="395">
        <f t="shared" ca="1" si="50"/>
        <v>0</v>
      </c>
      <c r="D98" s="396" t="e">
        <f t="shared" si="51"/>
        <v>#REF!</v>
      </c>
      <c r="E98" s="397" t="e">
        <f t="shared" si="52"/>
        <v>#REF!</v>
      </c>
      <c r="F98" s="398" t="e">
        <f t="shared" ca="1" si="53"/>
        <v>#REF!</v>
      </c>
      <c r="G98" s="354">
        <f>'(당초)집계표'!K13</f>
        <v>0</v>
      </c>
      <c r="H98" s="179">
        <f ca="1">'(당초)집계표'!M13</f>
        <v>0</v>
      </c>
      <c r="I98" s="356" t="e">
        <f>'(변경)집계표'!K13</f>
        <v>#REF!</v>
      </c>
      <c r="J98" s="352" t="e">
        <f>'(변경)집계표'!M13</f>
        <v>#REF!</v>
      </c>
      <c r="K98" s="354">
        <f>'(당초)집계표'!K43</f>
        <v>0</v>
      </c>
      <c r="L98" s="179">
        <f>'(당초)집계표'!M43</f>
        <v>0</v>
      </c>
      <c r="M98" s="356" t="e">
        <f>'(변경)집계표'!K43</f>
        <v>#REF!</v>
      </c>
      <c r="N98" s="352" t="e">
        <f>'(변경)집계표'!M43</f>
        <v>#REF!</v>
      </c>
      <c r="O98" s="354">
        <f>'(당초)집계표'!K73</f>
        <v>0</v>
      </c>
      <c r="P98" s="179">
        <f>'(당초)집계표'!M73</f>
        <v>0</v>
      </c>
      <c r="Q98" s="356" t="e">
        <f>'(변경)집계표'!K73</f>
        <v>#REF!</v>
      </c>
      <c r="R98" s="352" t="e">
        <f>'(변경)집계표'!M73</f>
        <v>#REF!</v>
      </c>
      <c r="S98" s="354">
        <f>'(당초)집계표'!K103</f>
        <v>0</v>
      </c>
      <c r="T98" s="179">
        <f>'(당초)집계표'!M103</f>
        <v>0</v>
      </c>
      <c r="U98" s="356" t="e">
        <f>'(변경)집계표'!K103</f>
        <v>#REF!</v>
      </c>
      <c r="V98" s="352" t="e">
        <f>'(변경)집계표'!M103</f>
        <v>#REF!</v>
      </c>
      <c r="W98" s="354">
        <f>'(당초)집계표'!K133</f>
        <v>0</v>
      </c>
      <c r="X98" s="140">
        <f>'(당초)집계표'!M133</f>
        <v>0</v>
      </c>
      <c r="Y98" s="356" t="e">
        <f>'(변경)집계표'!K133</f>
        <v>#REF!</v>
      </c>
      <c r="Z98" s="139" t="e">
        <f>'(변경)집계표'!M133</f>
        <v>#REF!</v>
      </c>
      <c r="AA98" s="128"/>
    </row>
    <row r="99" spans="1:28" s="6" customFormat="1" ht="22.5" customHeight="1">
      <c r="A99" s="127" t="s">
        <v>14</v>
      </c>
      <c r="B99" s="394">
        <f t="shared" si="49"/>
        <v>3</v>
      </c>
      <c r="C99" s="395">
        <f t="shared" ca="1" si="50"/>
        <v>419</v>
      </c>
      <c r="D99" s="396" t="e">
        <f t="shared" si="51"/>
        <v>#REF!</v>
      </c>
      <c r="E99" s="397" t="e">
        <f t="shared" si="52"/>
        <v>#REF!</v>
      </c>
      <c r="F99" s="398" t="e">
        <f t="shared" ca="1" si="53"/>
        <v>#REF!</v>
      </c>
      <c r="G99" s="354">
        <f>'(당초)집계표'!K14</f>
        <v>3</v>
      </c>
      <c r="H99" s="179">
        <f ca="1">'(당초)집계표'!M14</f>
        <v>419</v>
      </c>
      <c r="I99" s="356" t="e">
        <f>'(변경)집계표'!K14</f>
        <v>#REF!</v>
      </c>
      <c r="J99" s="352" t="e">
        <f>'(변경)집계표'!M14</f>
        <v>#REF!</v>
      </c>
      <c r="K99" s="354">
        <f>'(당초)집계표'!K44</f>
        <v>0</v>
      </c>
      <c r="L99" s="179">
        <f>'(당초)집계표'!M44</f>
        <v>0</v>
      </c>
      <c r="M99" s="356" t="e">
        <f>'(변경)집계표'!K44</f>
        <v>#REF!</v>
      </c>
      <c r="N99" s="352" t="e">
        <f>'(변경)집계표'!M44</f>
        <v>#REF!</v>
      </c>
      <c r="O99" s="354">
        <f>'(당초)집계표'!K74</f>
        <v>0</v>
      </c>
      <c r="P99" s="179">
        <f>'(당초)집계표'!M74</f>
        <v>0</v>
      </c>
      <c r="Q99" s="356" t="e">
        <f>'(변경)집계표'!K74</f>
        <v>#REF!</v>
      </c>
      <c r="R99" s="352" t="e">
        <f>'(변경)집계표'!M74</f>
        <v>#REF!</v>
      </c>
      <c r="S99" s="354">
        <f>'(당초)집계표'!K104</f>
        <v>0</v>
      </c>
      <c r="T99" s="179">
        <f>'(당초)집계표'!M104</f>
        <v>0</v>
      </c>
      <c r="U99" s="356" t="e">
        <f>'(변경)집계표'!K104</f>
        <v>#REF!</v>
      </c>
      <c r="V99" s="352" t="e">
        <f>'(변경)집계표'!M104</f>
        <v>#REF!</v>
      </c>
      <c r="W99" s="354">
        <f>'(당초)집계표'!K134</f>
        <v>0</v>
      </c>
      <c r="X99" s="140">
        <f>'(당초)집계표'!M134</f>
        <v>0</v>
      </c>
      <c r="Y99" s="356" t="e">
        <f>'(변경)집계표'!K134</f>
        <v>#REF!</v>
      </c>
      <c r="Z99" s="139" t="e">
        <f>'(변경)집계표'!M134</f>
        <v>#REF!</v>
      </c>
      <c r="AA99" s="128"/>
    </row>
    <row r="100" spans="1:28" s="6" customFormat="1" ht="22.5" customHeight="1">
      <c r="A100" s="127" t="s">
        <v>15</v>
      </c>
      <c r="B100" s="394">
        <f t="shared" si="49"/>
        <v>1</v>
      </c>
      <c r="C100" s="395">
        <f t="shared" ca="1" si="50"/>
        <v>99</v>
      </c>
      <c r="D100" s="396" t="e">
        <f t="shared" si="51"/>
        <v>#REF!</v>
      </c>
      <c r="E100" s="397" t="e">
        <f t="shared" si="52"/>
        <v>#REF!</v>
      </c>
      <c r="F100" s="398" t="e">
        <f t="shared" ca="1" si="53"/>
        <v>#REF!</v>
      </c>
      <c r="G100" s="354">
        <f>'(당초)집계표'!K15</f>
        <v>0</v>
      </c>
      <c r="H100" s="179">
        <f ca="1">'(당초)집계표'!M15</f>
        <v>0</v>
      </c>
      <c r="I100" s="356" t="e">
        <f>'(변경)집계표'!K15</f>
        <v>#REF!</v>
      </c>
      <c r="J100" s="352" t="e">
        <f>'(변경)집계표'!M15</f>
        <v>#REF!</v>
      </c>
      <c r="K100" s="354">
        <f>'(당초)집계표'!K45</f>
        <v>0</v>
      </c>
      <c r="L100" s="179">
        <f>'(당초)집계표'!M45</f>
        <v>0</v>
      </c>
      <c r="M100" s="356" t="e">
        <f>'(변경)집계표'!K45</f>
        <v>#REF!</v>
      </c>
      <c r="N100" s="352" t="e">
        <f>'(변경)집계표'!M45</f>
        <v>#REF!</v>
      </c>
      <c r="O100" s="354">
        <f>'(당초)집계표'!K75</f>
        <v>1</v>
      </c>
      <c r="P100" s="179">
        <f>'(당초)집계표'!M75</f>
        <v>99</v>
      </c>
      <c r="Q100" s="356" t="e">
        <f>'(변경)집계표'!K75</f>
        <v>#REF!</v>
      </c>
      <c r="R100" s="352" t="e">
        <f>'(변경)집계표'!M75</f>
        <v>#REF!</v>
      </c>
      <c r="S100" s="354">
        <f>'(당초)집계표'!K105</f>
        <v>0</v>
      </c>
      <c r="T100" s="179">
        <f>'(당초)집계표'!M105</f>
        <v>0</v>
      </c>
      <c r="U100" s="356" t="e">
        <f>'(변경)집계표'!K105</f>
        <v>#REF!</v>
      </c>
      <c r="V100" s="352" t="e">
        <f>'(변경)집계표'!M105</f>
        <v>#REF!</v>
      </c>
      <c r="W100" s="354">
        <f>'(당초)집계표'!K135</f>
        <v>0</v>
      </c>
      <c r="X100" s="140">
        <f>'(당초)집계표'!M135</f>
        <v>0</v>
      </c>
      <c r="Y100" s="356" t="e">
        <f>'(변경)집계표'!K135</f>
        <v>#REF!</v>
      </c>
      <c r="Z100" s="139" t="e">
        <f>'(변경)집계표'!M135</f>
        <v>#REF!</v>
      </c>
      <c r="AA100" s="128"/>
    </row>
    <row r="101" spans="1:28" s="6" customFormat="1" ht="22.5" customHeight="1">
      <c r="A101" s="127" t="s">
        <v>16</v>
      </c>
      <c r="B101" s="394">
        <f t="shared" si="49"/>
        <v>0</v>
      </c>
      <c r="C101" s="395">
        <f t="shared" ca="1" si="50"/>
        <v>0</v>
      </c>
      <c r="D101" s="396" t="e">
        <f t="shared" si="51"/>
        <v>#REF!</v>
      </c>
      <c r="E101" s="397" t="e">
        <f t="shared" si="52"/>
        <v>#REF!</v>
      </c>
      <c r="F101" s="398" t="e">
        <f t="shared" ca="1" si="53"/>
        <v>#REF!</v>
      </c>
      <c r="G101" s="354">
        <f>'(당초)집계표'!K16</f>
        <v>0</v>
      </c>
      <c r="H101" s="179">
        <f ca="1">'(당초)집계표'!M16</f>
        <v>0</v>
      </c>
      <c r="I101" s="356" t="e">
        <f>'(변경)집계표'!K16</f>
        <v>#REF!</v>
      </c>
      <c r="J101" s="352" t="e">
        <f>'(변경)집계표'!M16</f>
        <v>#REF!</v>
      </c>
      <c r="K101" s="354">
        <f>'(당초)집계표'!K46</f>
        <v>0</v>
      </c>
      <c r="L101" s="179">
        <f>'(당초)집계표'!M46</f>
        <v>0</v>
      </c>
      <c r="M101" s="356" t="e">
        <f>'(변경)집계표'!K46</f>
        <v>#REF!</v>
      </c>
      <c r="N101" s="352" t="e">
        <f>'(변경)집계표'!M46</f>
        <v>#REF!</v>
      </c>
      <c r="O101" s="354">
        <f>'(당초)집계표'!K76</f>
        <v>0</v>
      </c>
      <c r="P101" s="179">
        <f>'(당초)집계표'!M76</f>
        <v>0</v>
      </c>
      <c r="Q101" s="356" t="e">
        <f>'(변경)집계표'!K76</f>
        <v>#REF!</v>
      </c>
      <c r="R101" s="352" t="e">
        <f>'(변경)집계표'!M76</f>
        <v>#REF!</v>
      </c>
      <c r="S101" s="354">
        <f>'(당초)집계표'!K106</f>
        <v>0</v>
      </c>
      <c r="T101" s="179">
        <f>'(당초)집계표'!M106</f>
        <v>0</v>
      </c>
      <c r="U101" s="356" t="e">
        <f>'(변경)집계표'!K106</f>
        <v>#REF!</v>
      </c>
      <c r="V101" s="352" t="e">
        <f>'(변경)집계표'!M106</f>
        <v>#REF!</v>
      </c>
      <c r="W101" s="354">
        <f>'(당초)집계표'!K136</f>
        <v>0</v>
      </c>
      <c r="X101" s="140">
        <f>'(당초)집계표'!M136</f>
        <v>0</v>
      </c>
      <c r="Y101" s="356" t="e">
        <f>'(변경)집계표'!K136</f>
        <v>#REF!</v>
      </c>
      <c r="Z101" s="139" t="e">
        <f>'(변경)집계표'!M136</f>
        <v>#REF!</v>
      </c>
      <c r="AA101" s="128"/>
    </row>
    <row r="102" spans="1:28" s="6" customFormat="1" ht="22.5" customHeight="1">
      <c r="A102" s="127" t="s">
        <v>17</v>
      </c>
      <c r="B102" s="394">
        <f t="shared" si="49"/>
        <v>0</v>
      </c>
      <c r="C102" s="395">
        <f t="shared" ca="1" si="50"/>
        <v>0</v>
      </c>
      <c r="D102" s="396" t="e">
        <f t="shared" si="51"/>
        <v>#REF!</v>
      </c>
      <c r="E102" s="397" t="e">
        <f t="shared" si="52"/>
        <v>#REF!</v>
      </c>
      <c r="F102" s="398" t="e">
        <f t="shared" ca="1" si="53"/>
        <v>#REF!</v>
      </c>
      <c r="G102" s="354">
        <f>'(당초)집계표'!K17</f>
        <v>0</v>
      </c>
      <c r="H102" s="179">
        <f ca="1">'(당초)집계표'!M17</f>
        <v>0</v>
      </c>
      <c r="I102" s="356" t="e">
        <f>'(변경)집계표'!K17</f>
        <v>#REF!</v>
      </c>
      <c r="J102" s="352" t="e">
        <f>'(변경)집계표'!M17</f>
        <v>#REF!</v>
      </c>
      <c r="K102" s="354">
        <f>'(당초)집계표'!K47</f>
        <v>0</v>
      </c>
      <c r="L102" s="179">
        <f>'(당초)집계표'!M47</f>
        <v>0</v>
      </c>
      <c r="M102" s="356" t="e">
        <f>'(변경)집계표'!K47</f>
        <v>#REF!</v>
      </c>
      <c r="N102" s="352" t="e">
        <f>'(변경)집계표'!M47</f>
        <v>#REF!</v>
      </c>
      <c r="O102" s="354">
        <f>'(당초)집계표'!K77</f>
        <v>0</v>
      </c>
      <c r="P102" s="179">
        <f>'(당초)집계표'!M77</f>
        <v>0</v>
      </c>
      <c r="Q102" s="356" t="e">
        <f>'(변경)집계표'!K77</f>
        <v>#REF!</v>
      </c>
      <c r="R102" s="352" t="e">
        <f>'(변경)집계표'!M77</f>
        <v>#REF!</v>
      </c>
      <c r="S102" s="354">
        <f>'(당초)집계표'!K107</f>
        <v>0</v>
      </c>
      <c r="T102" s="179">
        <f>'(당초)집계표'!M107</f>
        <v>0</v>
      </c>
      <c r="U102" s="356" t="e">
        <f>'(변경)집계표'!K107</f>
        <v>#REF!</v>
      </c>
      <c r="V102" s="352" t="e">
        <f>'(변경)집계표'!M107</f>
        <v>#REF!</v>
      </c>
      <c r="W102" s="354">
        <f>'(당초)집계표'!K137</f>
        <v>0</v>
      </c>
      <c r="X102" s="140">
        <f>'(당초)집계표'!M137</f>
        <v>0</v>
      </c>
      <c r="Y102" s="356" t="e">
        <f>'(변경)집계표'!K137</f>
        <v>#REF!</v>
      </c>
      <c r="Z102" s="139" t="e">
        <f>'(변경)집계표'!M137</f>
        <v>#REF!</v>
      </c>
      <c r="AA102" s="128"/>
    </row>
    <row r="103" spans="1:28" s="7" customFormat="1" ht="22.5" customHeight="1">
      <c r="A103" s="127" t="s">
        <v>18</v>
      </c>
      <c r="B103" s="394">
        <f t="shared" si="49"/>
        <v>0</v>
      </c>
      <c r="C103" s="395">
        <f t="shared" ca="1" si="50"/>
        <v>0</v>
      </c>
      <c r="D103" s="396" t="e">
        <f t="shared" si="51"/>
        <v>#REF!</v>
      </c>
      <c r="E103" s="397" t="e">
        <f t="shared" si="52"/>
        <v>#REF!</v>
      </c>
      <c r="F103" s="398" t="e">
        <f t="shared" ca="1" si="53"/>
        <v>#REF!</v>
      </c>
      <c r="G103" s="354">
        <f>'(당초)집계표'!K18</f>
        <v>0</v>
      </c>
      <c r="H103" s="179">
        <f ca="1">'(당초)집계표'!M18</f>
        <v>0</v>
      </c>
      <c r="I103" s="356" t="e">
        <f>'(변경)집계표'!K18</f>
        <v>#REF!</v>
      </c>
      <c r="J103" s="352" t="e">
        <f>'(변경)집계표'!M18</f>
        <v>#REF!</v>
      </c>
      <c r="K103" s="354">
        <f>'(당초)집계표'!K48</f>
        <v>0</v>
      </c>
      <c r="L103" s="179">
        <f>'(당초)집계표'!M48</f>
        <v>0</v>
      </c>
      <c r="M103" s="356" t="e">
        <f>'(변경)집계표'!K48</f>
        <v>#REF!</v>
      </c>
      <c r="N103" s="352" t="e">
        <f>'(변경)집계표'!M48</f>
        <v>#REF!</v>
      </c>
      <c r="O103" s="354">
        <f>'(당초)집계표'!K78</f>
        <v>0</v>
      </c>
      <c r="P103" s="179">
        <f>'(당초)집계표'!M78</f>
        <v>0</v>
      </c>
      <c r="Q103" s="356" t="e">
        <f>'(변경)집계표'!K78</f>
        <v>#REF!</v>
      </c>
      <c r="R103" s="352" t="e">
        <f>'(변경)집계표'!M78</f>
        <v>#REF!</v>
      </c>
      <c r="S103" s="354">
        <f>'(당초)집계표'!K108</f>
        <v>0</v>
      </c>
      <c r="T103" s="179">
        <f>'(당초)집계표'!M108</f>
        <v>0</v>
      </c>
      <c r="U103" s="356" t="e">
        <f>'(변경)집계표'!K108</f>
        <v>#REF!</v>
      </c>
      <c r="V103" s="352" t="e">
        <f>'(변경)집계표'!M108</f>
        <v>#REF!</v>
      </c>
      <c r="W103" s="354">
        <f>'(당초)집계표'!K138</f>
        <v>0</v>
      </c>
      <c r="X103" s="140">
        <f>'(당초)집계표'!M138</f>
        <v>0</v>
      </c>
      <c r="Y103" s="356" t="e">
        <f>'(변경)집계표'!K138</f>
        <v>#REF!</v>
      </c>
      <c r="Z103" s="139" t="e">
        <f>'(변경)집계표'!M138</f>
        <v>#REF!</v>
      </c>
      <c r="AA103" s="128"/>
      <c r="AB103" s="6"/>
    </row>
    <row r="104" spans="1:28" s="7" customFormat="1" ht="22.5" customHeight="1">
      <c r="A104" s="127" t="s">
        <v>19</v>
      </c>
      <c r="B104" s="394">
        <f t="shared" si="49"/>
        <v>0</v>
      </c>
      <c r="C104" s="395">
        <f t="shared" ca="1" si="50"/>
        <v>0</v>
      </c>
      <c r="D104" s="396" t="e">
        <f t="shared" si="51"/>
        <v>#REF!</v>
      </c>
      <c r="E104" s="397" t="e">
        <f t="shared" si="52"/>
        <v>#REF!</v>
      </c>
      <c r="F104" s="398" t="e">
        <f t="shared" ca="1" si="53"/>
        <v>#REF!</v>
      </c>
      <c r="G104" s="354">
        <f>'(당초)집계표'!K19</f>
        <v>0</v>
      </c>
      <c r="H104" s="179">
        <f ca="1">'(당초)집계표'!M19</f>
        <v>0</v>
      </c>
      <c r="I104" s="356" t="e">
        <f>'(변경)집계표'!K19</f>
        <v>#REF!</v>
      </c>
      <c r="J104" s="352" t="e">
        <f>'(변경)집계표'!M19</f>
        <v>#REF!</v>
      </c>
      <c r="K104" s="354">
        <f>'(당초)집계표'!K49</f>
        <v>0</v>
      </c>
      <c r="L104" s="179">
        <f>'(당초)집계표'!M49</f>
        <v>0</v>
      </c>
      <c r="M104" s="356" t="e">
        <f>'(변경)집계표'!K49</f>
        <v>#REF!</v>
      </c>
      <c r="N104" s="352" t="e">
        <f>'(변경)집계표'!M49</f>
        <v>#REF!</v>
      </c>
      <c r="O104" s="354">
        <f>'(당초)집계표'!K79</f>
        <v>0</v>
      </c>
      <c r="P104" s="179">
        <f>'(당초)집계표'!M79</f>
        <v>0</v>
      </c>
      <c r="Q104" s="356" t="e">
        <f>'(변경)집계표'!K79</f>
        <v>#REF!</v>
      </c>
      <c r="R104" s="352" t="e">
        <f>'(변경)집계표'!M79</f>
        <v>#REF!</v>
      </c>
      <c r="S104" s="354">
        <f>'(당초)집계표'!K109</f>
        <v>0</v>
      </c>
      <c r="T104" s="179">
        <f>'(당초)집계표'!M109</f>
        <v>0</v>
      </c>
      <c r="U104" s="356" t="e">
        <f>'(변경)집계표'!K109</f>
        <v>#REF!</v>
      </c>
      <c r="V104" s="352" t="e">
        <f>'(변경)집계표'!M109</f>
        <v>#REF!</v>
      </c>
      <c r="W104" s="354">
        <f>'(당초)집계표'!K139</f>
        <v>0</v>
      </c>
      <c r="X104" s="140">
        <f>'(당초)집계표'!M139</f>
        <v>0</v>
      </c>
      <c r="Y104" s="356" t="e">
        <f>'(변경)집계표'!K139</f>
        <v>#REF!</v>
      </c>
      <c r="Z104" s="139" t="e">
        <f>'(변경)집계표'!M139</f>
        <v>#REF!</v>
      </c>
      <c r="AA104" s="128"/>
      <c r="AB104" s="6"/>
    </row>
    <row r="105" spans="1:28" s="7" customFormat="1" ht="22.5" customHeight="1">
      <c r="A105" s="127" t="s">
        <v>20</v>
      </c>
      <c r="B105" s="394">
        <f t="shared" si="49"/>
        <v>0</v>
      </c>
      <c r="C105" s="395">
        <f t="shared" ca="1" si="50"/>
        <v>0</v>
      </c>
      <c r="D105" s="396" t="e">
        <f t="shared" si="51"/>
        <v>#REF!</v>
      </c>
      <c r="E105" s="397" t="e">
        <f t="shared" si="52"/>
        <v>#REF!</v>
      </c>
      <c r="F105" s="398" t="e">
        <f t="shared" ca="1" si="53"/>
        <v>#REF!</v>
      </c>
      <c r="G105" s="354">
        <f>'(당초)집계표'!K20</f>
        <v>0</v>
      </c>
      <c r="H105" s="179">
        <f ca="1">'(당초)집계표'!M20</f>
        <v>0</v>
      </c>
      <c r="I105" s="356" t="e">
        <f>'(변경)집계표'!K20</f>
        <v>#REF!</v>
      </c>
      <c r="J105" s="352" t="e">
        <f>'(변경)집계표'!M20</f>
        <v>#REF!</v>
      </c>
      <c r="K105" s="354">
        <f>'(당초)집계표'!K50</f>
        <v>0</v>
      </c>
      <c r="L105" s="179">
        <f>'(당초)집계표'!M50</f>
        <v>0</v>
      </c>
      <c r="M105" s="356" t="e">
        <f>'(변경)집계표'!K50</f>
        <v>#REF!</v>
      </c>
      <c r="N105" s="352" t="e">
        <f>'(변경)집계표'!M50</f>
        <v>#REF!</v>
      </c>
      <c r="O105" s="354">
        <f>'(당초)집계표'!K80</f>
        <v>0</v>
      </c>
      <c r="P105" s="179">
        <f>'(당초)집계표'!M80</f>
        <v>0</v>
      </c>
      <c r="Q105" s="356" t="e">
        <f>'(변경)집계표'!K80</f>
        <v>#REF!</v>
      </c>
      <c r="R105" s="352" t="e">
        <f>'(변경)집계표'!M80</f>
        <v>#REF!</v>
      </c>
      <c r="S105" s="354">
        <f>'(당초)집계표'!K110</f>
        <v>0</v>
      </c>
      <c r="T105" s="179">
        <f>'(당초)집계표'!M110</f>
        <v>0</v>
      </c>
      <c r="U105" s="356" t="e">
        <f>'(변경)집계표'!K110</f>
        <v>#REF!</v>
      </c>
      <c r="V105" s="352" t="e">
        <f>'(변경)집계표'!M110</f>
        <v>#REF!</v>
      </c>
      <c r="W105" s="354">
        <f>'(당초)집계표'!K140</f>
        <v>0</v>
      </c>
      <c r="X105" s="140">
        <f>'(당초)집계표'!M140</f>
        <v>0</v>
      </c>
      <c r="Y105" s="356" t="e">
        <f>'(변경)집계표'!K140</f>
        <v>#REF!</v>
      </c>
      <c r="Z105" s="139" t="e">
        <f>'(변경)집계표'!M140</f>
        <v>#REF!</v>
      </c>
      <c r="AA105" s="128"/>
      <c r="AB105" s="6"/>
    </row>
    <row r="106" spans="1:28" s="7" customFormat="1" ht="22.5" customHeight="1">
      <c r="A106" s="127" t="s">
        <v>21</v>
      </c>
      <c r="B106" s="394">
        <f t="shared" si="49"/>
        <v>0</v>
      </c>
      <c r="C106" s="395">
        <f t="shared" ca="1" si="50"/>
        <v>0</v>
      </c>
      <c r="D106" s="396" t="e">
        <f t="shared" si="51"/>
        <v>#REF!</v>
      </c>
      <c r="E106" s="397" t="e">
        <f t="shared" si="52"/>
        <v>#REF!</v>
      </c>
      <c r="F106" s="398" t="e">
        <f t="shared" ca="1" si="53"/>
        <v>#REF!</v>
      </c>
      <c r="G106" s="354">
        <f>'(당초)집계표'!K21</f>
        <v>0</v>
      </c>
      <c r="H106" s="179">
        <f ca="1">'(당초)집계표'!M21</f>
        <v>0</v>
      </c>
      <c r="I106" s="356" t="e">
        <f>'(변경)집계표'!K21</f>
        <v>#REF!</v>
      </c>
      <c r="J106" s="352" t="e">
        <f>'(변경)집계표'!M21</f>
        <v>#REF!</v>
      </c>
      <c r="K106" s="354">
        <f>'(당초)집계표'!K51</f>
        <v>0</v>
      </c>
      <c r="L106" s="179">
        <f>'(당초)집계표'!M51</f>
        <v>0</v>
      </c>
      <c r="M106" s="356" t="e">
        <f>'(변경)집계표'!K51</f>
        <v>#REF!</v>
      </c>
      <c r="N106" s="352" t="e">
        <f>'(변경)집계표'!M51</f>
        <v>#REF!</v>
      </c>
      <c r="O106" s="354">
        <f>'(당초)집계표'!K81</f>
        <v>0</v>
      </c>
      <c r="P106" s="179">
        <f>'(당초)집계표'!M81</f>
        <v>0</v>
      </c>
      <c r="Q106" s="356" t="e">
        <f>'(변경)집계표'!K81</f>
        <v>#REF!</v>
      </c>
      <c r="R106" s="352" t="e">
        <f>'(변경)집계표'!M81</f>
        <v>#REF!</v>
      </c>
      <c r="S106" s="354">
        <f>'(당초)집계표'!K111</f>
        <v>0</v>
      </c>
      <c r="T106" s="179">
        <f>'(당초)집계표'!M111</f>
        <v>0</v>
      </c>
      <c r="U106" s="356" t="e">
        <f>'(변경)집계표'!K111</f>
        <v>#REF!</v>
      </c>
      <c r="V106" s="352" t="e">
        <f>'(변경)집계표'!M111</f>
        <v>#REF!</v>
      </c>
      <c r="W106" s="354">
        <f>'(당초)집계표'!K141</f>
        <v>0</v>
      </c>
      <c r="X106" s="140">
        <f>'(당초)집계표'!M141</f>
        <v>0</v>
      </c>
      <c r="Y106" s="356" t="e">
        <f>'(변경)집계표'!K141</f>
        <v>#REF!</v>
      </c>
      <c r="Z106" s="139" t="e">
        <f>'(변경)집계표'!M141</f>
        <v>#REF!</v>
      </c>
      <c r="AA106" s="128"/>
      <c r="AB106" s="6"/>
    </row>
    <row r="107" spans="1:28" s="7" customFormat="1" ht="22.5" customHeight="1">
      <c r="A107" s="127" t="s">
        <v>22</v>
      </c>
      <c r="B107" s="394">
        <f t="shared" si="49"/>
        <v>0</v>
      </c>
      <c r="C107" s="395">
        <f t="shared" ca="1" si="50"/>
        <v>0</v>
      </c>
      <c r="D107" s="396" t="e">
        <f t="shared" si="51"/>
        <v>#REF!</v>
      </c>
      <c r="E107" s="397" t="e">
        <f t="shared" si="52"/>
        <v>#REF!</v>
      </c>
      <c r="F107" s="398" t="e">
        <f t="shared" ca="1" si="53"/>
        <v>#REF!</v>
      </c>
      <c r="G107" s="354">
        <f>'(당초)집계표'!K22</f>
        <v>0</v>
      </c>
      <c r="H107" s="179">
        <f ca="1">'(당초)집계표'!M22</f>
        <v>0</v>
      </c>
      <c r="I107" s="356" t="e">
        <f>'(변경)집계표'!K22</f>
        <v>#REF!</v>
      </c>
      <c r="J107" s="352" t="e">
        <f>'(변경)집계표'!M22</f>
        <v>#REF!</v>
      </c>
      <c r="K107" s="354">
        <f>'(당초)집계표'!K52</f>
        <v>0</v>
      </c>
      <c r="L107" s="179">
        <f>'(당초)집계표'!M52</f>
        <v>0</v>
      </c>
      <c r="M107" s="356" t="e">
        <f>'(변경)집계표'!K52</f>
        <v>#REF!</v>
      </c>
      <c r="N107" s="352" t="e">
        <f>'(변경)집계표'!M52</f>
        <v>#REF!</v>
      </c>
      <c r="O107" s="354">
        <f>'(당초)집계표'!K82</f>
        <v>0</v>
      </c>
      <c r="P107" s="179">
        <f>'(당초)집계표'!M82</f>
        <v>0</v>
      </c>
      <c r="Q107" s="356" t="e">
        <f>'(변경)집계표'!K82</f>
        <v>#REF!</v>
      </c>
      <c r="R107" s="352" t="e">
        <f>'(변경)집계표'!M82</f>
        <v>#REF!</v>
      </c>
      <c r="S107" s="354">
        <f>'(당초)집계표'!K112</f>
        <v>0</v>
      </c>
      <c r="T107" s="179">
        <f>'(당초)집계표'!M112</f>
        <v>0</v>
      </c>
      <c r="U107" s="356" t="e">
        <f>'(변경)집계표'!K112</f>
        <v>#REF!</v>
      </c>
      <c r="V107" s="352" t="e">
        <f>'(변경)집계표'!M112</f>
        <v>#REF!</v>
      </c>
      <c r="W107" s="354">
        <f>'(당초)집계표'!K142</f>
        <v>0</v>
      </c>
      <c r="X107" s="140">
        <f>'(당초)집계표'!M142</f>
        <v>0</v>
      </c>
      <c r="Y107" s="356" t="e">
        <f>'(변경)집계표'!K142</f>
        <v>#REF!</v>
      </c>
      <c r="Z107" s="139" t="e">
        <f>'(변경)집계표'!M142</f>
        <v>#REF!</v>
      </c>
      <c r="AA107" s="128"/>
      <c r="AB107" s="6"/>
    </row>
    <row r="108" spans="1:28" s="7" customFormat="1" ht="22.5" customHeight="1">
      <c r="A108" s="127" t="s">
        <v>23</v>
      </c>
      <c r="B108" s="394">
        <f t="shared" si="49"/>
        <v>0</v>
      </c>
      <c r="C108" s="395">
        <f t="shared" ca="1" si="50"/>
        <v>0</v>
      </c>
      <c r="D108" s="396" t="e">
        <f t="shared" si="51"/>
        <v>#REF!</v>
      </c>
      <c r="E108" s="397" t="e">
        <f t="shared" si="52"/>
        <v>#REF!</v>
      </c>
      <c r="F108" s="398" t="e">
        <f t="shared" ca="1" si="53"/>
        <v>#REF!</v>
      </c>
      <c r="G108" s="354">
        <f>'(당초)집계표'!K23</f>
        <v>0</v>
      </c>
      <c r="H108" s="179">
        <f ca="1">'(당초)집계표'!M23</f>
        <v>0</v>
      </c>
      <c r="I108" s="356" t="e">
        <f>'(변경)집계표'!K23</f>
        <v>#REF!</v>
      </c>
      <c r="J108" s="352" t="e">
        <f>'(변경)집계표'!M23</f>
        <v>#REF!</v>
      </c>
      <c r="K108" s="354">
        <f>'(당초)집계표'!K53</f>
        <v>0</v>
      </c>
      <c r="L108" s="179">
        <f>'(당초)집계표'!M53</f>
        <v>0</v>
      </c>
      <c r="M108" s="356" t="e">
        <f>'(변경)집계표'!K53</f>
        <v>#REF!</v>
      </c>
      <c r="N108" s="352" t="e">
        <f>'(변경)집계표'!M53</f>
        <v>#REF!</v>
      </c>
      <c r="O108" s="354">
        <f>'(당초)집계표'!K83</f>
        <v>0</v>
      </c>
      <c r="P108" s="179">
        <f>'(당초)집계표'!M83</f>
        <v>0</v>
      </c>
      <c r="Q108" s="356" t="e">
        <f>'(변경)집계표'!K83</f>
        <v>#REF!</v>
      </c>
      <c r="R108" s="352" t="e">
        <f>'(변경)집계표'!M83</f>
        <v>#REF!</v>
      </c>
      <c r="S108" s="354">
        <f>'(당초)집계표'!K113</f>
        <v>0</v>
      </c>
      <c r="T108" s="179">
        <f>'(당초)집계표'!M113</f>
        <v>0</v>
      </c>
      <c r="U108" s="356" t="e">
        <f>'(변경)집계표'!K113</f>
        <v>#REF!</v>
      </c>
      <c r="V108" s="352" t="e">
        <f>'(변경)집계표'!M113</f>
        <v>#REF!</v>
      </c>
      <c r="W108" s="354">
        <f>'(당초)집계표'!K143</f>
        <v>0</v>
      </c>
      <c r="X108" s="140">
        <f>'(당초)집계표'!M143</f>
        <v>0</v>
      </c>
      <c r="Y108" s="356" t="e">
        <f>'(변경)집계표'!K143</f>
        <v>#REF!</v>
      </c>
      <c r="Z108" s="139" t="e">
        <f>'(변경)집계표'!M143</f>
        <v>#REF!</v>
      </c>
      <c r="AA108" s="128"/>
      <c r="AB108" s="6"/>
    </row>
    <row r="109" spans="1:28" s="7" customFormat="1" ht="22.5" customHeight="1">
      <c r="A109" s="129" t="s">
        <v>24</v>
      </c>
      <c r="B109" s="394">
        <f t="shared" si="49"/>
        <v>0</v>
      </c>
      <c r="C109" s="395">
        <f t="shared" ca="1" si="50"/>
        <v>0</v>
      </c>
      <c r="D109" s="396" t="e">
        <f t="shared" si="51"/>
        <v>#REF!</v>
      </c>
      <c r="E109" s="397" t="e">
        <f t="shared" si="52"/>
        <v>#REF!</v>
      </c>
      <c r="F109" s="398" t="e">
        <f t="shared" ca="1" si="53"/>
        <v>#REF!</v>
      </c>
      <c r="G109" s="354">
        <f>'(당초)집계표'!K24</f>
        <v>0</v>
      </c>
      <c r="H109" s="179">
        <f ca="1">'(당초)집계표'!M24</f>
        <v>0</v>
      </c>
      <c r="I109" s="356" t="e">
        <f>'(변경)집계표'!K24</f>
        <v>#REF!</v>
      </c>
      <c r="J109" s="352" t="e">
        <f>'(변경)집계표'!M24</f>
        <v>#REF!</v>
      </c>
      <c r="K109" s="354">
        <f>'(당초)집계표'!K54</f>
        <v>0</v>
      </c>
      <c r="L109" s="179">
        <f>'(당초)집계표'!M54</f>
        <v>0</v>
      </c>
      <c r="M109" s="356" t="e">
        <f>'(변경)집계표'!K54</f>
        <v>#REF!</v>
      </c>
      <c r="N109" s="352" t="e">
        <f>'(변경)집계표'!M54</f>
        <v>#REF!</v>
      </c>
      <c r="O109" s="354">
        <f>'(당초)집계표'!K84</f>
        <v>0</v>
      </c>
      <c r="P109" s="179">
        <f>'(당초)집계표'!M84</f>
        <v>0</v>
      </c>
      <c r="Q109" s="356" t="e">
        <f>'(변경)집계표'!K84</f>
        <v>#REF!</v>
      </c>
      <c r="R109" s="352" t="e">
        <f>'(변경)집계표'!M84</f>
        <v>#REF!</v>
      </c>
      <c r="S109" s="354">
        <f>'(당초)집계표'!K114</f>
        <v>0</v>
      </c>
      <c r="T109" s="179">
        <f>'(당초)집계표'!M114</f>
        <v>0</v>
      </c>
      <c r="U109" s="356" t="e">
        <f>'(변경)집계표'!K114</f>
        <v>#REF!</v>
      </c>
      <c r="V109" s="352" t="e">
        <f>'(변경)집계표'!M114</f>
        <v>#REF!</v>
      </c>
      <c r="W109" s="354">
        <f>'(당초)집계표'!K144</f>
        <v>0</v>
      </c>
      <c r="X109" s="140">
        <f>'(당초)집계표'!M144</f>
        <v>0</v>
      </c>
      <c r="Y109" s="356" t="e">
        <f>'(변경)집계표'!K144</f>
        <v>#REF!</v>
      </c>
      <c r="Z109" s="139" t="e">
        <f>'(변경)집계표'!M144</f>
        <v>#REF!</v>
      </c>
      <c r="AA109" s="128"/>
      <c r="AB109" s="6"/>
    </row>
    <row r="110" spans="1:28" s="7" customFormat="1" ht="22.5" customHeight="1">
      <c r="A110" s="129" t="s">
        <v>25</v>
      </c>
      <c r="B110" s="394">
        <f t="shared" si="49"/>
        <v>0</v>
      </c>
      <c r="C110" s="395">
        <f t="shared" ca="1" si="50"/>
        <v>0</v>
      </c>
      <c r="D110" s="396" t="e">
        <f t="shared" si="51"/>
        <v>#REF!</v>
      </c>
      <c r="E110" s="397" t="e">
        <f t="shared" si="52"/>
        <v>#REF!</v>
      </c>
      <c r="F110" s="398" t="e">
        <f t="shared" ca="1" si="53"/>
        <v>#REF!</v>
      </c>
      <c r="G110" s="354">
        <f>'(당초)집계표'!K25</f>
        <v>0</v>
      </c>
      <c r="H110" s="179">
        <f ca="1">'(당초)집계표'!M25</f>
        <v>0</v>
      </c>
      <c r="I110" s="356" t="e">
        <f>'(변경)집계표'!K25</f>
        <v>#REF!</v>
      </c>
      <c r="J110" s="352" t="e">
        <f>'(변경)집계표'!M25</f>
        <v>#REF!</v>
      </c>
      <c r="K110" s="354">
        <f>'(당초)집계표'!K55</f>
        <v>0</v>
      </c>
      <c r="L110" s="179">
        <f>'(당초)집계표'!M55</f>
        <v>0</v>
      </c>
      <c r="M110" s="356" t="e">
        <f>'(변경)집계표'!K55</f>
        <v>#REF!</v>
      </c>
      <c r="N110" s="352" t="e">
        <f>'(변경)집계표'!M55</f>
        <v>#REF!</v>
      </c>
      <c r="O110" s="354">
        <f>'(당초)집계표'!K85</f>
        <v>0</v>
      </c>
      <c r="P110" s="179">
        <f>'(당초)집계표'!M85</f>
        <v>0</v>
      </c>
      <c r="Q110" s="356" t="e">
        <f>'(변경)집계표'!K85</f>
        <v>#REF!</v>
      </c>
      <c r="R110" s="352" t="e">
        <f>'(변경)집계표'!M85</f>
        <v>#REF!</v>
      </c>
      <c r="S110" s="354">
        <f>'(당초)집계표'!K115</f>
        <v>0</v>
      </c>
      <c r="T110" s="179">
        <f>'(당초)집계표'!M115</f>
        <v>0</v>
      </c>
      <c r="U110" s="356" t="e">
        <f>'(변경)집계표'!K115</f>
        <v>#REF!</v>
      </c>
      <c r="V110" s="352" t="e">
        <f>'(변경)집계표'!M115</f>
        <v>#REF!</v>
      </c>
      <c r="W110" s="354">
        <f>'(당초)집계표'!K145</f>
        <v>0</v>
      </c>
      <c r="X110" s="140">
        <f>'(당초)집계표'!M145</f>
        <v>0</v>
      </c>
      <c r="Y110" s="356" t="e">
        <f>'(변경)집계표'!K145</f>
        <v>#REF!</v>
      </c>
      <c r="Z110" s="139" t="e">
        <f>'(변경)집계표'!M145</f>
        <v>#REF!</v>
      </c>
      <c r="AA110" s="128"/>
      <c r="AB110" s="6"/>
    </row>
    <row r="111" spans="1:28" s="7" customFormat="1" ht="22.5" customHeight="1">
      <c r="A111" s="129" t="s">
        <v>26</v>
      </c>
      <c r="B111" s="394">
        <f t="shared" si="49"/>
        <v>0</v>
      </c>
      <c r="C111" s="395">
        <f t="shared" ca="1" si="50"/>
        <v>0</v>
      </c>
      <c r="D111" s="396" t="e">
        <f t="shared" si="51"/>
        <v>#REF!</v>
      </c>
      <c r="E111" s="397" t="e">
        <f t="shared" si="52"/>
        <v>#REF!</v>
      </c>
      <c r="F111" s="398" t="e">
        <f t="shared" ca="1" si="53"/>
        <v>#REF!</v>
      </c>
      <c r="G111" s="354">
        <f>'(당초)집계표'!K26</f>
        <v>0</v>
      </c>
      <c r="H111" s="179">
        <f ca="1">'(당초)집계표'!M26</f>
        <v>0</v>
      </c>
      <c r="I111" s="356" t="e">
        <f>'(변경)집계표'!K26</f>
        <v>#REF!</v>
      </c>
      <c r="J111" s="352" t="e">
        <f>'(변경)집계표'!M26</f>
        <v>#REF!</v>
      </c>
      <c r="K111" s="354">
        <f>'(당초)집계표'!K56</f>
        <v>0</v>
      </c>
      <c r="L111" s="179">
        <f>'(당초)집계표'!M56</f>
        <v>0</v>
      </c>
      <c r="M111" s="356" t="e">
        <f>'(변경)집계표'!K56</f>
        <v>#REF!</v>
      </c>
      <c r="N111" s="352" t="e">
        <f>'(변경)집계표'!M56</f>
        <v>#REF!</v>
      </c>
      <c r="O111" s="354">
        <f>'(당초)집계표'!K86</f>
        <v>0</v>
      </c>
      <c r="P111" s="179">
        <f>'(당초)집계표'!M86</f>
        <v>0</v>
      </c>
      <c r="Q111" s="356" t="e">
        <f>'(변경)집계표'!K86</f>
        <v>#REF!</v>
      </c>
      <c r="R111" s="352" t="e">
        <f>'(변경)집계표'!M86</f>
        <v>#REF!</v>
      </c>
      <c r="S111" s="354">
        <f>'(당초)집계표'!K116</f>
        <v>0</v>
      </c>
      <c r="T111" s="179">
        <f>'(당초)집계표'!M116</f>
        <v>0</v>
      </c>
      <c r="U111" s="356" t="e">
        <f>'(변경)집계표'!K116</f>
        <v>#REF!</v>
      </c>
      <c r="V111" s="352" t="e">
        <f>'(변경)집계표'!M116</f>
        <v>#REF!</v>
      </c>
      <c r="W111" s="354">
        <f>'(당초)집계표'!K146</f>
        <v>0</v>
      </c>
      <c r="X111" s="140">
        <f>'(당초)집계표'!M146</f>
        <v>0</v>
      </c>
      <c r="Y111" s="356" t="e">
        <f>'(변경)집계표'!K146</f>
        <v>#REF!</v>
      </c>
      <c r="Z111" s="139" t="e">
        <f>'(변경)집계표'!M146</f>
        <v>#REF!</v>
      </c>
      <c r="AA111" s="128"/>
      <c r="AB111" s="6"/>
    </row>
    <row r="112" spans="1:28" s="7" customFormat="1" ht="22.5" customHeight="1">
      <c r="A112" s="129" t="s">
        <v>27</v>
      </c>
      <c r="B112" s="394">
        <f t="shared" si="49"/>
        <v>0</v>
      </c>
      <c r="C112" s="395">
        <f t="shared" ca="1" si="50"/>
        <v>0</v>
      </c>
      <c r="D112" s="396" t="e">
        <f t="shared" si="51"/>
        <v>#REF!</v>
      </c>
      <c r="E112" s="397" t="e">
        <f t="shared" si="52"/>
        <v>#REF!</v>
      </c>
      <c r="F112" s="398" t="e">
        <f t="shared" ca="1" si="53"/>
        <v>#REF!</v>
      </c>
      <c r="G112" s="354">
        <f>'(당초)집계표'!K27</f>
        <v>0</v>
      </c>
      <c r="H112" s="179">
        <f ca="1">'(당초)집계표'!M27</f>
        <v>0</v>
      </c>
      <c r="I112" s="356" t="e">
        <f>'(변경)집계표'!K27</f>
        <v>#REF!</v>
      </c>
      <c r="J112" s="352" t="e">
        <f>'(변경)집계표'!M27</f>
        <v>#REF!</v>
      </c>
      <c r="K112" s="354">
        <f>'(당초)집계표'!K57</f>
        <v>0</v>
      </c>
      <c r="L112" s="179">
        <f>'(당초)집계표'!M57</f>
        <v>0</v>
      </c>
      <c r="M112" s="356" t="e">
        <f>'(변경)집계표'!K57</f>
        <v>#REF!</v>
      </c>
      <c r="N112" s="352" t="e">
        <f>'(변경)집계표'!M57</f>
        <v>#REF!</v>
      </c>
      <c r="O112" s="354">
        <f>'(당초)집계표'!K87</f>
        <v>0</v>
      </c>
      <c r="P112" s="179">
        <f>'(당초)집계표'!M87</f>
        <v>0</v>
      </c>
      <c r="Q112" s="356" t="e">
        <f>'(변경)집계표'!K87</f>
        <v>#REF!</v>
      </c>
      <c r="R112" s="352" t="e">
        <f>'(변경)집계표'!M87</f>
        <v>#REF!</v>
      </c>
      <c r="S112" s="354">
        <f>'(당초)집계표'!K117</f>
        <v>0</v>
      </c>
      <c r="T112" s="179">
        <f>'(당초)집계표'!M117</f>
        <v>0</v>
      </c>
      <c r="U112" s="356" t="e">
        <f>'(변경)집계표'!K117</f>
        <v>#REF!</v>
      </c>
      <c r="V112" s="352" t="e">
        <f>'(변경)집계표'!M117</f>
        <v>#REF!</v>
      </c>
      <c r="W112" s="354">
        <f>'(당초)집계표'!K147</f>
        <v>0</v>
      </c>
      <c r="X112" s="140">
        <f>'(당초)집계표'!M147</f>
        <v>0</v>
      </c>
      <c r="Y112" s="356" t="e">
        <f>'(변경)집계표'!K147</f>
        <v>#REF!</v>
      </c>
      <c r="Z112" s="139" t="e">
        <f>'(변경)집계표'!M147</f>
        <v>#REF!</v>
      </c>
      <c r="AA112" s="128"/>
      <c r="AB112" s="6"/>
    </row>
    <row r="113" spans="1:28" s="7" customFormat="1" ht="22.5" customHeight="1">
      <c r="A113" s="129" t="s">
        <v>28</v>
      </c>
      <c r="B113" s="394">
        <f t="shared" si="49"/>
        <v>0</v>
      </c>
      <c r="C113" s="395">
        <f t="shared" ca="1" si="50"/>
        <v>0</v>
      </c>
      <c r="D113" s="396" t="e">
        <f t="shared" si="51"/>
        <v>#REF!</v>
      </c>
      <c r="E113" s="397" t="e">
        <f t="shared" si="52"/>
        <v>#REF!</v>
      </c>
      <c r="F113" s="398" t="e">
        <f t="shared" ca="1" si="53"/>
        <v>#REF!</v>
      </c>
      <c r="G113" s="354">
        <f>'(당초)집계표'!K28</f>
        <v>0</v>
      </c>
      <c r="H113" s="179">
        <f ca="1">'(당초)집계표'!M28</f>
        <v>0</v>
      </c>
      <c r="I113" s="356" t="e">
        <f>'(변경)집계표'!K28</f>
        <v>#REF!</v>
      </c>
      <c r="J113" s="352" t="e">
        <f>'(변경)집계표'!M28</f>
        <v>#REF!</v>
      </c>
      <c r="K113" s="354">
        <f>'(당초)집계표'!K58</f>
        <v>0</v>
      </c>
      <c r="L113" s="179">
        <f>'(당초)집계표'!M58</f>
        <v>0</v>
      </c>
      <c r="M113" s="356" t="e">
        <f>'(변경)집계표'!K58</f>
        <v>#REF!</v>
      </c>
      <c r="N113" s="352" t="e">
        <f>'(변경)집계표'!M58</f>
        <v>#REF!</v>
      </c>
      <c r="O113" s="354">
        <f>'(당초)집계표'!K88</f>
        <v>0</v>
      </c>
      <c r="P113" s="179">
        <f>'(당초)집계표'!M88</f>
        <v>0</v>
      </c>
      <c r="Q113" s="356" t="e">
        <f>'(변경)집계표'!K88</f>
        <v>#REF!</v>
      </c>
      <c r="R113" s="352" t="e">
        <f>'(변경)집계표'!M88</f>
        <v>#REF!</v>
      </c>
      <c r="S113" s="354">
        <f>'(당초)집계표'!K118</f>
        <v>0</v>
      </c>
      <c r="T113" s="179">
        <f>'(당초)집계표'!M118</f>
        <v>0</v>
      </c>
      <c r="U113" s="356" t="e">
        <f>'(변경)집계표'!K118</f>
        <v>#REF!</v>
      </c>
      <c r="V113" s="352" t="e">
        <f>'(변경)집계표'!M118</f>
        <v>#REF!</v>
      </c>
      <c r="W113" s="354">
        <f>'(당초)집계표'!K148</f>
        <v>0</v>
      </c>
      <c r="X113" s="140">
        <f>'(당초)집계표'!M148</f>
        <v>0</v>
      </c>
      <c r="Y113" s="356" t="e">
        <f>'(변경)집계표'!K148</f>
        <v>#REF!</v>
      </c>
      <c r="Z113" s="139" t="e">
        <f>'(변경)집계표'!M148</f>
        <v>#REF!</v>
      </c>
      <c r="AA113" s="128"/>
      <c r="AB113" s="6"/>
    </row>
    <row r="114" spans="1:28" s="7" customFormat="1" ht="22.5" customHeight="1">
      <c r="A114" s="129" t="s">
        <v>60</v>
      </c>
      <c r="B114" s="394">
        <f t="shared" si="49"/>
        <v>0</v>
      </c>
      <c r="C114" s="395">
        <f t="shared" ca="1" si="50"/>
        <v>0</v>
      </c>
      <c r="D114" s="396" t="e">
        <f t="shared" si="51"/>
        <v>#REF!</v>
      </c>
      <c r="E114" s="397" t="e">
        <f t="shared" si="52"/>
        <v>#REF!</v>
      </c>
      <c r="F114" s="398" t="e">
        <f t="shared" ca="1" si="53"/>
        <v>#REF!</v>
      </c>
      <c r="G114" s="354">
        <f>'(당초)집계표'!K29</f>
        <v>0</v>
      </c>
      <c r="H114" s="179">
        <f ca="1">'(당초)집계표'!M29</f>
        <v>0</v>
      </c>
      <c r="I114" s="356" t="e">
        <f>'(변경)집계표'!K29</f>
        <v>#REF!</v>
      </c>
      <c r="J114" s="352" t="e">
        <f>'(변경)집계표'!M29</f>
        <v>#REF!</v>
      </c>
      <c r="K114" s="354">
        <f>'(당초)집계표'!K59</f>
        <v>0</v>
      </c>
      <c r="L114" s="179">
        <f>'(당초)집계표'!M59</f>
        <v>0</v>
      </c>
      <c r="M114" s="356" t="e">
        <f>'(변경)집계표'!K59</f>
        <v>#REF!</v>
      </c>
      <c r="N114" s="352" t="e">
        <f>'(변경)집계표'!M59</f>
        <v>#REF!</v>
      </c>
      <c r="O114" s="354">
        <f>'(당초)집계표'!K89</f>
        <v>0</v>
      </c>
      <c r="P114" s="179">
        <f>'(당초)집계표'!M89</f>
        <v>0</v>
      </c>
      <c r="Q114" s="356" t="e">
        <f>'(변경)집계표'!K89</f>
        <v>#REF!</v>
      </c>
      <c r="R114" s="352" t="e">
        <f>'(변경)집계표'!M89</f>
        <v>#REF!</v>
      </c>
      <c r="S114" s="354">
        <f>'(당초)집계표'!K119</f>
        <v>0</v>
      </c>
      <c r="T114" s="179">
        <f>'(당초)집계표'!M119</f>
        <v>0</v>
      </c>
      <c r="U114" s="356" t="e">
        <f>'(변경)집계표'!K119</f>
        <v>#REF!</v>
      </c>
      <c r="V114" s="352" t="e">
        <f>'(변경)집계표'!M119</f>
        <v>#REF!</v>
      </c>
      <c r="W114" s="354">
        <f>'(당초)집계표'!K149</f>
        <v>0</v>
      </c>
      <c r="X114" s="140">
        <f>'(당초)집계표'!M149</f>
        <v>0</v>
      </c>
      <c r="Y114" s="356" t="e">
        <f>'(변경)집계표'!K149</f>
        <v>#REF!</v>
      </c>
      <c r="Z114" s="139" t="e">
        <f>'(변경)집계표'!M149</f>
        <v>#REF!</v>
      </c>
      <c r="AA114" s="128"/>
      <c r="AB114" s="6"/>
    </row>
    <row r="115" spans="1:28" s="7" customFormat="1" ht="22.5" customHeight="1">
      <c r="A115" s="129" t="s">
        <v>70</v>
      </c>
      <c r="B115" s="394">
        <f t="shared" si="49"/>
        <v>0</v>
      </c>
      <c r="C115" s="395">
        <f t="shared" ca="1" si="50"/>
        <v>0</v>
      </c>
      <c r="D115" s="396" t="e">
        <f t="shared" si="51"/>
        <v>#REF!</v>
      </c>
      <c r="E115" s="397" t="e">
        <f t="shared" si="52"/>
        <v>#REF!</v>
      </c>
      <c r="F115" s="398" t="e">
        <f t="shared" ca="1" si="53"/>
        <v>#REF!</v>
      </c>
      <c r="G115" s="354">
        <f>'(당초)집계표'!K30</f>
        <v>0</v>
      </c>
      <c r="H115" s="179">
        <f ca="1">'(당초)집계표'!M30</f>
        <v>0</v>
      </c>
      <c r="I115" s="356" t="e">
        <f>'(변경)집계표'!K30</f>
        <v>#REF!</v>
      </c>
      <c r="J115" s="352" t="e">
        <f>'(변경)집계표'!M30</f>
        <v>#REF!</v>
      </c>
      <c r="K115" s="354">
        <f>'(당초)집계표'!K60</f>
        <v>0</v>
      </c>
      <c r="L115" s="179">
        <f>'(당초)집계표'!M60</f>
        <v>0</v>
      </c>
      <c r="M115" s="356" t="e">
        <f>'(변경)집계표'!K60</f>
        <v>#REF!</v>
      </c>
      <c r="N115" s="352" t="e">
        <f>'(변경)집계표'!M60</f>
        <v>#REF!</v>
      </c>
      <c r="O115" s="354">
        <f>'(당초)집계표'!K90</f>
        <v>0</v>
      </c>
      <c r="P115" s="179">
        <f>'(당초)집계표'!M90</f>
        <v>0</v>
      </c>
      <c r="Q115" s="356" t="e">
        <f>'(변경)집계표'!K90</f>
        <v>#REF!</v>
      </c>
      <c r="R115" s="352" t="e">
        <f>'(변경)집계표'!M90</f>
        <v>#REF!</v>
      </c>
      <c r="S115" s="354">
        <f>'(당초)집계표'!K120</f>
        <v>0</v>
      </c>
      <c r="T115" s="179">
        <f>'(당초)집계표'!M120</f>
        <v>0</v>
      </c>
      <c r="U115" s="356" t="e">
        <f>'(변경)집계표'!K120</f>
        <v>#REF!</v>
      </c>
      <c r="V115" s="352" t="e">
        <f>'(변경)집계표'!M120</f>
        <v>#REF!</v>
      </c>
      <c r="W115" s="354">
        <f>'(당초)집계표'!K150</f>
        <v>0</v>
      </c>
      <c r="X115" s="140">
        <f>'(당초)집계표'!M150</f>
        <v>0</v>
      </c>
      <c r="Y115" s="356" t="e">
        <f>'(변경)집계표'!K150</f>
        <v>#REF!</v>
      </c>
      <c r="Z115" s="139" t="e">
        <f>'(변경)집계표'!M150</f>
        <v>#REF!</v>
      </c>
      <c r="AA115" s="128"/>
      <c r="AB115" s="6"/>
    </row>
    <row r="116" spans="1:28" s="7" customFormat="1" ht="22.5" customHeight="1" thickBot="1">
      <c r="A116" s="130" t="s">
        <v>62</v>
      </c>
      <c r="B116" s="407">
        <f t="shared" si="49"/>
        <v>0</v>
      </c>
      <c r="C116" s="408">
        <f t="shared" ca="1" si="50"/>
        <v>0</v>
      </c>
      <c r="D116" s="409" t="e">
        <f t="shared" si="51"/>
        <v>#REF!</v>
      </c>
      <c r="E116" s="410" t="e">
        <f t="shared" si="52"/>
        <v>#REF!</v>
      </c>
      <c r="F116" s="398" t="e">
        <f t="shared" ca="1" si="53"/>
        <v>#REF!</v>
      </c>
      <c r="G116" s="355">
        <f>'(당초)집계표'!K31</f>
        <v>0</v>
      </c>
      <c r="H116" s="180">
        <f ca="1">'(당초)집계표'!M31</f>
        <v>0</v>
      </c>
      <c r="I116" s="363" t="e">
        <f>'(변경)집계표'!K31</f>
        <v>#REF!</v>
      </c>
      <c r="J116" s="370" t="e">
        <f>'(변경)집계표'!M31</f>
        <v>#REF!</v>
      </c>
      <c r="K116" s="355">
        <f>'(당초)집계표'!K61</f>
        <v>0</v>
      </c>
      <c r="L116" s="180">
        <f>'(당초)집계표'!M61</f>
        <v>0</v>
      </c>
      <c r="M116" s="363" t="e">
        <f>'(변경)집계표'!K61</f>
        <v>#REF!</v>
      </c>
      <c r="N116" s="370" t="e">
        <f>'(변경)집계표'!M61</f>
        <v>#REF!</v>
      </c>
      <c r="O116" s="355">
        <f>'(당초)집계표'!K91</f>
        <v>0</v>
      </c>
      <c r="P116" s="180">
        <f>'(당초)집계표'!M91</f>
        <v>0</v>
      </c>
      <c r="Q116" s="363" t="e">
        <f>'(변경)집계표'!K91</f>
        <v>#REF!</v>
      </c>
      <c r="R116" s="370" t="e">
        <f>'(변경)집계표'!M91</f>
        <v>#REF!</v>
      </c>
      <c r="S116" s="355">
        <f>'(당초)집계표'!K121</f>
        <v>0</v>
      </c>
      <c r="T116" s="180">
        <f>'(당초)집계표'!M121</f>
        <v>0</v>
      </c>
      <c r="U116" s="363" t="e">
        <f>'(변경)집계표'!K121</f>
        <v>#REF!</v>
      </c>
      <c r="V116" s="370" t="e">
        <f>'(변경)집계표'!M121</f>
        <v>#REF!</v>
      </c>
      <c r="W116" s="355">
        <f>'(당초)집계표'!K151</f>
        <v>0</v>
      </c>
      <c r="X116" s="141">
        <f>'(당초)집계표'!M151</f>
        <v>0</v>
      </c>
      <c r="Y116" s="363" t="e">
        <f>'(변경)집계표'!K151</f>
        <v>#REF!</v>
      </c>
      <c r="Z116" s="364" t="e">
        <f>'(변경)집계표'!M151</f>
        <v>#REF!</v>
      </c>
      <c r="AA116" s="133"/>
      <c r="AB116" s="6"/>
    </row>
    <row r="117" spans="1:28" ht="18" customHeight="1">
      <c r="AA117" s="5"/>
      <c r="AB117" s="5"/>
    </row>
    <row r="118" spans="1:28" ht="18" customHeight="1">
      <c r="AA118" s="5"/>
      <c r="AB118" s="5"/>
    </row>
    <row r="119" spans="1:28" ht="18" customHeight="1">
      <c r="AA119" s="5"/>
      <c r="AB119" s="5"/>
    </row>
    <row r="120" spans="1:28" ht="18" customHeight="1">
      <c r="AA120" s="5"/>
      <c r="AB120" s="5"/>
    </row>
    <row r="121" spans="1:28" ht="18" customHeight="1">
      <c r="AA121" s="5"/>
      <c r="AB121" s="5"/>
    </row>
    <row r="122" spans="1:28" ht="18" customHeight="1">
      <c r="AA122" s="5"/>
      <c r="AB122" s="5"/>
    </row>
    <row r="123" spans="1:28" ht="18" customHeight="1">
      <c r="AA123" s="5"/>
      <c r="AB123" s="5"/>
    </row>
    <row r="124" spans="1:28" ht="18" customHeight="1">
      <c r="AA124" s="5"/>
      <c r="AB124" s="5"/>
    </row>
    <row r="125" spans="1:28" ht="18" customHeight="1">
      <c r="AA125" s="5"/>
      <c r="AB125" s="5"/>
    </row>
    <row r="126" spans="1:28" ht="18" customHeight="1">
      <c r="AA126" s="5"/>
      <c r="AB126" s="5"/>
    </row>
    <row r="127" spans="1:28" ht="18" customHeight="1">
      <c r="AA127" s="5"/>
      <c r="AB127" s="5"/>
    </row>
    <row r="128" spans="1:28" ht="18" customHeight="1">
      <c r="AA128" s="5"/>
      <c r="AB128" s="5"/>
    </row>
    <row r="129" spans="27:28" ht="18" customHeight="1">
      <c r="AA129" s="5"/>
      <c r="AB129" s="5"/>
    </row>
    <row r="130" spans="27:28" ht="18" customHeight="1">
      <c r="AA130" s="5"/>
      <c r="AB130" s="5"/>
    </row>
    <row r="131" spans="27:28" ht="18" customHeight="1">
      <c r="AA131" s="5"/>
      <c r="AB131" s="5"/>
    </row>
    <row r="132" spans="27:28" ht="18" customHeight="1">
      <c r="AA132" s="5"/>
      <c r="AB132" s="5"/>
    </row>
    <row r="133" spans="27:28" ht="18" customHeight="1">
      <c r="AA133" s="5"/>
      <c r="AB133" s="5"/>
    </row>
    <row r="134" spans="27:28" ht="18" customHeight="1">
      <c r="AA134" s="5"/>
      <c r="AB134" s="5"/>
    </row>
    <row r="135" spans="27:28" ht="18" customHeight="1">
      <c r="AA135" s="5"/>
      <c r="AB135" s="5"/>
    </row>
    <row r="136" spans="27:28" ht="18" customHeight="1">
      <c r="AA136" s="5"/>
      <c r="AB136" s="5"/>
    </row>
    <row r="137" spans="27:28" ht="18" customHeight="1">
      <c r="AA137" s="5"/>
      <c r="AB137" s="5"/>
    </row>
    <row r="138" spans="27:28" ht="18" customHeight="1">
      <c r="AA138" s="5"/>
      <c r="AB138" s="5"/>
    </row>
    <row r="139" spans="27:28" ht="18" customHeight="1">
      <c r="AA139" s="5"/>
      <c r="AB139" s="5"/>
    </row>
    <row r="140" spans="27:28" ht="18" customHeight="1">
      <c r="AA140" s="5"/>
      <c r="AB140" s="5"/>
    </row>
    <row r="141" spans="27:28" ht="18" customHeight="1">
      <c r="AA141" s="5"/>
      <c r="AB141" s="5"/>
    </row>
    <row r="142" spans="27:28" ht="18" customHeight="1">
      <c r="AA142" s="5"/>
      <c r="AB142" s="5"/>
    </row>
    <row r="143" spans="27:28" ht="18" customHeight="1">
      <c r="AA143" s="5"/>
      <c r="AB143" s="5"/>
    </row>
    <row r="144" spans="27:28" ht="18" customHeight="1">
      <c r="AA144" s="5"/>
      <c r="AB144" s="5"/>
    </row>
    <row r="145" spans="27:28" ht="18" customHeight="1">
      <c r="AA145" s="5"/>
      <c r="AB145" s="5"/>
    </row>
  </sheetData>
  <mergeCells count="60">
    <mergeCell ref="W90:X90"/>
    <mergeCell ref="M90:N90"/>
    <mergeCell ref="O90:P90"/>
    <mergeCell ref="Q90:R90"/>
    <mergeCell ref="S90:T90"/>
    <mergeCell ref="U90:V90"/>
    <mergeCell ref="W61:X61"/>
    <mergeCell ref="Y61:Z61"/>
    <mergeCell ref="A89:A90"/>
    <mergeCell ref="B89:F89"/>
    <mergeCell ref="B90:C90"/>
    <mergeCell ref="D90:E90"/>
    <mergeCell ref="G90:H90"/>
    <mergeCell ref="I90:J90"/>
    <mergeCell ref="K90:L90"/>
    <mergeCell ref="K61:L61"/>
    <mergeCell ref="M61:N61"/>
    <mergeCell ref="O61:P61"/>
    <mergeCell ref="Q61:R61"/>
    <mergeCell ref="S61:T61"/>
    <mergeCell ref="U61:V61"/>
    <mergeCell ref="Y90:Z90"/>
    <mergeCell ref="I61:J61"/>
    <mergeCell ref="I32:J32"/>
    <mergeCell ref="K32:L32"/>
    <mergeCell ref="M32:N32"/>
    <mergeCell ref="O32:P32"/>
    <mergeCell ref="A60:A61"/>
    <mergeCell ref="B60:F60"/>
    <mergeCell ref="B61:C61"/>
    <mergeCell ref="D61:E61"/>
    <mergeCell ref="G61:H61"/>
    <mergeCell ref="Y3:Z3"/>
    <mergeCell ref="A2:A3"/>
    <mergeCell ref="A31:A32"/>
    <mergeCell ref="B31:F31"/>
    <mergeCell ref="B32:C32"/>
    <mergeCell ref="D32:E32"/>
    <mergeCell ref="U32:V32"/>
    <mergeCell ref="W32:X32"/>
    <mergeCell ref="Y32:Z32"/>
    <mergeCell ref="Q32:R32"/>
    <mergeCell ref="S32:T32"/>
    <mergeCell ref="G32:H32"/>
    <mergeCell ref="AA89:AA90"/>
    <mergeCell ref="B3:C3"/>
    <mergeCell ref="D3:E3"/>
    <mergeCell ref="B2:F2"/>
    <mergeCell ref="I3:J3"/>
    <mergeCell ref="AA2:AA3"/>
    <mergeCell ref="AA31:AA32"/>
    <mergeCell ref="AA60:AA61"/>
    <mergeCell ref="G3:H3"/>
    <mergeCell ref="M3:N3"/>
    <mergeCell ref="K3:L3"/>
    <mergeCell ref="O3:P3"/>
    <mergeCell ref="Q3:R3"/>
    <mergeCell ref="S3:T3"/>
    <mergeCell ref="U3:V3"/>
    <mergeCell ref="W3:X3"/>
  </mergeCells>
  <phoneticPr fontId="5" type="noConversion"/>
  <printOptions horizontalCentered="1" verticalCentered="1"/>
  <pageMargins left="0.19685039370078741" right="0.19685039370078741" top="0.39370078740157483" bottom="0.27559055118110237" header="0" footer="0.19685039370078741"/>
  <pageSetup paperSize="9" scale="70" orientation="landscape" r:id="rId1"/>
  <headerFooter alignWithMargins="0"/>
  <rowBreaks count="3" manualBreakCount="3">
    <brk id="29" max="26" man="1"/>
    <brk id="58" max="16383" man="1"/>
    <brk id="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7"/>
  <sheetViews>
    <sheetView showGridLines="0" showZeros="0" view="pageBreakPreview" zoomScale="85" zoomScaleSheetLayoutView="85" workbookViewId="0">
      <selection activeCell="V39" sqref="V39"/>
    </sheetView>
  </sheetViews>
  <sheetFormatPr defaultRowHeight="18" customHeight="1"/>
  <cols>
    <col min="1" max="1" width="8.77734375" style="3" customWidth="1"/>
    <col min="2" max="2" width="4.77734375" style="4" customWidth="1"/>
    <col min="3" max="3" width="1.77734375" style="3" customWidth="1"/>
    <col min="4" max="4" width="7.77734375" style="177" customWidth="1"/>
    <col min="5" max="5" width="4.33203125" style="4" customWidth="1"/>
    <col min="6" max="6" width="1.77734375" style="3" customWidth="1"/>
    <col min="7" max="7" width="7.77734375" style="177" customWidth="1"/>
    <col min="8" max="8" width="4.33203125" style="4" customWidth="1"/>
    <col min="9" max="9" width="1.77734375" style="3" customWidth="1"/>
    <col min="10" max="10" width="7.77734375" style="177" customWidth="1"/>
    <col min="11" max="11" width="4.33203125" style="4" customWidth="1"/>
    <col min="12" max="12" width="1.77734375" style="3" customWidth="1"/>
    <col min="13" max="13" width="7.77734375" style="177" customWidth="1"/>
    <col min="14" max="14" width="4.33203125" style="4" customWidth="1"/>
    <col min="15" max="15" width="1.77734375" style="3" customWidth="1"/>
    <col min="16" max="16" width="7.77734375" style="177" customWidth="1"/>
    <col min="17" max="17" width="4.33203125" style="4" customWidth="1"/>
    <col min="18" max="18" width="1.77734375" style="3" customWidth="1"/>
    <col min="19" max="19" width="7.77734375" style="138" customWidth="1"/>
    <col min="20" max="20" width="4.33203125" style="4" hidden="1" customWidth="1"/>
    <col min="21" max="21" width="1.77734375" style="3" hidden="1" customWidth="1"/>
    <col min="22" max="22" width="7.77734375" style="138" hidden="1" customWidth="1"/>
    <col min="23" max="23" width="4.33203125" style="4" hidden="1" customWidth="1"/>
    <col min="24" max="24" width="1.77734375" style="3" hidden="1" customWidth="1"/>
    <col min="25" max="25" width="7.77734375" style="138" hidden="1" customWidth="1"/>
    <col min="26" max="26" width="4.33203125" style="4" hidden="1" customWidth="1"/>
    <col min="27" max="27" width="1.77734375" style="3" hidden="1" customWidth="1"/>
    <col min="28" max="28" width="7.77734375" style="138" hidden="1" customWidth="1"/>
    <col min="29" max="29" width="4.33203125" style="4" hidden="1" customWidth="1"/>
    <col min="30" max="30" width="1.77734375" style="3" hidden="1" customWidth="1"/>
    <col min="31" max="31" width="7.77734375" style="138" hidden="1" customWidth="1"/>
    <col min="32" max="32" width="4.33203125" style="4" hidden="1" customWidth="1"/>
    <col min="33" max="33" width="1.77734375" style="3" hidden="1" customWidth="1"/>
    <col min="34" max="34" width="7.77734375" style="138" hidden="1" customWidth="1"/>
    <col min="35" max="35" width="5.77734375" style="3" customWidth="1"/>
    <col min="36" max="41" width="6" style="3" customWidth="1"/>
    <col min="42" max="16384" width="8.88671875" style="3"/>
  </cols>
  <sheetData>
    <row r="1" spans="1:41" s="2" customFormat="1" ht="27.95" customHeight="1">
      <c r="A1" s="217" t="s">
        <v>447</v>
      </c>
      <c r="B1" s="218"/>
      <c r="C1" s="219"/>
      <c r="D1" s="220"/>
      <c r="E1" s="219"/>
      <c r="F1" s="219"/>
      <c r="G1" s="220"/>
      <c r="H1" s="219"/>
      <c r="I1" s="219"/>
      <c r="J1" s="220"/>
      <c r="K1" s="219"/>
      <c r="L1" s="219"/>
      <c r="M1" s="220"/>
      <c r="N1" s="219"/>
      <c r="O1" s="219"/>
      <c r="P1" s="220"/>
      <c r="Q1" s="219"/>
      <c r="R1" s="219"/>
      <c r="S1" s="221"/>
      <c r="T1" s="219"/>
      <c r="U1" s="219"/>
      <c r="V1" s="221"/>
      <c r="W1" s="219"/>
      <c r="X1" s="219"/>
      <c r="Y1" s="221"/>
      <c r="Z1" s="219"/>
      <c r="AA1" s="219"/>
      <c r="AB1" s="221"/>
      <c r="AC1" s="219"/>
      <c r="AD1" s="219"/>
      <c r="AE1" s="221"/>
      <c r="AF1" s="219"/>
      <c r="AG1" s="219"/>
      <c r="AH1" s="221"/>
      <c r="AI1" s="219"/>
      <c r="AJ1" s="1"/>
    </row>
    <row r="2" spans="1:41" ht="9.9499999999999993" customHeight="1" thickBot="1">
      <c r="A2" s="222"/>
      <c r="B2" s="223"/>
      <c r="C2" s="222"/>
      <c r="D2" s="224"/>
      <c r="E2" s="225"/>
      <c r="F2" s="222"/>
      <c r="G2" s="224"/>
      <c r="H2" s="225"/>
      <c r="I2" s="222"/>
      <c r="J2" s="224"/>
      <c r="K2" s="225"/>
      <c r="L2" s="222"/>
      <c r="M2" s="224"/>
      <c r="N2" s="225"/>
      <c r="O2" s="222"/>
      <c r="P2" s="224"/>
      <c r="Q2" s="225"/>
      <c r="R2" s="222"/>
      <c r="S2" s="226"/>
      <c r="T2" s="225"/>
      <c r="U2" s="222"/>
      <c r="V2" s="226"/>
      <c r="W2" s="225"/>
      <c r="X2" s="222"/>
      <c r="Y2" s="226"/>
      <c r="Z2" s="225"/>
      <c r="AA2" s="222"/>
      <c r="AB2" s="226"/>
      <c r="AC2" s="225"/>
      <c r="AD2" s="222"/>
      <c r="AE2" s="226"/>
      <c r="AF2" s="225"/>
      <c r="AG2" s="222"/>
      <c r="AH2" s="226"/>
      <c r="AI2" s="222"/>
      <c r="AJ2" s="5"/>
    </row>
    <row r="3" spans="1:41" s="7" customFormat="1" ht="30" customHeight="1">
      <c r="A3" s="119"/>
      <c r="B3" s="484" t="s">
        <v>2</v>
      </c>
      <c r="C3" s="485"/>
      <c r="D3" s="485"/>
      <c r="E3" s="120" t="s">
        <v>72</v>
      </c>
      <c r="F3" s="121"/>
      <c r="G3" s="182"/>
      <c r="H3" s="120"/>
      <c r="I3" s="121"/>
      <c r="J3" s="182"/>
      <c r="K3" s="120"/>
      <c r="L3" s="121"/>
      <c r="M3" s="182"/>
      <c r="N3" s="120"/>
      <c r="O3" s="121"/>
      <c r="P3" s="182"/>
      <c r="Q3" s="120"/>
      <c r="R3" s="121"/>
      <c r="S3" s="143"/>
      <c r="T3" s="120"/>
      <c r="U3" s="121"/>
      <c r="V3" s="143"/>
      <c r="W3" s="120"/>
      <c r="X3" s="121"/>
      <c r="Y3" s="143"/>
      <c r="Z3" s="120"/>
      <c r="AA3" s="121"/>
      <c r="AB3" s="143"/>
      <c r="AC3" s="120"/>
      <c r="AD3" s="121"/>
      <c r="AE3" s="143"/>
      <c r="AF3" s="120"/>
      <c r="AG3" s="121"/>
      <c r="AH3" s="143"/>
      <c r="AI3" s="471" t="s">
        <v>53</v>
      </c>
      <c r="AJ3" s="6"/>
    </row>
    <row r="4" spans="1:41" s="7" customFormat="1" ht="30" customHeight="1">
      <c r="A4" s="122"/>
      <c r="B4" s="486"/>
      <c r="C4" s="487"/>
      <c r="D4" s="487"/>
      <c r="E4" s="8" t="s">
        <v>73</v>
      </c>
      <c r="F4" s="9"/>
      <c r="G4" s="183"/>
      <c r="H4" s="8"/>
      <c r="I4" s="9"/>
      <c r="J4" s="183"/>
      <c r="K4" s="8"/>
      <c r="L4" s="9"/>
      <c r="M4" s="183"/>
      <c r="N4" s="8"/>
      <c r="O4" s="9"/>
      <c r="P4" s="183"/>
      <c r="Q4" s="8"/>
      <c r="R4" s="9"/>
      <c r="S4" s="144"/>
      <c r="T4" s="8"/>
      <c r="U4" s="9"/>
      <c r="V4" s="144"/>
      <c r="W4" s="8"/>
      <c r="X4" s="9"/>
      <c r="Y4" s="144"/>
      <c r="Z4" s="8"/>
      <c r="AA4" s="9"/>
      <c r="AB4" s="144"/>
      <c r="AC4" s="8"/>
      <c r="AD4" s="9"/>
      <c r="AE4" s="144"/>
      <c r="AF4" s="8"/>
      <c r="AG4" s="9"/>
      <c r="AH4" s="144"/>
      <c r="AI4" s="488"/>
      <c r="AJ4" s="6"/>
    </row>
    <row r="5" spans="1:41" s="7" customFormat="1" ht="30" customHeight="1">
      <c r="A5" s="123" t="s">
        <v>3</v>
      </c>
      <c r="B5" s="486"/>
      <c r="C5" s="487"/>
      <c r="D5" s="487"/>
      <c r="E5" s="8" t="s">
        <v>74</v>
      </c>
      <c r="F5" s="9"/>
      <c r="G5" s="183"/>
      <c r="H5" s="8" t="s">
        <v>75</v>
      </c>
      <c r="I5" s="9"/>
      <c r="J5" s="183"/>
      <c r="K5" s="8" t="s">
        <v>76</v>
      </c>
      <c r="L5" s="9"/>
      <c r="M5" s="183"/>
      <c r="N5" s="8" t="s">
        <v>77</v>
      </c>
      <c r="O5" s="9"/>
      <c r="P5" s="183"/>
      <c r="Q5" s="8" t="s">
        <v>78</v>
      </c>
      <c r="R5" s="9"/>
      <c r="S5" s="144"/>
      <c r="T5" s="8">
        <v>6</v>
      </c>
      <c r="U5" s="9"/>
      <c r="V5" s="144"/>
      <c r="W5" s="8">
        <v>7</v>
      </c>
      <c r="X5" s="9"/>
      <c r="Y5" s="144"/>
      <c r="Z5" s="8">
        <v>8</v>
      </c>
      <c r="AA5" s="9"/>
      <c r="AB5" s="144"/>
      <c r="AC5" s="8">
        <v>9</v>
      </c>
      <c r="AD5" s="9"/>
      <c r="AE5" s="144"/>
      <c r="AF5" s="8">
        <v>10</v>
      </c>
      <c r="AG5" s="9"/>
      <c r="AH5" s="144"/>
      <c r="AI5" s="488"/>
      <c r="AJ5" s="6"/>
    </row>
    <row r="6" spans="1:41" s="7" customFormat="1" ht="30" customHeight="1" thickBot="1">
      <c r="A6" s="124"/>
      <c r="B6" s="115" t="s">
        <v>4</v>
      </c>
      <c r="C6" s="116" t="s">
        <v>5</v>
      </c>
      <c r="D6" s="178" t="s">
        <v>6</v>
      </c>
      <c r="E6" s="115" t="s">
        <v>4</v>
      </c>
      <c r="F6" s="116" t="s">
        <v>5</v>
      </c>
      <c r="G6" s="178" t="s">
        <v>6</v>
      </c>
      <c r="H6" s="115" t="s">
        <v>4</v>
      </c>
      <c r="I6" s="116" t="s">
        <v>5</v>
      </c>
      <c r="J6" s="178" t="s">
        <v>6</v>
      </c>
      <c r="K6" s="115" t="s">
        <v>4</v>
      </c>
      <c r="L6" s="116" t="s">
        <v>5</v>
      </c>
      <c r="M6" s="178" t="s">
        <v>6</v>
      </c>
      <c r="N6" s="115" t="s">
        <v>4</v>
      </c>
      <c r="O6" s="116" t="s">
        <v>5</v>
      </c>
      <c r="P6" s="178" t="s">
        <v>6</v>
      </c>
      <c r="Q6" s="115" t="s">
        <v>4</v>
      </c>
      <c r="R6" s="116" t="s">
        <v>5</v>
      </c>
      <c r="S6" s="178" t="s">
        <v>6</v>
      </c>
      <c r="T6" s="117" t="s">
        <v>4</v>
      </c>
      <c r="U6" s="118" t="s">
        <v>5</v>
      </c>
      <c r="V6" s="145" t="s">
        <v>6</v>
      </c>
      <c r="W6" s="117" t="s">
        <v>4</v>
      </c>
      <c r="X6" s="118" t="s">
        <v>5</v>
      </c>
      <c r="Y6" s="145" t="s">
        <v>6</v>
      </c>
      <c r="Z6" s="117" t="s">
        <v>4</v>
      </c>
      <c r="AA6" s="118" t="s">
        <v>5</v>
      </c>
      <c r="AB6" s="145" t="s">
        <v>6</v>
      </c>
      <c r="AC6" s="117" t="s">
        <v>4</v>
      </c>
      <c r="AD6" s="118" t="s">
        <v>5</v>
      </c>
      <c r="AE6" s="145" t="s">
        <v>6</v>
      </c>
      <c r="AF6" s="117" t="s">
        <v>4</v>
      </c>
      <c r="AG6" s="118" t="s">
        <v>5</v>
      </c>
      <c r="AH6" s="145" t="s">
        <v>6</v>
      </c>
      <c r="AI6" s="472"/>
      <c r="AJ6" s="6"/>
    </row>
    <row r="7" spans="1:41" s="7" customFormat="1" ht="22.5" customHeight="1" thickTop="1">
      <c r="A7" s="125" t="s">
        <v>2</v>
      </c>
      <c r="B7" s="113">
        <f>SUM(B8:B32)</f>
        <v>806</v>
      </c>
      <c r="C7" s="114" t="s">
        <v>5</v>
      </c>
      <c r="D7" s="139">
        <f ca="1">SUM(D8:D32)</f>
        <v>410200.7</v>
      </c>
      <c r="E7" s="113">
        <f>SUM(E8:E32)</f>
        <v>148</v>
      </c>
      <c r="F7" s="114" t="s">
        <v>5</v>
      </c>
      <c r="G7" s="139">
        <f ca="1">SUM(G8:G32)</f>
        <v>39475.4</v>
      </c>
      <c r="H7" s="113">
        <f>SUM(H8:H32)</f>
        <v>150</v>
      </c>
      <c r="I7" s="114" t="s">
        <v>5</v>
      </c>
      <c r="J7" s="139">
        <f>SUM(J8:J32)</f>
        <v>57534.399999999994</v>
      </c>
      <c r="K7" s="113">
        <f>SUM(K8:K32)</f>
        <v>228</v>
      </c>
      <c r="L7" s="114" t="s">
        <v>5</v>
      </c>
      <c r="M7" s="139">
        <f>SUM(M8:M32)</f>
        <v>92654.5</v>
      </c>
      <c r="N7" s="113">
        <f>SUM(N8:N32)</f>
        <v>123</v>
      </c>
      <c r="O7" s="114" t="s">
        <v>5</v>
      </c>
      <c r="P7" s="139">
        <f>SUM(P8:P32)</f>
        <v>124209.39999999997</v>
      </c>
      <c r="Q7" s="113">
        <f>SUM(Q8:Q32)</f>
        <v>157</v>
      </c>
      <c r="R7" s="114" t="s">
        <v>5</v>
      </c>
      <c r="S7" s="139">
        <f>SUM(S8:S32)</f>
        <v>96327</v>
      </c>
      <c r="T7" s="113">
        <f>SUM(T8:T32)</f>
        <v>0</v>
      </c>
      <c r="U7" s="114" t="s">
        <v>5</v>
      </c>
      <c r="V7" s="139">
        <f>SUM(V8:V32)</f>
        <v>0</v>
      </c>
      <c r="W7" s="113">
        <f>SUM(W8:W32)</f>
        <v>0</v>
      </c>
      <c r="X7" s="114" t="s">
        <v>5</v>
      </c>
      <c r="Y7" s="139">
        <f>SUM(Y8:Y32)</f>
        <v>0</v>
      </c>
      <c r="Z7" s="113">
        <f>SUM(Z8:Z32)</f>
        <v>0</v>
      </c>
      <c r="AA7" s="114" t="s">
        <v>5</v>
      </c>
      <c r="AB7" s="139">
        <f>SUM(AB8:AB32)</f>
        <v>0</v>
      </c>
      <c r="AC7" s="113">
        <f>SUM(AC8:AC32)</f>
        <v>0</v>
      </c>
      <c r="AD7" s="114" t="s">
        <v>5</v>
      </c>
      <c r="AE7" s="139">
        <f>SUM(AE8:AE32)</f>
        <v>0</v>
      </c>
      <c r="AF7" s="113">
        <f>SUM(AF8:AF32)</f>
        <v>0</v>
      </c>
      <c r="AG7" s="114" t="s">
        <v>5</v>
      </c>
      <c r="AH7" s="139">
        <f>SUM(AH8:AH32)</f>
        <v>0</v>
      </c>
      <c r="AI7" s="126"/>
      <c r="AJ7" s="6"/>
      <c r="AK7" s="103"/>
    </row>
    <row r="8" spans="1:41" s="7" customFormat="1" ht="22.5" customHeight="1">
      <c r="A8" s="127" t="s">
        <v>7</v>
      </c>
      <c r="B8" s="111">
        <f t="shared" ref="B8:B32" si="0">SUM(E8,H8,K8,N8,Q8,T8,W8,Z8,AC8,AF8)</f>
        <v>116</v>
      </c>
      <c r="C8" s="112" t="s">
        <v>5</v>
      </c>
      <c r="D8" s="140">
        <f t="shared" ref="D8:D32" ca="1" si="1">SUM(G8,J8,M8,P8,S8,V8,Y8,AB8,AE8,AH8)</f>
        <v>38581</v>
      </c>
      <c r="E8" s="111">
        <f>E40+E72+E104</f>
        <v>12</v>
      </c>
      <c r="F8" s="112" t="s">
        <v>5</v>
      </c>
      <c r="G8" s="140">
        <f ca="1">G40+G72+G104</f>
        <v>3869</v>
      </c>
      <c r="H8" s="111">
        <f>H40+H72+H104</f>
        <v>30</v>
      </c>
      <c r="I8" s="112" t="s">
        <v>5</v>
      </c>
      <c r="J8" s="140">
        <f>J40+J72+J104</f>
        <v>10337</v>
      </c>
      <c r="K8" s="111">
        <f>K40+K72+K104</f>
        <v>43</v>
      </c>
      <c r="L8" s="112" t="s">
        <v>5</v>
      </c>
      <c r="M8" s="140">
        <f>M40+M72+M104</f>
        <v>13678</v>
      </c>
      <c r="N8" s="111">
        <f>N40+N72+N104</f>
        <v>7</v>
      </c>
      <c r="O8" s="112" t="s">
        <v>5</v>
      </c>
      <c r="P8" s="140">
        <f>P40+P72+P104</f>
        <v>3505</v>
      </c>
      <c r="Q8" s="111">
        <f>Q40+Q72+Q104</f>
        <v>24</v>
      </c>
      <c r="R8" s="112" t="s">
        <v>5</v>
      </c>
      <c r="S8" s="140">
        <f>S40+S72+S104</f>
        <v>7192</v>
      </c>
      <c r="T8" s="111">
        <f>'(변경)집계표'!B157</f>
        <v>0</v>
      </c>
      <c r="U8" s="112" t="s">
        <v>5</v>
      </c>
      <c r="V8" s="140">
        <f>'(변경)집계표'!D157</f>
        <v>0</v>
      </c>
      <c r="W8" s="111">
        <f>'(변경)집계표'!B187</f>
        <v>0</v>
      </c>
      <c r="X8" s="112" t="s">
        <v>5</v>
      </c>
      <c r="Y8" s="140">
        <f>'(변경)집계표'!D187</f>
        <v>0</v>
      </c>
      <c r="Z8" s="111">
        <f>'(변경)집계표'!B217</f>
        <v>0</v>
      </c>
      <c r="AA8" s="112" t="s">
        <v>5</v>
      </c>
      <c r="AB8" s="140">
        <f>'(변경)집계표'!D217</f>
        <v>0</v>
      </c>
      <c r="AC8" s="111">
        <f>'(변경)집계표'!B247</f>
        <v>0</v>
      </c>
      <c r="AD8" s="112" t="s">
        <v>5</v>
      </c>
      <c r="AE8" s="140">
        <f>'(변경)집계표'!D247</f>
        <v>0</v>
      </c>
      <c r="AF8" s="111">
        <f>'(변경)집계표'!B277</f>
        <v>0</v>
      </c>
      <c r="AG8" s="112" t="s">
        <v>5</v>
      </c>
      <c r="AH8" s="140">
        <f>'(변경)집계표'!D277</f>
        <v>0</v>
      </c>
      <c r="AI8" s="128"/>
      <c r="AJ8" s="6"/>
      <c r="AK8" s="104" t="s">
        <v>7</v>
      </c>
      <c r="AL8" s="104" t="s">
        <v>7</v>
      </c>
      <c r="AM8" s="104" t="s">
        <v>7</v>
      </c>
      <c r="AN8" s="104" t="s">
        <v>7</v>
      </c>
      <c r="AO8" s="104" t="s">
        <v>7</v>
      </c>
    </row>
    <row r="9" spans="1:41" s="7" customFormat="1" ht="22.5" customHeight="1">
      <c r="A9" s="127" t="s">
        <v>8</v>
      </c>
      <c r="B9" s="111">
        <f t="shared" si="0"/>
        <v>169</v>
      </c>
      <c r="C9" s="112" t="s">
        <v>5</v>
      </c>
      <c r="D9" s="140">
        <f t="shared" ca="1" si="1"/>
        <v>110634.99999999999</v>
      </c>
      <c r="E9" s="111">
        <f t="shared" ref="E9:E32" si="2">E41+E73+E105</f>
        <v>48</v>
      </c>
      <c r="F9" s="112" t="s">
        <v>5</v>
      </c>
      <c r="G9" s="140">
        <f t="shared" ref="G9:H9" ca="1" si="3">G41+G73+G105</f>
        <v>16314.100000000002</v>
      </c>
      <c r="H9" s="111">
        <f t="shared" si="3"/>
        <v>17</v>
      </c>
      <c r="I9" s="112" t="s">
        <v>5</v>
      </c>
      <c r="J9" s="140">
        <f t="shared" ref="J9:K9" si="4">J41+J73+J105</f>
        <v>16153.899999999998</v>
      </c>
      <c r="K9" s="111">
        <f t="shared" si="4"/>
        <v>33</v>
      </c>
      <c r="L9" s="112" t="s">
        <v>5</v>
      </c>
      <c r="M9" s="140">
        <f t="shared" ref="M9:N9" si="5">M41+M73+M105</f>
        <v>19354.400000000001</v>
      </c>
      <c r="N9" s="111">
        <f t="shared" si="5"/>
        <v>44</v>
      </c>
      <c r="O9" s="112" t="s">
        <v>5</v>
      </c>
      <c r="P9" s="140">
        <f t="shared" ref="P9:Q9" si="6">P41+P73+P105</f>
        <v>46694.599999999984</v>
      </c>
      <c r="Q9" s="111">
        <f t="shared" si="6"/>
        <v>27</v>
      </c>
      <c r="R9" s="112" t="s">
        <v>5</v>
      </c>
      <c r="S9" s="140">
        <f t="shared" ref="S9" si="7">S41+S73+S105</f>
        <v>12118</v>
      </c>
      <c r="T9" s="111">
        <f>'(변경)집계표'!B158</f>
        <v>0</v>
      </c>
      <c r="U9" s="112" t="s">
        <v>5</v>
      </c>
      <c r="V9" s="140">
        <f>'(변경)집계표'!D158</f>
        <v>0</v>
      </c>
      <c r="W9" s="111">
        <f>'(변경)집계표'!B188</f>
        <v>0</v>
      </c>
      <c r="X9" s="112" t="s">
        <v>5</v>
      </c>
      <c r="Y9" s="140">
        <f>'(변경)집계표'!D188</f>
        <v>0</v>
      </c>
      <c r="Z9" s="111">
        <f>'(변경)집계표'!B218</f>
        <v>0</v>
      </c>
      <c r="AA9" s="112" t="s">
        <v>5</v>
      </c>
      <c r="AB9" s="140">
        <f>'(변경)집계표'!D218</f>
        <v>0</v>
      </c>
      <c r="AC9" s="111">
        <f>'(변경)집계표'!B248</f>
        <v>0</v>
      </c>
      <c r="AD9" s="112" t="s">
        <v>5</v>
      </c>
      <c r="AE9" s="140">
        <f>'(변경)집계표'!D248</f>
        <v>0</v>
      </c>
      <c r="AF9" s="111">
        <f>'(변경)집계표'!B278</f>
        <v>0</v>
      </c>
      <c r="AG9" s="112" t="s">
        <v>5</v>
      </c>
      <c r="AH9" s="140">
        <f>'(변경)집계표'!D278</f>
        <v>0</v>
      </c>
      <c r="AI9" s="128"/>
      <c r="AJ9" s="6"/>
      <c r="AK9" s="104" t="s">
        <v>8</v>
      </c>
      <c r="AL9" s="104" t="s">
        <v>8</v>
      </c>
      <c r="AM9" s="104" t="s">
        <v>8</v>
      </c>
      <c r="AN9" s="104" t="s">
        <v>8</v>
      </c>
      <c r="AO9" s="104" t="s">
        <v>8</v>
      </c>
    </row>
    <row r="10" spans="1:41" s="7" customFormat="1" ht="22.5" customHeight="1">
      <c r="A10" s="127" t="s">
        <v>9</v>
      </c>
      <c r="B10" s="111">
        <f t="shared" si="0"/>
        <v>156</v>
      </c>
      <c r="C10" s="112" t="s">
        <v>5</v>
      </c>
      <c r="D10" s="140">
        <f t="shared" ca="1" si="1"/>
        <v>158409</v>
      </c>
      <c r="E10" s="111">
        <f t="shared" si="2"/>
        <v>8</v>
      </c>
      <c r="F10" s="112" t="s">
        <v>5</v>
      </c>
      <c r="G10" s="140">
        <f t="shared" ref="G10:H10" ca="1" si="8">G42+G74+G106</f>
        <v>3542</v>
      </c>
      <c r="H10" s="111">
        <f t="shared" si="8"/>
        <v>17</v>
      </c>
      <c r="I10" s="112" t="s">
        <v>5</v>
      </c>
      <c r="J10" s="140">
        <f t="shared" ref="J10:K10" si="9">J42+J74+J106</f>
        <v>13328</v>
      </c>
      <c r="K10" s="111">
        <f t="shared" si="9"/>
        <v>46</v>
      </c>
      <c r="L10" s="112" t="s">
        <v>5</v>
      </c>
      <c r="M10" s="140">
        <f t="shared" ref="M10:N10" si="10">M42+M74+M106</f>
        <v>30895</v>
      </c>
      <c r="N10" s="111">
        <f t="shared" si="10"/>
        <v>41</v>
      </c>
      <c r="O10" s="112" t="s">
        <v>5</v>
      </c>
      <c r="P10" s="140">
        <f t="shared" ref="P10:Q10" si="11">P42+P74+P106</f>
        <v>49066</v>
      </c>
      <c r="Q10" s="111">
        <f t="shared" si="11"/>
        <v>44</v>
      </c>
      <c r="R10" s="112" t="s">
        <v>5</v>
      </c>
      <c r="S10" s="140">
        <f t="shared" ref="S10" si="12">S42+S74+S106</f>
        <v>61578</v>
      </c>
      <c r="T10" s="111">
        <f>'(변경)집계표'!B159</f>
        <v>0</v>
      </c>
      <c r="U10" s="112" t="s">
        <v>5</v>
      </c>
      <c r="V10" s="140">
        <f>'(변경)집계표'!D159</f>
        <v>0</v>
      </c>
      <c r="W10" s="111">
        <f>'(변경)집계표'!B189</f>
        <v>0</v>
      </c>
      <c r="X10" s="112" t="s">
        <v>5</v>
      </c>
      <c r="Y10" s="140">
        <f>'(변경)집계표'!D189</f>
        <v>0</v>
      </c>
      <c r="Z10" s="111">
        <f>'(변경)집계표'!B219</f>
        <v>0</v>
      </c>
      <c r="AA10" s="112" t="s">
        <v>5</v>
      </c>
      <c r="AB10" s="140">
        <f>'(변경)집계표'!D219</f>
        <v>0</v>
      </c>
      <c r="AC10" s="111">
        <f>'(변경)집계표'!B249</f>
        <v>0</v>
      </c>
      <c r="AD10" s="112" t="s">
        <v>5</v>
      </c>
      <c r="AE10" s="140">
        <f>'(변경)집계표'!D249</f>
        <v>0</v>
      </c>
      <c r="AF10" s="111">
        <f>'(변경)집계표'!B279</f>
        <v>0</v>
      </c>
      <c r="AG10" s="112" t="s">
        <v>5</v>
      </c>
      <c r="AH10" s="140">
        <f>'(변경)집계표'!D279</f>
        <v>0</v>
      </c>
      <c r="AI10" s="128"/>
      <c r="AJ10" s="6"/>
      <c r="AK10" s="104" t="s">
        <v>9</v>
      </c>
      <c r="AL10" s="104" t="s">
        <v>9</v>
      </c>
      <c r="AM10" s="104" t="s">
        <v>9</v>
      </c>
      <c r="AN10" s="104" t="s">
        <v>9</v>
      </c>
      <c r="AO10" s="104" t="s">
        <v>9</v>
      </c>
    </row>
    <row r="11" spans="1:41" s="7" customFormat="1" ht="22.5" customHeight="1">
      <c r="A11" s="127" t="s">
        <v>10</v>
      </c>
      <c r="B11" s="111">
        <f t="shared" si="0"/>
        <v>34</v>
      </c>
      <c r="C11" s="112" t="s">
        <v>5</v>
      </c>
      <c r="D11" s="140">
        <f t="shared" ca="1" si="1"/>
        <v>3720</v>
      </c>
      <c r="E11" s="111">
        <f t="shared" si="2"/>
        <v>6</v>
      </c>
      <c r="F11" s="112" t="s">
        <v>5</v>
      </c>
      <c r="G11" s="140">
        <f t="shared" ref="G11:H11" ca="1" si="13">G43+G75+G107</f>
        <v>563</v>
      </c>
      <c r="H11" s="111">
        <f t="shared" si="13"/>
        <v>8</v>
      </c>
      <c r="I11" s="112" t="s">
        <v>5</v>
      </c>
      <c r="J11" s="140">
        <f t="shared" ref="J11:K11" si="14">J43+J75+J107</f>
        <v>664</v>
      </c>
      <c r="K11" s="111">
        <f t="shared" si="14"/>
        <v>9</v>
      </c>
      <c r="L11" s="112" t="s">
        <v>5</v>
      </c>
      <c r="M11" s="140">
        <f t="shared" ref="M11:N11" si="15">M43+M75+M107</f>
        <v>1449</v>
      </c>
      <c r="N11" s="111">
        <f t="shared" si="15"/>
        <v>1</v>
      </c>
      <c r="O11" s="112" t="s">
        <v>5</v>
      </c>
      <c r="P11" s="140">
        <f t="shared" ref="P11:Q11" si="16">P43+P75+P107</f>
        <v>61</v>
      </c>
      <c r="Q11" s="111">
        <f t="shared" si="16"/>
        <v>10</v>
      </c>
      <c r="R11" s="112" t="s">
        <v>5</v>
      </c>
      <c r="S11" s="140">
        <f t="shared" ref="S11" si="17">S43+S75+S107</f>
        <v>983</v>
      </c>
      <c r="T11" s="111">
        <f>'(변경)집계표'!B160</f>
        <v>0</v>
      </c>
      <c r="U11" s="112" t="s">
        <v>5</v>
      </c>
      <c r="V11" s="140">
        <f>'(변경)집계표'!D160</f>
        <v>0</v>
      </c>
      <c r="W11" s="111">
        <f>'(변경)집계표'!B190</f>
        <v>0</v>
      </c>
      <c r="X11" s="112" t="s">
        <v>5</v>
      </c>
      <c r="Y11" s="140">
        <f>'(변경)집계표'!D190</f>
        <v>0</v>
      </c>
      <c r="Z11" s="111">
        <f>'(변경)집계표'!B220</f>
        <v>0</v>
      </c>
      <c r="AA11" s="112" t="s">
        <v>5</v>
      </c>
      <c r="AB11" s="140">
        <f>'(변경)집계표'!D220</f>
        <v>0</v>
      </c>
      <c r="AC11" s="111">
        <f>'(변경)집계표'!B250</f>
        <v>0</v>
      </c>
      <c r="AD11" s="112" t="s">
        <v>5</v>
      </c>
      <c r="AE11" s="140">
        <f>'(변경)집계표'!D250</f>
        <v>0</v>
      </c>
      <c r="AF11" s="111">
        <f>'(변경)집계표'!B280</f>
        <v>0</v>
      </c>
      <c r="AG11" s="112" t="s">
        <v>5</v>
      </c>
      <c r="AH11" s="140">
        <f>'(변경)집계표'!D280</f>
        <v>0</v>
      </c>
      <c r="AI11" s="128"/>
      <c r="AJ11" s="6"/>
      <c r="AK11" s="104" t="s">
        <v>10</v>
      </c>
      <c r="AL11" s="104" t="s">
        <v>10</v>
      </c>
      <c r="AM11" s="104" t="s">
        <v>10</v>
      </c>
      <c r="AN11" s="104" t="s">
        <v>10</v>
      </c>
      <c r="AO11" s="104" t="s">
        <v>10</v>
      </c>
    </row>
    <row r="12" spans="1:41" s="7" customFormat="1" ht="22.5" customHeight="1">
      <c r="A12" s="127" t="s">
        <v>11</v>
      </c>
      <c r="B12" s="111">
        <f t="shared" si="0"/>
        <v>251</v>
      </c>
      <c r="C12" s="112" t="s">
        <v>5</v>
      </c>
      <c r="D12" s="140">
        <f t="shared" ca="1" si="1"/>
        <v>74911.3</v>
      </c>
      <c r="E12" s="111">
        <f t="shared" si="2"/>
        <v>55</v>
      </c>
      <c r="F12" s="112" t="s">
        <v>5</v>
      </c>
      <c r="G12" s="140">
        <f t="shared" ref="G12:H12" ca="1" si="18">G44+G76+G108</f>
        <v>11417.8</v>
      </c>
      <c r="H12" s="111">
        <f t="shared" si="18"/>
        <v>58</v>
      </c>
      <c r="I12" s="112" t="s">
        <v>5</v>
      </c>
      <c r="J12" s="140">
        <f t="shared" ref="J12:K12" si="19">J44+J76+J108</f>
        <v>12321.7</v>
      </c>
      <c r="K12" s="111">
        <f t="shared" si="19"/>
        <v>80</v>
      </c>
      <c r="L12" s="112" t="s">
        <v>5</v>
      </c>
      <c r="M12" s="140">
        <f t="shared" ref="M12:N12" si="20">M44+M76+M108</f>
        <v>22240.9</v>
      </c>
      <c r="N12" s="111">
        <f t="shared" si="20"/>
        <v>20</v>
      </c>
      <c r="O12" s="112" t="s">
        <v>5</v>
      </c>
      <c r="P12" s="140">
        <f t="shared" ref="P12:Q12" si="21">P44+P76+P108</f>
        <v>21503.9</v>
      </c>
      <c r="Q12" s="111">
        <f t="shared" si="21"/>
        <v>38</v>
      </c>
      <c r="R12" s="112" t="s">
        <v>5</v>
      </c>
      <c r="S12" s="140">
        <f t="shared" ref="S12" si="22">S44+S76+S108</f>
        <v>7427</v>
      </c>
      <c r="T12" s="111">
        <f>'(변경)집계표'!B161</f>
        <v>0</v>
      </c>
      <c r="U12" s="112" t="s">
        <v>5</v>
      </c>
      <c r="V12" s="140">
        <f>'(변경)집계표'!D161</f>
        <v>0</v>
      </c>
      <c r="W12" s="111">
        <f>'(변경)집계표'!B191</f>
        <v>0</v>
      </c>
      <c r="X12" s="112" t="s">
        <v>5</v>
      </c>
      <c r="Y12" s="140">
        <f>'(변경)집계표'!D191</f>
        <v>0</v>
      </c>
      <c r="Z12" s="111">
        <f>'(변경)집계표'!B221</f>
        <v>0</v>
      </c>
      <c r="AA12" s="112" t="s">
        <v>5</v>
      </c>
      <c r="AB12" s="140">
        <f>'(변경)집계표'!D221</f>
        <v>0</v>
      </c>
      <c r="AC12" s="111">
        <f>'(변경)집계표'!B251</f>
        <v>0</v>
      </c>
      <c r="AD12" s="112" t="s">
        <v>5</v>
      </c>
      <c r="AE12" s="140">
        <f>'(변경)집계표'!D251</f>
        <v>0</v>
      </c>
      <c r="AF12" s="111">
        <f>'(변경)집계표'!B281</f>
        <v>0</v>
      </c>
      <c r="AG12" s="112" t="s">
        <v>5</v>
      </c>
      <c r="AH12" s="140">
        <f>'(변경)집계표'!D281</f>
        <v>0</v>
      </c>
      <c r="AI12" s="128"/>
      <c r="AJ12" s="6"/>
      <c r="AK12" s="104" t="s">
        <v>11</v>
      </c>
      <c r="AL12" s="104" t="s">
        <v>11</v>
      </c>
      <c r="AM12" s="104" t="s">
        <v>11</v>
      </c>
      <c r="AN12" s="104" t="s">
        <v>11</v>
      </c>
      <c r="AO12" s="104" t="s">
        <v>11</v>
      </c>
    </row>
    <row r="13" spans="1:41" s="7" customFormat="1" ht="22.5" customHeight="1">
      <c r="A13" s="127" t="s">
        <v>12</v>
      </c>
      <c r="B13" s="111">
        <f t="shared" si="0"/>
        <v>45</v>
      </c>
      <c r="C13" s="112" t="s">
        <v>5</v>
      </c>
      <c r="D13" s="140">
        <f t="shared" ca="1" si="1"/>
        <v>11349.5</v>
      </c>
      <c r="E13" s="111">
        <f t="shared" si="2"/>
        <v>13</v>
      </c>
      <c r="F13" s="112" t="s">
        <v>5</v>
      </c>
      <c r="G13" s="140">
        <f t="shared" ref="G13:H13" ca="1" si="23">G45+G77+G109</f>
        <v>1615.5</v>
      </c>
      <c r="H13" s="111">
        <f t="shared" si="23"/>
        <v>13</v>
      </c>
      <c r="I13" s="112" t="s">
        <v>5</v>
      </c>
      <c r="J13" s="140">
        <f t="shared" ref="J13:K13" si="24">J45+J77+J109</f>
        <v>2402.7999999999997</v>
      </c>
      <c r="K13" s="111">
        <f t="shared" si="24"/>
        <v>12</v>
      </c>
      <c r="L13" s="112" t="s">
        <v>5</v>
      </c>
      <c r="M13" s="140">
        <f t="shared" ref="M13:N13" si="25">M45+M77+M109</f>
        <v>4652.2</v>
      </c>
      <c r="N13" s="111">
        <f t="shared" si="25"/>
        <v>7</v>
      </c>
      <c r="O13" s="112" t="s">
        <v>5</v>
      </c>
      <c r="P13" s="140">
        <f t="shared" ref="P13:Q13" si="26">P45+P77+P109</f>
        <v>2679</v>
      </c>
      <c r="Q13" s="111">
        <f t="shared" si="26"/>
        <v>0</v>
      </c>
      <c r="R13" s="112" t="s">
        <v>5</v>
      </c>
      <c r="S13" s="140">
        <f t="shared" ref="S13" si="27">S45+S77+S109</f>
        <v>0</v>
      </c>
      <c r="T13" s="111">
        <f>'(변경)집계표'!B162</f>
        <v>0</v>
      </c>
      <c r="U13" s="112" t="s">
        <v>5</v>
      </c>
      <c r="V13" s="140">
        <f>'(변경)집계표'!D162</f>
        <v>0</v>
      </c>
      <c r="W13" s="111">
        <f>'(변경)집계표'!B192</f>
        <v>0</v>
      </c>
      <c r="X13" s="112" t="s">
        <v>5</v>
      </c>
      <c r="Y13" s="140">
        <f>'(변경)집계표'!D192</f>
        <v>0</v>
      </c>
      <c r="Z13" s="111">
        <f>'(변경)집계표'!B222</f>
        <v>0</v>
      </c>
      <c r="AA13" s="112" t="s">
        <v>5</v>
      </c>
      <c r="AB13" s="140">
        <f>'(변경)집계표'!D222</f>
        <v>0</v>
      </c>
      <c r="AC13" s="111">
        <f>'(변경)집계표'!B252</f>
        <v>0</v>
      </c>
      <c r="AD13" s="112" t="s">
        <v>5</v>
      </c>
      <c r="AE13" s="140">
        <f>'(변경)집계표'!D252</f>
        <v>0</v>
      </c>
      <c r="AF13" s="111">
        <f>'(변경)집계표'!B282</f>
        <v>0</v>
      </c>
      <c r="AG13" s="112" t="s">
        <v>5</v>
      </c>
      <c r="AH13" s="140">
        <f>'(변경)집계표'!D282</f>
        <v>0</v>
      </c>
      <c r="AI13" s="128"/>
      <c r="AJ13" s="6"/>
      <c r="AK13" s="104" t="s">
        <v>12</v>
      </c>
      <c r="AL13" s="104" t="s">
        <v>12</v>
      </c>
      <c r="AM13" s="104" t="s">
        <v>12</v>
      </c>
      <c r="AN13" s="104" t="s">
        <v>12</v>
      </c>
      <c r="AO13" s="104" t="s">
        <v>12</v>
      </c>
    </row>
    <row r="14" spans="1:41" s="7" customFormat="1" ht="22.5" customHeight="1">
      <c r="A14" s="127" t="s">
        <v>13</v>
      </c>
      <c r="B14" s="111">
        <f t="shared" si="0"/>
        <v>1</v>
      </c>
      <c r="C14" s="112" t="s">
        <v>5</v>
      </c>
      <c r="D14" s="140">
        <f t="shared" ca="1" si="1"/>
        <v>597.9</v>
      </c>
      <c r="E14" s="111">
        <f t="shared" si="2"/>
        <v>0</v>
      </c>
      <c r="F14" s="112" t="s">
        <v>5</v>
      </c>
      <c r="G14" s="140">
        <f t="shared" ref="G14:H14" ca="1" si="28">G46+G78+G110</f>
        <v>0</v>
      </c>
      <c r="H14" s="111">
        <f t="shared" si="28"/>
        <v>0</v>
      </c>
      <c r="I14" s="112" t="s">
        <v>5</v>
      </c>
      <c r="J14" s="140">
        <f t="shared" ref="J14:K14" si="29">J46+J78+J110</f>
        <v>0</v>
      </c>
      <c r="K14" s="111">
        <f t="shared" si="29"/>
        <v>0</v>
      </c>
      <c r="L14" s="112" t="s">
        <v>5</v>
      </c>
      <c r="M14" s="140">
        <f t="shared" ref="M14:N14" si="30">M46+M78+M110</f>
        <v>0</v>
      </c>
      <c r="N14" s="111">
        <f t="shared" si="30"/>
        <v>1</v>
      </c>
      <c r="O14" s="112" t="s">
        <v>5</v>
      </c>
      <c r="P14" s="140">
        <f t="shared" ref="P14:Q14" si="31">P46+P78+P110</f>
        <v>597.9</v>
      </c>
      <c r="Q14" s="111">
        <f t="shared" si="31"/>
        <v>0</v>
      </c>
      <c r="R14" s="112" t="s">
        <v>5</v>
      </c>
      <c r="S14" s="140">
        <f t="shared" ref="S14" si="32">S46+S78+S110</f>
        <v>0</v>
      </c>
      <c r="T14" s="111">
        <f>'(변경)집계표'!B163</f>
        <v>0</v>
      </c>
      <c r="U14" s="112" t="s">
        <v>5</v>
      </c>
      <c r="V14" s="140">
        <f>'(변경)집계표'!D163</f>
        <v>0</v>
      </c>
      <c r="W14" s="111">
        <f>'(변경)집계표'!B193</f>
        <v>0</v>
      </c>
      <c r="X14" s="112" t="s">
        <v>5</v>
      </c>
      <c r="Y14" s="140">
        <f>'(변경)집계표'!D193</f>
        <v>0</v>
      </c>
      <c r="Z14" s="111">
        <f>'(변경)집계표'!B223</f>
        <v>0</v>
      </c>
      <c r="AA14" s="112" t="s">
        <v>5</v>
      </c>
      <c r="AB14" s="140">
        <f>'(변경)집계표'!D223</f>
        <v>0</v>
      </c>
      <c r="AC14" s="111">
        <f>'(변경)집계표'!B253</f>
        <v>0</v>
      </c>
      <c r="AD14" s="112" t="s">
        <v>5</v>
      </c>
      <c r="AE14" s="140">
        <f>'(변경)집계표'!D253</f>
        <v>0</v>
      </c>
      <c r="AF14" s="111">
        <f>'(변경)집계표'!B283</f>
        <v>0</v>
      </c>
      <c r="AG14" s="112" t="s">
        <v>5</v>
      </c>
      <c r="AH14" s="140">
        <f>'(변경)집계표'!D283</f>
        <v>0</v>
      </c>
      <c r="AI14" s="128"/>
      <c r="AJ14" s="6"/>
      <c r="AK14" s="104" t="s">
        <v>13</v>
      </c>
      <c r="AL14" s="104" t="s">
        <v>13</v>
      </c>
      <c r="AM14" s="104" t="s">
        <v>13</v>
      </c>
      <c r="AN14" s="104" t="s">
        <v>13</v>
      </c>
      <c r="AO14" s="104" t="s">
        <v>13</v>
      </c>
    </row>
    <row r="15" spans="1:41" s="7" customFormat="1" ht="22.5" customHeight="1">
      <c r="A15" s="127" t="s">
        <v>14</v>
      </c>
      <c r="B15" s="111">
        <f t="shared" si="0"/>
        <v>8</v>
      </c>
      <c r="C15" s="112" t="s">
        <v>5</v>
      </c>
      <c r="D15" s="140">
        <f t="shared" ca="1" si="1"/>
        <v>2406</v>
      </c>
      <c r="E15" s="111">
        <f t="shared" si="2"/>
        <v>6</v>
      </c>
      <c r="F15" s="112" t="s">
        <v>5</v>
      </c>
      <c r="G15" s="140">
        <f t="shared" ref="G15:H15" ca="1" si="33">G47+G79+G111</f>
        <v>2154</v>
      </c>
      <c r="H15" s="111">
        <f t="shared" si="33"/>
        <v>0</v>
      </c>
      <c r="I15" s="112" t="s">
        <v>5</v>
      </c>
      <c r="J15" s="140">
        <f t="shared" ref="J15:K15" si="34">J47+J79+J111</f>
        <v>0</v>
      </c>
      <c r="K15" s="111">
        <f t="shared" si="34"/>
        <v>2</v>
      </c>
      <c r="L15" s="112" t="s">
        <v>5</v>
      </c>
      <c r="M15" s="140">
        <f t="shared" ref="M15:N15" si="35">M47+M79+M111</f>
        <v>252</v>
      </c>
      <c r="N15" s="111">
        <f t="shared" si="35"/>
        <v>0</v>
      </c>
      <c r="O15" s="112" t="s">
        <v>5</v>
      </c>
      <c r="P15" s="140">
        <f t="shared" ref="P15:Q15" si="36">P47+P79+P111</f>
        <v>0</v>
      </c>
      <c r="Q15" s="111">
        <f t="shared" si="36"/>
        <v>0</v>
      </c>
      <c r="R15" s="112" t="s">
        <v>5</v>
      </c>
      <c r="S15" s="140">
        <f t="shared" ref="S15" si="37">S47+S79+S111</f>
        <v>0</v>
      </c>
      <c r="T15" s="111">
        <f>'(변경)집계표'!B164</f>
        <v>0</v>
      </c>
      <c r="U15" s="112" t="s">
        <v>5</v>
      </c>
      <c r="V15" s="140">
        <f>'(변경)집계표'!D164</f>
        <v>0</v>
      </c>
      <c r="W15" s="111">
        <f>'(변경)집계표'!B194</f>
        <v>0</v>
      </c>
      <c r="X15" s="112" t="s">
        <v>5</v>
      </c>
      <c r="Y15" s="140">
        <f>'(변경)집계표'!D194</f>
        <v>0</v>
      </c>
      <c r="Z15" s="111">
        <f>'(변경)집계표'!B224</f>
        <v>0</v>
      </c>
      <c r="AA15" s="112" t="s">
        <v>5</v>
      </c>
      <c r="AB15" s="140">
        <f>'(변경)집계표'!D224</f>
        <v>0</v>
      </c>
      <c r="AC15" s="111">
        <f>'(변경)집계표'!B254</f>
        <v>0</v>
      </c>
      <c r="AD15" s="112" t="s">
        <v>5</v>
      </c>
      <c r="AE15" s="140">
        <f>'(변경)집계표'!D254</f>
        <v>0</v>
      </c>
      <c r="AF15" s="111">
        <f>'(변경)집계표'!B284</f>
        <v>0</v>
      </c>
      <c r="AG15" s="112" t="s">
        <v>5</v>
      </c>
      <c r="AH15" s="140">
        <f>'(변경)집계표'!D284</f>
        <v>0</v>
      </c>
      <c r="AI15" s="128"/>
      <c r="AJ15" s="6"/>
      <c r="AK15" s="104" t="s">
        <v>14</v>
      </c>
      <c r="AL15" s="104" t="s">
        <v>14</v>
      </c>
      <c r="AM15" s="104" t="s">
        <v>14</v>
      </c>
      <c r="AN15" s="104" t="s">
        <v>14</v>
      </c>
      <c r="AO15" s="104" t="s">
        <v>14</v>
      </c>
    </row>
    <row r="16" spans="1:41" s="7" customFormat="1" ht="22.5" customHeight="1">
      <c r="A16" s="127" t="s">
        <v>15</v>
      </c>
      <c r="B16" s="111">
        <f t="shared" si="0"/>
        <v>3</v>
      </c>
      <c r="C16" s="112" t="s">
        <v>5</v>
      </c>
      <c r="D16" s="140">
        <f t="shared" ca="1" si="1"/>
        <v>663</v>
      </c>
      <c r="E16" s="111">
        <f t="shared" si="2"/>
        <v>0</v>
      </c>
      <c r="F16" s="112" t="s">
        <v>5</v>
      </c>
      <c r="G16" s="140">
        <f t="shared" ref="G16:H16" ca="1" si="38">G48+G80+G112</f>
        <v>0</v>
      </c>
      <c r="H16" s="111">
        <f t="shared" si="38"/>
        <v>0</v>
      </c>
      <c r="I16" s="112" t="s">
        <v>5</v>
      </c>
      <c r="J16" s="140">
        <f t="shared" ref="J16:K16" si="39">J48+J80+J112</f>
        <v>0</v>
      </c>
      <c r="K16" s="111">
        <f t="shared" si="39"/>
        <v>2</v>
      </c>
      <c r="L16" s="112" t="s">
        <v>5</v>
      </c>
      <c r="M16" s="140">
        <f t="shared" ref="M16:N16" si="40">M48+M80+M112</f>
        <v>117</v>
      </c>
      <c r="N16" s="111">
        <f t="shared" si="40"/>
        <v>0</v>
      </c>
      <c r="O16" s="112" t="s">
        <v>5</v>
      </c>
      <c r="P16" s="140">
        <f t="shared" ref="P16:Q16" si="41">P48+P80+P112</f>
        <v>0</v>
      </c>
      <c r="Q16" s="111">
        <f t="shared" si="41"/>
        <v>1</v>
      </c>
      <c r="R16" s="112" t="s">
        <v>5</v>
      </c>
      <c r="S16" s="140">
        <f t="shared" ref="S16" si="42">S48+S80+S112</f>
        <v>546</v>
      </c>
      <c r="T16" s="111">
        <f>'(변경)집계표'!B165</f>
        <v>0</v>
      </c>
      <c r="U16" s="112" t="s">
        <v>5</v>
      </c>
      <c r="V16" s="140">
        <f>'(변경)집계표'!D165</f>
        <v>0</v>
      </c>
      <c r="W16" s="111">
        <f>'(변경)집계표'!B195</f>
        <v>0</v>
      </c>
      <c r="X16" s="112" t="s">
        <v>5</v>
      </c>
      <c r="Y16" s="140">
        <f>'(변경)집계표'!D195</f>
        <v>0</v>
      </c>
      <c r="Z16" s="111">
        <f>'(변경)집계표'!B225</f>
        <v>0</v>
      </c>
      <c r="AA16" s="112" t="s">
        <v>5</v>
      </c>
      <c r="AB16" s="140">
        <f>'(변경)집계표'!D225</f>
        <v>0</v>
      </c>
      <c r="AC16" s="111">
        <f>'(변경)집계표'!B255</f>
        <v>0</v>
      </c>
      <c r="AD16" s="112" t="s">
        <v>5</v>
      </c>
      <c r="AE16" s="140">
        <f>'(변경)집계표'!D255</f>
        <v>0</v>
      </c>
      <c r="AF16" s="111">
        <f>'(변경)집계표'!B285</f>
        <v>0</v>
      </c>
      <c r="AG16" s="112" t="s">
        <v>5</v>
      </c>
      <c r="AH16" s="140">
        <f>'(변경)집계표'!D285</f>
        <v>0</v>
      </c>
      <c r="AI16" s="128"/>
      <c r="AJ16" s="6"/>
      <c r="AK16" s="104" t="s">
        <v>15</v>
      </c>
      <c r="AL16" s="104" t="s">
        <v>15</v>
      </c>
      <c r="AM16" s="104" t="s">
        <v>15</v>
      </c>
      <c r="AN16" s="104" t="s">
        <v>15</v>
      </c>
      <c r="AO16" s="104" t="s">
        <v>15</v>
      </c>
    </row>
    <row r="17" spans="1:41" s="7" customFormat="1" ht="22.5" customHeight="1">
      <c r="A17" s="127" t="s">
        <v>16</v>
      </c>
      <c r="B17" s="111">
        <f t="shared" si="0"/>
        <v>0</v>
      </c>
      <c r="C17" s="112" t="s">
        <v>5</v>
      </c>
      <c r="D17" s="140">
        <f t="shared" ca="1" si="1"/>
        <v>0</v>
      </c>
      <c r="E17" s="111">
        <f t="shared" si="2"/>
        <v>0</v>
      </c>
      <c r="F17" s="112" t="s">
        <v>5</v>
      </c>
      <c r="G17" s="140">
        <f t="shared" ref="G17:H17" ca="1" si="43">G49+G81+G113</f>
        <v>0</v>
      </c>
      <c r="H17" s="111">
        <f t="shared" si="43"/>
        <v>0</v>
      </c>
      <c r="I17" s="112" t="s">
        <v>5</v>
      </c>
      <c r="J17" s="140">
        <f t="shared" ref="J17:K17" si="44">J49+J81+J113</f>
        <v>0</v>
      </c>
      <c r="K17" s="111">
        <f t="shared" si="44"/>
        <v>0</v>
      </c>
      <c r="L17" s="112" t="s">
        <v>5</v>
      </c>
      <c r="M17" s="140">
        <f t="shared" ref="M17:N17" si="45">M49+M81+M113</f>
        <v>0</v>
      </c>
      <c r="N17" s="111">
        <f t="shared" si="45"/>
        <v>0</v>
      </c>
      <c r="O17" s="112" t="s">
        <v>5</v>
      </c>
      <c r="P17" s="140">
        <f t="shared" ref="P17:Q17" si="46">P49+P81+P113</f>
        <v>0</v>
      </c>
      <c r="Q17" s="111">
        <f t="shared" si="46"/>
        <v>0</v>
      </c>
      <c r="R17" s="112" t="s">
        <v>5</v>
      </c>
      <c r="S17" s="140">
        <f t="shared" ref="S17" si="47">S49+S81+S113</f>
        <v>0</v>
      </c>
      <c r="T17" s="111">
        <f>'(변경)집계표'!B166</f>
        <v>0</v>
      </c>
      <c r="U17" s="112" t="s">
        <v>5</v>
      </c>
      <c r="V17" s="140">
        <f>'(변경)집계표'!D166</f>
        <v>0</v>
      </c>
      <c r="W17" s="111">
        <f>'(변경)집계표'!B196</f>
        <v>0</v>
      </c>
      <c r="X17" s="112" t="s">
        <v>5</v>
      </c>
      <c r="Y17" s="140">
        <f>'(변경)집계표'!D196</f>
        <v>0</v>
      </c>
      <c r="Z17" s="111">
        <f>'(변경)집계표'!B226</f>
        <v>0</v>
      </c>
      <c r="AA17" s="112" t="s">
        <v>5</v>
      </c>
      <c r="AB17" s="140">
        <f>'(변경)집계표'!D226</f>
        <v>0</v>
      </c>
      <c r="AC17" s="111">
        <f>'(변경)집계표'!B256</f>
        <v>0</v>
      </c>
      <c r="AD17" s="112" t="s">
        <v>5</v>
      </c>
      <c r="AE17" s="140">
        <f>'(변경)집계표'!D256</f>
        <v>0</v>
      </c>
      <c r="AF17" s="111">
        <f>'(변경)집계표'!B286</f>
        <v>0</v>
      </c>
      <c r="AG17" s="112" t="s">
        <v>5</v>
      </c>
      <c r="AH17" s="140">
        <f>'(변경)집계표'!D286</f>
        <v>0</v>
      </c>
      <c r="AI17" s="128"/>
      <c r="AJ17" s="6"/>
      <c r="AK17" s="104" t="s">
        <v>16</v>
      </c>
      <c r="AL17" s="104" t="s">
        <v>16</v>
      </c>
      <c r="AM17" s="104" t="s">
        <v>16</v>
      </c>
      <c r="AN17" s="104" t="s">
        <v>16</v>
      </c>
      <c r="AO17" s="104" t="s">
        <v>16</v>
      </c>
    </row>
    <row r="18" spans="1:41" s="7" customFormat="1" ht="22.5" customHeight="1">
      <c r="A18" s="127" t="s">
        <v>17</v>
      </c>
      <c r="B18" s="111">
        <f t="shared" si="0"/>
        <v>0</v>
      </c>
      <c r="C18" s="112" t="s">
        <v>5</v>
      </c>
      <c r="D18" s="140">
        <f t="shared" ca="1" si="1"/>
        <v>0</v>
      </c>
      <c r="E18" s="111">
        <f t="shared" si="2"/>
        <v>0</v>
      </c>
      <c r="F18" s="112" t="s">
        <v>5</v>
      </c>
      <c r="G18" s="140">
        <f t="shared" ref="G18:H18" ca="1" si="48">G50+G82+G114</f>
        <v>0</v>
      </c>
      <c r="H18" s="111">
        <f t="shared" si="48"/>
        <v>0</v>
      </c>
      <c r="I18" s="112" t="s">
        <v>5</v>
      </c>
      <c r="J18" s="140">
        <f t="shared" ref="J18:K18" si="49">J50+J82+J114</f>
        <v>0</v>
      </c>
      <c r="K18" s="111">
        <f t="shared" si="49"/>
        <v>0</v>
      </c>
      <c r="L18" s="112" t="s">
        <v>5</v>
      </c>
      <c r="M18" s="140">
        <f t="shared" ref="M18:N18" si="50">M50+M82+M114</f>
        <v>0</v>
      </c>
      <c r="N18" s="111">
        <f t="shared" si="50"/>
        <v>0</v>
      </c>
      <c r="O18" s="112" t="s">
        <v>5</v>
      </c>
      <c r="P18" s="140">
        <f t="shared" ref="P18:Q18" si="51">P50+P82+P114</f>
        <v>0</v>
      </c>
      <c r="Q18" s="111">
        <f t="shared" si="51"/>
        <v>0</v>
      </c>
      <c r="R18" s="112" t="s">
        <v>5</v>
      </c>
      <c r="S18" s="140">
        <f t="shared" ref="S18" si="52">S50+S82+S114</f>
        <v>0</v>
      </c>
      <c r="T18" s="111">
        <f>'(변경)집계표'!B167</f>
        <v>0</v>
      </c>
      <c r="U18" s="112" t="s">
        <v>5</v>
      </c>
      <c r="V18" s="140">
        <f>'(변경)집계표'!D167</f>
        <v>0</v>
      </c>
      <c r="W18" s="111">
        <f>'(변경)집계표'!B197</f>
        <v>0</v>
      </c>
      <c r="X18" s="112" t="s">
        <v>5</v>
      </c>
      <c r="Y18" s="140">
        <f>'(변경)집계표'!D197</f>
        <v>0</v>
      </c>
      <c r="Z18" s="111">
        <f>'(변경)집계표'!B227</f>
        <v>0</v>
      </c>
      <c r="AA18" s="112" t="s">
        <v>5</v>
      </c>
      <c r="AB18" s="140">
        <f>'(변경)집계표'!D227</f>
        <v>0</v>
      </c>
      <c r="AC18" s="111">
        <f>'(변경)집계표'!B257</f>
        <v>0</v>
      </c>
      <c r="AD18" s="112" t="s">
        <v>5</v>
      </c>
      <c r="AE18" s="140">
        <f>'(변경)집계표'!D257</f>
        <v>0</v>
      </c>
      <c r="AF18" s="111">
        <f>'(변경)집계표'!B287</f>
        <v>0</v>
      </c>
      <c r="AG18" s="112" t="s">
        <v>5</v>
      </c>
      <c r="AH18" s="140">
        <f>'(변경)집계표'!D287</f>
        <v>0</v>
      </c>
      <c r="AI18" s="128"/>
      <c r="AJ18" s="6"/>
      <c r="AK18" s="104" t="s">
        <v>17</v>
      </c>
      <c r="AL18" s="104" t="s">
        <v>17</v>
      </c>
      <c r="AM18" s="104" t="s">
        <v>17</v>
      </c>
      <c r="AN18" s="104" t="s">
        <v>17</v>
      </c>
      <c r="AO18" s="104" t="s">
        <v>17</v>
      </c>
    </row>
    <row r="19" spans="1:41" s="7" customFormat="1" ht="22.5" customHeight="1">
      <c r="A19" s="127" t="s">
        <v>18</v>
      </c>
      <c r="B19" s="111">
        <f t="shared" si="0"/>
        <v>0</v>
      </c>
      <c r="C19" s="112" t="s">
        <v>5</v>
      </c>
      <c r="D19" s="140">
        <f t="shared" ca="1" si="1"/>
        <v>0</v>
      </c>
      <c r="E19" s="111">
        <f t="shared" si="2"/>
        <v>0</v>
      </c>
      <c r="F19" s="112" t="s">
        <v>5</v>
      </c>
      <c r="G19" s="140">
        <f t="shared" ref="G19:H19" ca="1" si="53">G51+G83+G115</f>
        <v>0</v>
      </c>
      <c r="H19" s="111">
        <f t="shared" si="53"/>
        <v>0</v>
      </c>
      <c r="I19" s="112" t="s">
        <v>5</v>
      </c>
      <c r="J19" s="140">
        <f t="shared" ref="J19:K19" si="54">J51+J83+J115</f>
        <v>0</v>
      </c>
      <c r="K19" s="111">
        <f t="shared" si="54"/>
        <v>0</v>
      </c>
      <c r="L19" s="112" t="s">
        <v>5</v>
      </c>
      <c r="M19" s="140">
        <f t="shared" ref="M19:N19" si="55">M51+M83+M115</f>
        <v>0</v>
      </c>
      <c r="N19" s="111">
        <f t="shared" si="55"/>
        <v>0</v>
      </c>
      <c r="O19" s="112" t="s">
        <v>5</v>
      </c>
      <c r="P19" s="140">
        <f t="shared" ref="P19:Q19" si="56">P51+P83+P115</f>
        <v>0</v>
      </c>
      <c r="Q19" s="111">
        <f t="shared" si="56"/>
        <v>0</v>
      </c>
      <c r="R19" s="112" t="s">
        <v>5</v>
      </c>
      <c r="S19" s="140">
        <f t="shared" ref="S19" si="57">S51+S83+S115</f>
        <v>0</v>
      </c>
      <c r="T19" s="111">
        <f>'(변경)집계표'!B168</f>
        <v>0</v>
      </c>
      <c r="U19" s="112" t="s">
        <v>5</v>
      </c>
      <c r="V19" s="140">
        <f>'(변경)집계표'!D168</f>
        <v>0</v>
      </c>
      <c r="W19" s="111">
        <f>'(변경)집계표'!B198</f>
        <v>0</v>
      </c>
      <c r="X19" s="112" t="s">
        <v>5</v>
      </c>
      <c r="Y19" s="140">
        <f>'(변경)집계표'!D198</f>
        <v>0</v>
      </c>
      <c r="Z19" s="111">
        <f>'(변경)집계표'!B228</f>
        <v>0</v>
      </c>
      <c r="AA19" s="112" t="s">
        <v>5</v>
      </c>
      <c r="AB19" s="140">
        <f>'(변경)집계표'!D228</f>
        <v>0</v>
      </c>
      <c r="AC19" s="111">
        <f>'(변경)집계표'!B258</f>
        <v>0</v>
      </c>
      <c r="AD19" s="112" t="s">
        <v>5</v>
      </c>
      <c r="AE19" s="140">
        <f>'(변경)집계표'!D258</f>
        <v>0</v>
      </c>
      <c r="AF19" s="111">
        <f>'(변경)집계표'!B288</f>
        <v>0</v>
      </c>
      <c r="AG19" s="112" t="s">
        <v>5</v>
      </c>
      <c r="AH19" s="140">
        <f>'(변경)집계표'!D288</f>
        <v>0</v>
      </c>
      <c r="AI19" s="128"/>
      <c r="AJ19" s="6"/>
      <c r="AK19" s="104" t="s">
        <v>18</v>
      </c>
      <c r="AL19" s="104" t="s">
        <v>18</v>
      </c>
      <c r="AM19" s="104" t="s">
        <v>18</v>
      </c>
      <c r="AN19" s="104" t="s">
        <v>18</v>
      </c>
      <c r="AO19" s="104" t="s">
        <v>18</v>
      </c>
    </row>
    <row r="20" spans="1:41" s="7" customFormat="1" ht="22.5" customHeight="1">
      <c r="A20" s="127" t="s">
        <v>19</v>
      </c>
      <c r="B20" s="111">
        <f t="shared" si="0"/>
        <v>0</v>
      </c>
      <c r="C20" s="112" t="s">
        <v>5</v>
      </c>
      <c r="D20" s="140">
        <f t="shared" ca="1" si="1"/>
        <v>0</v>
      </c>
      <c r="E20" s="111">
        <f t="shared" si="2"/>
        <v>0</v>
      </c>
      <c r="F20" s="112" t="s">
        <v>5</v>
      </c>
      <c r="G20" s="140">
        <f t="shared" ref="G20:H20" ca="1" si="58">G52+G84+G116</f>
        <v>0</v>
      </c>
      <c r="H20" s="111">
        <f t="shared" si="58"/>
        <v>0</v>
      </c>
      <c r="I20" s="112" t="s">
        <v>5</v>
      </c>
      <c r="J20" s="140">
        <f t="shared" ref="J20:K20" si="59">J52+J84+J116</f>
        <v>0</v>
      </c>
      <c r="K20" s="111">
        <f t="shared" si="59"/>
        <v>0</v>
      </c>
      <c r="L20" s="112" t="s">
        <v>5</v>
      </c>
      <c r="M20" s="140">
        <f t="shared" ref="M20:N20" si="60">M52+M84+M116</f>
        <v>0</v>
      </c>
      <c r="N20" s="111">
        <f t="shared" si="60"/>
        <v>0</v>
      </c>
      <c r="O20" s="112" t="s">
        <v>5</v>
      </c>
      <c r="P20" s="140">
        <f t="shared" ref="P20:Q20" si="61">P52+P84+P116</f>
        <v>0</v>
      </c>
      <c r="Q20" s="111">
        <f t="shared" si="61"/>
        <v>0</v>
      </c>
      <c r="R20" s="112" t="s">
        <v>5</v>
      </c>
      <c r="S20" s="140">
        <f t="shared" ref="S20" si="62">S52+S84+S116</f>
        <v>0</v>
      </c>
      <c r="T20" s="111">
        <f>'(변경)집계표'!B169</f>
        <v>0</v>
      </c>
      <c r="U20" s="112" t="s">
        <v>5</v>
      </c>
      <c r="V20" s="140">
        <f>'(변경)집계표'!D169</f>
        <v>0</v>
      </c>
      <c r="W20" s="111">
        <f>'(변경)집계표'!B199</f>
        <v>0</v>
      </c>
      <c r="X20" s="112" t="s">
        <v>5</v>
      </c>
      <c r="Y20" s="140">
        <f>'(변경)집계표'!D199</f>
        <v>0</v>
      </c>
      <c r="Z20" s="111">
        <f>'(변경)집계표'!B229</f>
        <v>0</v>
      </c>
      <c r="AA20" s="112" t="s">
        <v>5</v>
      </c>
      <c r="AB20" s="140">
        <f>'(변경)집계표'!D229</f>
        <v>0</v>
      </c>
      <c r="AC20" s="111">
        <f>'(변경)집계표'!B259</f>
        <v>0</v>
      </c>
      <c r="AD20" s="112" t="s">
        <v>5</v>
      </c>
      <c r="AE20" s="140">
        <f>'(변경)집계표'!D259</f>
        <v>0</v>
      </c>
      <c r="AF20" s="111">
        <f>'(변경)집계표'!B289</f>
        <v>0</v>
      </c>
      <c r="AG20" s="112" t="s">
        <v>5</v>
      </c>
      <c r="AH20" s="140">
        <f>'(변경)집계표'!D289</f>
        <v>0</v>
      </c>
      <c r="AI20" s="128"/>
      <c r="AJ20" s="6"/>
      <c r="AK20" s="104" t="s">
        <v>19</v>
      </c>
      <c r="AL20" s="104" t="s">
        <v>19</v>
      </c>
      <c r="AM20" s="104" t="s">
        <v>19</v>
      </c>
      <c r="AN20" s="104" t="s">
        <v>19</v>
      </c>
      <c r="AO20" s="104" t="s">
        <v>19</v>
      </c>
    </row>
    <row r="21" spans="1:41" s="7" customFormat="1" ht="22.5" customHeight="1">
      <c r="A21" s="127" t="s">
        <v>20</v>
      </c>
      <c r="B21" s="111">
        <f t="shared" si="0"/>
        <v>0</v>
      </c>
      <c r="C21" s="112" t="s">
        <v>5</v>
      </c>
      <c r="D21" s="140">
        <f t="shared" ca="1" si="1"/>
        <v>0</v>
      </c>
      <c r="E21" s="111">
        <f t="shared" si="2"/>
        <v>0</v>
      </c>
      <c r="F21" s="112" t="s">
        <v>5</v>
      </c>
      <c r="G21" s="140">
        <f t="shared" ref="G21:H21" ca="1" si="63">G53+G85+G117</f>
        <v>0</v>
      </c>
      <c r="H21" s="111">
        <f t="shared" si="63"/>
        <v>0</v>
      </c>
      <c r="I21" s="112" t="s">
        <v>5</v>
      </c>
      <c r="J21" s="140">
        <f t="shared" ref="J21:K21" si="64">J53+J85+J117</f>
        <v>0</v>
      </c>
      <c r="K21" s="111">
        <f t="shared" si="64"/>
        <v>0</v>
      </c>
      <c r="L21" s="112" t="s">
        <v>5</v>
      </c>
      <c r="M21" s="140">
        <f t="shared" ref="M21:N21" si="65">M53+M85+M117</f>
        <v>0</v>
      </c>
      <c r="N21" s="111">
        <f t="shared" si="65"/>
        <v>0</v>
      </c>
      <c r="O21" s="112" t="s">
        <v>5</v>
      </c>
      <c r="P21" s="140">
        <f t="shared" ref="P21:Q21" si="66">P53+P85+P117</f>
        <v>0</v>
      </c>
      <c r="Q21" s="111">
        <f t="shared" si="66"/>
        <v>0</v>
      </c>
      <c r="R21" s="112" t="s">
        <v>5</v>
      </c>
      <c r="S21" s="140">
        <f t="shared" ref="S21" si="67">S53+S85+S117</f>
        <v>0</v>
      </c>
      <c r="T21" s="111">
        <f>'(변경)집계표'!B170</f>
        <v>0</v>
      </c>
      <c r="U21" s="112" t="s">
        <v>5</v>
      </c>
      <c r="V21" s="140">
        <f>'(변경)집계표'!D170</f>
        <v>0</v>
      </c>
      <c r="W21" s="111">
        <f>'(변경)집계표'!B200</f>
        <v>0</v>
      </c>
      <c r="X21" s="112" t="s">
        <v>5</v>
      </c>
      <c r="Y21" s="140">
        <f>'(변경)집계표'!D200</f>
        <v>0</v>
      </c>
      <c r="Z21" s="111">
        <f>'(변경)집계표'!B230</f>
        <v>0</v>
      </c>
      <c r="AA21" s="112" t="s">
        <v>5</v>
      </c>
      <c r="AB21" s="140">
        <f>'(변경)집계표'!D230</f>
        <v>0</v>
      </c>
      <c r="AC21" s="111">
        <f>'(변경)집계표'!B260</f>
        <v>0</v>
      </c>
      <c r="AD21" s="112" t="s">
        <v>5</v>
      </c>
      <c r="AE21" s="140">
        <f>'(변경)집계표'!D260</f>
        <v>0</v>
      </c>
      <c r="AF21" s="111">
        <f>'(변경)집계표'!B290</f>
        <v>0</v>
      </c>
      <c r="AG21" s="112" t="s">
        <v>5</v>
      </c>
      <c r="AH21" s="140">
        <f>'(변경)집계표'!D290</f>
        <v>0</v>
      </c>
      <c r="AI21" s="128"/>
      <c r="AJ21" s="6"/>
      <c r="AK21" s="104" t="s">
        <v>20</v>
      </c>
      <c r="AL21" s="104" t="s">
        <v>20</v>
      </c>
      <c r="AM21" s="104" t="s">
        <v>20</v>
      </c>
      <c r="AN21" s="104" t="s">
        <v>20</v>
      </c>
      <c r="AO21" s="104" t="s">
        <v>20</v>
      </c>
    </row>
    <row r="22" spans="1:41" s="7" customFormat="1" ht="22.5" customHeight="1">
      <c r="A22" s="127" t="s">
        <v>21</v>
      </c>
      <c r="B22" s="111">
        <f t="shared" si="0"/>
        <v>0</v>
      </c>
      <c r="C22" s="112" t="s">
        <v>5</v>
      </c>
      <c r="D22" s="140">
        <f t="shared" ca="1" si="1"/>
        <v>0</v>
      </c>
      <c r="E22" s="111">
        <f t="shared" si="2"/>
        <v>0</v>
      </c>
      <c r="F22" s="112" t="s">
        <v>5</v>
      </c>
      <c r="G22" s="140">
        <f t="shared" ref="G22:H22" ca="1" si="68">G54+G86+G118</f>
        <v>0</v>
      </c>
      <c r="H22" s="111">
        <f t="shared" si="68"/>
        <v>0</v>
      </c>
      <c r="I22" s="112" t="s">
        <v>5</v>
      </c>
      <c r="J22" s="140">
        <f t="shared" ref="J22:K22" si="69">J54+J86+J118</f>
        <v>0</v>
      </c>
      <c r="K22" s="111">
        <f t="shared" si="69"/>
        <v>0</v>
      </c>
      <c r="L22" s="112" t="s">
        <v>5</v>
      </c>
      <c r="M22" s="140">
        <f t="shared" ref="M22:N22" si="70">M54+M86+M118</f>
        <v>0</v>
      </c>
      <c r="N22" s="111">
        <f t="shared" si="70"/>
        <v>0</v>
      </c>
      <c r="O22" s="112" t="s">
        <v>5</v>
      </c>
      <c r="P22" s="140">
        <f t="shared" ref="P22:Q22" si="71">P54+P86+P118</f>
        <v>0</v>
      </c>
      <c r="Q22" s="111">
        <f t="shared" si="71"/>
        <v>0</v>
      </c>
      <c r="R22" s="112" t="s">
        <v>5</v>
      </c>
      <c r="S22" s="140">
        <f t="shared" ref="S22" si="72">S54+S86+S118</f>
        <v>0</v>
      </c>
      <c r="T22" s="111">
        <f>'(변경)집계표'!B171</f>
        <v>0</v>
      </c>
      <c r="U22" s="112" t="s">
        <v>5</v>
      </c>
      <c r="V22" s="140">
        <f>'(변경)집계표'!D171</f>
        <v>0</v>
      </c>
      <c r="W22" s="111">
        <f>'(변경)집계표'!B201</f>
        <v>0</v>
      </c>
      <c r="X22" s="112" t="s">
        <v>5</v>
      </c>
      <c r="Y22" s="140">
        <f>'(변경)집계표'!D201</f>
        <v>0</v>
      </c>
      <c r="Z22" s="111">
        <f>'(변경)집계표'!B231</f>
        <v>0</v>
      </c>
      <c r="AA22" s="112" t="s">
        <v>5</v>
      </c>
      <c r="AB22" s="140">
        <f>'(변경)집계표'!D231</f>
        <v>0</v>
      </c>
      <c r="AC22" s="111">
        <f>'(변경)집계표'!B261</f>
        <v>0</v>
      </c>
      <c r="AD22" s="112" t="s">
        <v>5</v>
      </c>
      <c r="AE22" s="140">
        <f>'(변경)집계표'!D261</f>
        <v>0</v>
      </c>
      <c r="AF22" s="111">
        <f>'(변경)집계표'!B291</f>
        <v>0</v>
      </c>
      <c r="AG22" s="112" t="s">
        <v>5</v>
      </c>
      <c r="AH22" s="140">
        <f>'(변경)집계표'!D291</f>
        <v>0</v>
      </c>
      <c r="AI22" s="128"/>
      <c r="AJ22" s="6"/>
      <c r="AK22" s="104" t="s">
        <v>21</v>
      </c>
      <c r="AL22" s="104" t="s">
        <v>21</v>
      </c>
      <c r="AM22" s="104" t="s">
        <v>21</v>
      </c>
      <c r="AN22" s="104" t="s">
        <v>21</v>
      </c>
      <c r="AO22" s="104" t="s">
        <v>21</v>
      </c>
    </row>
    <row r="23" spans="1:41" s="7" customFormat="1" ht="22.5" customHeight="1">
      <c r="A23" s="127" t="s">
        <v>22</v>
      </c>
      <c r="B23" s="111">
        <f t="shared" si="0"/>
        <v>0</v>
      </c>
      <c r="C23" s="112" t="s">
        <v>5</v>
      </c>
      <c r="D23" s="140">
        <f t="shared" ca="1" si="1"/>
        <v>0</v>
      </c>
      <c r="E23" s="111">
        <f t="shared" si="2"/>
        <v>0</v>
      </c>
      <c r="F23" s="112" t="s">
        <v>5</v>
      </c>
      <c r="G23" s="140">
        <f t="shared" ref="G23:H23" ca="1" si="73">G55+G87+G119</f>
        <v>0</v>
      </c>
      <c r="H23" s="111">
        <f t="shared" si="73"/>
        <v>0</v>
      </c>
      <c r="I23" s="112" t="s">
        <v>5</v>
      </c>
      <c r="J23" s="140">
        <f t="shared" ref="J23:K23" si="74">J55+J87+J119</f>
        <v>0</v>
      </c>
      <c r="K23" s="111">
        <f t="shared" si="74"/>
        <v>0</v>
      </c>
      <c r="L23" s="112" t="s">
        <v>5</v>
      </c>
      <c r="M23" s="140">
        <f t="shared" ref="M23:N23" si="75">M55+M87+M119</f>
        <v>0</v>
      </c>
      <c r="N23" s="111">
        <f t="shared" si="75"/>
        <v>0</v>
      </c>
      <c r="O23" s="112" t="s">
        <v>5</v>
      </c>
      <c r="P23" s="140">
        <f t="shared" ref="P23:Q23" si="76">P55+P87+P119</f>
        <v>0</v>
      </c>
      <c r="Q23" s="111">
        <f t="shared" si="76"/>
        <v>0</v>
      </c>
      <c r="R23" s="112" t="s">
        <v>5</v>
      </c>
      <c r="S23" s="140">
        <f t="shared" ref="S23" si="77">S55+S87+S119</f>
        <v>0</v>
      </c>
      <c r="T23" s="111">
        <f>'(변경)집계표'!B172</f>
        <v>0</v>
      </c>
      <c r="U23" s="112" t="s">
        <v>5</v>
      </c>
      <c r="V23" s="140">
        <f>'(변경)집계표'!D172</f>
        <v>0</v>
      </c>
      <c r="W23" s="111">
        <f>'(변경)집계표'!B202</f>
        <v>0</v>
      </c>
      <c r="X23" s="112" t="s">
        <v>5</v>
      </c>
      <c r="Y23" s="140">
        <f>'(변경)집계표'!D202</f>
        <v>0</v>
      </c>
      <c r="Z23" s="111">
        <f>'(변경)집계표'!B232</f>
        <v>0</v>
      </c>
      <c r="AA23" s="112" t="s">
        <v>5</v>
      </c>
      <c r="AB23" s="140">
        <f>'(변경)집계표'!D232</f>
        <v>0</v>
      </c>
      <c r="AC23" s="111">
        <f>'(변경)집계표'!B262</f>
        <v>0</v>
      </c>
      <c r="AD23" s="112" t="s">
        <v>5</v>
      </c>
      <c r="AE23" s="140">
        <f>'(변경)집계표'!D262</f>
        <v>0</v>
      </c>
      <c r="AF23" s="111">
        <f>'(변경)집계표'!B292</f>
        <v>0</v>
      </c>
      <c r="AG23" s="112" t="s">
        <v>5</v>
      </c>
      <c r="AH23" s="140">
        <f>'(변경)집계표'!D292</f>
        <v>0</v>
      </c>
      <c r="AI23" s="128"/>
      <c r="AJ23" s="6"/>
      <c r="AK23" s="104" t="s">
        <v>22</v>
      </c>
      <c r="AL23" s="104" t="s">
        <v>22</v>
      </c>
      <c r="AM23" s="104" t="s">
        <v>22</v>
      </c>
      <c r="AN23" s="104" t="s">
        <v>22</v>
      </c>
      <c r="AO23" s="104" t="s">
        <v>22</v>
      </c>
    </row>
    <row r="24" spans="1:41" s="7" customFormat="1" ht="22.5" customHeight="1">
      <c r="A24" s="127" t="s">
        <v>23</v>
      </c>
      <c r="B24" s="111">
        <f t="shared" si="0"/>
        <v>16</v>
      </c>
      <c r="C24" s="112" t="s">
        <v>5</v>
      </c>
      <c r="D24" s="140">
        <f t="shared" ca="1" si="1"/>
        <v>6966</v>
      </c>
      <c r="E24" s="111">
        <f t="shared" si="2"/>
        <v>0</v>
      </c>
      <c r="F24" s="112" t="s">
        <v>5</v>
      </c>
      <c r="G24" s="140">
        <f t="shared" ref="G24:H24" ca="1" si="78">G56+G88+G120</f>
        <v>0</v>
      </c>
      <c r="H24" s="111">
        <f t="shared" si="78"/>
        <v>3</v>
      </c>
      <c r="I24" s="112" t="s">
        <v>5</v>
      </c>
      <c r="J24" s="140">
        <f t="shared" ref="J24:K24" si="79">J56+J88+J120</f>
        <v>483</v>
      </c>
      <c r="K24" s="111">
        <f t="shared" si="79"/>
        <v>0</v>
      </c>
      <c r="L24" s="112" t="s">
        <v>5</v>
      </c>
      <c r="M24" s="140">
        <f t="shared" ref="M24:N24" si="80">M56+M88+M120</f>
        <v>0</v>
      </c>
      <c r="N24" s="111">
        <f t="shared" si="80"/>
        <v>0</v>
      </c>
      <c r="O24" s="112" t="s">
        <v>5</v>
      </c>
      <c r="P24" s="140">
        <f t="shared" ref="P24:Q24" si="81">P56+P88+P120</f>
        <v>0</v>
      </c>
      <c r="Q24" s="111">
        <f t="shared" si="81"/>
        <v>13</v>
      </c>
      <c r="R24" s="112" t="s">
        <v>5</v>
      </c>
      <c r="S24" s="140">
        <f t="shared" ref="S24" si="82">S56+S88+S120</f>
        <v>6483</v>
      </c>
      <c r="T24" s="111">
        <f>'(변경)집계표'!B173</f>
        <v>0</v>
      </c>
      <c r="U24" s="112" t="s">
        <v>5</v>
      </c>
      <c r="V24" s="140">
        <f>'(변경)집계표'!D173</f>
        <v>0</v>
      </c>
      <c r="W24" s="111">
        <f>'(변경)집계표'!B203</f>
        <v>0</v>
      </c>
      <c r="X24" s="112" t="s">
        <v>5</v>
      </c>
      <c r="Y24" s="140">
        <f>'(변경)집계표'!D203</f>
        <v>0</v>
      </c>
      <c r="Z24" s="111">
        <f>'(변경)집계표'!B233</f>
        <v>0</v>
      </c>
      <c r="AA24" s="112" t="s">
        <v>5</v>
      </c>
      <c r="AB24" s="140">
        <f>'(변경)집계표'!D233</f>
        <v>0</v>
      </c>
      <c r="AC24" s="111">
        <f>'(변경)집계표'!B263</f>
        <v>0</v>
      </c>
      <c r="AD24" s="112" t="s">
        <v>5</v>
      </c>
      <c r="AE24" s="140">
        <f>'(변경)집계표'!D263</f>
        <v>0</v>
      </c>
      <c r="AF24" s="111">
        <f>'(변경)집계표'!B293</f>
        <v>0</v>
      </c>
      <c r="AG24" s="112" t="s">
        <v>5</v>
      </c>
      <c r="AH24" s="140">
        <f>'(변경)집계표'!D293</f>
        <v>0</v>
      </c>
      <c r="AI24" s="128"/>
      <c r="AJ24" s="6"/>
      <c r="AK24" s="104" t="s">
        <v>23</v>
      </c>
      <c r="AL24" s="104" t="s">
        <v>23</v>
      </c>
      <c r="AM24" s="104" t="s">
        <v>23</v>
      </c>
      <c r="AN24" s="104" t="s">
        <v>23</v>
      </c>
      <c r="AO24" s="104" t="s">
        <v>23</v>
      </c>
    </row>
    <row r="25" spans="1:41" s="7" customFormat="1" ht="22.5" customHeight="1">
      <c r="A25" s="129" t="s">
        <v>24</v>
      </c>
      <c r="B25" s="111">
        <f t="shared" si="0"/>
        <v>0</v>
      </c>
      <c r="C25" s="112" t="s">
        <v>5</v>
      </c>
      <c r="D25" s="140">
        <f t="shared" ca="1" si="1"/>
        <v>0</v>
      </c>
      <c r="E25" s="111">
        <f t="shared" si="2"/>
        <v>0</v>
      </c>
      <c r="F25" s="112" t="s">
        <v>5</v>
      </c>
      <c r="G25" s="140">
        <f t="shared" ref="G25:H25" ca="1" si="83">G57+G89+G121</f>
        <v>0</v>
      </c>
      <c r="H25" s="111">
        <f t="shared" si="83"/>
        <v>0</v>
      </c>
      <c r="I25" s="112" t="s">
        <v>5</v>
      </c>
      <c r="J25" s="140">
        <f t="shared" ref="J25:K25" si="84">J57+J89+J121</f>
        <v>0</v>
      </c>
      <c r="K25" s="111">
        <f t="shared" si="84"/>
        <v>0</v>
      </c>
      <c r="L25" s="112" t="s">
        <v>5</v>
      </c>
      <c r="M25" s="140">
        <f t="shared" ref="M25:N25" si="85">M57+M89+M121</f>
        <v>0</v>
      </c>
      <c r="N25" s="111">
        <f t="shared" si="85"/>
        <v>0</v>
      </c>
      <c r="O25" s="112" t="s">
        <v>5</v>
      </c>
      <c r="P25" s="140">
        <f t="shared" ref="P25:Q25" si="86">P57+P89+P121</f>
        <v>0</v>
      </c>
      <c r="Q25" s="111">
        <f t="shared" si="86"/>
        <v>0</v>
      </c>
      <c r="R25" s="112" t="s">
        <v>5</v>
      </c>
      <c r="S25" s="140">
        <f t="shared" ref="S25" si="87">S57+S89+S121</f>
        <v>0</v>
      </c>
      <c r="T25" s="111">
        <f>'(변경)집계표'!B174</f>
        <v>0</v>
      </c>
      <c r="U25" s="112" t="s">
        <v>5</v>
      </c>
      <c r="V25" s="140">
        <f>'(변경)집계표'!D174</f>
        <v>0</v>
      </c>
      <c r="W25" s="111">
        <f>'(변경)집계표'!B204</f>
        <v>0</v>
      </c>
      <c r="X25" s="112" t="s">
        <v>5</v>
      </c>
      <c r="Y25" s="140">
        <f>'(변경)집계표'!D204</f>
        <v>0</v>
      </c>
      <c r="Z25" s="111">
        <f>'(변경)집계표'!B234</f>
        <v>0</v>
      </c>
      <c r="AA25" s="112" t="s">
        <v>5</v>
      </c>
      <c r="AB25" s="140">
        <f>'(변경)집계표'!D234</f>
        <v>0</v>
      </c>
      <c r="AC25" s="111">
        <f>'(변경)집계표'!B264</f>
        <v>0</v>
      </c>
      <c r="AD25" s="112" t="s">
        <v>5</v>
      </c>
      <c r="AE25" s="140">
        <f>'(변경)집계표'!D264</f>
        <v>0</v>
      </c>
      <c r="AF25" s="111">
        <f>'(변경)집계표'!B294</f>
        <v>0</v>
      </c>
      <c r="AG25" s="112" t="s">
        <v>5</v>
      </c>
      <c r="AH25" s="140">
        <f>'(변경)집계표'!D294</f>
        <v>0</v>
      </c>
      <c r="AI25" s="128"/>
      <c r="AK25" s="105" t="s">
        <v>24</v>
      </c>
      <c r="AL25" s="105" t="s">
        <v>24</v>
      </c>
      <c r="AM25" s="105" t="s">
        <v>24</v>
      </c>
      <c r="AN25" s="105" t="s">
        <v>24</v>
      </c>
      <c r="AO25" s="105" t="s">
        <v>24</v>
      </c>
    </row>
    <row r="26" spans="1:41" s="7" customFormat="1" ht="22.5" customHeight="1">
      <c r="A26" s="129" t="s">
        <v>25</v>
      </c>
      <c r="B26" s="111">
        <f t="shared" si="0"/>
        <v>0</v>
      </c>
      <c r="C26" s="112" t="s">
        <v>5</v>
      </c>
      <c r="D26" s="140">
        <f t="shared" ca="1" si="1"/>
        <v>0</v>
      </c>
      <c r="E26" s="111">
        <f t="shared" si="2"/>
        <v>0</v>
      </c>
      <c r="F26" s="112" t="s">
        <v>5</v>
      </c>
      <c r="G26" s="140">
        <f t="shared" ref="G26:H26" ca="1" si="88">G58+G90+G122</f>
        <v>0</v>
      </c>
      <c r="H26" s="111">
        <f t="shared" si="88"/>
        <v>0</v>
      </c>
      <c r="I26" s="112" t="s">
        <v>5</v>
      </c>
      <c r="J26" s="140">
        <f t="shared" ref="J26:K26" si="89">J58+J90+J122</f>
        <v>0</v>
      </c>
      <c r="K26" s="111">
        <f t="shared" si="89"/>
        <v>0</v>
      </c>
      <c r="L26" s="112" t="s">
        <v>5</v>
      </c>
      <c r="M26" s="140">
        <f t="shared" ref="M26:N26" si="90">M58+M90+M122</f>
        <v>0</v>
      </c>
      <c r="N26" s="111">
        <f t="shared" si="90"/>
        <v>0</v>
      </c>
      <c r="O26" s="112" t="s">
        <v>5</v>
      </c>
      <c r="P26" s="140">
        <f t="shared" ref="P26:Q26" si="91">P58+P90+P122</f>
        <v>0</v>
      </c>
      <c r="Q26" s="111">
        <f t="shared" si="91"/>
        <v>0</v>
      </c>
      <c r="R26" s="112" t="s">
        <v>5</v>
      </c>
      <c r="S26" s="140">
        <f t="shared" ref="S26" si="92">S58+S90+S122</f>
        <v>0</v>
      </c>
      <c r="T26" s="111">
        <f>'(변경)집계표'!B175</f>
        <v>0</v>
      </c>
      <c r="U26" s="112" t="s">
        <v>5</v>
      </c>
      <c r="V26" s="140">
        <f>'(변경)집계표'!D175</f>
        <v>0</v>
      </c>
      <c r="W26" s="111">
        <f>'(변경)집계표'!B205</f>
        <v>0</v>
      </c>
      <c r="X26" s="112" t="s">
        <v>5</v>
      </c>
      <c r="Y26" s="140">
        <f>'(변경)집계표'!D205</f>
        <v>0</v>
      </c>
      <c r="Z26" s="111">
        <f>'(변경)집계표'!B235</f>
        <v>0</v>
      </c>
      <c r="AA26" s="112" t="s">
        <v>5</v>
      </c>
      <c r="AB26" s="140">
        <f>'(변경)집계표'!D235</f>
        <v>0</v>
      </c>
      <c r="AC26" s="111">
        <f>'(변경)집계표'!B265</f>
        <v>0</v>
      </c>
      <c r="AD26" s="112" t="s">
        <v>5</v>
      </c>
      <c r="AE26" s="140">
        <f>'(변경)집계표'!D265</f>
        <v>0</v>
      </c>
      <c r="AF26" s="111">
        <f>'(변경)집계표'!B295</f>
        <v>0</v>
      </c>
      <c r="AG26" s="112" t="s">
        <v>5</v>
      </c>
      <c r="AH26" s="140">
        <f>'(변경)집계표'!D295</f>
        <v>0</v>
      </c>
      <c r="AI26" s="128"/>
      <c r="AK26" s="105" t="s">
        <v>25</v>
      </c>
      <c r="AL26" s="105" t="s">
        <v>25</v>
      </c>
      <c r="AM26" s="105" t="s">
        <v>614</v>
      </c>
      <c r="AN26" s="105" t="s">
        <v>614</v>
      </c>
      <c r="AO26" s="105" t="s">
        <v>25</v>
      </c>
    </row>
    <row r="27" spans="1:41" s="7" customFormat="1" ht="22.5" customHeight="1">
      <c r="A27" s="129" t="s">
        <v>26</v>
      </c>
      <c r="B27" s="111">
        <f t="shared" si="0"/>
        <v>0</v>
      </c>
      <c r="C27" s="112" t="s">
        <v>5</v>
      </c>
      <c r="D27" s="140">
        <f t="shared" ca="1" si="1"/>
        <v>0</v>
      </c>
      <c r="E27" s="111">
        <f t="shared" si="2"/>
        <v>0</v>
      </c>
      <c r="F27" s="112" t="s">
        <v>5</v>
      </c>
      <c r="G27" s="140">
        <f t="shared" ref="G27:H27" ca="1" si="93">G59+G91+G123</f>
        <v>0</v>
      </c>
      <c r="H27" s="111">
        <f t="shared" si="93"/>
        <v>0</v>
      </c>
      <c r="I27" s="112" t="s">
        <v>5</v>
      </c>
      <c r="J27" s="140">
        <f t="shared" ref="J27:K27" si="94">J59+J91+J123</f>
        <v>0</v>
      </c>
      <c r="K27" s="111">
        <f t="shared" si="94"/>
        <v>0</v>
      </c>
      <c r="L27" s="112" t="s">
        <v>5</v>
      </c>
      <c r="M27" s="140">
        <f t="shared" ref="M27:N27" si="95">M59+M91+M123</f>
        <v>0</v>
      </c>
      <c r="N27" s="111">
        <f t="shared" si="95"/>
        <v>0</v>
      </c>
      <c r="O27" s="112" t="s">
        <v>5</v>
      </c>
      <c r="P27" s="140">
        <f t="shared" ref="P27:Q27" si="96">P59+P91+P123</f>
        <v>0</v>
      </c>
      <c r="Q27" s="111">
        <f t="shared" si="96"/>
        <v>0</v>
      </c>
      <c r="R27" s="112" t="s">
        <v>5</v>
      </c>
      <c r="S27" s="140">
        <f t="shared" ref="S27" si="97">S59+S91+S123</f>
        <v>0</v>
      </c>
      <c r="T27" s="111">
        <f>'(변경)집계표'!B176</f>
        <v>0</v>
      </c>
      <c r="U27" s="112" t="s">
        <v>5</v>
      </c>
      <c r="V27" s="140">
        <f>'(변경)집계표'!D176</f>
        <v>0</v>
      </c>
      <c r="W27" s="111">
        <f>'(변경)집계표'!B206</f>
        <v>0</v>
      </c>
      <c r="X27" s="112" t="s">
        <v>5</v>
      </c>
      <c r="Y27" s="140">
        <f>'(변경)집계표'!D206</f>
        <v>0</v>
      </c>
      <c r="Z27" s="111">
        <f>'(변경)집계표'!B236</f>
        <v>0</v>
      </c>
      <c r="AA27" s="112" t="s">
        <v>5</v>
      </c>
      <c r="AB27" s="140">
        <f>'(변경)집계표'!D236</f>
        <v>0</v>
      </c>
      <c r="AC27" s="111">
        <f>'(변경)집계표'!B266</f>
        <v>0</v>
      </c>
      <c r="AD27" s="112" t="s">
        <v>5</v>
      </c>
      <c r="AE27" s="140">
        <f>'(변경)집계표'!D266</f>
        <v>0</v>
      </c>
      <c r="AF27" s="111">
        <f>'(변경)집계표'!B296</f>
        <v>0</v>
      </c>
      <c r="AG27" s="112" t="s">
        <v>5</v>
      </c>
      <c r="AH27" s="140">
        <f>'(변경)집계표'!D296</f>
        <v>0</v>
      </c>
      <c r="AI27" s="128"/>
      <c r="AK27" s="105" t="s">
        <v>26</v>
      </c>
      <c r="AL27" s="105" t="s">
        <v>26</v>
      </c>
      <c r="AM27" s="105" t="s">
        <v>26</v>
      </c>
      <c r="AN27" s="105" t="s">
        <v>26</v>
      </c>
      <c r="AO27" s="105" t="s">
        <v>26</v>
      </c>
    </row>
    <row r="28" spans="1:41" s="7" customFormat="1" ht="22.5" customHeight="1">
      <c r="A28" s="129" t="s">
        <v>27</v>
      </c>
      <c r="B28" s="111">
        <f t="shared" si="0"/>
        <v>0</v>
      </c>
      <c r="C28" s="112" t="s">
        <v>5</v>
      </c>
      <c r="D28" s="140">
        <f t="shared" ca="1" si="1"/>
        <v>0</v>
      </c>
      <c r="E28" s="111">
        <f t="shared" si="2"/>
        <v>0</v>
      </c>
      <c r="F28" s="112" t="s">
        <v>5</v>
      </c>
      <c r="G28" s="140">
        <f t="shared" ref="G28:H28" ca="1" si="98">G60+G92+G124</f>
        <v>0</v>
      </c>
      <c r="H28" s="111">
        <f t="shared" si="98"/>
        <v>0</v>
      </c>
      <c r="I28" s="112" t="s">
        <v>5</v>
      </c>
      <c r="J28" s="140">
        <f t="shared" ref="J28:K28" si="99">J60+J92+J124</f>
        <v>0</v>
      </c>
      <c r="K28" s="111">
        <f t="shared" si="99"/>
        <v>0</v>
      </c>
      <c r="L28" s="112" t="s">
        <v>5</v>
      </c>
      <c r="M28" s="140">
        <f t="shared" ref="M28:N28" si="100">M60+M92+M124</f>
        <v>0</v>
      </c>
      <c r="N28" s="111">
        <f t="shared" si="100"/>
        <v>0</v>
      </c>
      <c r="O28" s="112" t="s">
        <v>5</v>
      </c>
      <c r="P28" s="140">
        <f t="shared" ref="P28:Q28" si="101">P60+P92+P124</f>
        <v>0</v>
      </c>
      <c r="Q28" s="111">
        <f t="shared" si="101"/>
        <v>0</v>
      </c>
      <c r="R28" s="112" t="s">
        <v>5</v>
      </c>
      <c r="S28" s="140">
        <f t="shared" ref="S28" si="102">S60+S92+S124</f>
        <v>0</v>
      </c>
      <c r="T28" s="111">
        <f>'(변경)집계표'!B177</f>
        <v>0</v>
      </c>
      <c r="U28" s="112" t="s">
        <v>5</v>
      </c>
      <c r="V28" s="140">
        <f>'(변경)집계표'!D177</f>
        <v>0</v>
      </c>
      <c r="W28" s="111">
        <f>'(변경)집계표'!B207</f>
        <v>0</v>
      </c>
      <c r="X28" s="112" t="s">
        <v>5</v>
      </c>
      <c r="Y28" s="140">
        <f>'(변경)집계표'!D207</f>
        <v>0</v>
      </c>
      <c r="Z28" s="111">
        <f>'(변경)집계표'!B237</f>
        <v>0</v>
      </c>
      <c r="AA28" s="112" t="s">
        <v>5</v>
      </c>
      <c r="AB28" s="140">
        <f>'(변경)집계표'!D237</f>
        <v>0</v>
      </c>
      <c r="AC28" s="111">
        <f>'(변경)집계표'!B267</f>
        <v>0</v>
      </c>
      <c r="AD28" s="112" t="s">
        <v>5</v>
      </c>
      <c r="AE28" s="140">
        <f>'(변경)집계표'!D267</f>
        <v>0</v>
      </c>
      <c r="AF28" s="111">
        <f>'(변경)집계표'!B297</f>
        <v>0</v>
      </c>
      <c r="AG28" s="112" t="s">
        <v>5</v>
      </c>
      <c r="AH28" s="140">
        <f>'(변경)집계표'!D297</f>
        <v>0</v>
      </c>
      <c r="AI28" s="128"/>
      <c r="AK28" s="105" t="s">
        <v>27</v>
      </c>
      <c r="AL28" s="105" t="s">
        <v>27</v>
      </c>
      <c r="AM28" s="105" t="s">
        <v>27</v>
      </c>
      <c r="AN28" s="105" t="s">
        <v>27</v>
      </c>
      <c r="AO28" s="105" t="s">
        <v>27</v>
      </c>
    </row>
    <row r="29" spans="1:41" s="7" customFormat="1" ht="22.5" customHeight="1">
      <c r="A29" s="129" t="s">
        <v>28</v>
      </c>
      <c r="B29" s="111">
        <f t="shared" si="0"/>
        <v>0</v>
      </c>
      <c r="C29" s="112" t="s">
        <v>5</v>
      </c>
      <c r="D29" s="140">
        <f t="shared" ca="1" si="1"/>
        <v>0</v>
      </c>
      <c r="E29" s="111">
        <f t="shared" si="2"/>
        <v>0</v>
      </c>
      <c r="F29" s="112" t="s">
        <v>5</v>
      </c>
      <c r="G29" s="140">
        <f t="shared" ref="G29:H29" ca="1" si="103">G61+G93+G125</f>
        <v>0</v>
      </c>
      <c r="H29" s="111">
        <f t="shared" si="103"/>
        <v>0</v>
      </c>
      <c r="I29" s="112" t="s">
        <v>5</v>
      </c>
      <c r="J29" s="140">
        <f t="shared" ref="J29:K29" si="104">J61+J93+J125</f>
        <v>0</v>
      </c>
      <c r="K29" s="111">
        <f t="shared" si="104"/>
        <v>0</v>
      </c>
      <c r="L29" s="112" t="s">
        <v>5</v>
      </c>
      <c r="M29" s="140">
        <f t="shared" ref="M29:N29" si="105">M61+M93+M125</f>
        <v>0</v>
      </c>
      <c r="N29" s="111">
        <f t="shared" si="105"/>
        <v>0</v>
      </c>
      <c r="O29" s="112" t="s">
        <v>5</v>
      </c>
      <c r="P29" s="140">
        <f t="shared" ref="P29:Q29" si="106">P61+P93+P125</f>
        <v>0</v>
      </c>
      <c r="Q29" s="111">
        <f t="shared" si="106"/>
        <v>0</v>
      </c>
      <c r="R29" s="112" t="s">
        <v>5</v>
      </c>
      <c r="S29" s="140">
        <f t="shared" ref="S29" si="107">S61+S93+S125</f>
        <v>0</v>
      </c>
      <c r="T29" s="111">
        <f>'(변경)집계표'!B178</f>
        <v>0</v>
      </c>
      <c r="U29" s="112" t="s">
        <v>5</v>
      </c>
      <c r="V29" s="140">
        <f>'(변경)집계표'!D178</f>
        <v>0</v>
      </c>
      <c r="W29" s="111">
        <f>'(변경)집계표'!B208</f>
        <v>0</v>
      </c>
      <c r="X29" s="112" t="s">
        <v>5</v>
      </c>
      <c r="Y29" s="140">
        <f>'(변경)집계표'!D208</f>
        <v>0</v>
      </c>
      <c r="Z29" s="111">
        <f>'(변경)집계표'!B238</f>
        <v>0</v>
      </c>
      <c r="AA29" s="112" t="s">
        <v>5</v>
      </c>
      <c r="AB29" s="140">
        <f>'(변경)집계표'!D238</f>
        <v>0</v>
      </c>
      <c r="AC29" s="111">
        <f>'(변경)집계표'!B268</f>
        <v>0</v>
      </c>
      <c r="AD29" s="112" t="s">
        <v>5</v>
      </c>
      <c r="AE29" s="140">
        <f>'(변경)집계표'!D268</f>
        <v>0</v>
      </c>
      <c r="AF29" s="111">
        <f>'(변경)집계표'!B298</f>
        <v>0</v>
      </c>
      <c r="AG29" s="112" t="s">
        <v>5</v>
      </c>
      <c r="AH29" s="140">
        <f>'(변경)집계표'!D298</f>
        <v>0</v>
      </c>
      <c r="AI29" s="128"/>
      <c r="AK29" s="105" t="s">
        <v>28</v>
      </c>
      <c r="AL29" s="105" t="s">
        <v>28</v>
      </c>
      <c r="AM29" s="105" t="s">
        <v>28</v>
      </c>
      <c r="AN29" s="105" t="s">
        <v>28</v>
      </c>
      <c r="AO29" s="105" t="s">
        <v>28</v>
      </c>
    </row>
    <row r="30" spans="1:41" s="7" customFormat="1" ht="22.5" customHeight="1">
      <c r="A30" s="129" t="s">
        <v>60</v>
      </c>
      <c r="B30" s="111">
        <f t="shared" si="0"/>
        <v>0</v>
      </c>
      <c r="C30" s="112" t="s">
        <v>5</v>
      </c>
      <c r="D30" s="140">
        <f t="shared" ca="1" si="1"/>
        <v>0</v>
      </c>
      <c r="E30" s="111">
        <f t="shared" si="2"/>
        <v>0</v>
      </c>
      <c r="F30" s="112" t="s">
        <v>5</v>
      </c>
      <c r="G30" s="140">
        <f t="shared" ref="G30:H30" ca="1" si="108">G62+G94+G126</f>
        <v>0</v>
      </c>
      <c r="H30" s="111">
        <f t="shared" si="108"/>
        <v>0</v>
      </c>
      <c r="I30" s="112" t="s">
        <v>5</v>
      </c>
      <c r="J30" s="140">
        <f t="shared" ref="J30:K30" si="109">J62+J94+J126</f>
        <v>0</v>
      </c>
      <c r="K30" s="111">
        <f t="shared" si="109"/>
        <v>0</v>
      </c>
      <c r="L30" s="112" t="s">
        <v>5</v>
      </c>
      <c r="M30" s="140">
        <f t="shared" ref="M30:N30" si="110">M62+M94+M126</f>
        <v>0</v>
      </c>
      <c r="N30" s="111">
        <f t="shared" si="110"/>
        <v>0</v>
      </c>
      <c r="O30" s="112" t="s">
        <v>5</v>
      </c>
      <c r="P30" s="140">
        <f t="shared" ref="P30:Q30" si="111">P62+P94+P126</f>
        <v>0</v>
      </c>
      <c r="Q30" s="111">
        <f t="shared" si="111"/>
        <v>0</v>
      </c>
      <c r="R30" s="112" t="s">
        <v>5</v>
      </c>
      <c r="S30" s="140">
        <f t="shared" ref="S30" si="112">S62+S94+S126</f>
        <v>0</v>
      </c>
      <c r="T30" s="111">
        <f>'(변경)집계표'!B179</f>
        <v>0</v>
      </c>
      <c r="U30" s="112" t="s">
        <v>5</v>
      </c>
      <c r="V30" s="140">
        <f>'(변경)집계표'!D179</f>
        <v>0</v>
      </c>
      <c r="W30" s="111">
        <f>'(변경)집계표'!B209</f>
        <v>0</v>
      </c>
      <c r="X30" s="112" t="s">
        <v>5</v>
      </c>
      <c r="Y30" s="140">
        <f>'(변경)집계표'!D209</f>
        <v>0</v>
      </c>
      <c r="Z30" s="111">
        <f>'(변경)집계표'!B239</f>
        <v>0</v>
      </c>
      <c r="AA30" s="112" t="s">
        <v>5</v>
      </c>
      <c r="AB30" s="140">
        <f>'(변경)집계표'!D239</f>
        <v>0</v>
      </c>
      <c r="AC30" s="111">
        <f>'(변경)집계표'!B269</f>
        <v>0</v>
      </c>
      <c r="AD30" s="112" t="s">
        <v>5</v>
      </c>
      <c r="AE30" s="140">
        <f>'(변경)집계표'!D269</f>
        <v>0</v>
      </c>
      <c r="AF30" s="111">
        <f>'(변경)집계표'!B299</f>
        <v>0</v>
      </c>
      <c r="AG30" s="112" t="s">
        <v>5</v>
      </c>
      <c r="AH30" s="140">
        <f>'(변경)집계표'!D299</f>
        <v>0</v>
      </c>
      <c r="AI30" s="128"/>
      <c r="AK30" s="105" t="s">
        <v>60</v>
      </c>
      <c r="AL30" s="105" t="s">
        <v>60</v>
      </c>
      <c r="AM30" s="105" t="s">
        <v>65</v>
      </c>
      <c r="AN30" s="105" t="s">
        <v>60</v>
      </c>
      <c r="AO30" s="105" t="s">
        <v>60</v>
      </c>
    </row>
    <row r="31" spans="1:41" s="7" customFormat="1" ht="22.5" customHeight="1">
      <c r="A31" s="129" t="s">
        <v>70</v>
      </c>
      <c r="B31" s="111">
        <f t="shared" si="0"/>
        <v>2</v>
      </c>
      <c r="C31" s="112" t="s">
        <v>5</v>
      </c>
      <c r="D31" s="140">
        <f t="shared" ca="1" si="1"/>
        <v>452</v>
      </c>
      <c r="E31" s="111">
        <f t="shared" si="2"/>
        <v>0</v>
      </c>
      <c r="F31" s="112" t="s">
        <v>5</v>
      </c>
      <c r="G31" s="140">
        <f t="shared" ref="G31:H31" ca="1" si="113">G63+G95+G127</f>
        <v>0</v>
      </c>
      <c r="H31" s="111">
        <f t="shared" si="113"/>
        <v>1</v>
      </c>
      <c r="I31" s="112" t="s">
        <v>5</v>
      </c>
      <c r="J31" s="140">
        <f t="shared" ref="J31:K31" si="114">J63+J95+J127</f>
        <v>436</v>
      </c>
      <c r="K31" s="111">
        <f t="shared" si="114"/>
        <v>1</v>
      </c>
      <c r="L31" s="112" t="s">
        <v>5</v>
      </c>
      <c r="M31" s="140">
        <f t="shared" ref="M31:N31" si="115">M63+M95+M127</f>
        <v>16</v>
      </c>
      <c r="N31" s="111">
        <f t="shared" si="115"/>
        <v>0</v>
      </c>
      <c r="O31" s="112" t="s">
        <v>5</v>
      </c>
      <c r="P31" s="140">
        <f t="shared" ref="P31:Q31" si="116">P63+P95+P127</f>
        <v>0</v>
      </c>
      <c r="Q31" s="111">
        <f t="shared" si="116"/>
        <v>0</v>
      </c>
      <c r="R31" s="112" t="s">
        <v>5</v>
      </c>
      <c r="S31" s="140">
        <f t="shared" ref="S31" si="117">S63+S95+S127</f>
        <v>0</v>
      </c>
      <c r="T31" s="111">
        <f>'(변경)집계표'!B180</f>
        <v>0</v>
      </c>
      <c r="U31" s="112" t="s">
        <v>5</v>
      </c>
      <c r="V31" s="140">
        <f>'(변경)집계표'!D180</f>
        <v>0</v>
      </c>
      <c r="W31" s="111">
        <f>'(변경)집계표'!B210</f>
        <v>0</v>
      </c>
      <c r="X31" s="112" t="s">
        <v>5</v>
      </c>
      <c r="Y31" s="140">
        <f>'(변경)집계표'!D210</f>
        <v>0</v>
      </c>
      <c r="Z31" s="111">
        <f>'(변경)집계표'!B240</f>
        <v>0</v>
      </c>
      <c r="AA31" s="112" t="s">
        <v>5</v>
      </c>
      <c r="AB31" s="140">
        <f>'(변경)집계표'!D240</f>
        <v>0</v>
      </c>
      <c r="AC31" s="111">
        <f>'(변경)집계표'!B270</f>
        <v>0</v>
      </c>
      <c r="AD31" s="112" t="s">
        <v>5</v>
      </c>
      <c r="AE31" s="140">
        <f>'(변경)집계표'!D270</f>
        <v>0</v>
      </c>
      <c r="AF31" s="111">
        <f>'(변경)집계표'!B300</f>
        <v>0</v>
      </c>
      <c r="AG31" s="112" t="s">
        <v>5</v>
      </c>
      <c r="AH31" s="140">
        <f>'(변경)집계표'!D300</f>
        <v>0</v>
      </c>
      <c r="AI31" s="128"/>
      <c r="AK31" s="105" t="s">
        <v>61</v>
      </c>
      <c r="AL31" s="105" t="s">
        <v>70</v>
      </c>
      <c r="AM31" s="105" t="s">
        <v>70</v>
      </c>
      <c r="AN31" s="105" t="s">
        <v>70</v>
      </c>
      <c r="AO31" s="105" t="s">
        <v>61</v>
      </c>
    </row>
    <row r="32" spans="1:41" s="7" customFormat="1" ht="22.5" customHeight="1" thickBot="1">
      <c r="A32" s="130" t="s">
        <v>62</v>
      </c>
      <c r="B32" s="131">
        <f t="shared" si="0"/>
        <v>5</v>
      </c>
      <c r="C32" s="132" t="s">
        <v>5</v>
      </c>
      <c r="D32" s="141">
        <f t="shared" ca="1" si="1"/>
        <v>1510</v>
      </c>
      <c r="E32" s="131">
        <f t="shared" si="2"/>
        <v>0</v>
      </c>
      <c r="F32" s="132" t="s">
        <v>5</v>
      </c>
      <c r="G32" s="141">
        <f t="shared" ref="G32:H32" ca="1" si="118">G64+G96+G128</f>
        <v>0</v>
      </c>
      <c r="H32" s="131">
        <f t="shared" si="118"/>
        <v>3</v>
      </c>
      <c r="I32" s="132" t="s">
        <v>5</v>
      </c>
      <c r="J32" s="141">
        <f t="shared" ref="J32:K32" si="119">J64+J96+J128</f>
        <v>1408</v>
      </c>
      <c r="K32" s="131">
        <f t="shared" si="119"/>
        <v>0</v>
      </c>
      <c r="L32" s="132" t="s">
        <v>5</v>
      </c>
      <c r="M32" s="141">
        <f t="shared" ref="M32:N32" si="120">M64+M96+M128</f>
        <v>0</v>
      </c>
      <c r="N32" s="131">
        <f t="shared" si="120"/>
        <v>2</v>
      </c>
      <c r="O32" s="132" t="s">
        <v>5</v>
      </c>
      <c r="P32" s="141">
        <f t="shared" ref="P32:Q32" si="121">P64+P96+P128</f>
        <v>102</v>
      </c>
      <c r="Q32" s="131">
        <f t="shared" si="121"/>
        <v>0</v>
      </c>
      <c r="R32" s="132" t="s">
        <v>5</v>
      </c>
      <c r="S32" s="141">
        <f t="shared" ref="S32" si="122">S64+S96+S128</f>
        <v>0</v>
      </c>
      <c r="T32" s="131">
        <f>'(변경)집계표'!B181</f>
        <v>0</v>
      </c>
      <c r="U32" s="132" t="s">
        <v>5</v>
      </c>
      <c r="V32" s="141">
        <f>'(변경)집계표'!D181</f>
        <v>0</v>
      </c>
      <c r="W32" s="131">
        <f>'(변경)집계표'!B211</f>
        <v>0</v>
      </c>
      <c r="X32" s="132" t="s">
        <v>5</v>
      </c>
      <c r="Y32" s="141">
        <f>'(변경)집계표'!D211</f>
        <v>0</v>
      </c>
      <c r="Z32" s="131">
        <f>'(변경)집계표'!B241</f>
        <v>0</v>
      </c>
      <c r="AA32" s="132" t="s">
        <v>5</v>
      </c>
      <c r="AB32" s="141">
        <f>'(변경)집계표'!D241</f>
        <v>0</v>
      </c>
      <c r="AC32" s="131">
        <f>'(변경)집계표'!B271</f>
        <v>0</v>
      </c>
      <c r="AD32" s="132" t="s">
        <v>5</v>
      </c>
      <c r="AE32" s="141">
        <f>'(변경)집계표'!D271</f>
        <v>0</v>
      </c>
      <c r="AF32" s="131">
        <f>'(변경)집계표'!B301</f>
        <v>0</v>
      </c>
      <c r="AG32" s="132" t="s">
        <v>5</v>
      </c>
      <c r="AH32" s="141">
        <f>'(변경)집계표'!D301</f>
        <v>0</v>
      </c>
      <c r="AI32" s="133"/>
      <c r="AJ32" s="6"/>
      <c r="AK32" s="106" t="s">
        <v>62</v>
      </c>
      <c r="AL32" s="106" t="s">
        <v>62</v>
      </c>
      <c r="AM32" s="106" t="s">
        <v>62</v>
      </c>
      <c r="AN32" s="106" t="s">
        <v>62</v>
      </c>
      <c r="AO32" s="106" t="s">
        <v>62</v>
      </c>
    </row>
    <row r="33" spans="1:36" s="1" customFormat="1" ht="27.95" customHeight="1">
      <c r="A33" s="190" t="s">
        <v>54</v>
      </c>
      <c r="B33" s="191"/>
      <c r="C33" s="192"/>
      <c r="D33" s="193"/>
      <c r="E33" s="192"/>
      <c r="F33" s="192"/>
      <c r="G33" s="193"/>
      <c r="H33" s="192"/>
      <c r="I33" s="192"/>
      <c r="J33" s="193"/>
      <c r="K33" s="192"/>
      <c r="L33" s="192"/>
      <c r="M33" s="193"/>
      <c r="N33" s="192"/>
      <c r="O33" s="192"/>
      <c r="P33" s="193"/>
      <c r="Q33" s="192"/>
      <c r="R33" s="192"/>
      <c r="S33" s="194"/>
      <c r="T33" s="192"/>
      <c r="U33" s="192"/>
      <c r="V33" s="194"/>
      <c r="W33" s="192"/>
      <c r="X33" s="192"/>
      <c r="Y33" s="194"/>
      <c r="Z33" s="192"/>
      <c r="AA33" s="192"/>
      <c r="AB33" s="194"/>
      <c r="AC33" s="192"/>
      <c r="AD33" s="192"/>
      <c r="AE33" s="194"/>
      <c r="AF33" s="192"/>
      <c r="AG33" s="192"/>
      <c r="AH33" s="194"/>
      <c r="AI33" s="195"/>
    </row>
    <row r="34" spans="1:36" s="5" customFormat="1" ht="9.9499999999999993" customHeight="1" thickBot="1">
      <c r="A34" s="196"/>
      <c r="B34" s="189"/>
      <c r="D34" s="188"/>
      <c r="E34" s="189"/>
      <c r="G34" s="188"/>
      <c r="H34" s="189"/>
      <c r="J34" s="188"/>
      <c r="K34" s="189"/>
      <c r="M34" s="188"/>
      <c r="N34" s="189"/>
      <c r="P34" s="188"/>
      <c r="Q34" s="189"/>
      <c r="S34" s="146"/>
      <c r="T34" s="189"/>
      <c r="V34" s="146"/>
      <c r="W34" s="189"/>
      <c r="Y34" s="146"/>
      <c r="Z34" s="189"/>
      <c r="AB34" s="146"/>
      <c r="AC34" s="189"/>
      <c r="AE34" s="146"/>
      <c r="AF34" s="189"/>
      <c r="AH34" s="146"/>
      <c r="AI34" s="197"/>
    </row>
    <row r="35" spans="1:36" s="7" customFormat="1" ht="30" customHeight="1">
      <c r="A35" s="119"/>
      <c r="B35" s="484" t="s">
        <v>2</v>
      </c>
      <c r="C35" s="485"/>
      <c r="D35" s="485"/>
      <c r="E35" s="120" t="s">
        <v>72</v>
      </c>
      <c r="F35" s="121"/>
      <c r="G35" s="182"/>
      <c r="H35" s="120"/>
      <c r="I35" s="121"/>
      <c r="J35" s="182"/>
      <c r="K35" s="120"/>
      <c r="L35" s="121"/>
      <c r="M35" s="182"/>
      <c r="N35" s="120"/>
      <c r="O35" s="121"/>
      <c r="P35" s="182"/>
      <c r="Q35" s="120"/>
      <c r="R35" s="121"/>
      <c r="S35" s="143"/>
      <c r="T35" s="120"/>
      <c r="U35" s="121"/>
      <c r="V35" s="143"/>
      <c r="W35" s="120"/>
      <c r="X35" s="121"/>
      <c r="Y35" s="143"/>
      <c r="Z35" s="120"/>
      <c r="AA35" s="121"/>
      <c r="AB35" s="143"/>
      <c r="AC35" s="120"/>
      <c r="AD35" s="121"/>
      <c r="AE35" s="143"/>
      <c r="AF35" s="120"/>
      <c r="AG35" s="121"/>
      <c r="AH35" s="143"/>
      <c r="AI35" s="471" t="s">
        <v>53</v>
      </c>
      <c r="AJ35" s="6"/>
    </row>
    <row r="36" spans="1:36" s="7" customFormat="1" ht="30" customHeight="1">
      <c r="A36" s="122"/>
      <c r="B36" s="486"/>
      <c r="C36" s="487"/>
      <c r="D36" s="487"/>
      <c r="E36" s="8" t="s">
        <v>73</v>
      </c>
      <c r="F36" s="9"/>
      <c r="G36" s="183"/>
      <c r="H36" s="8"/>
      <c r="I36" s="9"/>
      <c r="J36" s="183"/>
      <c r="K36" s="8"/>
      <c r="L36" s="9"/>
      <c r="M36" s="183"/>
      <c r="N36" s="8"/>
      <c r="O36" s="9"/>
      <c r="P36" s="183"/>
      <c r="Q36" s="8"/>
      <c r="R36" s="9"/>
      <c r="S36" s="144"/>
      <c r="T36" s="8"/>
      <c r="U36" s="9"/>
      <c r="V36" s="144"/>
      <c r="W36" s="8"/>
      <c r="X36" s="9"/>
      <c r="Y36" s="144"/>
      <c r="Z36" s="8"/>
      <c r="AA36" s="9"/>
      <c r="AB36" s="144"/>
      <c r="AC36" s="8"/>
      <c r="AD36" s="9"/>
      <c r="AE36" s="144"/>
      <c r="AF36" s="8"/>
      <c r="AG36" s="9"/>
      <c r="AH36" s="144"/>
      <c r="AI36" s="488"/>
      <c r="AJ36" s="6"/>
    </row>
    <row r="37" spans="1:36" s="7" customFormat="1" ht="30" customHeight="1">
      <c r="A37" s="123" t="s">
        <v>3</v>
      </c>
      <c r="B37" s="486"/>
      <c r="C37" s="487"/>
      <c r="D37" s="487"/>
      <c r="E37" s="8" t="s">
        <v>74</v>
      </c>
      <c r="F37" s="9"/>
      <c r="G37" s="183"/>
      <c r="H37" s="8" t="s">
        <v>75</v>
      </c>
      <c r="I37" s="9"/>
      <c r="J37" s="183"/>
      <c r="K37" s="8" t="s">
        <v>76</v>
      </c>
      <c r="L37" s="9"/>
      <c r="M37" s="183"/>
      <c r="N37" s="8" t="s">
        <v>77</v>
      </c>
      <c r="O37" s="9"/>
      <c r="P37" s="183"/>
      <c r="Q37" s="8" t="s">
        <v>78</v>
      </c>
      <c r="R37" s="9"/>
      <c r="S37" s="144"/>
      <c r="T37" s="8">
        <v>6</v>
      </c>
      <c r="U37" s="9"/>
      <c r="V37" s="144"/>
      <c r="W37" s="8">
        <v>7</v>
      </c>
      <c r="X37" s="9"/>
      <c r="Y37" s="144"/>
      <c r="Z37" s="8">
        <v>8</v>
      </c>
      <c r="AA37" s="9"/>
      <c r="AB37" s="144"/>
      <c r="AC37" s="8">
        <v>9</v>
      </c>
      <c r="AD37" s="9"/>
      <c r="AE37" s="144"/>
      <c r="AF37" s="8">
        <v>10</v>
      </c>
      <c r="AG37" s="9"/>
      <c r="AH37" s="144"/>
      <c r="AI37" s="488"/>
      <c r="AJ37" s="6"/>
    </row>
    <row r="38" spans="1:36" s="7" customFormat="1" ht="30" customHeight="1" thickBot="1">
      <c r="A38" s="124"/>
      <c r="B38" s="115" t="s">
        <v>4</v>
      </c>
      <c r="C38" s="116" t="s">
        <v>5</v>
      </c>
      <c r="D38" s="178" t="s">
        <v>6</v>
      </c>
      <c r="E38" s="115" t="s">
        <v>4</v>
      </c>
      <c r="F38" s="116" t="s">
        <v>5</v>
      </c>
      <c r="G38" s="178" t="s">
        <v>6</v>
      </c>
      <c r="H38" s="115" t="s">
        <v>4</v>
      </c>
      <c r="I38" s="116" t="s">
        <v>5</v>
      </c>
      <c r="J38" s="178" t="s">
        <v>6</v>
      </c>
      <c r="K38" s="115" t="s">
        <v>4</v>
      </c>
      <c r="L38" s="116" t="s">
        <v>5</v>
      </c>
      <c r="M38" s="178" t="s">
        <v>6</v>
      </c>
      <c r="N38" s="115" t="s">
        <v>4</v>
      </c>
      <c r="O38" s="116" t="s">
        <v>5</v>
      </c>
      <c r="P38" s="178" t="s">
        <v>6</v>
      </c>
      <c r="Q38" s="115" t="s">
        <v>4</v>
      </c>
      <c r="R38" s="116" t="s">
        <v>5</v>
      </c>
      <c r="S38" s="178" t="s">
        <v>6</v>
      </c>
      <c r="T38" s="117" t="s">
        <v>4</v>
      </c>
      <c r="U38" s="118" t="s">
        <v>5</v>
      </c>
      <c r="V38" s="145" t="s">
        <v>6</v>
      </c>
      <c r="W38" s="117" t="s">
        <v>4</v>
      </c>
      <c r="X38" s="118" t="s">
        <v>5</v>
      </c>
      <c r="Y38" s="145" t="s">
        <v>6</v>
      </c>
      <c r="Z38" s="117" t="s">
        <v>4</v>
      </c>
      <c r="AA38" s="118" t="s">
        <v>5</v>
      </c>
      <c r="AB38" s="145" t="s">
        <v>6</v>
      </c>
      <c r="AC38" s="117" t="s">
        <v>4</v>
      </c>
      <c r="AD38" s="118" t="s">
        <v>5</v>
      </c>
      <c r="AE38" s="145" t="s">
        <v>6</v>
      </c>
      <c r="AF38" s="117" t="s">
        <v>4</v>
      </c>
      <c r="AG38" s="118" t="s">
        <v>5</v>
      </c>
      <c r="AH38" s="145" t="s">
        <v>6</v>
      </c>
      <c r="AI38" s="472"/>
      <c r="AJ38" s="6"/>
    </row>
    <row r="39" spans="1:36" s="6" customFormat="1" ht="22.5" customHeight="1" thickTop="1">
      <c r="A39" s="134" t="s">
        <v>2</v>
      </c>
      <c r="B39" s="135">
        <f>SUM(B40:B64)</f>
        <v>144</v>
      </c>
      <c r="C39" s="136" t="s">
        <v>5</v>
      </c>
      <c r="D39" s="181">
        <f>SUM(D40:D64)</f>
        <v>45466.1</v>
      </c>
      <c r="E39" s="135">
        <f>SUM(E40:E64)</f>
        <v>36</v>
      </c>
      <c r="F39" s="136" t="s">
        <v>5</v>
      </c>
      <c r="G39" s="181">
        <f>SUM(G40:G64)</f>
        <v>7546.7</v>
      </c>
      <c r="H39" s="135">
        <f>SUM(H40:H64)</f>
        <v>34</v>
      </c>
      <c r="I39" s="136" t="s">
        <v>5</v>
      </c>
      <c r="J39" s="181">
        <f>SUM(J40:J64)</f>
        <v>9205.5</v>
      </c>
      <c r="K39" s="135">
        <f>SUM(K40:K64)</f>
        <v>43</v>
      </c>
      <c r="L39" s="136" t="s">
        <v>5</v>
      </c>
      <c r="M39" s="181">
        <f>SUM(M40:M64)</f>
        <v>13662.099999999999</v>
      </c>
      <c r="N39" s="135">
        <f>SUM(N40:N64)</f>
        <v>15</v>
      </c>
      <c r="O39" s="136" t="s">
        <v>5</v>
      </c>
      <c r="P39" s="181">
        <f>SUM(P40:P64)</f>
        <v>9891.7999999999993</v>
      </c>
      <c r="Q39" s="135">
        <f>SUM(Q40:Q64)</f>
        <v>16</v>
      </c>
      <c r="R39" s="136" t="s">
        <v>5</v>
      </c>
      <c r="S39" s="142">
        <f>SUM(S40:S64)</f>
        <v>5160</v>
      </c>
      <c r="T39" s="135">
        <f>SUM(T40:T64)</f>
        <v>0</v>
      </c>
      <c r="U39" s="136" t="s">
        <v>5</v>
      </c>
      <c r="V39" s="142">
        <f>SUM(V40:V64)</f>
        <v>0</v>
      </c>
      <c r="W39" s="135">
        <f>SUM(W40:W64)</f>
        <v>0</v>
      </c>
      <c r="X39" s="136" t="s">
        <v>5</v>
      </c>
      <c r="Y39" s="142">
        <f>SUM(Y40:Y64)</f>
        <v>0</v>
      </c>
      <c r="Z39" s="135">
        <f>SUM(Z40:Z64)</f>
        <v>0</v>
      </c>
      <c r="AA39" s="136" t="s">
        <v>5</v>
      </c>
      <c r="AB39" s="142">
        <f>SUM(AB40:AB64)</f>
        <v>0</v>
      </c>
      <c r="AC39" s="135">
        <f>SUM(AC40:AC64)</f>
        <v>0</v>
      </c>
      <c r="AD39" s="136" t="s">
        <v>5</v>
      </c>
      <c r="AE39" s="142">
        <f>SUM(AE40:AE64)</f>
        <v>0</v>
      </c>
      <c r="AF39" s="135">
        <f>SUM(AF40:AF64)</f>
        <v>0</v>
      </c>
      <c r="AG39" s="136" t="s">
        <v>5</v>
      </c>
      <c r="AH39" s="142">
        <f>SUM(AH40:AH64)</f>
        <v>0</v>
      </c>
      <c r="AI39" s="137"/>
    </row>
    <row r="40" spans="1:36" s="6" customFormat="1" ht="22.5" customHeight="1">
      <c r="A40" s="127" t="s">
        <v>7</v>
      </c>
      <c r="B40" s="111">
        <f t="shared" ref="B40:B64" si="123">SUM(E40,H40,K40,N40,Q40,T40,W40,Z40,AC40,AF40)</f>
        <v>0</v>
      </c>
      <c r="C40" s="112" t="s">
        <v>5</v>
      </c>
      <c r="D40" s="179">
        <f t="shared" ref="D40:D64" si="124">SUM(G40,J40,M40,P40,S40,V40,Y40,AB40,AE40,AH40)</f>
        <v>0</v>
      </c>
      <c r="E40" s="111">
        <f>'(당초)집계표'!E7</f>
        <v>0</v>
      </c>
      <c r="F40" s="112" t="s">
        <v>5</v>
      </c>
      <c r="G40" s="179">
        <f>'(당초)집계표'!G7</f>
        <v>0</v>
      </c>
      <c r="H40" s="111">
        <f>'(당초)집계표'!E37</f>
        <v>0</v>
      </c>
      <c r="I40" s="112" t="s">
        <v>5</v>
      </c>
      <c r="J40" s="179">
        <f>'(당초)집계표'!G37</f>
        <v>0</v>
      </c>
      <c r="K40" s="111">
        <f>'(당초)집계표'!E67</f>
        <v>0</v>
      </c>
      <c r="L40" s="112" t="s">
        <v>5</v>
      </c>
      <c r="M40" s="179">
        <f>'(당초)집계표'!G67</f>
        <v>0</v>
      </c>
      <c r="N40" s="111">
        <f>'(당초)집계표'!E97</f>
        <v>0</v>
      </c>
      <c r="O40" s="112" t="s">
        <v>5</v>
      </c>
      <c r="P40" s="179">
        <f>'(당초)집계표'!G97</f>
        <v>0</v>
      </c>
      <c r="Q40" s="111">
        <f>'(당초)집계표'!E127</f>
        <v>0</v>
      </c>
      <c r="R40" s="112" t="s">
        <v>5</v>
      </c>
      <c r="S40" s="140">
        <f>'(당초)집계표'!G127</f>
        <v>0</v>
      </c>
      <c r="T40" s="111">
        <f>'(변경)집계표'!E157</f>
        <v>0</v>
      </c>
      <c r="U40" s="112" t="s">
        <v>5</v>
      </c>
      <c r="V40" s="140">
        <f>'(변경)집계표'!G157</f>
        <v>0</v>
      </c>
      <c r="W40" s="111">
        <f>'(변경)집계표'!E187</f>
        <v>0</v>
      </c>
      <c r="X40" s="112" t="s">
        <v>5</v>
      </c>
      <c r="Y40" s="140">
        <f>'(변경)집계표'!G187</f>
        <v>0</v>
      </c>
      <c r="Z40" s="111">
        <f>'(변경)집계표'!E217</f>
        <v>0</v>
      </c>
      <c r="AA40" s="112" t="s">
        <v>5</v>
      </c>
      <c r="AB40" s="140">
        <f>'(변경)집계표'!G217</f>
        <v>0</v>
      </c>
      <c r="AC40" s="111">
        <f>'(변경)집계표'!E247</f>
        <v>0</v>
      </c>
      <c r="AD40" s="112" t="s">
        <v>5</v>
      </c>
      <c r="AE40" s="140">
        <f>'(변경)집계표'!G247</f>
        <v>0</v>
      </c>
      <c r="AF40" s="111">
        <f>'(변경)집계표'!E277</f>
        <v>0</v>
      </c>
      <c r="AG40" s="112" t="s">
        <v>5</v>
      </c>
      <c r="AH40" s="140">
        <f>'(변경)집계표'!G277</f>
        <v>0</v>
      </c>
      <c r="AI40" s="128"/>
    </row>
    <row r="41" spans="1:36" s="6" customFormat="1" ht="22.5" customHeight="1">
      <c r="A41" s="127" t="s">
        <v>8</v>
      </c>
      <c r="B41" s="111">
        <f t="shared" si="123"/>
        <v>0</v>
      </c>
      <c r="C41" s="112" t="s">
        <v>5</v>
      </c>
      <c r="D41" s="179">
        <f t="shared" si="124"/>
        <v>0</v>
      </c>
      <c r="E41" s="111">
        <f>'(당초)집계표'!E8</f>
        <v>0</v>
      </c>
      <c r="F41" s="112" t="s">
        <v>5</v>
      </c>
      <c r="G41" s="179">
        <f>'(당초)집계표'!G8</f>
        <v>0</v>
      </c>
      <c r="H41" s="111">
        <f>'(당초)집계표'!E38</f>
        <v>0</v>
      </c>
      <c r="I41" s="112" t="s">
        <v>5</v>
      </c>
      <c r="J41" s="179">
        <f>'(당초)집계표'!G38</f>
        <v>0</v>
      </c>
      <c r="K41" s="111">
        <f>'(당초)집계표'!E68</f>
        <v>0</v>
      </c>
      <c r="L41" s="112" t="s">
        <v>5</v>
      </c>
      <c r="M41" s="179">
        <f>'(당초)집계표'!G68</f>
        <v>0</v>
      </c>
      <c r="N41" s="111">
        <f>'(당초)집계표'!E98</f>
        <v>0</v>
      </c>
      <c r="O41" s="112" t="s">
        <v>5</v>
      </c>
      <c r="P41" s="179">
        <f>'(당초)집계표'!G98</f>
        <v>0</v>
      </c>
      <c r="Q41" s="111">
        <f>'(당초)집계표'!E128</f>
        <v>0</v>
      </c>
      <c r="R41" s="112" t="s">
        <v>5</v>
      </c>
      <c r="S41" s="140">
        <f>'(당초)집계표'!G128</f>
        <v>0</v>
      </c>
      <c r="T41" s="111">
        <f>'(변경)집계표'!E158</f>
        <v>0</v>
      </c>
      <c r="U41" s="112" t="s">
        <v>5</v>
      </c>
      <c r="V41" s="140">
        <f>'(변경)집계표'!G158</f>
        <v>0</v>
      </c>
      <c r="W41" s="111">
        <f>'(변경)집계표'!E188</f>
        <v>0</v>
      </c>
      <c r="X41" s="112" t="s">
        <v>5</v>
      </c>
      <c r="Y41" s="140">
        <f>'(변경)집계표'!G188</f>
        <v>0</v>
      </c>
      <c r="Z41" s="111">
        <f>'(변경)집계표'!E218</f>
        <v>0</v>
      </c>
      <c r="AA41" s="112" t="s">
        <v>5</v>
      </c>
      <c r="AB41" s="140">
        <f>'(변경)집계표'!G218</f>
        <v>0</v>
      </c>
      <c r="AC41" s="111">
        <f>'(변경)집계표'!E248</f>
        <v>0</v>
      </c>
      <c r="AD41" s="112" t="s">
        <v>5</v>
      </c>
      <c r="AE41" s="140">
        <f>'(변경)집계표'!G248</f>
        <v>0</v>
      </c>
      <c r="AF41" s="111">
        <f>'(변경)집계표'!E278</f>
        <v>0</v>
      </c>
      <c r="AG41" s="112" t="s">
        <v>5</v>
      </c>
      <c r="AH41" s="140">
        <f>'(변경)집계표'!G278</f>
        <v>0</v>
      </c>
      <c r="AI41" s="128"/>
    </row>
    <row r="42" spans="1:36" s="6" customFormat="1" ht="22.5" customHeight="1">
      <c r="A42" s="127" t="s">
        <v>9</v>
      </c>
      <c r="B42" s="111">
        <f t="shared" si="123"/>
        <v>3</v>
      </c>
      <c r="C42" s="112" t="s">
        <v>5</v>
      </c>
      <c r="D42" s="179">
        <f t="shared" si="124"/>
        <v>3195</v>
      </c>
      <c r="E42" s="111">
        <f>'(당초)집계표'!E9</f>
        <v>0</v>
      </c>
      <c r="F42" s="112" t="s">
        <v>5</v>
      </c>
      <c r="G42" s="179">
        <f>'(당초)집계표'!G9</f>
        <v>0</v>
      </c>
      <c r="H42" s="111">
        <f>'(당초)집계표'!E39</f>
        <v>0</v>
      </c>
      <c r="I42" s="112" t="s">
        <v>5</v>
      </c>
      <c r="J42" s="179">
        <f>'(당초)집계표'!G39</f>
        <v>0</v>
      </c>
      <c r="K42" s="111">
        <f>'(당초)집계표'!E69</f>
        <v>0</v>
      </c>
      <c r="L42" s="112" t="s">
        <v>5</v>
      </c>
      <c r="M42" s="179">
        <f>'(당초)집계표'!G69</f>
        <v>0</v>
      </c>
      <c r="N42" s="111">
        <f>'(당초)집계표'!E99</f>
        <v>0</v>
      </c>
      <c r="O42" s="112" t="s">
        <v>5</v>
      </c>
      <c r="P42" s="179">
        <f>'(당초)집계표'!G99</f>
        <v>0</v>
      </c>
      <c r="Q42" s="111">
        <f>'(당초)집계표'!E129</f>
        <v>3</v>
      </c>
      <c r="R42" s="112" t="s">
        <v>5</v>
      </c>
      <c r="S42" s="140">
        <f>'(당초)집계표'!G129</f>
        <v>3195</v>
      </c>
      <c r="T42" s="111">
        <f>'(변경)집계표'!E159</f>
        <v>0</v>
      </c>
      <c r="U42" s="112" t="s">
        <v>5</v>
      </c>
      <c r="V42" s="140">
        <f>'(변경)집계표'!G159</f>
        <v>0</v>
      </c>
      <c r="W42" s="111">
        <f>'(변경)집계표'!E189</f>
        <v>0</v>
      </c>
      <c r="X42" s="112" t="s">
        <v>5</v>
      </c>
      <c r="Y42" s="140">
        <f>'(변경)집계표'!G189</f>
        <v>0</v>
      </c>
      <c r="Z42" s="111">
        <f>'(변경)집계표'!E219</f>
        <v>0</v>
      </c>
      <c r="AA42" s="112" t="s">
        <v>5</v>
      </c>
      <c r="AB42" s="140">
        <f>'(변경)집계표'!G219</f>
        <v>0</v>
      </c>
      <c r="AC42" s="111">
        <f>'(변경)집계표'!E249</f>
        <v>0</v>
      </c>
      <c r="AD42" s="112" t="s">
        <v>5</v>
      </c>
      <c r="AE42" s="140">
        <f>'(변경)집계표'!G249</f>
        <v>0</v>
      </c>
      <c r="AF42" s="111">
        <f>'(변경)집계표'!E279</f>
        <v>0</v>
      </c>
      <c r="AG42" s="112" t="s">
        <v>5</v>
      </c>
      <c r="AH42" s="140">
        <f>'(변경)집계표'!G279</f>
        <v>0</v>
      </c>
      <c r="AI42" s="128"/>
    </row>
    <row r="43" spans="1:36" s="6" customFormat="1" ht="22.5" customHeight="1">
      <c r="A43" s="127" t="s">
        <v>10</v>
      </c>
      <c r="B43" s="111">
        <f t="shared" si="123"/>
        <v>1</v>
      </c>
      <c r="C43" s="112" t="s">
        <v>5</v>
      </c>
      <c r="D43" s="179">
        <f t="shared" si="124"/>
        <v>95</v>
      </c>
      <c r="E43" s="111">
        <f>'(당초)집계표'!E10</f>
        <v>0</v>
      </c>
      <c r="F43" s="112" t="s">
        <v>5</v>
      </c>
      <c r="G43" s="179">
        <f>'(당초)집계표'!G10</f>
        <v>0</v>
      </c>
      <c r="H43" s="111">
        <f>'(당초)집계표'!E40</f>
        <v>1</v>
      </c>
      <c r="I43" s="112" t="s">
        <v>5</v>
      </c>
      <c r="J43" s="179">
        <f>'(당초)집계표'!G40</f>
        <v>95</v>
      </c>
      <c r="K43" s="111">
        <f>'(당초)집계표'!E70</f>
        <v>0</v>
      </c>
      <c r="L43" s="112" t="s">
        <v>5</v>
      </c>
      <c r="M43" s="179">
        <f>'(당초)집계표'!G70</f>
        <v>0</v>
      </c>
      <c r="N43" s="111">
        <f>'(당초)집계표'!E100</f>
        <v>0</v>
      </c>
      <c r="O43" s="112" t="s">
        <v>5</v>
      </c>
      <c r="P43" s="179">
        <f>'(당초)집계표'!G100</f>
        <v>0</v>
      </c>
      <c r="Q43" s="111">
        <f>'(당초)집계표'!E130</f>
        <v>0</v>
      </c>
      <c r="R43" s="112" t="s">
        <v>5</v>
      </c>
      <c r="S43" s="140">
        <f>'(당초)집계표'!G130</f>
        <v>0</v>
      </c>
      <c r="T43" s="111">
        <f>'(변경)집계표'!E160</f>
        <v>0</v>
      </c>
      <c r="U43" s="112" t="s">
        <v>5</v>
      </c>
      <c r="V43" s="140">
        <f>'(변경)집계표'!G160</f>
        <v>0</v>
      </c>
      <c r="W43" s="111">
        <f>'(변경)집계표'!E190</f>
        <v>0</v>
      </c>
      <c r="X43" s="112" t="s">
        <v>5</v>
      </c>
      <c r="Y43" s="140">
        <f>'(변경)집계표'!G190</f>
        <v>0</v>
      </c>
      <c r="Z43" s="111">
        <f>'(변경)집계표'!E220</f>
        <v>0</v>
      </c>
      <c r="AA43" s="112" t="s">
        <v>5</v>
      </c>
      <c r="AB43" s="140">
        <f>'(변경)집계표'!G220</f>
        <v>0</v>
      </c>
      <c r="AC43" s="111">
        <f>'(변경)집계표'!E250</f>
        <v>0</v>
      </c>
      <c r="AD43" s="112" t="s">
        <v>5</v>
      </c>
      <c r="AE43" s="140">
        <f>'(변경)집계표'!G250</f>
        <v>0</v>
      </c>
      <c r="AF43" s="111">
        <f>'(변경)집계표'!E280</f>
        <v>0</v>
      </c>
      <c r="AG43" s="112" t="s">
        <v>5</v>
      </c>
      <c r="AH43" s="140">
        <f>'(변경)집계표'!G280</f>
        <v>0</v>
      </c>
      <c r="AI43" s="128"/>
    </row>
    <row r="44" spans="1:36" s="6" customFormat="1" ht="22.5" customHeight="1">
      <c r="A44" s="127" t="s">
        <v>11</v>
      </c>
      <c r="B44" s="111">
        <f t="shared" si="123"/>
        <v>85</v>
      </c>
      <c r="C44" s="112" t="s">
        <v>5</v>
      </c>
      <c r="D44" s="179">
        <f t="shared" si="124"/>
        <v>27479.699999999997</v>
      </c>
      <c r="E44" s="111">
        <f>'(당초)집계표'!E11</f>
        <v>22</v>
      </c>
      <c r="F44" s="112" t="s">
        <v>5</v>
      </c>
      <c r="G44" s="179">
        <f>'(당초)집계표'!G11</f>
        <v>5337.2</v>
      </c>
      <c r="H44" s="111">
        <f>'(당초)집계표'!E41</f>
        <v>17</v>
      </c>
      <c r="I44" s="112" t="s">
        <v>5</v>
      </c>
      <c r="J44" s="179">
        <f>'(당초)집계표'!G41</f>
        <v>5299.7</v>
      </c>
      <c r="K44" s="111">
        <f>'(당초)집계표'!E71</f>
        <v>28</v>
      </c>
      <c r="L44" s="112" t="s">
        <v>5</v>
      </c>
      <c r="M44" s="179">
        <f>'(당초)집계표'!G71</f>
        <v>8739.9</v>
      </c>
      <c r="N44" s="111">
        <f>'(당초)집계표'!E101</f>
        <v>6</v>
      </c>
      <c r="O44" s="112" t="s">
        <v>5</v>
      </c>
      <c r="P44" s="179">
        <f>'(당초)집계표'!G101</f>
        <v>6683.9</v>
      </c>
      <c r="Q44" s="111">
        <f>'(당초)집계표'!E131</f>
        <v>12</v>
      </c>
      <c r="R44" s="112" t="s">
        <v>5</v>
      </c>
      <c r="S44" s="140">
        <f>'(당초)집계표'!G131</f>
        <v>1419</v>
      </c>
      <c r="T44" s="111">
        <f>'(변경)집계표'!E161</f>
        <v>0</v>
      </c>
      <c r="U44" s="112" t="s">
        <v>5</v>
      </c>
      <c r="V44" s="140">
        <f>'(변경)집계표'!G161</f>
        <v>0</v>
      </c>
      <c r="W44" s="111">
        <f>'(변경)집계표'!E191</f>
        <v>0</v>
      </c>
      <c r="X44" s="112" t="s">
        <v>5</v>
      </c>
      <c r="Y44" s="140">
        <f>'(변경)집계표'!G191</f>
        <v>0</v>
      </c>
      <c r="Z44" s="111">
        <f>'(변경)집계표'!E221</f>
        <v>0</v>
      </c>
      <c r="AA44" s="112" t="s">
        <v>5</v>
      </c>
      <c r="AB44" s="140">
        <f>'(변경)집계표'!G221</f>
        <v>0</v>
      </c>
      <c r="AC44" s="111">
        <f>'(변경)집계표'!E251</f>
        <v>0</v>
      </c>
      <c r="AD44" s="112" t="s">
        <v>5</v>
      </c>
      <c r="AE44" s="140">
        <f>'(변경)집계표'!G251</f>
        <v>0</v>
      </c>
      <c r="AF44" s="111">
        <f>'(변경)집계표'!E281</f>
        <v>0</v>
      </c>
      <c r="AG44" s="112" t="s">
        <v>5</v>
      </c>
      <c r="AH44" s="140">
        <f>'(변경)집계표'!G281</f>
        <v>0</v>
      </c>
      <c r="AI44" s="128"/>
    </row>
    <row r="45" spans="1:36" s="6" customFormat="1" ht="22.5" customHeight="1">
      <c r="A45" s="127" t="s">
        <v>12</v>
      </c>
      <c r="B45" s="111">
        <f t="shared" si="123"/>
        <v>44</v>
      </c>
      <c r="C45" s="112" t="s">
        <v>5</v>
      </c>
      <c r="D45" s="179">
        <f t="shared" si="124"/>
        <v>11178.5</v>
      </c>
      <c r="E45" s="111">
        <f>'(당초)집계표'!E12</f>
        <v>13</v>
      </c>
      <c r="F45" s="112" t="s">
        <v>5</v>
      </c>
      <c r="G45" s="179">
        <f>'(당초)집계표'!G12</f>
        <v>1615.5</v>
      </c>
      <c r="H45" s="111">
        <f>'(당초)집계표'!E42</f>
        <v>13</v>
      </c>
      <c r="I45" s="112" t="s">
        <v>5</v>
      </c>
      <c r="J45" s="179">
        <f>'(당초)집계표'!G42</f>
        <v>2402.7999999999997</v>
      </c>
      <c r="K45" s="111">
        <f>'(당초)집계표'!E72</f>
        <v>12</v>
      </c>
      <c r="L45" s="112" t="s">
        <v>5</v>
      </c>
      <c r="M45" s="179">
        <f>'(당초)집계표'!G72</f>
        <v>4652.2</v>
      </c>
      <c r="N45" s="111">
        <f>'(당초)집계표'!E102</f>
        <v>6</v>
      </c>
      <c r="O45" s="112" t="s">
        <v>5</v>
      </c>
      <c r="P45" s="179">
        <f>'(당초)집계표'!G102</f>
        <v>2508</v>
      </c>
      <c r="Q45" s="111">
        <f>'(당초)집계표'!E132</f>
        <v>0</v>
      </c>
      <c r="R45" s="112" t="s">
        <v>5</v>
      </c>
      <c r="S45" s="140">
        <f>'(당초)집계표'!G132</f>
        <v>0</v>
      </c>
      <c r="T45" s="111">
        <f>'(변경)집계표'!E162</f>
        <v>0</v>
      </c>
      <c r="U45" s="112" t="s">
        <v>5</v>
      </c>
      <c r="V45" s="140">
        <f>'(변경)집계표'!G162</f>
        <v>0</v>
      </c>
      <c r="W45" s="111">
        <f>'(변경)집계표'!E192</f>
        <v>0</v>
      </c>
      <c r="X45" s="112" t="s">
        <v>5</v>
      </c>
      <c r="Y45" s="140">
        <f>'(변경)집계표'!G192</f>
        <v>0</v>
      </c>
      <c r="Z45" s="111">
        <f>'(변경)집계표'!E222</f>
        <v>0</v>
      </c>
      <c r="AA45" s="112" t="s">
        <v>5</v>
      </c>
      <c r="AB45" s="140">
        <f>'(변경)집계표'!G222</f>
        <v>0</v>
      </c>
      <c r="AC45" s="111">
        <f>'(변경)집계표'!E252</f>
        <v>0</v>
      </c>
      <c r="AD45" s="112" t="s">
        <v>5</v>
      </c>
      <c r="AE45" s="140">
        <f>'(변경)집계표'!G252</f>
        <v>0</v>
      </c>
      <c r="AF45" s="111">
        <f>'(변경)집계표'!E282</f>
        <v>0</v>
      </c>
      <c r="AG45" s="112" t="s">
        <v>5</v>
      </c>
      <c r="AH45" s="140">
        <f>'(변경)집계표'!G282</f>
        <v>0</v>
      </c>
      <c r="AI45" s="128"/>
    </row>
    <row r="46" spans="1:36" s="6" customFormat="1" ht="22.5" customHeight="1">
      <c r="A46" s="127" t="s">
        <v>13</v>
      </c>
      <c r="B46" s="111">
        <f t="shared" si="123"/>
        <v>1</v>
      </c>
      <c r="C46" s="112" t="s">
        <v>5</v>
      </c>
      <c r="D46" s="179">
        <f t="shared" si="124"/>
        <v>597.9</v>
      </c>
      <c r="E46" s="111">
        <f>'(당초)집계표'!E13</f>
        <v>0</v>
      </c>
      <c r="F46" s="112" t="s">
        <v>5</v>
      </c>
      <c r="G46" s="179">
        <f>'(당초)집계표'!G13</f>
        <v>0</v>
      </c>
      <c r="H46" s="111">
        <f>'(당초)집계표'!E43</f>
        <v>0</v>
      </c>
      <c r="I46" s="112" t="s">
        <v>5</v>
      </c>
      <c r="J46" s="179">
        <f>'(당초)집계표'!G43</f>
        <v>0</v>
      </c>
      <c r="K46" s="111">
        <f>'(당초)집계표'!E73</f>
        <v>0</v>
      </c>
      <c r="L46" s="112" t="s">
        <v>5</v>
      </c>
      <c r="M46" s="179">
        <f>'(당초)집계표'!G73</f>
        <v>0</v>
      </c>
      <c r="N46" s="111">
        <f>'(당초)집계표'!E103</f>
        <v>1</v>
      </c>
      <c r="O46" s="112" t="s">
        <v>5</v>
      </c>
      <c r="P46" s="179">
        <f>'(당초)집계표'!G103</f>
        <v>597.9</v>
      </c>
      <c r="Q46" s="111">
        <f>'(당초)집계표'!E133</f>
        <v>0</v>
      </c>
      <c r="R46" s="112" t="s">
        <v>5</v>
      </c>
      <c r="S46" s="140">
        <f>'(당초)집계표'!G133</f>
        <v>0</v>
      </c>
      <c r="T46" s="111">
        <f>'(변경)집계표'!E163</f>
        <v>0</v>
      </c>
      <c r="U46" s="112" t="s">
        <v>5</v>
      </c>
      <c r="V46" s="140">
        <f>'(변경)집계표'!G163</f>
        <v>0</v>
      </c>
      <c r="W46" s="111">
        <f>'(변경)집계표'!E193</f>
        <v>0</v>
      </c>
      <c r="X46" s="112" t="s">
        <v>5</v>
      </c>
      <c r="Y46" s="140">
        <f>'(변경)집계표'!G193</f>
        <v>0</v>
      </c>
      <c r="Z46" s="111">
        <f>'(변경)집계표'!E223</f>
        <v>0</v>
      </c>
      <c r="AA46" s="112" t="s">
        <v>5</v>
      </c>
      <c r="AB46" s="140">
        <f>'(변경)집계표'!G223</f>
        <v>0</v>
      </c>
      <c r="AC46" s="111">
        <f>'(변경)집계표'!E253</f>
        <v>0</v>
      </c>
      <c r="AD46" s="112" t="s">
        <v>5</v>
      </c>
      <c r="AE46" s="140">
        <f>'(변경)집계표'!G253</f>
        <v>0</v>
      </c>
      <c r="AF46" s="111">
        <f>'(변경)집계표'!E283</f>
        <v>0</v>
      </c>
      <c r="AG46" s="112" t="s">
        <v>5</v>
      </c>
      <c r="AH46" s="140">
        <f>'(변경)집계표'!G283</f>
        <v>0</v>
      </c>
      <c r="AI46" s="128"/>
    </row>
    <row r="47" spans="1:36" s="6" customFormat="1" ht="22.5" customHeight="1">
      <c r="A47" s="127" t="s">
        <v>14</v>
      </c>
      <c r="B47" s="111">
        <f t="shared" si="123"/>
        <v>3</v>
      </c>
      <c r="C47" s="112" t="s">
        <v>5</v>
      </c>
      <c r="D47" s="179">
        <f t="shared" si="124"/>
        <v>846</v>
      </c>
      <c r="E47" s="111">
        <f>'(당초)집계표'!E14</f>
        <v>1</v>
      </c>
      <c r="F47" s="112" t="s">
        <v>5</v>
      </c>
      <c r="G47" s="179">
        <f>'(당초)집계표'!G14</f>
        <v>594</v>
      </c>
      <c r="H47" s="111">
        <f>'(당초)집계표'!E44</f>
        <v>0</v>
      </c>
      <c r="I47" s="112" t="s">
        <v>5</v>
      </c>
      <c r="J47" s="179">
        <f>'(당초)집계표'!G44</f>
        <v>0</v>
      </c>
      <c r="K47" s="111">
        <f>'(당초)집계표'!E74</f>
        <v>2</v>
      </c>
      <c r="L47" s="112" t="s">
        <v>5</v>
      </c>
      <c r="M47" s="179">
        <f>'(당초)집계표'!G74</f>
        <v>252</v>
      </c>
      <c r="N47" s="111">
        <f>'(당초)집계표'!E104</f>
        <v>0</v>
      </c>
      <c r="O47" s="112" t="s">
        <v>5</v>
      </c>
      <c r="P47" s="179">
        <f>'(당초)집계표'!G104</f>
        <v>0</v>
      </c>
      <c r="Q47" s="111">
        <f>'(당초)집계표'!E134</f>
        <v>0</v>
      </c>
      <c r="R47" s="112" t="s">
        <v>5</v>
      </c>
      <c r="S47" s="140">
        <f>'(당초)집계표'!G134</f>
        <v>0</v>
      </c>
      <c r="T47" s="111">
        <f>'(변경)집계표'!E164</f>
        <v>0</v>
      </c>
      <c r="U47" s="112" t="s">
        <v>5</v>
      </c>
      <c r="V47" s="140">
        <f>'(변경)집계표'!G164</f>
        <v>0</v>
      </c>
      <c r="W47" s="111">
        <f>'(변경)집계표'!E194</f>
        <v>0</v>
      </c>
      <c r="X47" s="112" t="s">
        <v>5</v>
      </c>
      <c r="Y47" s="140">
        <f>'(변경)집계표'!G194</f>
        <v>0</v>
      </c>
      <c r="Z47" s="111">
        <f>'(변경)집계표'!E224</f>
        <v>0</v>
      </c>
      <c r="AA47" s="112" t="s">
        <v>5</v>
      </c>
      <c r="AB47" s="140">
        <f>'(변경)집계표'!G224</f>
        <v>0</v>
      </c>
      <c r="AC47" s="111">
        <f>'(변경)집계표'!E254</f>
        <v>0</v>
      </c>
      <c r="AD47" s="112" t="s">
        <v>5</v>
      </c>
      <c r="AE47" s="140">
        <f>'(변경)집계표'!G254</f>
        <v>0</v>
      </c>
      <c r="AF47" s="111">
        <f>'(변경)집계표'!E284</f>
        <v>0</v>
      </c>
      <c r="AG47" s="112" t="s">
        <v>5</v>
      </c>
      <c r="AH47" s="140">
        <f>'(변경)집계표'!G284</f>
        <v>0</v>
      </c>
      <c r="AI47" s="128"/>
    </row>
    <row r="48" spans="1:36" s="6" customFormat="1" ht="22.5" customHeight="1">
      <c r="A48" s="127" t="s">
        <v>15</v>
      </c>
      <c r="B48" s="111">
        <f t="shared" si="123"/>
        <v>2</v>
      </c>
      <c r="C48" s="112" t="s">
        <v>5</v>
      </c>
      <c r="D48" s="179">
        <f t="shared" si="124"/>
        <v>564</v>
      </c>
      <c r="E48" s="111">
        <f>'(당초)집계표'!E15</f>
        <v>0</v>
      </c>
      <c r="F48" s="112" t="s">
        <v>5</v>
      </c>
      <c r="G48" s="179">
        <f>'(당초)집계표'!G15</f>
        <v>0</v>
      </c>
      <c r="H48" s="111">
        <f>'(당초)집계표'!E45</f>
        <v>0</v>
      </c>
      <c r="I48" s="112" t="s">
        <v>5</v>
      </c>
      <c r="J48" s="179">
        <f>'(당초)집계표'!G45</f>
        <v>0</v>
      </c>
      <c r="K48" s="111">
        <f>'(당초)집계표'!E75</f>
        <v>1</v>
      </c>
      <c r="L48" s="112" t="s">
        <v>5</v>
      </c>
      <c r="M48" s="179">
        <f>'(당초)집계표'!G75</f>
        <v>18</v>
      </c>
      <c r="N48" s="111">
        <f>'(당초)집계표'!E105</f>
        <v>0</v>
      </c>
      <c r="O48" s="112" t="s">
        <v>5</v>
      </c>
      <c r="P48" s="179">
        <f>'(당초)집계표'!G105</f>
        <v>0</v>
      </c>
      <c r="Q48" s="111">
        <f>'(당초)집계표'!E135</f>
        <v>1</v>
      </c>
      <c r="R48" s="112" t="s">
        <v>5</v>
      </c>
      <c r="S48" s="140">
        <f>'(당초)집계표'!G135</f>
        <v>546</v>
      </c>
      <c r="T48" s="111">
        <f>'(변경)집계표'!E165</f>
        <v>0</v>
      </c>
      <c r="U48" s="112" t="s">
        <v>5</v>
      </c>
      <c r="V48" s="140">
        <f>'(변경)집계표'!G165</f>
        <v>0</v>
      </c>
      <c r="W48" s="111">
        <f>'(변경)집계표'!E195</f>
        <v>0</v>
      </c>
      <c r="X48" s="112" t="s">
        <v>5</v>
      </c>
      <c r="Y48" s="140">
        <f>'(변경)집계표'!G195</f>
        <v>0</v>
      </c>
      <c r="Z48" s="111">
        <f>'(변경)집계표'!E225</f>
        <v>0</v>
      </c>
      <c r="AA48" s="112" t="s">
        <v>5</v>
      </c>
      <c r="AB48" s="140">
        <f>'(변경)집계표'!G225</f>
        <v>0</v>
      </c>
      <c r="AC48" s="111">
        <f>'(변경)집계표'!E255</f>
        <v>0</v>
      </c>
      <c r="AD48" s="112" t="s">
        <v>5</v>
      </c>
      <c r="AE48" s="140">
        <f>'(변경)집계표'!G255</f>
        <v>0</v>
      </c>
      <c r="AF48" s="111">
        <f>'(변경)집계표'!E285</f>
        <v>0</v>
      </c>
      <c r="AG48" s="112" t="s">
        <v>5</v>
      </c>
      <c r="AH48" s="140">
        <f>'(변경)집계표'!G285</f>
        <v>0</v>
      </c>
      <c r="AI48" s="128"/>
    </row>
    <row r="49" spans="1:35" s="6" customFormat="1" ht="22.5" customHeight="1">
      <c r="A49" s="127" t="s">
        <v>16</v>
      </c>
      <c r="B49" s="111">
        <f t="shared" si="123"/>
        <v>0</v>
      </c>
      <c r="C49" s="112" t="s">
        <v>5</v>
      </c>
      <c r="D49" s="179">
        <f t="shared" si="124"/>
        <v>0</v>
      </c>
      <c r="E49" s="111">
        <f>'(당초)집계표'!E16</f>
        <v>0</v>
      </c>
      <c r="F49" s="112" t="s">
        <v>5</v>
      </c>
      <c r="G49" s="179">
        <f>'(당초)집계표'!G16</f>
        <v>0</v>
      </c>
      <c r="H49" s="111">
        <f>'(당초)집계표'!E46</f>
        <v>0</v>
      </c>
      <c r="I49" s="112" t="s">
        <v>5</v>
      </c>
      <c r="J49" s="179">
        <f>'(당초)집계표'!G46</f>
        <v>0</v>
      </c>
      <c r="K49" s="111">
        <f>'(당초)집계표'!E76</f>
        <v>0</v>
      </c>
      <c r="L49" s="112" t="s">
        <v>5</v>
      </c>
      <c r="M49" s="179">
        <f>'(당초)집계표'!G76</f>
        <v>0</v>
      </c>
      <c r="N49" s="111">
        <f>'(당초)집계표'!E106</f>
        <v>0</v>
      </c>
      <c r="O49" s="112" t="s">
        <v>5</v>
      </c>
      <c r="P49" s="179">
        <f>'(당초)집계표'!G106</f>
        <v>0</v>
      </c>
      <c r="Q49" s="111">
        <f>'(당초)집계표'!E136</f>
        <v>0</v>
      </c>
      <c r="R49" s="112" t="s">
        <v>5</v>
      </c>
      <c r="S49" s="140">
        <f>'(당초)집계표'!G136</f>
        <v>0</v>
      </c>
      <c r="T49" s="111">
        <f>'(변경)집계표'!E166</f>
        <v>0</v>
      </c>
      <c r="U49" s="112" t="s">
        <v>5</v>
      </c>
      <c r="V49" s="140">
        <f>'(변경)집계표'!G166</f>
        <v>0</v>
      </c>
      <c r="W49" s="111">
        <f>'(변경)집계표'!E196</f>
        <v>0</v>
      </c>
      <c r="X49" s="112" t="s">
        <v>5</v>
      </c>
      <c r="Y49" s="140">
        <f>'(변경)집계표'!G196</f>
        <v>0</v>
      </c>
      <c r="Z49" s="111">
        <f>'(변경)집계표'!E226</f>
        <v>0</v>
      </c>
      <c r="AA49" s="112" t="s">
        <v>5</v>
      </c>
      <c r="AB49" s="140">
        <f>'(변경)집계표'!G226</f>
        <v>0</v>
      </c>
      <c r="AC49" s="111">
        <f>'(변경)집계표'!E256</f>
        <v>0</v>
      </c>
      <c r="AD49" s="112" t="s">
        <v>5</v>
      </c>
      <c r="AE49" s="140">
        <f>'(변경)집계표'!G256</f>
        <v>0</v>
      </c>
      <c r="AF49" s="111">
        <f>'(변경)집계표'!E286</f>
        <v>0</v>
      </c>
      <c r="AG49" s="112" t="s">
        <v>5</v>
      </c>
      <c r="AH49" s="140">
        <f>'(변경)집계표'!G286</f>
        <v>0</v>
      </c>
      <c r="AI49" s="128"/>
    </row>
    <row r="50" spans="1:35" s="6" customFormat="1" ht="22.5" customHeight="1">
      <c r="A50" s="127" t="s">
        <v>17</v>
      </c>
      <c r="B50" s="111">
        <f t="shared" si="123"/>
        <v>0</v>
      </c>
      <c r="C50" s="112" t="s">
        <v>5</v>
      </c>
      <c r="D50" s="179">
        <f t="shared" si="124"/>
        <v>0</v>
      </c>
      <c r="E50" s="111">
        <f>'(당초)집계표'!E17</f>
        <v>0</v>
      </c>
      <c r="F50" s="112" t="s">
        <v>5</v>
      </c>
      <c r="G50" s="179">
        <f>'(당초)집계표'!G17</f>
        <v>0</v>
      </c>
      <c r="H50" s="111">
        <f>'(당초)집계표'!E47</f>
        <v>0</v>
      </c>
      <c r="I50" s="112" t="s">
        <v>5</v>
      </c>
      <c r="J50" s="179">
        <f>'(당초)집계표'!G47</f>
        <v>0</v>
      </c>
      <c r="K50" s="111">
        <f>'(당초)집계표'!E77</f>
        <v>0</v>
      </c>
      <c r="L50" s="112" t="s">
        <v>5</v>
      </c>
      <c r="M50" s="179">
        <f>'(당초)집계표'!G77</f>
        <v>0</v>
      </c>
      <c r="N50" s="111">
        <f>'(당초)집계표'!E107</f>
        <v>0</v>
      </c>
      <c r="O50" s="112" t="s">
        <v>5</v>
      </c>
      <c r="P50" s="179">
        <f>'(당초)집계표'!G107</f>
        <v>0</v>
      </c>
      <c r="Q50" s="111">
        <f>'(당초)집계표'!E137</f>
        <v>0</v>
      </c>
      <c r="R50" s="112" t="s">
        <v>5</v>
      </c>
      <c r="S50" s="140">
        <f>'(당초)집계표'!G137</f>
        <v>0</v>
      </c>
      <c r="T50" s="111">
        <f>'(변경)집계표'!E167</f>
        <v>0</v>
      </c>
      <c r="U50" s="112" t="s">
        <v>5</v>
      </c>
      <c r="V50" s="140">
        <f>'(변경)집계표'!G167</f>
        <v>0</v>
      </c>
      <c r="W50" s="111">
        <f>'(변경)집계표'!E197</f>
        <v>0</v>
      </c>
      <c r="X50" s="112" t="s">
        <v>5</v>
      </c>
      <c r="Y50" s="140">
        <f>'(변경)집계표'!G197</f>
        <v>0</v>
      </c>
      <c r="Z50" s="111">
        <f>'(변경)집계표'!E227</f>
        <v>0</v>
      </c>
      <c r="AA50" s="112" t="s">
        <v>5</v>
      </c>
      <c r="AB50" s="140">
        <f>'(변경)집계표'!G227</f>
        <v>0</v>
      </c>
      <c r="AC50" s="111">
        <f>'(변경)집계표'!E257</f>
        <v>0</v>
      </c>
      <c r="AD50" s="112" t="s">
        <v>5</v>
      </c>
      <c r="AE50" s="140">
        <f>'(변경)집계표'!G257</f>
        <v>0</v>
      </c>
      <c r="AF50" s="111">
        <f>'(변경)집계표'!E287</f>
        <v>0</v>
      </c>
      <c r="AG50" s="112" t="s">
        <v>5</v>
      </c>
      <c r="AH50" s="140">
        <f>'(변경)집계표'!G287</f>
        <v>0</v>
      </c>
      <c r="AI50" s="128"/>
    </row>
    <row r="51" spans="1:35" s="6" customFormat="1" ht="22.5" customHeight="1">
      <c r="A51" s="127" t="s">
        <v>18</v>
      </c>
      <c r="B51" s="111">
        <f t="shared" si="123"/>
        <v>0</v>
      </c>
      <c r="C51" s="112" t="s">
        <v>5</v>
      </c>
      <c r="D51" s="179">
        <f t="shared" si="124"/>
        <v>0</v>
      </c>
      <c r="E51" s="111">
        <f>'(당초)집계표'!E18</f>
        <v>0</v>
      </c>
      <c r="F51" s="112" t="s">
        <v>5</v>
      </c>
      <c r="G51" s="179">
        <f>'(당초)집계표'!G18</f>
        <v>0</v>
      </c>
      <c r="H51" s="111">
        <f>'(당초)집계표'!E48</f>
        <v>0</v>
      </c>
      <c r="I51" s="112" t="s">
        <v>5</v>
      </c>
      <c r="J51" s="179">
        <f>'(당초)집계표'!G48</f>
        <v>0</v>
      </c>
      <c r="K51" s="111">
        <f>'(당초)집계표'!E78</f>
        <v>0</v>
      </c>
      <c r="L51" s="112" t="s">
        <v>5</v>
      </c>
      <c r="M51" s="179">
        <f>'(당초)집계표'!G78</f>
        <v>0</v>
      </c>
      <c r="N51" s="111">
        <f>'(당초)집계표'!E108</f>
        <v>0</v>
      </c>
      <c r="O51" s="112" t="s">
        <v>5</v>
      </c>
      <c r="P51" s="179">
        <f>'(당초)집계표'!G108</f>
        <v>0</v>
      </c>
      <c r="Q51" s="111">
        <f>'(당초)집계표'!E138</f>
        <v>0</v>
      </c>
      <c r="R51" s="112" t="s">
        <v>5</v>
      </c>
      <c r="S51" s="140">
        <f>'(당초)집계표'!G138</f>
        <v>0</v>
      </c>
      <c r="T51" s="111">
        <f>'(변경)집계표'!E168</f>
        <v>0</v>
      </c>
      <c r="U51" s="112" t="s">
        <v>5</v>
      </c>
      <c r="V51" s="140">
        <f>'(변경)집계표'!G168</f>
        <v>0</v>
      </c>
      <c r="W51" s="111">
        <f>'(변경)집계표'!E198</f>
        <v>0</v>
      </c>
      <c r="X51" s="112" t="s">
        <v>5</v>
      </c>
      <c r="Y51" s="140">
        <f>'(변경)집계표'!G198</f>
        <v>0</v>
      </c>
      <c r="Z51" s="111">
        <f>'(변경)집계표'!E228</f>
        <v>0</v>
      </c>
      <c r="AA51" s="112" t="s">
        <v>5</v>
      </c>
      <c r="AB51" s="140">
        <f>'(변경)집계표'!G228</f>
        <v>0</v>
      </c>
      <c r="AC51" s="111">
        <f>'(변경)집계표'!E258</f>
        <v>0</v>
      </c>
      <c r="AD51" s="112" t="s">
        <v>5</v>
      </c>
      <c r="AE51" s="140">
        <f>'(변경)집계표'!G258</f>
        <v>0</v>
      </c>
      <c r="AF51" s="111">
        <f>'(변경)집계표'!E288</f>
        <v>0</v>
      </c>
      <c r="AG51" s="112" t="s">
        <v>5</v>
      </c>
      <c r="AH51" s="140">
        <f>'(변경)집계표'!G288</f>
        <v>0</v>
      </c>
      <c r="AI51" s="128"/>
    </row>
    <row r="52" spans="1:35" s="6" customFormat="1" ht="22.5" customHeight="1">
      <c r="A52" s="127" t="s">
        <v>19</v>
      </c>
      <c r="B52" s="111">
        <f t="shared" si="123"/>
        <v>0</v>
      </c>
      <c r="C52" s="112" t="s">
        <v>5</v>
      </c>
      <c r="D52" s="179">
        <f t="shared" si="124"/>
        <v>0</v>
      </c>
      <c r="E52" s="111">
        <f>'(당초)집계표'!E19</f>
        <v>0</v>
      </c>
      <c r="F52" s="112" t="s">
        <v>5</v>
      </c>
      <c r="G52" s="179">
        <f>'(당초)집계표'!G19</f>
        <v>0</v>
      </c>
      <c r="H52" s="111">
        <f>'(당초)집계표'!E49</f>
        <v>0</v>
      </c>
      <c r="I52" s="112" t="s">
        <v>5</v>
      </c>
      <c r="J52" s="179">
        <f>'(당초)집계표'!G49</f>
        <v>0</v>
      </c>
      <c r="K52" s="111">
        <f>'(당초)집계표'!E79</f>
        <v>0</v>
      </c>
      <c r="L52" s="112" t="s">
        <v>5</v>
      </c>
      <c r="M52" s="179">
        <f>'(당초)집계표'!G79</f>
        <v>0</v>
      </c>
      <c r="N52" s="111">
        <f>'(당초)집계표'!E109</f>
        <v>0</v>
      </c>
      <c r="O52" s="112" t="s">
        <v>5</v>
      </c>
      <c r="P52" s="179">
        <f>'(당초)집계표'!G109</f>
        <v>0</v>
      </c>
      <c r="Q52" s="111">
        <f>'(당초)집계표'!E139</f>
        <v>0</v>
      </c>
      <c r="R52" s="112" t="s">
        <v>5</v>
      </c>
      <c r="S52" s="140">
        <f>'(당초)집계표'!G139</f>
        <v>0</v>
      </c>
      <c r="T52" s="111">
        <f>'(변경)집계표'!E169</f>
        <v>0</v>
      </c>
      <c r="U52" s="112" t="s">
        <v>5</v>
      </c>
      <c r="V52" s="140">
        <f>'(변경)집계표'!G169</f>
        <v>0</v>
      </c>
      <c r="W52" s="111">
        <f>'(변경)집계표'!E199</f>
        <v>0</v>
      </c>
      <c r="X52" s="112" t="s">
        <v>5</v>
      </c>
      <c r="Y52" s="140">
        <f>'(변경)집계표'!G199</f>
        <v>0</v>
      </c>
      <c r="Z52" s="111">
        <f>'(변경)집계표'!E229</f>
        <v>0</v>
      </c>
      <c r="AA52" s="112" t="s">
        <v>5</v>
      </c>
      <c r="AB52" s="140">
        <f>'(변경)집계표'!G229</f>
        <v>0</v>
      </c>
      <c r="AC52" s="111">
        <f>'(변경)집계표'!E259</f>
        <v>0</v>
      </c>
      <c r="AD52" s="112" t="s">
        <v>5</v>
      </c>
      <c r="AE52" s="140">
        <f>'(변경)집계표'!G259</f>
        <v>0</v>
      </c>
      <c r="AF52" s="111">
        <f>'(변경)집계표'!E289</f>
        <v>0</v>
      </c>
      <c r="AG52" s="112" t="s">
        <v>5</v>
      </c>
      <c r="AH52" s="140">
        <f>'(변경)집계표'!G289</f>
        <v>0</v>
      </c>
      <c r="AI52" s="128"/>
    </row>
    <row r="53" spans="1:35" s="6" customFormat="1" ht="22.5" customHeight="1">
      <c r="A53" s="127" t="s">
        <v>20</v>
      </c>
      <c r="B53" s="111">
        <f t="shared" si="123"/>
        <v>0</v>
      </c>
      <c r="C53" s="112" t="s">
        <v>5</v>
      </c>
      <c r="D53" s="179">
        <f t="shared" si="124"/>
        <v>0</v>
      </c>
      <c r="E53" s="111">
        <f>'(당초)집계표'!E20</f>
        <v>0</v>
      </c>
      <c r="F53" s="112" t="s">
        <v>5</v>
      </c>
      <c r="G53" s="179">
        <f>'(당초)집계표'!G20</f>
        <v>0</v>
      </c>
      <c r="H53" s="111">
        <f>'(당초)집계표'!E50</f>
        <v>0</v>
      </c>
      <c r="I53" s="112" t="s">
        <v>5</v>
      </c>
      <c r="J53" s="179">
        <f>'(당초)집계표'!G50</f>
        <v>0</v>
      </c>
      <c r="K53" s="111">
        <f>'(당초)집계표'!E80</f>
        <v>0</v>
      </c>
      <c r="L53" s="112" t="s">
        <v>5</v>
      </c>
      <c r="M53" s="179">
        <f>'(당초)집계표'!G80</f>
        <v>0</v>
      </c>
      <c r="N53" s="111">
        <f>'(당초)집계표'!E110</f>
        <v>0</v>
      </c>
      <c r="O53" s="112" t="s">
        <v>5</v>
      </c>
      <c r="P53" s="179">
        <f>'(당초)집계표'!G110</f>
        <v>0</v>
      </c>
      <c r="Q53" s="111">
        <f>'(당초)집계표'!E140</f>
        <v>0</v>
      </c>
      <c r="R53" s="112" t="s">
        <v>5</v>
      </c>
      <c r="S53" s="140">
        <f>'(당초)집계표'!G140</f>
        <v>0</v>
      </c>
      <c r="T53" s="111">
        <f>'(변경)집계표'!E170</f>
        <v>0</v>
      </c>
      <c r="U53" s="112" t="s">
        <v>5</v>
      </c>
      <c r="V53" s="140">
        <f>'(변경)집계표'!G170</f>
        <v>0</v>
      </c>
      <c r="W53" s="111">
        <f>'(변경)집계표'!E200</f>
        <v>0</v>
      </c>
      <c r="X53" s="112" t="s">
        <v>5</v>
      </c>
      <c r="Y53" s="140">
        <f>'(변경)집계표'!G200</f>
        <v>0</v>
      </c>
      <c r="Z53" s="111">
        <f>'(변경)집계표'!E230</f>
        <v>0</v>
      </c>
      <c r="AA53" s="112" t="s">
        <v>5</v>
      </c>
      <c r="AB53" s="140">
        <f>'(변경)집계표'!G230</f>
        <v>0</v>
      </c>
      <c r="AC53" s="111">
        <f>'(변경)집계표'!E260</f>
        <v>0</v>
      </c>
      <c r="AD53" s="112" t="s">
        <v>5</v>
      </c>
      <c r="AE53" s="140">
        <f>'(변경)집계표'!G260</f>
        <v>0</v>
      </c>
      <c r="AF53" s="111">
        <f>'(변경)집계표'!E290</f>
        <v>0</v>
      </c>
      <c r="AG53" s="112" t="s">
        <v>5</v>
      </c>
      <c r="AH53" s="140">
        <f>'(변경)집계표'!G290</f>
        <v>0</v>
      </c>
      <c r="AI53" s="128"/>
    </row>
    <row r="54" spans="1:35" s="6" customFormat="1" ht="22.5" customHeight="1">
      <c r="A54" s="127" t="s">
        <v>21</v>
      </c>
      <c r="B54" s="111">
        <f t="shared" si="123"/>
        <v>0</v>
      </c>
      <c r="C54" s="112" t="s">
        <v>5</v>
      </c>
      <c r="D54" s="179">
        <f t="shared" si="124"/>
        <v>0</v>
      </c>
      <c r="E54" s="111">
        <f>'(당초)집계표'!E21</f>
        <v>0</v>
      </c>
      <c r="F54" s="112" t="s">
        <v>5</v>
      </c>
      <c r="G54" s="179">
        <f>'(당초)집계표'!G21</f>
        <v>0</v>
      </c>
      <c r="H54" s="111">
        <f>'(당초)집계표'!E51</f>
        <v>0</v>
      </c>
      <c r="I54" s="112" t="s">
        <v>5</v>
      </c>
      <c r="J54" s="179">
        <f>'(당초)집계표'!G51</f>
        <v>0</v>
      </c>
      <c r="K54" s="111">
        <f>'(당초)집계표'!E81</f>
        <v>0</v>
      </c>
      <c r="L54" s="112" t="s">
        <v>5</v>
      </c>
      <c r="M54" s="179">
        <f>'(당초)집계표'!G81</f>
        <v>0</v>
      </c>
      <c r="N54" s="111">
        <f>'(당초)집계표'!E111</f>
        <v>0</v>
      </c>
      <c r="O54" s="112" t="s">
        <v>5</v>
      </c>
      <c r="P54" s="179">
        <f>'(당초)집계표'!G111</f>
        <v>0</v>
      </c>
      <c r="Q54" s="111">
        <f>'(당초)집계표'!E141</f>
        <v>0</v>
      </c>
      <c r="R54" s="112" t="s">
        <v>5</v>
      </c>
      <c r="S54" s="140">
        <f>'(당초)집계표'!G141</f>
        <v>0</v>
      </c>
      <c r="T54" s="111">
        <f>'(변경)집계표'!E171</f>
        <v>0</v>
      </c>
      <c r="U54" s="112" t="s">
        <v>5</v>
      </c>
      <c r="V54" s="140">
        <f>'(변경)집계표'!G171</f>
        <v>0</v>
      </c>
      <c r="W54" s="111">
        <f>'(변경)집계표'!E201</f>
        <v>0</v>
      </c>
      <c r="X54" s="112" t="s">
        <v>5</v>
      </c>
      <c r="Y54" s="140">
        <f>'(변경)집계표'!G201</f>
        <v>0</v>
      </c>
      <c r="Z54" s="111">
        <f>'(변경)집계표'!E231</f>
        <v>0</v>
      </c>
      <c r="AA54" s="112" t="s">
        <v>5</v>
      </c>
      <c r="AB54" s="140">
        <f>'(변경)집계표'!G231</f>
        <v>0</v>
      </c>
      <c r="AC54" s="111">
        <f>'(변경)집계표'!E261</f>
        <v>0</v>
      </c>
      <c r="AD54" s="112" t="s">
        <v>5</v>
      </c>
      <c r="AE54" s="140">
        <f>'(변경)집계표'!G261</f>
        <v>0</v>
      </c>
      <c r="AF54" s="111">
        <f>'(변경)집계표'!E291</f>
        <v>0</v>
      </c>
      <c r="AG54" s="112" t="s">
        <v>5</v>
      </c>
      <c r="AH54" s="140">
        <f>'(변경)집계표'!G291</f>
        <v>0</v>
      </c>
      <c r="AI54" s="128"/>
    </row>
    <row r="55" spans="1:35" s="6" customFormat="1" ht="22.5" customHeight="1">
      <c r="A55" s="127" t="s">
        <v>22</v>
      </c>
      <c r="B55" s="111">
        <f t="shared" si="123"/>
        <v>0</v>
      </c>
      <c r="C55" s="112" t="s">
        <v>5</v>
      </c>
      <c r="D55" s="179">
        <f t="shared" si="124"/>
        <v>0</v>
      </c>
      <c r="E55" s="111">
        <f>'(당초)집계표'!E22</f>
        <v>0</v>
      </c>
      <c r="F55" s="112" t="s">
        <v>5</v>
      </c>
      <c r="G55" s="179">
        <f>'(당초)집계표'!G22</f>
        <v>0</v>
      </c>
      <c r="H55" s="111">
        <f>'(당초)집계표'!E52</f>
        <v>0</v>
      </c>
      <c r="I55" s="112" t="s">
        <v>5</v>
      </c>
      <c r="J55" s="179">
        <f>'(당초)집계표'!G52</f>
        <v>0</v>
      </c>
      <c r="K55" s="111">
        <f>'(당초)집계표'!E82</f>
        <v>0</v>
      </c>
      <c r="L55" s="112" t="s">
        <v>5</v>
      </c>
      <c r="M55" s="179">
        <f>'(당초)집계표'!G82</f>
        <v>0</v>
      </c>
      <c r="N55" s="111">
        <f>'(당초)집계표'!E112</f>
        <v>0</v>
      </c>
      <c r="O55" s="112" t="s">
        <v>5</v>
      </c>
      <c r="P55" s="179">
        <f>'(당초)집계표'!G112</f>
        <v>0</v>
      </c>
      <c r="Q55" s="111">
        <f>'(당초)집계표'!E142</f>
        <v>0</v>
      </c>
      <c r="R55" s="112" t="s">
        <v>5</v>
      </c>
      <c r="S55" s="140">
        <f>'(당초)집계표'!G142</f>
        <v>0</v>
      </c>
      <c r="T55" s="111">
        <f>'(변경)집계표'!E172</f>
        <v>0</v>
      </c>
      <c r="U55" s="112" t="s">
        <v>5</v>
      </c>
      <c r="V55" s="140">
        <f>'(변경)집계표'!G172</f>
        <v>0</v>
      </c>
      <c r="W55" s="111">
        <f>'(변경)집계표'!E202</f>
        <v>0</v>
      </c>
      <c r="X55" s="112" t="s">
        <v>5</v>
      </c>
      <c r="Y55" s="140">
        <f>'(변경)집계표'!G202</f>
        <v>0</v>
      </c>
      <c r="Z55" s="111">
        <f>'(변경)집계표'!E232</f>
        <v>0</v>
      </c>
      <c r="AA55" s="112" t="s">
        <v>5</v>
      </c>
      <c r="AB55" s="140">
        <f>'(변경)집계표'!G232</f>
        <v>0</v>
      </c>
      <c r="AC55" s="111">
        <f>'(변경)집계표'!E262</f>
        <v>0</v>
      </c>
      <c r="AD55" s="112" t="s">
        <v>5</v>
      </c>
      <c r="AE55" s="140">
        <f>'(변경)집계표'!G262</f>
        <v>0</v>
      </c>
      <c r="AF55" s="111">
        <f>'(변경)집계표'!E292</f>
        <v>0</v>
      </c>
      <c r="AG55" s="112" t="s">
        <v>5</v>
      </c>
      <c r="AH55" s="140">
        <f>'(변경)집계표'!G292</f>
        <v>0</v>
      </c>
      <c r="AI55" s="128"/>
    </row>
    <row r="56" spans="1:35" s="6" customFormat="1" ht="22.5" customHeight="1">
      <c r="A56" s="127" t="s">
        <v>23</v>
      </c>
      <c r="B56" s="111">
        <f t="shared" si="123"/>
        <v>0</v>
      </c>
      <c r="C56" s="112" t="s">
        <v>5</v>
      </c>
      <c r="D56" s="179">
        <f t="shared" si="124"/>
        <v>0</v>
      </c>
      <c r="E56" s="111">
        <f>'(당초)집계표'!E23</f>
        <v>0</v>
      </c>
      <c r="F56" s="112" t="s">
        <v>5</v>
      </c>
      <c r="G56" s="179">
        <f>'(당초)집계표'!G23</f>
        <v>0</v>
      </c>
      <c r="H56" s="111">
        <f>'(당초)집계표'!E53</f>
        <v>0</v>
      </c>
      <c r="I56" s="112" t="s">
        <v>5</v>
      </c>
      <c r="J56" s="179">
        <f>'(당초)집계표'!G53</f>
        <v>0</v>
      </c>
      <c r="K56" s="111">
        <f>'(당초)집계표'!E83</f>
        <v>0</v>
      </c>
      <c r="L56" s="112" t="s">
        <v>5</v>
      </c>
      <c r="M56" s="179">
        <f>'(당초)집계표'!G83</f>
        <v>0</v>
      </c>
      <c r="N56" s="111">
        <f>'(당초)집계표'!E113</f>
        <v>0</v>
      </c>
      <c r="O56" s="112" t="s">
        <v>5</v>
      </c>
      <c r="P56" s="179">
        <f>'(당초)집계표'!G113</f>
        <v>0</v>
      </c>
      <c r="Q56" s="111">
        <f>'(당초)집계표'!E143</f>
        <v>0</v>
      </c>
      <c r="R56" s="112" t="s">
        <v>5</v>
      </c>
      <c r="S56" s="140">
        <f>'(당초)집계표'!G143</f>
        <v>0</v>
      </c>
      <c r="T56" s="111">
        <f>'(변경)집계표'!E173</f>
        <v>0</v>
      </c>
      <c r="U56" s="112" t="s">
        <v>5</v>
      </c>
      <c r="V56" s="140">
        <f>'(변경)집계표'!G173</f>
        <v>0</v>
      </c>
      <c r="W56" s="111">
        <f>'(변경)집계표'!E203</f>
        <v>0</v>
      </c>
      <c r="X56" s="112" t="s">
        <v>5</v>
      </c>
      <c r="Y56" s="140">
        <f>'(변경)집계표'!G203</f>
        <v>0</v>
      </c>
      <c r="Z56" s="111">
        <f>'(변경)집계표'!E233</f>
        <v>0</v>
      </c>
      <c r="AA56" s="112" t="s">
        <v>5</v>
      </c>
      <c r="AB56" s="140">
        <f>'(변경)집계표'!G233</f>
        <v>0</v>
      </c>
      <c r="AC56" s="111">
        <f>'(변경)집계표'!E263</f>
        <v>0</v>
      </c>
      <c r="AD56" s="112" t="s">
        <v>5</v>
      </c>
      <c r="AE56" s="140">
        <f>'(변경)집계표'!G263</f>
        <v>0</v>
      </c>
      <c r="AF56" s="111">
        <f>'(변경)집계표'!E293</f>
        <v>0</v>
      </c>
      <c r="AG56" s="112" t="s">
        <v>5</v>
      </c>
      <c r="AH56" s="140">
        <f>'(변경)집계표'!G293</f>
        <v>0</v>
      </c>
      <c r="AI56" s="128"/>
    </row>
    <row r="57" spans="1:35" s="6" customFormat="1" ht="22.5" customHeight="1">
      <c r="A57" s="129" t="s">
        <v>24</v>
      </c>
      <c r="B57" s="111">
        <f t="shared" si="123"/>
        <v>0</v>
      </c>
      <c r="C57" s="112" t="s">
        <v>5</v>
      </c>
      <c r="D57" s="179">
        <f t="shared" si="124"/>
        <v>0</v>
      </c>
      <c r="E57" s="111">
        <f>'(당초)집계표'!E24</f>
        <v>0</v>
      </c>
      <c r="F57" s="112" t="s">
        <v>5</v>
      </c>
      <c r="G57" s="179">
        <f>'(당초)집계표'!G24</f>
        <v>0</v>
      </c>
      <c r="H57" s="111">
        <f>'(당초)집계표'!E54</f>
        <v>0</v>
      </c>
      <c r="I57" s="112" t="s">
        <v>5</v>
      </c>
      <c r="J57" s="179">
        <f>'(당초)집계표'!G54</f>
        <v>0</v>
      </c>
      <c r="K57" s="111">
        <f>'(당초)집계표'!E84</f>
        <v>0</v>
      </c>
      <c r="L57" s="112" t="s">
        <v>5</v>
      </c>
      <c r="M57" s="179">
        <f>'(당초)집계표'!G84</f>
        <v>0</v>
      </c>
      <c r="N57" s="111">
        <f>'(당초)집계표'!E114</f>
        <v>0</v>
      </c>
      <c r="O57" s="112" t="s">
        <v>5</v>
      </c>
      <c r="P57" s="179">
        <f>'(당초)집계표'!G114</f>
        <v>0</v>
      </c>
      <c r="Q57" s="111">
        <f>'(당초)집계표'!E144</f>
        <v>0</v>
      </c>
      <c r="R57" s="112" t="s">
        <v>5</v>
      </c>
      <c r="S57" s="140">
        <f>'(당초)집계표'!G144</f>
        <v>0</v>
      </c>
      <c r="T57" s="111">
        <f>'(변경)집계표'!E174</f>
        <v>0</v>
      </c>
      <c r="U57" s="112" t="s">
        <v>5</v>
      </c>
      <c r="V57" s="140">
        <f>'(변경)집계표'!G174</f>
        <v>0</v>
      </c>
      <c r="W57" s="111">
        <f>'(변경)집계표'!E204</f>
        <v>0</v>
      </c>
      <c r="X57" s="112" t="s">
        <v>5</v>
      </c>
      <c r="Y57" s="140">
        <f>'(변경)집계표'!G204</f>
        <v>0</v>
      </c>
      <c r="Z57" s="111">
        <f>'(변경)집계표'!E234</f>
        <v>0</v>
      </c>
      <c r="AA57" s="112" t="s">
        <v>5</v>
      </c>
      <c r="AB57" s="140">
        <f>'(변경)집계표'!G234</f>
        <v>0</v>
      </c>
      <c r="AC57" s="111">
        <f>'(변경)집계표'!E264</f>
        <v>0</v>
      </c>
      <c r="AD57" s="112" t="s">
        <v>5</v>
      </c>
      <c r="AE57" s="140">
        <f>'(변경)집계표'!G264</f>
        <v>0</v>
      </c>
      <c r="AF57" s="111">
        <f>'(변경)집계표'!E294</f>
        <v>0</v>
      </c>
      <c r="AG57" s="112" t="s">
        <v>5</v>
      </c>
      <c r="AH57" s="140">
        <f>'(변경)집계표'!G294</f>
        <v>0</v>
      </c>
      <c r="AI57" s="128"/>
    </row>
    <row r="58" spans="1:35" s="6" customFormat="1" ht="22.5" customHeight="1">
      <c r="A58" s="129" t="s">
        <v>25</v>
      </c>
      <c r="B58" s="111">
        <f t="shared" si="123"/>
        <v>0</v>
      </c>
      <c r="C58" s="112" t="s">
        <v>5</v>
      </c>
      <c r="D58" s="179">
        <f t="shared" si="124"/>
        <v>0</v>
      </c>
      <c r="E58" s="111">
        <f>'(당초)집계표'!E25</f>
        <v>0</v>
      </c>
      <c r="F58" s="112" t="s">
        <v>5</v>
      </c>
      <c r="G58" s="179">
        <f>'(당초)집계표'!G25</f>
        <v>0</v>
      </c>
      <c r="H58" s="111">
        <f>'(당초)집계표'!E55</f>
        <v>0</v>
      </c>
      <c r="I58" s="112" t="s">
        <v>5</v>
      </c>
      <c r="J58" s="179">
        <f>'(당초)집계표'!G55</f>
        <v>0</v>
      </c>
      <c r="K58" s="111">
        <f>'(당초)집계표'!E85</f>
        <v>0</v>
      </c>
      <c r="L58" s="112" t="s">
        <v>5</v>
      </c>
      <c r="M58" s="179">
        <f>'(당초)집계표'!G85</f>
        <v>0</v>
      </c>
      <c r="N58" s="111">
        <f>'(당초)집계표'!E115</f>
        <v>0</v>
      </c>
      <c r="O58" s="112" t="s">
        <v>5</v>
      </c>
      <c r="P58" s="179">
        <f>'(당초)집계표'!G115</f>
        <v>0</v>
      </c>
      <c r="Q58" s="111">
        <f>'(당초)집계표'!E145</f>
        <v>0</v>
      </c>
      <c r="R58" s="112" t="s">
        <v>5</v>
      </c>
      <c r="S58" s="140">
        <f>'(당초)집계표'!G145</f>
        <v>0</v>
      </c>
      <c r="T58" s="111">
        <f>'(변경)집계표'!E175</f>
        <v>0</v>
      </c>
      <c r="U58" s="112" t="s">
        <v>5</v>
      </c>
      <c r="V58" s="140">
        <f>'(변경)집계표'!G175</f>
        <v>0</v>
      </c>
      <c r="W58" s="111">
        <f>'(변경)집계표'!E205</f>
        <v>0</v>
      </c>
      <c r="X58" s="112" t="s">
        <v>5</v>
      </c>
      <c r="Y58" s="140">
        <f>'(변경)집계표'!G205</f>
        <v>0</v>
      </c>
      <c r="Z58" s="111">
        <f>'(변경)집계표'!E235</f>
        <v>0</v>
      </c>
      <c r="AA58" s="112" t="s">
        <v>5</v>
      </c>
      <c r="AB58" s="140">
        <f>'(변경)집계표'!G235</f>
        <v>0</v>
      </c>
      <c r="AC58" s="111">
        <f>'(변경)집계표'!E265</f>
        <v>0</v>
      </c>
      <c r="AD58" s="112" t="s">
        <v>5</v>
      </c>
      <c r="AE58" s="140">
        <f>'(변경)집계표'!G265</f>
        <v>0</v>
      </c>
      <c r="AF58" s="111">
        <f>'(변경)집계표'!E295</f>
        <v>0</v>
      </c>
      <c r="AG58" s="112" t="s">
        <v>5</v>
      </c>
      <c r="AH58" s="140">
        <f>'(변경)집계표'!G295</f>
        <v>0</v>
      </c>
      <c r="AI58" s="128"/>
    </row>
    <row r="59" spans="1:35" s="6" customFormat="1" ht="22.5" customHeight="1">
      <c r="A59" s="129" t="s">
        <v>26</v>
      </c>
      <c r="B59" s="111">
        <f t="shared" si="123"/>
        <v>0</v>
      </c>
      <c r="C59" s="112" t="s">
        <v>5</v>
      </c>
      <c r="D59" s="179">
        <f t="shared" si="124"/>
        <v>0</v>
      </c>
      <c r="E59" s="111">
        <f>'(당초)집계표'!E26</f>
        <v>0</v>
      </c>
      <c r="F59" s="112" t="s">
        <v>5</v>
      </c>
      <c r="G59" s="179">
        <f>'(당초)집계표'!G26</f>
        <v>0</v>
      </c>
      <c r="H59" s="111">
        <f>'(당초)집계표'!E56</f>
        <v>0</v>
      </c>
      <c r="I59" s="112" t="s">
        <v>5</v>
      </c>
      <c r="J59" s="179">
        <f>'(당초)집계표'!G56</f>
        <v>0</v>
      </c>
      <c r="K59" s="111">
        <f>'(당초)집계표'!E86</f>
        <v>0</v>
      </c>
      <c r="L59" s="112" t="s">
        <v>5</v>
      </c>
      <c r="M59" s="179">
        <f>'(당초)집계표'!G86</f>
        <v>0</v>
      </c>
      <c r="N59" s="111">
        <f>'(당초)집계표'!E116</f>
        <v>0</v>
      </c>
      <c r="O59" s="112" t="s">
        <v>5</v>
      </c>
      <c r="P59" s="179">
        <f>'(당초)집계표'!G116</f>
        <v>0</v>
      </c>
      <c r="Q59" s="111">
        <f>'(당초)집계표'!E146</f>
        <v>0</v>
      </c>
      <c r="R59" s="112" t="s">
        <v>5</v>
      </c>
      <c r="S59" s="140">
        <f>'(당초)집계표'!G146</f>
        <v>0</v>
      </c>
      <c r="T59" s="111">
        <f>'(변경)집계표'!E176</f>
        <v>0</v>
      </c>
      <c r="U59" s="112" t="s">
        <v>5</v>
      </c>
      <c r="V59" s="140">
        <f>'(변경)집계표'!G176</f>
        <v>0</v>
      </c>
      <c r="W59" s="111">
        <f>'(변경)집계표'!E206</f>
        <v>0</v>
      </c>
      <c r="X59" s="112" t="s">
        <v>5</v>
      </c>
      <c r="Y59" s="140">
        <f>'(변경)집계표'!G206</f>
        <v>0</v>
      </c>
      <c r="Z59" s="111">
        <f>'(변경)집계표'!E236</f>
        <v>0</v>
      </c>
      <c r="AA59" s="112" t="s">
        <v>5</v>
      </c>
      <c r="AB59" s="140">
        <f>'(변경)집계표'!G236</f>
        <v>0</v>
      </c>
      <c r="AC59" s="111">
        <f>'(변경)집계표'!E266</f>
        <v>0</v>
      </c>
      <c r="AD59" s="112" t="s">
        <v>5</v>
      </c>
      <c r="AE59" s="140">
        <f>'(변경)집계표'!G266</f>
        <v>0</v>
      </c>
      <c r="AF59" s="111">
        <f>'(변경)집계표'!E296</f>
        <v>0</v>
      </c>
      <c r="AG59" s="112" t="s">
        <v>5</v>
      </c>
      <c r="AH59" s="140">
        <f>'(변경)집계표'!G296</f>
        <v>0</v>
      </c>
      <c r="AI59" s="128"/>
    </row>
    <row r="60" spans="1:35" s="6" customFormat="1" ht="22.5" customHeight="1">
      <c r="A60" s="129" t="s">
        <v>27</v>
      </c>
      <c r="B60" s="111">
        <f t="shared" si="123"/>
        <v>0</v>
      </c>
      <c r="C60" s="112" t="s">
        <v>5</v>
      </c>
      <c r="D60" s="179">
        <f t="shared" si="124"/>
        <v>0</v>
      </c>
      <c r="E60" s="111">
        <f>'(당초)집계표'!E27</f>
        <v>0</v>
      </c>
      <c r="F60" s="112" t="s">
        <v>5</v>
      </c>
      <c r="G60" s="179">
        <f>'(당초)집계표'!G27</f>
        <v>0</v>
      </c>
      <c r="H60" s="111">
        <f>'(당초)집계표'!E57</f>
        <v>0</v>
      </c>
      <c r="I60" s="112" t="s">
        <v>5</v>
      </c>
      <c r="J60" s="179">
        <f>'(당초)집계표'!G57</f>
        <v>0</v>
      </c>
      <c r="K60" s="111">
        <f>'(당초)집계표'!E87</f>
        <v>0</v>
      </c>
      <c r="L60" s="112" t="s">
        <v>5</v>
      </c>
      <c r="M60" s="179">
        <f>'(당초)집계표'!G87</f>
        <v>0</v>
      </c>
      <c r="N60" s="111">
        <f>'(당초)집계표'!E117</f>
        <v>0</v>
      </c>
      <c r="O60" s="112" t="s">
        <v>5</v>
      </c>
      <c r="P60" s="179">
        <f>'(당초)집계표'!G117</f>
        <v>0</v>
      </c>
      <c r="Q60" s="111">
        <f>'(당초)집계표'!E147</f>
        <v>0</v>
      </c>
      <c r="R60" s="112" t="s">
        <v>5</v>
      </c>
      <c r="S60" s="140">
        <f>'(당초)집계표'!G147</f>
        <v>0</v>
      </c>
      <c r="T60" s="111">
        <f>'(변경)집계표'!E177</f>
        <v>0</v>
      </c>
      <c r="U60" s="112" t="s">
        <v>5</v>
      </c>
      <c r="V60" s="140">
        <f>'(변경)집계표'!G177</f>
        <v>0</v>
      </c>
      <c r="W60" s="111">
        <f>'(변경)집계표'!E207</f>
        <v>0</v>
      </c>
      <c r="X60" s="112" t="s">
        <v>5</v>
      </c>
      <c r="Y60" s="140">
        <f>'(변경)집계표'!G207</f>
        <v>0</v>
      </c>
      <c r="Z60" s="111">
        <f>'(변경)집계표'!E237</f>
        <v>0</v>
      </c>
      <c r="AA60" s="112" t="s">
        <v>5</v>
      </c>
      <c r="AB60" s="140">
        <f>'(변경)집계표'!G237</f>
        <v>0</v>
      </c>
      <c r="AC60" s="111">
        <f>'(변경)집계표'!E267</f>
        <v>0</v>
      </c>
      <c r="AD60" s="112" t="s">
        <v>5</v>
      </c>
      <c r="AE60" s="140">
        <f>'(변경)집계표'!G267</f>
        <v>0</v>
      </c>
      <c r="AF60" s="111">
        <f>'(변경)집계표'!E297</f>
        <v>0</v>
      </c>
      <c r="AG60" s="112" t="s">
        <v>5</v>
      </c>
      <c r="AH60" s="140">
        <f>'(변경)집계표'!G297</f>
        <v>0</v>
      </c>
      <c r="AI60" s="128"/>
    </row>
    <row r="61" spans="1:35" s="6" customFormat="1" ht="22.5" customHeight="1">
      <c r="A61" s="129" t="s">
        <v>28</v>
      </c>
      <c r="B61" s="111">
        <f t="shared" si="123"/>
        <v>0</v>
      </c>
      <c r="C61" s="112" t="s">
        <v>5</v>
      </c>
      <c r="D61" s="179">
        <f t="shared" si="124"/>
        <v>0</v>
      </c>
      <c r="E61" s="111">
        <f>'(당초)집계표'!E28</f>
        <v>0</v>
      </c>
      <c r="F61" s="112" t="s">
        <v>5</v>
      </c>
      <c r="G61" s="179">
        <f>'(당초)집계표'!G28</f>
        <v>0</v>
      </c>
      <c r="H61" s="111">
        <f>'(당초)집계표'!E58</f>
        <v>0</v>
      </c>
      <c r="I61" s="112" t="s">
        <v>5</v>
      </c>
      <c r="J61" s="179">
        <f>'(당초)집계표'!G58</f>
        <v>0</v>
      </c>
      <c r="K61" s="111">
        <f>'(당초)집계표'!E88</f>
        <v>0</v>
      </c>
      <c r="L61" s="112" t="s">
        <v>5</v>
      </c>
      <c r="M61" s="179">
        <f>'(당초)집계표'!G88</f>
        <v>0</v>
      </c>
      <c r="N61" s="111">
        <f>'(당초)집계표'!E118</f>
        <v>0</v>
      </c>
      <c r="O61" s="112" t="s">
        <v>5</v>
      </c>
      <c r="P61" s="179">
        <f>'(당초)집계표'!G118</f>
        <v>0</v>
      </c>
      <c r="Q61" s="111">
        <f>'(당초)집계표'!E148</f>
        <v>0</v>
      </c>
      <c r="R61" s="112" t="s">
        <v>5</v>
      </c>
      <c r="S61" s="140">
        <f>'(당초)집계표'!G148</f>
        <v>0</v>
      </c>
      <c r="T61" s="111">
        <f>'(변경)집계표'!E178</f>
        <v>0</v>
      </c>
      <c r="U61" s="112" t="s">
        <v>5</v>
      </c>
      <c r="V61" s="140">
        <f>'(변경)집계표'!G178</f>
        <v>0</v>
      </c>
      <c r="W61" s="111">
        <f>'(변경)집계표'!E208</f>
        <v>0</v>
      </c>
      <c r="X61" s="112" t="s">
        <v>5</v>
      </c>
      <c r="Y61" s="140">
        <f>'(변경)집계표'!G208</f>
        <v>0</v>
      </c>
      <c r="Z61" s="111">
        <f>'(변경)집계표'!E238</f>
        <v>0</v>
      </c>
      <c r="AA61" s="112" t="s">
        <v>5</v>
      </c>
      <c r="AB61" s="140">
        <f>'(변경)집계표'!G238</f>
        <v>0</v>
      </c>
      <c r="AC61" s="111">
        <f>'(변경)집계표'!E268</f>
        <v>0</v>
      </c>
      <c r="AD61" s="112" t="s">
        <v>5</v>
      </c>
      <c r="AE61" s="140">
        <f>'(변경)집계표'!G268</f>
        <v>0</v>
      </c>
      <c r="AF61" s="111">
        <f>'(변경)집계표'!E298</f>
        <v>0</v>
      </c>
      <c r="AG61" s="112" t="s">
        <v>5</v>
      </c>
      <c r="AH61" s="140">
        <f>'(변경)집계표'!G298</f>
        <v>0</v>
      </c>
      <c r="AI61" s="128"/>
    </row>
    <row r="62" spans="1:35" s="6" customFormat="1" ht="22.5" customHeight="1">
      <c r="A62" s="129" t="s">
        <v>60</v>
      </c>
      <c r="B62" s="111">
        <f t="shared" si="123"/>
        <v>0</v>
      </c>
      <c r="C62" s="112" t="s">
        <v>5</v>
      </c>
      <c r="D62" s="179">
        <f t="shared" si="124"/>
        <v>0</v>
      </c>
      <c r="E62" s="111">
        <f>'(당초)집계표'!E29</f>
        <v>0</v>
      </c>
      <c r="F62" s="112" t="s">
        <v>5</v>
      </c>
      <c r="G62" s="179">
        <f>'(당초)집계표'!G29</f>
        <v>0</v>
      </c>
      <c r="H62" s="111">
        <f>'(당초)집계표'!E59</f>
        <v>0</v>
      </c>
      <c r="I62" s="112" t="s">
        <v>5</v>
      </c>
      <c r="J62" s="179">
        <f>'(당초)집계표'!G59</f>
        <v>0</v>
      </c>
      <c r="K62" s="111">
        <f>'(당초)집계표'!E89</f>
        <v>0</v>
      </c>
      <c r="L62" s="112" t="s">
        <v>5</v>
      </c>
      <c r="M62" s="179">
        <f>'(당초)집계표'!G89</f>
        <v>0</v>
      </c>
      <c r="N62" s="111">
        <f>'(당초)집계표'!E119</f>
        <v>0</v>
      </c>
      <c r="O62" s="112" t="s">
        <v>5</v>
      </c>
      <c r="P62" s="179">
        <f>'(당초)집계표'!G119</f>
        <v>0</v>
      </c>
      <c r="Q62" s="111">
        <f>'(당초)집계표'!E149</f>
        <v>0</v>
      </c>
      <c r="R62" s="112" t="s">
        <v>5</v>
      </c>
      <c r="S62" s="140">
        <f>'(당초)집계표'!G149</f>
        <v>0</v>
      </c>
      <c r="T62" s="111">
        <f>'(변경)집계표'!E179</f>
        <v>0</v>
      </c>
      <c r="U62" s="112" t="s">
        <v>5</v>
      </c>
      <c r="V62" s="140">
        <f>'(변경)집계표'!G179</f>
        <v>0</v>
      </c>
      <c r="W62" s="111">
        <f>'(변경)집계표'!E209</f>
        <v>0</v>
      </c>
      <c r="X62" s="112" t="s">
        <v>5</v>
      </c>
      <c r="Y62" s="140">
        <f>'(변경)집계표'!G209</f>
        <v>0</v>
      </c>
      <c r="Z62" s="111">
        <f>'(변경)집계표'!E239</f>
        <v>0</v>
      </c>
      <c r="AA62" s="112" t="s">
        <v>5</v>
      </c>
      <c r="AB62" s="140">
        <f>'(변경)집계표'!G239</f>
        <v>0</v>
      </c>
      <c r="AC62" s="111">
        <f>'(변경)집계표'!E269</f>
        <v>0</v>
      </c>
      <c r="AD62" s="112" t="s">
        <v>5</v>
      </c>
      <c r="AE62" s="140">
        <f>'(변경)집계표'!G269</f>
        <v>0</v>
      </c>
      <c r="AF62" s="111">
        <f>'(변경)집계표'!E299</f>
        <v>0</v>
      </c>
      <c r="AG62" s="112" t="s">
        <v>5</v>
      </c>
      <c r="AH62" s="140">
        <f>'(변경)집계표'!G299</f>
        <v>0</v>
      </c>
      <c r="AI62" s="128"/>
    </row>
    <row r="63" spans="1:35" s="6" customFormat="1" ht="22.5" customHeight="1">
      <c r="A63" s="129" t="s">
        <v>70</v>
      </c>
      <c r="B63" s="111">
        <f t="shared" si="123"/>
        <v>0</v>
      </c>
      <c r="C63" s="112" t="s">
        <v>5</v>
      </c>
      <c r="D63" s="179">
        <f t="shared" si="124"/>
        <v>0</v>
      </c>
      <c r="E63" s="111">
        <f>'(당초)집계표'!E30</f>
        <v>0</v>
      </c>
      <c r="F63" s="112" t="s">
        <v>5</v>
      </c>
      <c r="G63" s="179">
        <f>'(당초)집계표'!G30</f>
        <v>0</v>
      </c>
      <c r="H63" s="111">
        <f>'(당초)집계표'!E60</f>
        <v>0</v>
      </c>
      <c r="I63" s="112" t="s">
        <v>5</v>
      </c>
      <c r="J63" s="179">
        <f>'(당초)집계표'!G60</f>
        <v>0</v>
      </c>
      <c r="K63" s="111">
        <f>'(당초)집계표'!E90</f>
        <v>0</v>
      </c>
      <c r="L63" s="112" t="s">
        <v>5</v>
      </c>
      <c r="M63" s="179">
        <f>'(당초)집계표'!G90</f>
        <v>0</v>
      </c>
      <c r="N63" s="111">
        <f>'(당초)집계표'!E120</f>
        <v>0</v>
      </c>
      <c r="O63" s="112" t="s">
        <v>5</v>
      </c>
      <c r="P63" s="179">
        <f>'(당초)집계표'!G120</f>
        <v>0</v>
      </c>
      <c r="Q63" s="111">
        <f>'(당초)집계표'!E150</f>
        <v>0</v>
      </c>
      <c r="R63" s="112" t="s">
        <v>5</v>
      </c>
      <c r="S63" s="140">
        <f>'(당초)집계표'!G150</f>
        <v>0</v>
      </c>
      <c r="T63" s="111">
        <f>'(변경)집계표'!E180</f>
        <v>0</v>
      </c>
      <c r="U63" s="112" t="s">
        <v>5</v>
      </c>
      <c r="V63" s="140">
        <f>'(변경)집계표'!G180</f>
        <v>0</v>
      </c>
      <c r="W63" s="111">
        <f>'(변경)집계표'!E210</f>
        <v>0</v>
      </c>
      <c r="X63" s="112" t="s">
        <v>5</v>
      </c>
      <c r="Y63" s="140">
        <f>'(변경)집계표'!G210</f>
        <v>0</v>
      </c>
      <c r="Z63" s="111">
        <f>'(변경)집계표'!E240</f>
        <v>0</v>
      </c>
      <c r="AA63" s="112" t="s">
        <v>5</v>
      </c>
      <c r="AB63" s="140">
        <f>'(변경)집계표'!G240</f>
        <v>0</v>
      </c>
      <c r="AC63" s="111">
        <f>'(변경)집계표'!E270</f>
        <v>0</v>
      </c>
      <c r="AD63" s="112" t="s">
        <v>5</v>
      </c>
      <c r="AE63" s="140">
        <f>'(변경)집계표'!G270</f>
        <v>0</v>
      </c>
      <c r="AF63" s="111">
        <f>'(변경)집계표'!E300</f>
        <v>0</v>
      </c>
      <c r="AG63" s="112" t="s">
        <v>5</v>
      </c>
      <c r="AH63" s="140">
        <f>'(변경)집계표'!G300</f>
        <v>0</v>
      </c>
      <c r="AI63" s="128"/>
    </row>
    <row r="64" spans="1:35" s="6" customFormat="1" ht="22.5" customHeight="1" thickBot="1">
      <c r="A64" s="130" t="s">
        <v>62</v>
      </c>
      <c r="B64" s="131">
        <f t="shared" si="123"/>
        <v>5</v>
      </c>
      <c r="C64" s="132" t="s">
        <v>5</v>
      </c>
      <c r="D64" s="180">
        <f t="shared" si="124"/>
        <v>1510</v>
      </c>
      <c r="E64" s="131">
        <f>'(당초)집계표'!E31</f>
        <v>0</v>
      </c>
      <c r="F64" s="132" t="s">
        <v>5</v>
      </c>
      <c r="G64" s="180">
        <f>'(당초)집계표'!G31</f>
        <v>0</v>
      </c>
      <c r="H64" s="131">
        <f>'(당초)집계표'!E61</f>
        <v>3</v>
      </c>
      <c r="I64" s="132" t="s">
        <v>5</v>
      </c>
      <c r="J64" s="180">
        <f>'(당초)집계표'!G61</f>
        <v>1408</v>
      </c>
      <c r="K64" s="131">
        <f>'(당초)집계표'!E91</f>
        <v>0</v>
      </c>
      <c r="L64" s="132" t="s">
        <v>5</v>
      </c>
      <c r="M64" s="180">
        <f>'(당초)집계표'!G91</f>
        <v>0</v>
      </c>
      <c r="N64" s="131">
        <f>'(당초)집계표'!E121</f>
        <v>2</v>
      </c>
      <c r="O64" s="132" t="s">
        <v>5</v>
      </c>
      <c r="P64" s="180">
        <f>'(당초)집계표'!G121</f>
        <v>102</v>
      </c>
      <c r="Q64" s="131">
        <f>'(당초)집계표'!E151</f>
        <v>0</v>
      </c>
      <c r="R64" s="132" t="s">
        <v>5</v>
      </c>
      <c r="S64" s="141">
        <f>'(당초)집계표'!G151</f>
        <v>0</v>
      </c>
      <c r="T64" s="131">
        <f>'(변경)집계표'!E181</f>
        <v>0</v>
      </c>
      <c r="U64" s="132" t="s">
        <v>5</v>
      </c>
      <c r="V64" s="141">
        <f>'(변경)집계표'!G181</f>
        <v>0</v>
      </c>
      <c r="W64" s="131">
        <f>'(변경)집계표'!E211</f>
        <v>0</v>
      </c>
      <c r="X64" s="132" t="s">
        <v>5</v>
      </c>
      <c r="Y64" s="141">
        <f>'(변경)집계표'!G211</f>
        <v>0</v>
      </c>
      <c r="Z64" s="131">
        <f>'(변경)집계표'!E241</f>
        <v>0</v>
      </c>
      <c r="AA64" s="132" t="s">
        <v>5</v>
      </c>
      <c r="AB64" s="141">
        <f>'(변경)집계표'!G241</f>
        <v>0</v>
      </c>
      <c r="AC64" s="131">
        <f>'(변경)집계표'!E271</f>
        <v>0</v>
      </c>
      <c r="AD64" s="132" t="s">
        <v>5</v>
      </c>
      <c r="AE64" s="141">
        <f>'(변경)집계표'!G271</f>
        <v>0</v>
      </c>
      <c r="AF64" s="131">
        <f>'(변경)집계표'!E301</f>
        <v>0</v>
      </c>
      <c r="AG64" s="132" t="s">
        <v>5</v>
      </c>
      <c r="AH64" s="141">
        <f>'(변경)집계표'!G301</f>
        <v>0</v>
      </c>
      <c r="AI64" s="133"/>
    </row>
    <row r="65" spans="1:36" s="1" customFormat="1" ht="27.95" customHeight="1">
      <c r="A65" s="190" t="s">
        <v>56</v>
      </c>
      <c r="B65" s="191"/>
      <c r="C65" s="192"/>
      <c r="D65" s="193"/>
      <c r="E65" s="192"/>
      <c r="F65" s="192"/>
      <c r="G65" s="193"/>
      <c r="H65" s="192"/>
      <c r="I65" s="192"/>
      <c r="J65" s="193"/>
      <c r="K65" s="192"/>
      <c r="L65" s="192"/>
      <c r="M65" s="193"/>
      <c r="N65" s="192"/>
      <c r="O65" s="192"/>
      <c r="P65" s="193"/>
      <c r="Q65" s="192"/>
      <c r="R65" s="192"/>
      <c r="S65" s="194"/>
      <c r="T65" s="192"/>
      <c r="U65" s="192"/>
      <c r="V65" s="194"/>
      <c r="W65" s="192"/>
      <c r="X65" s="192"/>
      <c r="Y65" s="194"/>
      <c r="Z65" s="192"/>
      <c r="AA65" s="192"/>
      <c r="AB65" s="194"/>
      <c r="AC65" s="192"/>
      <c r="AD65" s="192"/>
      <c r="AE65" s="194"/>
      <c r="AF65" s="192"/>
      <c r="AG65" s="192"/>
      <c r="AH65" s="194"/>
      <c r="AI65" s="195"/>
    </row>
    <row r="66" spans="1:36" s="5" customFormat="1" ht="9.9499999999999993" customHeight="1" thickBot="1">
      <c r="A66" s="196"/>
      <c r="B66" s="189"/>
      <c r="D66" s="188"/>
      <c r="E66" s="189"/>
      <c r="G66" s="188"/>
      <c r="H66" s="189"/>
      <c r="J66" s="188"/>
      <c r="K66" s="189"/>
      <c r="M66" s="188"/>
      <c r="N66" s="189"/>
      <c r="P66" s="188"/>
      <c r="Q66" s="189"/>
      <c r="S66" s="146"/>
      <c r="T66" s="189"/>
      <c r="V66" s="146"/>
      <c r="W66" s="189"/>
      <c r="Y66" s="146"/>
      <c r="Z66" s="189"/>
      <c r="AB66" s="146"/>
      <c r="AC66" s="189"/>
      <c r="AE66" s="146"/>
      <c r="AF66" s="189"/>
      <c r="AH66" s="146"/>
      <c r="AI66" s="197"/>
    </row>
    <row r="67" spans="1:36" s="7" customFormat="1" ht="30" customHeight="1">
      <c r="A67" s="119"/>
      <c r="B67" s="484" t="s">
        <v>2</v>
      </c>
      <c r="C67" s="485"/>
      <c r="D67" s="485"/>
      <c r="E67" s="120" t="s">
        <v>72</v>
      </c>
      <c r="F67" s="121"/>
      <c r="G67" s="182"/>
      <c r="H67" s="120"/>
      <c r="I67" s="121"/>
      <c r="J67" s="182"/>
      <c r="K67" s="120"/>
      <c r="L67" s="121"/>
      <c r="M67" s="182"/>
      <c r="N67" s="120"/>
      <c r="O67" s="121"/>
      <c r="P67" s="182"/>
      <c r="Q67" s="120"/>
      <c r="R67" s="121"/>
      <c r="S67" s="143"/>
      <c r="T67" s="120"/>
      <c r="U67" s="121"/>
      <c r="V67" s="143"/>
      <c r="W67" s="120"/>
      <c r="X67" s="121"/>
      <c r="Y67" s="143"/>
      <c r="Z67" s="120"/>
      <c r="AA67" s="121"/>
      <c r="AB67" s="143"/>
      <c r="AC67" s="120"/>
      <c r="AD67" s="121"/>
      <c r="AE67" s="143"/>
      <c r="AF67" s="120"/>
      <c r="AG67" s="121"/>
      <c r="AH67" s="143"/>
      <c r="AI67" s="471" t="s">
        <v>53</v>
      </c>
      <c r="AJ67" s="6"/>
    </row>
    <row r="68" spans="1:36" s="7" customFormat="1" ht="30" customHeight="1">
      <c r="A68" s="122"/>
      <c r="B68" s="486"/>
      <c r="C68" s="487"/>
      <c r="D68" s="487"/>
      <c r="E68" s="8" t="s">
        <v>73</v>
      </c>
      <c r="F68" s="9"/>
      <c r="G68" s="183"/>
      <c r="H68" s="8"/>
      <c r="I68" s="9"/>
      <c r="J68" s="183"/>
      <c r="K68" s="8"/>
      <c r="L68" s="9"/>
      <c r="M68" s="183"/>
      <c r="N68" s="8"/>
      <c r="O68" s="9"/>
      <c r="P68" s="183"/>
      <c r="Q68" s="8"/>
      <c r="R68" s="9"/>
      <c r="S68" s="144"/>
      <c r="T68" s="8"/>
      <c r="U68" s="9"/>
      <c r="V68" s="144"/>
      <c r="W68" s="8"/>
      <c r="X68" s="9"/>
      <c r="Y68" s="144"/>
      <c r="Z68" s="8"/>
      <c r="AA68" s="9"/>
      <c r="AB68" s="144"/>
      <c r="AC68" s="8"/>
      <c r="AD68" s="9"/>
      <c r="AE68" s="144"/>
      <c r="AF68" s="8"/>
      <c r="AG68" s="9"/>
      <c r="AH68" s="144"/>
      <c r="AI68" s="488"/>
      <c r="AJ68" s="6"/>
    </row>
    <row r="69" spans="1:36" s="7" customFormat="1" ht="30" customHeight="1">
      <c r="A69" s="123" t="s">
        <v>3</v>
      </c>
      <c r="B69" s="486"/>
      <c r="C69" s="487"/>
      <c r="D69" s="487"/>
      <c r="E69" s="8" t="s">
        <v>74</v>
      </c>
      <c r="F69" s="9"/>
      <c r="G69" s="183"/>
      <c r="H69" s="8" t="s">
        <v>75</v>
      </c>
      <c r="I69" s="9"/>
      <c r="J69" s="183"/>
      <c r="K69" s="8" t="s">
        <v>76</v>
      </c>
      <c r="L69" s="9"/>
      <c r="M69" s="183"/>
      <c r="N69" s="8" t="s">
        <v>77</v>
      </c>
      <c r="O69" s="9"/>
      <c r="P69" s="183"/>
      <c r="Q69" s="8" t="s">
        <v>78</v>
      </c>
      <c r="R69" s="9"/>
      <c r="S69" s="144"/>
      <c r="T69" s="8">
        <v>6</v>
      </c>
      <c r="U69" s="9"/>
      <c r="V69" s="144"/>
      <c r="W69" s="8">
        <v>7</v>
      </c>
      <c r="X69" s="9"/>
      <c r="Y69" s="144"/>
      <c r="Z69" s="8">
        <v>8</v>
      </c>
      <c r="AA69" s="9"/>
      <c r="AB69" s="144"/>
      <c r="AC69" s="8">
        <v>9</v>
      </c>
      <c r="AD69" s="9"/>
      <c r="AE69" s="144"/>
      <c r="AF69" s="8">
        <v>10</v>
      </c>
      <c r="AG69" s="9"/>
      <c r="AH69" s="144"/>
      <c r="AI69" s="488"/>
      <c r="AJ69" s="6"/>
    </row>
    <row r="70" spans="1:36" s="7" customFormat="1" ht="30" customHeight="1" thickBot="1">
      <c r="A70" s="124"/>
      <c r="B70" s="115" t="s">
        <v>4</v>
      </c>
      <c r="C70" s="116" t="s">
        <v>5</v>
      </c>
      <c r="D70" s="178" t="s">
        <v>6</v>
      </c>
      <c r="E70" s="115" t="s">
        <v>4</v>
      </c>
      <c r="F70" s="116" t="s">
        <v>5</v>
      </c>
      <c r="G70" s="178" t="s">
        <v>6</v>
      </c>
      <c r="H70" s="115" t="s">
        <v>4</v>
      </c>
      <c r="I70" s="116" t="s">
        <v>5</v>
      </c>
      <c r="J70" s="178" t="s">
        <v>6</v>
      </c>
      <c r="K70" s="115" t="s">
        <v>4</v>
      </c>
      <c r="L70" s="116" t="s">
        <v>5</v>
      </c>
      <c r="M70" s="178" t="s">
        <v>6</v>
      </c>
      <c r="N70" s="115" t="s">
        <v>4</v>
      </c>
      <c r="O70" s="116" t="s">
        <v>5</v>
      </c>
      <c r="P70" s="178" t="s">
        <v>6</v>
      </c>
      <c r="Q70" s="115" t="s">
        <v>4</v>
      </c>
      <c r="R70" s="116" t="s">
        <v>5</v>
      </c>
      <c r="S70" s="178" t="s">
        <v>6</v>
      </c>
      <c r="T70" s="117" t="s">
        <v>4</v>
      </c>
      <c r="U70" s="118" t="s">
        <v>5</v>
      </c>
      <c r="V70" s="145" t="s">
        <v>6</v>
      </c>
      <c r="W70" s="117" t="s">
        <v>4</v>
      </c>
      <c r="X70" s="118" t="s">
        <v>5</v>
      </c>
      <c r="Y70" s="145" t="s">
        <v>6</v>
      </c>
      <c r="Z70" s="117" t="s">
        <v>4</v>
      </c>
      <c r="AA70" s="118" t="s">
        <v>5</v>
      </c>
      <c r="AB70" s="145" t="s">
        <v>6</v>
      </c>
      <c r="AC70" s="117" t="s">
        <v>4</v>
      </c>
      <c r="AD70" s="118" t="s">
        <v>5</v>
      </c>
      <c r="AE70" s="145" t="s">
        <v>6</v>
      </c>
      <c r="AF70" s="117" t="s">
        <v>4</v>
      </c>
      <c r="AG70" s="118" t="s">
        <v>5</v>
      </c>
      <c r="AH70" s="145" t="s">
        <v>6</v>
      </c>
      <c r="AI70" s="472"/>
      <c r="AJ70" s="6"/>
    </row>
    <row r="71" spans="1:36" s="6" customFormat="1" ht="22.5" customHeight="1" thickTop="1">
      <c r="A71" s="134" t="s">
        <v>2</v>
      </c>
      <c r="B71" s="135">
        <f>SUM(B72:B96)</f>
        <v>609</v>
      </c>
      <c r="C71" s="136" t="s">
        <v>5</v>
      </c>
      <c r="D71" s="181">
        <f>SUM(D72:D96)</f>
        <v>351687.6</v>
      </c>
      <c r="E71" s="135">
        <f>SUM(E72:E96)</f>
        <v>74</v>
      </c>
      <c r="F71" s="136" t="s">
        <v>5</v>
      </c>
      <c r="G71" s="181">
        <f>SUM(G72:G96)</f>
        <v>27483.700000000004</v>
      </c>
      <c r="H71" s="135">
        <f>SUM(H72:H96)</f>
        <v>114</v>
      </c>
      <c r="I71" s="136" t="s">
        <v>5</v>
      </c>
      <c r="J71" s="181">
        <f>SUM(J72:J96)</f>
        <v>47268.899999999994</v>
      </c>
      <c r="K71" s="135">
        <f>SUM(K72:K96)</f>
        <v>178</v>
      </c>
      <c r="L71" s="136" t="s">
        <v>5</v>
      </c>
      <c r="M71" s="181">
        <f>SUM(M72:M96)</f>
        <v>74749.399999999994</v>
      </c>
      <c r="N71" s="135">
        <f>SUM(N72:N96)</f>
        <v>104</v>
      </c>
      <c r="O71" s="136" t="s">
        <v>5</v>
      </c>
      <c r="P71" s="181">
        <f>SUM(P72:P96)</f>
        <v>113742.59999999998</v>
      </c>
      <c r="Q71" s="135">
        <f>SUM(Q72:Q96)</f>
        <v>139</v>
      </c>
      <c r="R71" s="136" t="s">
        <v>5</v>
      </c>
      <c r="S71" s="142">
        <f>SUM(S72:S96)</f>
        <v>88443</v>
      </c>
      <c r="T71" s="135">
        <f>SUM(T72:T96)</f>
        <v>0</v>
      </c>
      <c r="U71" s="136" t="s">
        <v>5</v>
      </c>
      <c r="V71" s="142">
        <f>SUM(V72:V96)</f>
        <v>0</v>
      </c>
      <c r="W71" s="135">
        <f>SUM(W72:W96)</f>
        <v>0</v>
      </c>
      <c r="X71" s="136" t="s">
        <v>5</v>
      </c>
      <c r="Y71" s="142">
        <f>SUM(Y72:Y96)</f>
        <v>0</v>
      </c>
      <c r="Z71" s="135">
        <f>SUM(Z72:Z96)</f>
        <v>0</v>
      </c>
      <c r="AA71" s="136" t="s">
        <v>5</v>
      </c>
      <c r="AB71" s="142">
        <f>SUM(AB72:AB96)</f>
        <v>0</v>
      </c>
      <c r="AC71" s="135">
        <f>SUM(AC72:AC96)</f>
        <v>0</v>
      </c>
      <c r="AD71" s="136" t="s">
        <v>5</v>
      </c>
      <c r="AE71" s="142">
        <f>SUM(AE72:AE96)</f>
        <v>0</v>
      </c>
      <c r="AF71" s="135">
        <f>SUM(AF72:AF96)</f>
        <v>0</v>
      </c>
      <c r="AG71" s="136" t="s">
        <v>5</v>
      </c>
      <c r="AH71" s="142">
        <f>SUM(AH72:AH96)</f>
        <v>0</v>
      </c>
      <c r="AI71" s="137"/>
    </row>
    <row r="72" spans="1:36" s="6" customFormat="1" ht="22.5" customHeight="1">
      <c r="A72" s="127" t="s">
        <v>7</v>
      </c>
      <c r="B72" s="111">
        <f t="shared" ref="B72:B96" si="125">SUM(E72,H72,K72,N72,Q72,T72,W72,Z72,AC72,AF72)</f>
        <v>107</v>
      </c>
      <c r="C72" s="112" t="s">
        <v>5</v>
      </c>
      <c r="D72" s="179">
        <f t="shared" ref="D72:D96" si="126">SUM(G72,J72,M72,P72,S72,V72,Y72,AB72,AE72,AH72)</f>
        <v>36706</v>
      </c>
      <c r="E72" s="111">
        <f>'(당초)집계표'!H7</f>
        <v>5</v>
      </c>
      <c r="F72" s="112" t="s">
        <v>5</v>
      </c>
      <c r="G72" s="179">
        <f>'(당초)집계표'!J7</f>
        <v>3511</v>
      </c>
      <c r="H72" s="111">
        <f>'(당초)집계표'!H37</f>
        <v>30</v>
      </c>
      <c r="I72" s="112" t="s">
        <v>5</v>
      </c>
      <c r="J72" s="179">
        <f>'(당초)집계표'!J37</f>
        <v>10337</v>
      </c>
      <c r="K72" s="111">
        <f>'(당초)집계표'!H67</f>
        <v>42</v>
      </c>
      <c r="L72" s="112" t="s">
        <v>5</v>
      </c>
      <c r="M72" s="179">
        <f>'(당초)집계표'!J67</f>
        <v>12204</v>
      </c>
      <c r="N72" s="111">
        <f>'(당초)집계표'!H97</f>
        <v>6</v>
      </c>
      <c r="O72" s="112" t="s">
        <v>5</v>
      </c>
      <c r="P72" s="179">
        <f>'(당초)집계표'!J97</f>
        <v>3462</v>
      </c>
      <c r="Q72" s="111">
        <f>'(당초)집계표'!H127</f>
        <v>24</v>
      </c>
      <c r="R72" s="112" t="s">
        <v>5</v>
      </c>
      <c r="S72" s="140">
        <f>'(당초)집계표'!J127</f>
        <v>7192</v>
      </c>
      <c r="T72" s="111">
        <f>'(변경)집계표'!K157</f>
        <v>0</v>
      </c>
      <c r="U72" s="112" t="s">
        <v>5</v>
      </c>
      <c r="V72" s="140">
        <f>'(변경)집계표'!M157</f>
        <v>0</v>
      </c>
      <c r="W72" s="111">
        <f>'(변경)집계표'!K187</f>
        <v>0</v>
      </c>
      <c r="X72" s="112" t="s">
        <v>5</v>
      </c>
      <c r="Y72" s="140">
        <f>'(변경)집계표'!M187</f>
        <v>0</v>
      </c>
      <c r="Z72" s="111">
        <f>'(변경)집계표'!K217</f>
        <v>0</v>
      </c>
      <c r="AA72" s="112" t="s">
        <v>5</v>
      </c>
      <c r="AB72" s="140">
        <f>'(변경)집계표'!M217</f>
        <v>0</v>
      </c>
      <c r="AC72" s="111">
        <f>'(변경)집계표'!K247</f>
        <v>0</v>
      </c>
      <c r="AD72" s="112" t="s">
        <v>5</v>
      </c>
      <c r="AE72" s="140">
        <f>'(변경)집계표'!M247</f>
        <v>0</v>
      </c>
      <c r="AF72" s="111">
        <f>'(변경)집계표'!K277</f>
        <v>0</v>
      </c>
      <c r="AG72" s="112" t="s">
        <v>5</v>
      </c>
      <c r="AH72" s="140">
        <f>'(변경)집계표'!M277</f>
        <v>0</v>
      </c>
      <c r="AI72" s="128"/>
    </row>
    <row r="73" spans="1:36" s="6" customFormat="1" ht="22.5" customHeight="1">
      <c r="A73" s="127" t="s">
        <v>8</v>
      </c>
      <c r="B73" s="111">
        <f t="shared" si="125"/>
        <v>150</v>
      </c>
      <c r="C73" s="112" t="s">
        <v>5</v>
      </c>
      <c r="D73" s="179">
        <f t="shared" si="126"/>
        <v>107655.99999999997</v>
      </c>
      <c r="E73" s="111">
        <f>'(당초)집계표'!H8</f>
        <v>30</v>
      </c>
      <c r="F73" s="112" t="s">
        <v>5</v>
      </c>
      <c r="G73" s="179">
        <f>'(당초)집계표'!J8</f>
        <v>13378.100000000002</v>
      </c>
      <c r="H73" s="111">
        <f>'(당초)집계표'!H38</f>
        <v>17</v>
      </c>
      <c r="I73" s="112" t="s">
        <v>5</v>
      </c>
      <c r="J73" s="179">
        <f>'(당초)집계표'!J38</f>
        <v>16153.899999999998</v>
      </c>
      <c r="K73" s="111">
        <f>'(당초)집계표'!H68</f>
        <v>32</v>
      </c>
      <c r="L73" s="112" t="s">
        <v>5</v>
      </c>
      <c r="M73" s="179">
        <f>'(당초)집계표'!J68</f>
        <v>19311.399999999998</v>
      </c>
      <c r="N73" s="111">
        <f>'(당초)집계표'!H98</f>
        <v>44</v>
      </c>
      <c r="O73" s="112" t="s">
        <v>5</v>
      </c>
      <c r="P73" s="179">
        <f>'(당초)집계표'!J98</f>
        <v>46694.599999999984</v>
      </c>
      <c r="Q73" s="111">
        <f>'(당초)집계표'!H128</f>
        <v>27</v>
      </c>
      <c r="R73" s="112" t="s">
        <v>5</v>
      </c>
      <c r="S73" s="140">
        <f>'(당초)집계표'!J128</f>
        <v>12118</v>
      </c>
      <c r="T73" s="111">
        <f>'(변경)집계표'!K158</f>
        <v>0</v>
      </c>
      <c r="U73" s="112" t="s">
        <v>5</v>
      </c>
      <c r="V73" s="140">
        <f>'(변경)집계표'!M158</f>
        <v>0</v>
      </c>
      <c r="W73" s="111">
        <f>'(변경)집계표'!K188</f>
        <v>0</v>
      </c>
      <c r="X73" s="112" t="s">
        <v>5</v>
      </c>
      <c r="Y73" s="140">
        <f>'(변경)집계표'!M188</f>
        <v>0</v>
      </c>
      <c r="Z73" s="111">
        <f>'(변경)집계표'!K218</f>
        <v>0</v>
      </c>
      <c r="AA73" s="112" t="s">
        <v>5</v>
      </c>
      <c r="AB73" s="140">
        <f>'(변경)집계표'!M218</f>
        <v>0</v>
      </c>
      <c r="AC73" s="111">
        <f>'(변경)집계표'!K248</f>
        <v>0</v>
      </c>
      <c r="AD73" s="112" t="s">
        <v>5</v>
      </c>
      <c r="AE73" s="140">
        <f>'(변경)집계표'!M248</f>
        <v>0</v>
      </c>
      <c r="AF73" s="111">
        <f>'(변경)집계표'!K278</f>
        <v>0</v>
      </c>
      <c r="AG73" s="112" t="s">
        <v>5</v>
      </c>
      <c r="AH73" s="140">
        <f>'(변경)집계표'!M278</f>
        <v>0</v>
      </c>
      <c r="AI73" s="128"/>
    </row>
    <row r="74" spans="1:36" s="6" customFormat="1" ht="22.5" customHeight="1">
      <c r="A74" s="127" t="s">
        <v>9</v>
      </c>
      <c r="B74" s="111">
        <f t="shared" si="125"/>
        <v>142</v>
      </c>
      <c r="C74" s="112" t="s">
        <v>5</v>
      </c>
      <c r="D74" s="179">
        <f t="shared" si="126"/>
        <v>149386</v>
      </c>
      <c r="E74" s="111">
        <f>'(당초)집계표'!H9</f>
        <v>5</v>
      </c>
      <c r="F74" s="112" t="s">
        <v>5</v>
      </c>
      <c r="G74" s="179">
        <f>'(당초)집계표'!J9</f>
        <v>3394</v>
      </c>
      <c r="H74" s="111">
        <f>'(당초)집계표'!H39</f>
        <v>16</v>
      </c>
      <c r="I74" s="112" t="s">
        <v>5</v>
      </c>
      <c r="J74" s="179">
        <f>'(당초)집계표'!J39</f>
        <v>12344</v>
      </c>
      <c r="K74" s="111">
        <f>'(당초)집계표'!H69</f>
        <v>44</v>
      </c>
      <c r="L74" s="112" t="s">
        <v>5</v>
      </c>
      <c r="M74" s="179">
        <f>'(당초)집계표'!J69</f>
        <v>29455</v>
      </c>
      <c r="N74" s="111">
        <f>'(당초)집계표'!H99</f>
        <v>38</v>
      </c>
      <c r="O74" s="112" t="s">
        <v>5</v>
      </c>
      <c r="P74" s="179">
        <f>'(당초)집계표'!J99</f>
        <v>48534</v>
      </c>
      <c r="Q74" s="111">
        <f>'(당초)집계표'!H129</f>
        <v>39</v>
      </c>
      <c r="R74" s="112" t="s">
        <v>5</v>
      </c>
      <c r="S74" s="140">
        <f>'(당초)집계표'!J129</f>
        <v>55659</v>
      </c>
      <c r="T74" s="111">
        <f>'(변경)집계표'!K159</f>
        <v>0</v>
      </c>
      <c r="U74" s="112" t="s">
        <v>5</v>
      </c>
      <c r="V74" s="140">
        <f>'(변경)집계표'!M159</f>
        <v>0</v>
      </c>
      <c r="W74" s="111">
        <f>'(변경)집계표'!K189</f>
        <v>0</v>
      </c>
      <c r="X74" s="112" t="s">
        <v>5</v>
      </c>
      <c r="Y74" s="140">
        <f>'(변경)집계표'!M189</f>
        <v>0</v>
      </c>
      <c r="Z74" s="111">
        <f>'(변경)집계표'!K219</f>
        <v>0</v>
      </c>
      <c r="AA74" s="112" t="s">
        <v>5</v>
      </c>
      <c r="AB74" s="140">
        <f>'(변경)집계표'!M219</f>
        <v>0</v>
      </c>
      <c r="AC74" s="111">
        <f>'(변경)집계표'!K249</f>
        <v>0</v>
      </c>
      <c r="AD74" s="112" t="s">
        <v>5</v>
      </c>
      <c r="AE74" s="140">
        <f>'(변경)집계표'!M249</f>
        <v>0</v>
      </c>
      <c r="AF74" s="111">
        <f>'(변경)집계표'!K279</f>
        <v>0</v>
      </c>
      <c r="AG74" s="112" t="s">
        <v>5</v>
      </c>
      <c r="AH74" s="140">
        <f>'(변경)집계표'!M279</f>
        <v>0</v>
      </c>
      <c r="AI74" s="128"/>
    </row>
    <row r="75" spans="1:36" s="6" customFormat="1" ht="22.5" customHeight="1">
      <c r="A75" s="127" t="s">
        <v>10</v>
      </c>
      <c r="B75" s="111">
        <f t="shared" si="125"/>
        <v>28</v>
      </c>
      <c r="C75" s="112" t="s">
        <v>5</v>
      </c>
      <c r="D75" s="179">
        <f t="shared" si="126"/>
        <v>3358</v>
      </c>
      <c r="E75" s="111">
        <f>'(당초)집계표'!H10</f>
        <v>1</v>
      </c>
      <c r="F75" s="112" t="s">
        <v>5</v>
      </c>
      <c r="G75" s="179">
        <f>'(당초)집계표'!J10</f>
        <v>296</v>
      </c>
      <c r="H75" s="111">
        <f>'(당초)집계표'!H40</f>
        <v>7</v>
      </c>
      <c r="I75" s="112" t="s">
        <v>5</v>
      </c>
      <c r="J75" s="179">
        <f>'(당초)집계표'!J40</f>
        <v>569</v>
      </c>
      <c r="K75" s="111">
        <f>'(당초)집계표'!H70</f>
        <v>9</v>
      </c>
      <c r="L75" s="112" t="s">
        <v>5</v>
      </c>
      <c r="M75" s="179">
        <f>'(당초)집계표'!J70</f>
        <v>1449</v>
      </c>
      <c r="N75" s="111">
        <f>'(당초)집계표'!H100</f>
        <v>1</v>
      </c>
      <c r="O75" s="112" t="s">
        <v>5</v>
      </c>
      <c r="P75" s="179">
        <f>'(당초)집계표'!J100</f>
        <v>61</v>
      </c>
      <c r="Q75" s="111">
        <f>'(당초)집계표'!H130</f>
        <v>10</v>
      </c>
      <c r="R75" s="112" t="s">
        <v>5</v>
      </c>
      <c r="S75" s="140">
        <f>'(당초)집계표'!J130</f>
        <v>983</v>
      </c>
      <c r="T75" s="111">
        <f>'(변경)집계표'!K160</f>
        <v>0</v>
      </c>
      <c r="U75" s="112" t="s">
        <v>5</v>
      </c>
      <c r="V75" s="140">
        <f>'(변경)집계표'!M160</f>
        <v>0</v>
      </c>
      <c r="W75" s="111">
        <f>'(변경)집계표'!K190</f>
        <v>0</v>
      </c>
      <c r="X75" s="112" t="s">
        <v>5</v>
      </c>
      <c r="Y75" s="140">
        <f>'(변경)집계표'!M190</f>
        <v>0</v>
      </c>
      <c r="Z75" s="111">
        <f>'(변경)집계표'!K220</f>
        <v>0</v>
      </c>
      <c r="AA75" s="112" t="s">
        <v>5</v>
      </c>
      <c r="AB75" s="140">
        <f>'(변경)집계표'!M220</f>
        <v>0</v>
      </c>
      <c r="AC75" s="111">
        <f>'(변경)집계표'!K250</f>
        <v>0</v>
      </c>
      <c r="AD75" s="112" t="s">
        <v>5</v>
      </c>
      <c r="AE75" s="140">
        <f>'(변경)집계표'!M250</f>
        <v>0</v>
      </c>
      <c r="AF75" s="111">
        <f>'(변경)집계표'!K280</f>
        <v>0</v>
      </c>
      <c r="AG75" s="112" t="s">
        <v>5</v>
      </c>
      <c r="AH75" s="140">
        <f>'(변경)집계표'!M280</f>
        <v>0</v>
      </c>
      <c r="AI75" s="128"/>
    </row>
    <row r="76" spans="1:36" s="6" customFormat="1" ht="22.5" customHeight="1">
      <c r="A76" s="127" t="s">
        <v>11</v>
      </c>
      <c r="B76" s="111">
        <f t="shared" si="125"/>
        <v>161</v>
      </c>
      <c r="C76" s="112" t="s">
        <v>5</v>
      </c>
      <c r="D76" s="179">
        <f t="shared" si="126"/>
        <v>45851.6</v>
      </c>
      <c r="E76" s="111">
        <f>'(당초)집계표'!H11</f>
        <v>31</v>
      </c>
      <c r="F76" s="112" t="s">
        <v>5</v>
      </c>
      <c r="G76" s="179">
        <f>'(당초)집계표'!J11</f>
        <v>5763.6</v>
      </c>
      <c r="H76" s="111">
        <f>'(당초)집계표'!H41</f>
        <v>40</v>
      </c>
      <c r="I76" s="112" t="s">
        <v>5</v>
      </c>
      <c r="J76" s="179">
        <f>'(당초)집계표'!J41</f>
        <v>6946</v>
      </c>
      <c r="K76" s="111">
        <f>'(당초)집계표'!H71</f>
        <v>50</v>
      </c>
      <c r="L76" s="112" t="s">
        <v>5</v>
      </c>
      <c r="M76" s="179">
        <f>'(당초)집계표'!J71</f>
        <v>12314</v>
      </c>
      <c r="N76" s="111">
        <f>'(당초)집계표'!H101</f>
        <v>14</v>
      </c>
      <c r="O76" s="112" t="s">
        <v>5</v>
      </c>
      <c r="P76" s="179">
        <f>'(당초)집계표'!J101</f>
        <v>14820</v>
      </c>
      <c r="Q76" s="111">
        <f>'(당초)집계표'!H131</f>
        <v>26</v>
      </c>
      <c r="R76" s="112" t="s">
        <v>5</v>
      </c>
      <c r="S76" s="140">
        <f>'(당초)집계표'!J131</f>
        <v>6008</v>
      </c>
      <c r="T76" s="111">
        <f>'(변경)집계표'!K161</f>
        <v>0</v>
      </c>
      <c r="U76" s="112" t="s">
        <v>5</v>
      </c>
      <c r="V76" s="140">
        <f>'(변경)집계표'!M161</f>
        <v>0</v>
      </c>
      <c r="W76" s="111">
        <f>'(변경)집계표'!K191</f>
        <v>0</v>
      </c>
      <c r="X76" s="112" t="s">
        <v>5</v>
      </c>
      <c r="Y76" s="140">
        <f>'(변경)집계표'!M191</f>
        <v>0</v>
      </c>
      <c r="Z76" s="111">
        <f>'(변경)집계표'!K221</f>
        <v>0</v>
      </c>
      <c r="AA76" s="112" t="s">
        <v>5</v>
      </c>
      <c r="AB76" s="140">
        <f>'(변경)집계표'!M221</f>
        <v>0</v>
      </c>
      <c r="AC76" s="111">
        <f>'(변경)집계표'!K251</f>
        <v>0</v>
      </c>
      <c r="AD76" s="112" t="s">
        <v>5</v>
      </c>
      <c r="AE76" s="140">
        <f>'(변경)집계표'!M251</f>
        <v>0</v>
      </c>
      <c r="AF76" s="111">
        <f>'(변경)집계표'!K281</f>
        <v>0</v>
      </c>
      <c r="AG76" s="112" t="s">
        <v>5</v>
      </c>
      <c r="AH76" s="140">
        <f>'(변경)집계표'!M281</f>
        <v>0</v>
      </c>
      <c r="AI76" s="128"/>
    </row>
    <row r="77" spans="1:36" s="6" customFormat="1" ht="22.5" customHeight="1">
      <c r="A77" s="127" t="s">
        <v>12</v>
      </c>
      <c r="B77" s="111">
        <f t="shared" si="125"/>
        <v>1</v>
      </c>
      <c r="C77" s="112" t="s">
        <v>5</v>
      </c>
      <c r="D77" s="179">
        <f t="shared" si="126"/>
        <v>171</v>
      </c>
      <c r="E77" s="111">
        <f>'(당초)집계표'!H12</f>
        <v>0</v>
      </c>
      <c r="F77" s="112" t="s">
        <v>5</v>
      </c>
      <c r="G77" s="179">
        <f>'(당초)집계표'!J12</f>
        <v>0</v>
      </c>
      <c r="H77" s="111">
        <f>'(당초)집계표'!H42</f>
        <v>0</v>
      </c>
      <c r="I77" s="112" t="s">
        <v>5</v>
      </c>
      <c r="J77" s="179">
        <f>'(당초)집계표'!J42</f>
        <v>0</v>
      </c>
      <c r="K77" s="111">
        <f>'(당초)집계표'!H72</f>
        <v>0</v>
      </c>
      <c r="L77" s="112" t="s">
        <v>5</v>
      </c>
      <c r="M77" s="179">
        <f>'(당초)집계표'!J72</f>
        <v>0</v>
      </c>
      <c r="N77" s="111">
        <f>'(당초)집계표'!H102</f>
        <v>1</v>
      </c>
      <c r="O77" s="112" t="s">
        <v>5</v>
      </c>
      <c r="P77" s="179">
        <f>'(당초)집계표'!J102</f>
        <v>171</v>
      </c>
      <c r="Q77" s="111">
        <f>'(당초)집계표'!H132</f>
        <v>0</v>
      </c>
      <c r="R77" s="112" t="s">
        <v>5</v>
      </c>
      <c r="S77" s="140">
        <f>'(당초)집계표'!J132</f>
        <v>0</v>
      </c>
      <c r="T77" s="111">
        <f>'(변경)집계표'!K162</f>
        <v>0</v>
      </c>
      <c r="U77" s="112" t="s">
        <v>5</v>
      </c>
      <c r="V77" s="140">
        <f>'(변경)집계표'!M162</f>
        <v>0</v>
      </c>
      <c r="W77" s="111">
        <f>'(변경)집계표'!K192</f>
        <v>0</v>
      </c>
      <c r="X77" s="112" t="s">
        <v>5</v>
      </c>
      <c r="Y77" s="140">
        <f>'(변경)집계표'!M192</f>
        <v>0</v>
      </c>
      <c r="Z77" s="111">
        <f>'(변경)집계표'!K222</f>
        <v>0</v>
      </c>
      <c r="AA77" s="112" t="s">
        <v>5</v>
      </c>
      <c r="AB77" s="140">
        <f>'(변경)집계표'!M222</f>
        <v>0</v>
      </c>
      <c r="AC77" s="111">
        <f>'(변경)집계표'!K252</f>
        <v>0</v>
      </c>
      <c r="AD77" s="112" t="s">
        <v>5</v>
      </c>
      <c r="AE77" s="140">
        <f>'(변경)집계표'!M252</f>
        <v>0</v>
      </c>
      <c r="AF77" s="111">
        <f>'(변경)집계표'!K282</f>
        <v>0</v>
      </c>
      <c r="AG77" s="112" t="s">
        <v>5</v>
      </c>
      <c r="AH77" s="140">
        <f>'(변경)집계표'!M282</f>
        <v>0</v>
      </c>
      <c r="AI77" s="128"/>
    </row>
    <row r="78" spans="1:36" s="6" customFormat="1" ht="22.5" customHeight="1">
      <c r="A78" s="127" t="s">
        <v>13</v>
      </c>
      <c r="B78" s="111">
        <f t="shared" si="125"/>
        <v>0</v>
      </c>
      <c r="C78" s="112" t="s">
        <v>5</v>
      </c>
      <c r="D78" s="179">
        <f t="shared" si="126"/>
        <v>0</v>
      </c>
      <c r="E78" s="111">
        <f>'(당초)집계표'!H13</f>
        <v>0</v>
      </c>
      <c r="F78" s="112" t="s">
        <v>5</v>
      </c>
      <c r="G78" s="179">
        <f>'(당초)집계표'!J13</f>
        <v>0</v>
      </c>
      <c r="H78" s="111">
        <f>'(당초)집계표'!H43</f>
        <v>0</v>
      </c>
      <c r="I78" s="112" t="s">
        <v>5</v>
      </c>
      <c r="J78" s="179">
        <f>'(당초)집계표'!J43</f>
        <v>0</v>
      </c>
      <c r="K78" s="111">
        <f>'(당초)집계표'!H73</f>
        <v>0</v>
      </c>
      <c r="L78" s="112" t="s">
        <v>5</v>
      </c>
      <c r="M78" s="179">
        <f>'(당초)집계표'!J73</f>
        <v>0</v>
      </c>
      <c r="N78" s="111">
        <f>'(당초)집계표'!H103</f>
        <v>0</v>
      </c>
      <c r="O78" s="112" t="s">
        <v>5</v>
      </c>
      <c r="P78" s="179">
        <f>'(당초)집계표'!J103</f>
        <v>0</v>
      </c>
      <c r="Q78" s="111">
        <f>'(당초)집계표'!H133</f>
        <v>0</v>
      </c>
      <c r="R78" s="112" t="s">
        <v>5</v>
      </c>
      <c r="S78" s="140">
        <f>'(당초)집계표'!J133</f>
        <v>0</v>
      </c>
      <c r="T78" s="111">
        <f>'(변경)집계표'!K163</f>
        <v>0</v>
      </c>
      <c r="U78" s="112" t="s">
        <v>5</v>
      </c>
      <c r="V78" s="140">
        <f>'(변경)집계표'!M163</f>
        <v>0</v>
      </c>
      <c r="W78" s="111">
        <f>'(변경)집계표'!K193</f>
        <v>0</v>
      </c>
      <c r="X78" s="112" t="s">
        <v>5</v>
      </c>
      <c r="Y78" s="140">
        <f>'(변경)집계표'!M193</f>
        <v>0</v>
      </c>
      <c r="Z78" s="111">
        <f>'(변경)집계표'!K223</f>
        <v>0</v>
      </c>
      <c r="AA78" s="112" t="s">
        <v>5</v>
      </c>
      <c r="AB78" s="140">
        <f>'(변경)집계표'!M223</f>
        <v>0</v>
      </c>
      <c r="AC78" s="111">
        <f>'(변경)집계표'!K253</f>
        <v>0</v>
      </c>
      <c r="AD78" s="112" t="s">
        <v>5</v>
      </c>
      <c r="AE78" s="140">
        <f>'(변경)집계표'!M253</f>
        <v>0</v>
      </c>
      <c r="AF78" s="111">
        <f>'(변경)집계표'!K283</f>
        <v>0</v>
      </c>
      <c r="AG78" s="112" t="s">
        <v>5</v>
      </c>
      <c r="AH78" s="140">
        <f>'(변경)집계표'!M283</f>
        <v>0</v>
      </c>
      <c r="AI78" s="128"/>
    </row>
    <row r="79" spans="1:36" s="6" customFormat="1" ht="22.5" customHeight="1">
      <c r="A79" s="127" t="s">
        <v>14</v>
      </c>
      <c r="B79" s="111">
        <f t="shared" si="125"/>
        <v>2</v>
      </c>
      <c r="C79" s="112" t="s">
        <v>5</v>
      </c>
      <c r="D79" s="179">
        <f t="shared" si="126"/>
        <v>1141</v>
      </c>
      <c r="E79" s="111">
        <f>'(당초)집계표'!H14</f>
        <v>2</v>
      </c>
      <c r="F79" s="112" t="s">
        <v>5</v>
      </c>
      <c r="G79" s="179">
        <f>'(당초)집계표'!J14</f>
        <v>1141</v>
      </c>
      <c r="H79" s="111">
        <f>'(당초)집계표'!H44</f>
        <v>0</v>
      </c>
      <c r="I79" s="112" t="s">
        <v>5</v>
      </c>
      <c r="J79" s="179">
        <f>'(당초)집계표'!J44</f>
        <v>0</v>
      </c>
      <c r="K79" s="111">
        <f>'(당초)집계표'!H74</f>
        <v>0</v>
      </c>
      <c r="L79" s="112" t="s">
        <v>5</v>
      </c>
      <c r="M79" s="179">
        <f>'(당초)집계표'!J74</f>
        <v>0</v>
      </c>
      <c r="N79" s="111">
        <f>'(당초)집계표'!H104</f>
        <v>0</v>
      </c>
      <c r="O79" s="112" t="s">
        <v>5</v>
      </c>
      <c r="P79" s="179">
        <f>'(당초)집계표'!J104</f>
        <v>0</v>
      </c>
      <c r="Q79" s="111">
        <f>'(당초)집계표'!H134</f>
        <v>0</v>
      </c>
      <c r="R79" s="112" t="s">
        <v>5</v>
      </c>
      <c r="S79" s="140">
        <f>'(당초)집계표'!J134</f>
        <v>0</v>
      </c>
      <c r="T79" s="111">
        <f>'(변경)집계표'!K164</f>
        <v>0</v>
      </c>
      <c r="U79" s="112" t="s">
        <v>5</v>
      </c>
      <c r="V79" s="140">
        <f>'(변경)집계표'!M164</f>
        <v>0</v>
      </c>
      <c r="W79" s="111">
        <f>'(변경)집계표'!K194</f>
        <v>0</v>
      </c>
      <c r="X79" s="112" t="s">
        <v>5</v>
      </c>
      <c r="Y79" s="140">
        <f>'(변경)집계표'!M194</f>
        <v>0</v>
      </c>
      <c r="Z79" s="111">
        <f>'(변경)집계표'!K224</f>
        <v>0</v>
      </c>
      <c r="AA79" s="112" t="s">
        <v>5</v>
      </c>
      <c r="AB79" s="140">
        <f>'(변경)집계표'!M224</f>
        <v>0</v>
      </c>
      <c r="AC79" s="111">
        <f>'(변경)집계표'!K254</f>
        <v>0</v>
      </c>
      <c r="AD79" s="112" t="s">
        <v>5</v>
      </c>
      <c r="AE79" s="140">
        <f>'(변경)집계표'!M254</f>
        <v>0</v>
      </c>
      <c r="AF79" s="111">
        <f>'(변경)집계표'!K284</f>
        <v>0</v>
      </c>
      <c r="AG79" s="112" t="s">
        <v>5</v>
      </c>
      <c r="AH79" s="140">
        <f>'(변경)집계표'!M284</f>
        <v>0</v>
      </c>
      <c r="AI79" s="128"/>
    </row>
    <row r="80" spans="1:36" s="6" customFormat="1" ht="22.5" customHeight="1">
      <c r="A80" s="127" t="s">
        <v>15</v>
      </c>
      <c r="B80" s="111">
        <f t="shared" si="125"/>
        <v>0</v>
      </c>
      <c r="C80" s="112" t="s">
        <v>5</v>
      </c>
      <c r="D80" s="179">
        <f t="shared" si="126"/>
        <v>0</v>
      </c>
      <c r="E80" s="111">
        <f>'(당초)집계표'!H15</f>
        <v>0</v>
      </c>
      <c r="F80" s="112" t="s">
        <v>5</v>
      </c>
      <c r="G80" s="179">
        <f>'(당초)집계표'!J15</f>
        <v>0</v>
      </c>
      <c r="H80" s="111">
        <f>'(당초)집계표'!H45</f>
        <v>0</v>
      </c>
      <c r="I80" s="112" t="s">
        <v>5</v>
      </c>
      <c r="J80" s="179">
        <f>'(당초)집계표'!J45</f>
        <v>0</v>
      </c>
      <c r="K80" s="111">
        <f>'(당초)집계표'!H75</f>
        <v>0</v>
      </c>
      <c r="L80" s="112" t="s">
        <v>5</v>
      </c>
      <c r="M80" s="179">
        <f>'(당초)집계표'!J75</f>
        <v>0</v>
      </c>
      <c r="N80" s="111">
        <f>'(당초)집계표'!H105</f>
        <v>0</v>
      </c>
      <c r="O80" s="112" t="s">
        <v>5</v>
      </c>
      <c r="P80" s="179">
        <f>'(당초)집계표'!J105</f>
        <v>0</v>
      </c>
      <c r="Q80" s="111">
        <f>'(당초)집계표'!H135</f>
        <v>0</v>
      </c>
      <c r="R80" s="112" t="s">
        <v>5</v>
      </c>
      <c r="S80" s="140">
        <f>'(당초)집계표'!J135</f>
        <v>0</v>
      </c>
      <c r="T80" s="111">
        <f>'(변경)집계표'!K165</f>
        <v>0</v>
      </c>
      <c r="U80" s="112" t="s">
        <v>5</v>
      </c>
      <c r="V80" s="140">
        <f>'(변경)집계표'!M165</f>
        <v>0</v>
      </c>
      <c r="W80" s="111">
        <f>'(변경)집계표'!K195</f>
        <v>0</v>
      </c>
      <c r="X80" s="112" t="s">
        <v>5</v>
      </c>
      <c r="Y80" s="140">
        <f>'(변경)집계표'!M195</f>
        <v>0</v>
      </c>
      <c r="Z80" s="111">
        <f>'(변경)집계표'!K225</f>
        <v>0</v>
      </c>
      <c r="AA80" s="112" t="s">
        <v>5</v>
      </c>
      <c r="AB80" s="140">
        <f>'(변경)집계표'!M225</f>
        <v>0</v>
      </c>
      <c r="AC80" s="111">
        <f>'(변경)집계표'!K255</f>
        <v>0</v>
      </c>
      <c r="AD80" s="112" t="s">
        <v>5</v>
      </c>
      <c r="AE80" s="140">
        <f>'(변경)집계표'!M255</f>
        <v>0</v>
      </c>
      <c r="AF80" s="111">
        <f>'(변경)집계표'!K285</f>
        <v>0</v>
      </c>
      <c r="AG80" s="112" t="s">
        <v>5</v>
      </c>
      <c r="AH80" s="140">
        <f>'(변경)집계표'!M285</f>
        <v>0</v>
      </c>
      <c r="AI80" s="128"/>
    </row>
    <row r="81" spans="1:36" s="6" customFormat="1" ht="22.5" customHeight="1">
      <c r="A81" s="127" t="s">
        <v>16</v>
      </c>
      <c r="B81" s="111">
        <f t="shared" si="125"/>
        <v>0</v>
      </c>
      <c r="C81" s="112" t="s">
        <v>5</v>
      </c>
      <c r="D81" s="179">
        <f t="shared" si="126"/>
        <v>0</v>
      </c>
      <c r="E81" s="111">
        <f>'(당초)집계표'!H16</f>
        <v>0</v>
      </c>
      <c r="F81" s="112" t="s">
        <v>5</v>
      </c>
      <c r="G81" s="179">
        <f>'(당초)집계표'!J16</f>
        <v>0</v>
      </c>
      <c r="H81" s="111">
        <f>'(당초)집계표'!H46</f>
        <v>0</v>
      </c>
      <c r="I81" s="112" t="s">
        <v>5</v>
      </c>
      <c r="J81" s="179">
        <f>'(당초)집계표'!J46</f>
        <v>0</v>
      </c>
      <c r="K81" s="111">
        <f>'(당초)집계표'!H76</f>
        <v>0</v>
      </c>
      <c r="L81" s="112" t="s">
        <v>5</v>
      </c>
      <c r="M81" s="179">
        <f>'(당초)집계표'!J76</f>
        <v>0</v>
      </c>
      <c r="N81" s="111">
        <f>'(당초)집계표'!H106</f>
        <v>0</v>
      </c>
      <c r="O81" s="112" t="s">
        <v>5</v>
      </c>
      <c r="P81" s="179">
        <f>'(당초)집계표'!J106</f>
        <v>0</v>
      </c>
      <c r="Q81" s="111">
        <f>'(당초)집계표'!H136</f>
        <v>0</v>
      </c>
      <c r="R81" s="112" t="s">
        <v>5</v>
      </c>
      <c r="S81" s="140">
        <f>'(당초)집계표'!J136</f>
        <v>0</v>
      </c>
      <c r="T81" s="111">
        <f>'(변경)집계표'!K166</f>
        <v>0</v>
      </c>
      <c r="U81" s="112" t="s">
        <v>5</v>
      </c>
      <c r="V81" s="140">
        <f>'(변경)집계표'!M166</f>
        <v>0</v>
      </c>
      <c r="W81" s="111">
        <f>'(변경)집계표'!K196</f>
        <v>0</v>
      </c>
      <c r="X81" s="112" t="s">
        <v>5</v>
      </c>
      <c r="Y81" s="140">
        <f>'(변경)집계표'!M196</f>
        <v>0</v>
      </c>
      <c r="Z81" s="111">
        <f>'(변경)집계표'!K226</f>
        <v>0</v>
      </c>
      <c r="AA81" s="112" t="s">
        <v>5</v>
      </c>
      <c r="AB81" s="140">
        <f>'(변경)집계표'!M226</f>
        <v>0</v>
      </c>
      <c r="AC81" s="111">
        <f>'(변경)집계표'!K256</f>
        <v>0</v>
      </c>
      <c r="AD81" s="112" t="s">
        <v>5</v>
      </c>
      <c r="AE81" s="140">
        <f>'(변경)집계표'!M256</f>
        <v>0</v>
      </c>
      <c r="AF81" s="111">
        <f>'(변경)집계표'!K286</f>
        <v>0</v>
      </c>
      <c r="AG81" s="112" t="s">
        <v>5</v>
      </c>
      <c r="AH81" s="140">
        <f>'(변경)집계표'!M286</f>
        <v>0</v>
      </c>
      <c r="AI81" s="128"/>
    </row>
    <row r="82" spans="1:36" s="6" customFormat="1" ht="22.5" customHeight="1">
      <c r="A82" s="127" t="s">
        <v>17</v>
      </c>
      <c r="B82" s="111">
        <f t="shared" si="125"/>
        <v>0</v>
      </c>
      <c r="C82" s="112" t="s">
        <v>5</v>
      </c>
      <c r="D82" s="179">
        <f t="shared" si="126"/>
        <v>0</v>
      </c>
      <c r="E82" s="111">
        <f>'(당초)집계표'!H17</f>
        <v>0</v>
      </c>
      <c r="F82" s="112" t="s">
        <v>5</v>
      </c>
      <c r="G82" s="179">
        <f>'(당초)집계표'!J17</f>
        <v>0</v>
      </c>
      <c r="H82" s="111">
        <f>'(당초)집계표'!H47</f>
        <v>0</v>
      </c>
      <c r="I82" s="112" t="s">
        <v>5</v>
      </c>
      <c r="J82" s="179">
        <f>'(당초)집계표'!J47</f>
        <v>0</v>
      </c>
      <c r="K82" s="111">
        <f>'(당초)집계표'!H77</f>
        <v>0</v>
      </c>
      <c r="L82" s="112" t="s">
        <v>5</v>
      </c>
      <c r="M82" s="179">
        <f>'(당초)집계표'!J77</f>
        <v>0</v>
      </c>
      <c r="N82" s="111">
        <f>'(당초)집계표'!H107</f>
        <v>0</v>
      </c>
      <c r="O82" s="112" t="s">
        <v>5</v>
      </c>
      <c r="P82" s="179">
        <f>'(당초)집계표'!J107</f>
        <v>0</v>
      </c>
      <c r="Q82" s="111">
        <f>'(당초)집계표'!H137</f>
        <v>0</v>
      </c>
      <c r="R82" s="112" t="s">
        <v>5</v>
      </c>
      <c r="S82" s="140">
        <f>'(당초)집계표'!J137</f>
        <v>0</v>
      </c>
      <c r="T82" s="111">
        <f>'(변경)집계표'!K167</f>
        <v>0</v>
      </c>
      <c r="U82" s="112" t="s">
        <v>5</v>
      </c>
      <c r="V82" s="140">
        <f>'(변경)집계표'!M167</f>
        <v>0</v>
      </c>
      <c r="W82" s="111">
        <f>'(변경)집계표'!K197</f>
        <v>0</v>
      </c>
      <c r="X82" s="112" t="s">
        <v>5</v>
      </c>
      <c r="Y82" s="140">
        <f>'(변경)집계표'!M197</f>
        <v>0</v>
      </c>
      <c r="Z82" s="111">
        <f>'(변경)집계표'!K227</f>
        <v>0</v>
      </c>
      <c r="AA82" s="112" t="s">
        <v>5</v>
      </c>
      <c r="AB82" s="140">
        <f>'(변경)집계표'!M227</f>
        <v>0</v>
      </c>
      <c r="AC82" s="111">
        <f>'(변경)집계표'!K257</f>
        <v>0</v>
      </c>
      <c r="AD82" s="112" t="s">
        <v>5</v>
      </c>
      <c r="AE82" s="140">
        <f>'(변경)집계표'!M257</f>
        <v>0</v>
      </c>
      <c r="AF82" s="111">
        <f>'(변경)집계표'!K287</f>
        <v>0</v>
      </c>
      <c r="AG82" s="112" t="s">
        <v>5</v>
      </c>
      <c r="AH82" s="140">
        <f>'(변경)집계표'!M287</f>
        <v>0</v>
      </c>
      <c r="AI82" s="128"/>
    </row>
    <row r="83" spans="1:36" s="7" customFormat="1" ht="22.5" customHeight="1">
      <c r="A83" s="127" t="s">
        <v>18</v>
      </c>
      <c r="B83" s="111">
        <f t="shared" si="125"/>
        <v>0</v>
      </c>
      <c r="C83" s="112" t="s">
        <v>5</v>
      </c>
      <c r="D83" s="179">
        <f t="shared" si="126"/>
        <v>0</v>
      </c>
      <c r="E83" s="111">
        <f>'(당초)집계표'!H18</f>
        <v>0</v>
      </c>
      <c r="F83" s="112" t="s">
        <v>5</v>
      </c>
      <c r="G83" s="179">
        <f>'(당초)집계표'!J18</f>
        <v>0</v>
      </c>
      <c r="H83" s="111">
        <f>'(당초)집계표'!H48</f>
        <v>0</v>
      </c>
      <c r="I83" s="112" t="s">
        <v>5</v>
      </c>
      <c r="J83" s="179">
        <f>'(당초)집계표'!J48</f>
        <v>0</v>
      </c>
      <c r="K83" s="111">
        <f>'(당초)집계표'!H78</f>
        <v>0</v>
      </c>
      <c r="L83" s="112" t="s">
        <v>5</v>
      </c>
      <c r="M83" s="179">
        <f>'(당초)집계표'!J78</f>
        <v>0</v>
      </c>
      <c r="N83" s="111">
        <f>'(당초)집계표'!H108</f>
        <v>0</v>
      </c>
      <c r="O83" s="112" t="s">
        <v>5</v>
      </c>
      <c r="P83" s="179">
        <f>'(당초)집계표'!J108</f>
        <v>0</v>
      </c>
      <c r="Q83" s="111">
        <f>'(당초)집계표'!H138</f>
        <v>0</v>
      </c>
      <c r="R83" s="112" t="s">
        <v>5</v>
      </c>
      <c r="S83" s="140">
        <f>'(당초)집계표'!J138</f>
        <v>0</v>
      </c>
      <c r="T83" s="111">
        <f>'(변경)집계표'!K168</f>
        <v>0</v>
      </c>
      <c r="U83" s="112" t="s">
        <v>5</v>
      </c>
      <c r="V83" s="140">
        <f>'(변경)집계표'!M168</f>
        <v>0</v>
      </c>
      <c r="W83" s="111">
        <f>'(변경)집계표'!K198</f>
        <v>0</v>
      </c>
      <c r="X83" s="112" t="s">
        <v>5</v>
      </c>
      <c r="Y83" s="140">
        <f>'(변경)집계표'!M198</f>
        <v>0</v>
      </c>
      <c r="Z83" s="111">
        <f>'(변경)집계표'!K228</f>
        <v>0</v>
      </c>
      <c r="AA83" s="112" t="s">
        <v>5</v>
      </c>
      <c r="AB83" s="140">
        <f>'(변경)집계표'!M228</f>
        <v>0</v>
      </c>
      <c r="AC83" s="111">
        <f>'(변경)집계표'!K258</f>
        <v>0</v>
      </c>
      <c r="AD83" s="112" t="s">
        <v>5</v>
      </c>
      <c r="AE83" s="140">
        <f>'(변경)집계표'!M258</f>
        <v>0</v>
      </c>
      <c r="AF83" s="111">
        <f>'(변경)집계표'!K288</f>
        <v>0</v>
      </c>
      <c r="AG83" s="112" t="s">
        <v>5</v>
      </c>
      <c r="AH83" s="140">
        <f>'(변경)집계표'!M288</f>
        <v>0</v>
      </c>
      <c r="AI83" s="128"/>
      <c r="AJ83" s="6"/>
    </row>
    <row r="84" spans="1:36" s="7" customFormat="1" ht="22.5" customHeight="1">
      <c r="A84" s="127" t="s">
        <v>19</v>
      </c>
      <c r="B84" s="111">
        <f t="shared" si="125"/>
        <v>0</v>
      </c>
      <c r="C84" s="112" t="s">
        <v>5</v>
      </c>
      <c r="D84" s="179">
        <f t="shared" si="126"/>
        <v>0</v>
      </c>
      <c r="E84" s="111">
        <f>'(당초)집계표'!H19</f>
        <v>0</v>
      </c>
      <c r="F84" s="112" t="s">
        <v>5</v>
      </c>
      <c r="G84" s="179">
        <f>'(당초)집계표'!J19</f>
        <v>0</v>
      </c>
      <c r="H84" s="111">
        <f>'(당초)집계표'!H49</f>
        <v>0</v>
      </c>
      <c r="I84" s="112" t="s">
        <v>5</v>
      </c>
      <c r="J84" s="179">
        <f>'(당초)집계표'!J49</f>
        <v>0</v>
      </c>
      <c r="K84" s="111">
        <f>'(당초)집계표'!H79</f>
        <v>0</v>
      </c>
      <c r="L84" s="112" t="s">
        <v>5</v>
      </c>
      <c r="M84" s="179">
        <f>'(당초)집계표'!J79</f>
        <v>0</v>
      </c>
      <c r="N84" s="111">
        <f>'(당초)집계표'!H109</f>
        <v>0</v>
      </c>
      <c r="O84" s="112" t="s">
        <v>5</v>
      </c>
      <c r="P84" s="179">
        <f>'(당초)집계표'!J109</f>
        <v>0</v>
      </c>
      <c r="Q84" s="111">
        <f>'(당초)집계표'!H139</f>
        <v>0</v>
      </c>
      <c r="R84" s="112" t="s">
        <v>5</v>
      </c>
      <c r="S84" s="140">
        <f>'(당초)집계표'!J139</f>
        <v>0</v>
      </c>
      <c r="T84" s="111">
        <f>'(변경)집계표'!K169</f>
        <v>0</v>
      </c>
      <c r="U84" s="112" t="s">
        <v>5</v>
      </c>
      <c r="V84" s="140">
        <f>'(변경)집계표'!M169</f>
        <v>0</v>
      </c>
      <c r="W84" s="111">
        <f>'(변경)집계표'!K199</f>
        <v>0</v>
      </c>
      <c r="X84" s="112" t="s">
        <v>5</v>
      </c>
      <c r="Y84" s="140">
        <f>'(변경)집계표'!M199</f>
        <v>0</v>
      </c>
      <c r="Z84" s="111">
        <f>'(변경)집계표'!K229</f>
        <v>0</v>
      </c>
      <c r="AA84" s="112" t="s">
        <v>5</v>
      </c>
      <c r="AB84" s="140">
        <f>'(변경)집계표'!M229</f>
        <v>0</v>
      </c>
      <c r="AC84" s="111">
        <f>'(변경)집계표'!K259</f>
        <v>0</v>
      </c>
      <c r="AD84" s="112" t="s">
        <v>5</v>
      </c>
      <c r="AE84" s="140">
        <f>'(변경)집계표'!M259</f>
        <v>0</v>
      </c>
      <c r="AF84" s="111">
        <f>'(변경)집계표'!K289</f>
        <v>0</v>
      </c>
      <c r="AG84" s="112" t="s">
        <v>5</v>
      </c>
      <c r="AH84" s="140">
        <f>'(변경)집계표'!M289</f>
        <v>0</v>
      </c>
      <c r="AI84" s="128"/>
      <c r="AJ84" s="6"/>
    </row>
    <row r="85" spans="1:36" s="7" customFormat="1" ht="22.5" customHeight="1">
      <c r="A85" s="127" t="s">
        <v>20</v>
      </c>
      <c r="B85" s="111">
        <f t="shared" si="125"/>
        <v>0</v>
      </c>
      <c r="C85" s="112" t="s">
        <v>5</v>
      </c>
      <c r="D85" s="179">
        <f t="shared" si="126"/>
        <v>0</v>
      </c>
      <c r="E85" s="111">
        <f>'(당초)집계표'!H20</f>
        <v>0</v>
      </c>
      <c r="F85" s="112" t="s">
        <v>5</v>
      </c>
      <c r="G85" s="179">
        <f>'(당초)집계표'!J20</f>
        <v>0</v>
      </c>
      <c r="H85" s="111">
        <f>'(당초)집계표'!H50</f>
        <v>0</v>
      </c>
      <c r="I85" s="112" t="s">
        <v>5</v>
      </c>
      <c r="J85" s="179">
        <f>'(당초)집계표'!J50</f>
        <v>0</v>
      </c>
      <c r="K85" s="111">
        <f>'(당초)집계표'!H80</f>
        <v>0</v>
      </c>
      <c r="L85" s="112" t="s">
        <v>5</v>
      </c>
      <c r="M85" s="179">
        <f>'(당초)집계표'!J80</f>
        <v>0</v>
      </c>
      <c r="N85" s="111">
        <f>'(당초)집계표'!H110</f>
        <v>0</v>
      </c>
      <c r="O85" s="112" t="s">
        <v>5</v>
      </c>
      <c r="P85" s="179">
        <f>'(당초)집계표'!J110</f>
        <v>0</v>
      </c>
      <c r="Q85" s="111">
        <f>'(당초)집계표'!H140</f>
        <v>0</v>
      </c>
      <c r="R85" s="112" t="s">
        <v>5</v>
      </c>
      <c r="S85" s="140">
        <f>'(당초)집계표'!J140</f>
        <v>0</v>
      </c>
      <c r="T85" s="111">
        <f>'(변경)집계표'!K170</f>
        <v>0</v>
      </c>
      <c r="U85" s="112" t="s">
        <v>5</v>
      </c>
      <c r="V85" s="140">
        <f>'(변경)집계표'!M170</f>
        <v>0</v>
      </c>
      <c r="W85" s="111">
        <f>'(변경)집계표'!K200</f>
        <v>0</v>
      </c>
      <c r="X85" s="112" t="s">
        <v>5</v>
      </c>
      <c r="Y85" s="140">
        <f>'(변경)집계표'!M200</f>
        <v>0</v>
      </c>
      <c r="Z85" s="111">
        <f>'(변경)집계표'!K230</f>
        <v>0</v>
      </c>
      <c r="AA85" s="112" t="s">
        <v>5</v>
      </c>
      <c r="AB85" s="140">
        <f>'(변경)집계표'!M230</f>
        <v>0</v>
      </c>
      <c r="AC85" s="111">
        <f>'(변경)집계표'!K260</f>
        <v>0</v>
      </c>
      <c r="AD85" s="112" t="s">
        <v>5</v>
      </c>
      <c r="AE85" s="140">
        <f>'(변경)집계표'!M260</f>
        <v>0</v>
      </c>
      <c r="AF85" s="111">
        <f>'(변경)집계표'!K290</f>
        <v>0</v>
      </c>
      <c r="AG85" s="112" t="s">
        <v>5</v>
      </c>
      <c r="AH85" s="140">
        <f>'(변경)집계표'!M290</f>
        <v>0</v>
      </c>
      <c r="AI85" s="128"/>
      <c r="AJ85" s="6"/>
    </row>
    <row r="86" spans="1:36" s="7" customFormat="1" ht="22.5" customHeight="1">
      <c r="A86" s="127" t="s">
        <v>21</v>
      </c>
      <c r="B86" s="111">
        <f t="shared" si="125"/>
        <v>0</v>
      </c>
      <c r="C86" s="112" t="s">
        <v>5</v>
      </c>
      <c r="D86" s="179">
        <f t="shared" si="126"/>
        <v>0</v>
      </c>
      <c r="E86" s="111">
        <f>'(당초)집계표'!H21</f>
        <v>0</v>
      </c>
      <c r="F86" s="112" t="s">
        <v>5</v>
      </c>
      <c r="G86" s="179">
        <f>'(당초)집계표'!J21</f>
        <v>0</v>
      </c>
      <c r="H86" s="111">
        <f>'(당초)집계표'!H51</f>
        <v>0</v>
      </c>
      <c r="I86" s="112" t="s">
        <v>5</v>
      </c>
      <c r="J86" s="179">
        <f>'(당초)집계표'!J51</f>
        <v>0</v>
      </c>
      <c r="K86" s="111">
        <f>'(당초)집계표'!H81</f>
        <v>0</v>
      </c>
      <c r="L86" s="112" t="s">
        <v>5</v>
      </c>
      <c r="M86" s="179">
        <f>'(당초)집계표'!J81</f>
        <v>0</v>
      </c>
      <c r="N86" s="111">
        <f>'(당초)집계표'!H111</f>
        <v>0</v>
      </c>
      <c r="O86" s="112" t="s">
        <v>5</v>
      </c>
      <c r="P86" s="179">
        <f>'(당초)집계표'!J111</f>
        <v>0</v>
      </c>
      <c r="Q86" s="111">
        <f>'(당초)집계표'!H141</f>
        <v>0</v>
      </c>
      <c r="R86" s="112" t="s">
        <v>5</v>
      </c>
      <c r="S86" s="140">
        <f>'(당초)집계표'!J141</f>
        <v>0</v>
      </c>
      <c r="T86" s="111">
        <f>'(변경)집계표'!K171</f>
        <v>0</v>
      </c>
      <c r="U86" s="112" t="s">
        <v>5</v>
      </c>
      <c r="V86" s="140">
        <f>'(변경)집계표'!M171</f>
        <v>0</v>
      </c>
      <c r="W86" s="111">
        <f>'(변경)집계표'!K201</f>
        <v>0</v>
      </c>
      <c r="X86" s="112" t="s">
        <v>5</v>
      </c>
      <c r="Y86" s="140">
        <f>'(변경)집계표'!M201</f>
        <v>0</v>
      </c>
      <c r="Z86" s="111">
        <f>'(변경)집계표'!K231</f>
        <v>0</v>
      </c>
      <c r="AA86" s="112" t="s">
        <v>5</v>
      </c>
      <c r="AB86" s="140">
        <f>'(변경)집계표'!M231</f>
        <v>0</v>
      </c>
      <c r="AC86" s="111">
        <f>'(변경)집계표'!K261</f>
        <v>0</v>
      </c>
      <c r="AD86" s="112" t="s">
        <v>5</v>
      </c>
      <c r="AE86" s="140">
        <f>'(변경)집계표'!M261</f>
        <v>0</v>
      </c>
      <c r="AF86" s="111">
        <f>'(변경)집계표'!K291</f>
        <v>0</v>
      </c>
      <c r="AG86" s="112" t="s">
        <v>5</v>
      </c>
      <c r="AH86" s="140">
        <f>'(변경)집계표'!M291</f>
        <v>0</v>
      </c>
      <c r="AI86" s="128"/>
      <c r="AJ86" s="6"/>
    </row>
    <row r="87" spans="1:36" s="7" customFormat="1" ht="22.5" customHeight="1">
      <c r="A87" s="127" t="s">
        <v>22</v>
      </c>
      <c r="B87" s="111">
        <f t="shared" si="125"/>
        <v>0</v>
      </c>
      <c r="C87" s="112" t="s">
        <v>5</v>
      </c>
      <c r="D87" s="179">
        <f t="shared" si="126"/>
        <v>0</v>
      </c>
      <c r="E87" s="111">
        <f>'(당초)집계표'!H22</f>
        <v>0</v>
      </c>
      <c r="F87" s="112" t="s">
        <v>5</v>
      </c>
      <c r="G87" s="179">
        <f>'(당초)집계표'!J22</f>
        <v>0</v>
      </c>
      <c r="H87" s="111">
        <f>'(당초)집계표'!H52</f>
        <v>0</v>
      </c>
      <c r="I87" s="112" t="s">
        <v>5</v>
      </c>
      <c r="J87" s="179">
        <f>'(당초)집계표'!J52</f>
        <v>0</v>
      </c>
      <c r="K87" s="111">
        <f>'(당초)집계표'!H82</f>
        <v>0</v>
      </c>
      <c r="L87" s="112" t="s">
        <v>5</v>
      </c>
      <c r="M87" s="179">
        <f>'(당초)집계표'!J82</f>
        <v>0</v>
      </c>
      <c r="N87" s="111">
        <f>'(당초)집계표'!H112</f>
        <v>0</v>
      </c>
      <c r="O87" s="112" t="s">
        <v>5</v>
      </c>
      <c r="P87" s="179">
        <f>'(당초)집계표'!J112</f>
        <v>0</v>
      </c>
      <c r="Q87" s="111">
        <f>'(당초)집계표'!H142</f>
        <v>0</v>
      </c>
      <c r="R87" s="112" t="s">
        <v>5</v>
      </c>
      <c r="S87" s="140">
        <f>'(당초)집계표'!J142</f>
        <v>0</v>
      </c>
      <c r="T87" s="111">
        <f>'(변경)집계표'!K172</f>
        <v>0</v>
      </c>
      <c r="U87" s="112" t="s">
        <v>5</v>
      </c>
      <c r="V87" s="140">
        <f>'(변경)집계표'!M172</f>
        <v>0</v>
      </c>
      <c r="W87" s="111">
        <f>'(변경)집계표'!K202</f>
        <v>0</v>
      </c>
      <c r="X87" s="112" t="s">
        <v>5</v>
      </c>
      <c r="Y87" s="140">
        <f>'(변경)집계표'!M202</f>
        <v>0</v>
      </c>
      <c r="Z87" s="111">
        <f>'(변경)집계표'!K232</f>
        <v>0</v>
      </c>
      <c r="AA87" s="112" t="s">
        <v>5</v>
      </c>
      <c r="AB87" s="140">
        <f>'(변경)집계표'!M232</f>
        <v>0</v>
      </c>
      <c r="AC87" s="111">
        <f>'(변경)집계표'!K262</f>
        <v>0</v>
      </c>
      <c r="AD87" s="112" t="s">
        <v>5</v>
      </c>
      <c r="AE87" s="140">
        <f>'(변경)집계표'!M262</f>
        <v>0</v>
      </c>
      <c r="AF87" s="111">
        <f>'(변경)집계표'!K292</f>
        <v>0</v>
      </c>
      <c r="AG87" s="112" t="s">
        <v>5</v>
      </c>
      <c r="AH87" s="140">
        <f>'(변경)집계표'!M292</f>
        <v>0</v>
      </c>
      <c r="AI87" s="128"/>
      <c r="AJ87" s="6"/>
    </row>
    <row r="88" spans="1:36" s="7" customFormat="1" ht="22.5" customHeight="1">
      <c r="A88" s="127" t="s">
        <v>23</v>
      </c>
      <c r="B88" s="111">
        <f t="shared" si="125"/>
        <v>16</v>
      </c>
      <c r="C88" s="112" t="s">
        <v>5</v>
      </c>
      <c r="D88" s="179">
        <f t="shared" si="126"/>
        <v>6966</v>
      </c>
      <c r="E88" s="111">
        <f>'(당초)집계표'!H23</f>
        <v>0</v>
      </c>
      <c r="F88" s="112" t="s">
        <v>5</v>
      </c>
      <c r="G88" s="179">
        <f>'(당초)집계표'!J23</f>
        <v>0</v>
      </c>
      <c r="H88" s="111">
        <f>'(당초)집계표'!H53</f>
        <v>3</v>
      </c>
      <c r="I88" s="112" t="s">
        <v>5</v>
      </c>
      <c r="J88" s="179">
        <f>'(당초)집계표'!J53</f>
        <v>483</v>
      </c>
      <c r="K88" s="111">
        <f>'(당초)집계표'!H83</f>
        <v>0</v>
      </c>
      <c r="L88" s="112" t="s">
        <v>5</v>
      </c>
      <c r="M88" s="179">
        <f>'(당초)집계표'!J83</f>
        <v>0</v>
      </c>
      <c r="N88" s="111">
        <f>'(당초)집계표'!H113</f>
        <v>0</v>
      </c>
      <c r="O88" s="112" t="s">
        <v>5</v>
      </c>
      <c r="P88" s="179">
        <f>'(당초)집계표'!J113</f>
        <v>0</v>
      </c>
      <c r="Q88" s="111">
        <f>'(당초)집계표'!H143</f>
        <v>13</v>
      </c>
      <c r="R88" s="112" t="s">
        <v>5</v>
      </c>
      <c r="S88" s="140">
        <f>'(당초)집계표'!J143</f>
        <v>6483</v>
      </c>
      <c r="T88" s="111">
        <f>'(변경)집계표'!K173</f>
        <v>0</v>
      </c>
      <c r="U88" s="112" t="s">
        <v>5</v>
      </c>
      <c r="V88" s="140">
        <f>'(변경)집계표'!M173</f>
        <v>0</v>
      </c>
      <c r="W88" s="111">
        <f>'(변경)집계표'!K203</f>
        <v>0</v>
      </c>
      <c r="X88" s="112" t="s">
        <v>5</v>
      </c>
      <c r="Y88" s="140">
        <f>'(변경)집계표'!M203</f>
        <v>0</v>
      </c>
      <c r="Z88" s="111">
        <f>'(변경)집계표'!K233</f>
        <v>0</v>
      </c>
      <c r="AA88" s="112" t="s">
        <v>5</v>
      </c>
      <c r="AB88" s="140">
        <f>'(변경)집계표'!M233</f>
        <v>0</v>
      </c>
      <c r="AC88" s="111">
        <f>'(변경)집계표'!K263</f>
        <v>0</v>
      </c>
      <c r="AD88" s="112" t="s">
        <v>5</v>
      </c>
      <c r="AE88" s="140">
        <f>'(변경)집계표'!M263</f>
        <v>0</v>
      </c>
      <c r="AF88" s="111">
        <f>'(변경)집계표'!K293</f>
        <v>0</v>
      </c>
      <c r="AG88" s="112" t="s">
        <v>5</v>
      </c>
      <c r="AH88" s="140">
        <f>'(변경)집계표'!M293</f>
        <v>0</v>
      </c>
      <c r="AI88" s="128"/>
      <c r="AJ88" s="6"/>
    </row>
    <row r="89" spans="1:36" s="7" customFormat="1" ht="22.5" customHeight="1">
      <c r="A89" s="129" t="s">
        <v>24</v>
      </c>
      <c r="B89" s="111">
        <f t="shared" si="125"/>
        <v>0</v>
      </c>
      <c r="C89" s="112" t="s">
        <v>5</v>
      </c>
      <c r="D89" s="179">
        <f t="shared" si="126"/>
        <v>0</v>
      </c>
      <c r="E89" s="111">
        <f>'(당초)집계표'!H24</f>
        <v>0</v>
      </c>
      <c r="F89" s="112" t="s">
        <v>5</v>
      </c>
      <c r="G89" s="179">
        <f>'(당초)집계표'!J24</f>
        <v>0</v>
      </c>
      <c r="H89" s="111">
        <f>'(당초)집계표'!H54</f>
        <v>0</v>
      </c>
      <c r="I89" s="112" t="s">
        <v>5</v>
      </c>
      <c r="J89" s="179">
        <f>'(당초)집계표'!J54</f>
        <v>0</v>
      </c>
      <c r="K89" s="111">
        <f>'(당초)집계표'!H84</f>
        <v>0</v>
      </c>
      <c r="L89" s="112" t="s">
        <v>5</v>
      </c>
      <c r="M89" s="179">
        <f>'(당초)집계표'!J84</f>
        <v>0</v>
      </c>
      <c r="N89" s="111">
        <f>'(당초)집계표'!H114</f>
        <v>0</v>
      </c>
      <c r="O89" s="112" t="s">
        <v>5</v>
      </c>
      <c r="P89" s="179">
        <f>'(당초)집계표'!J114</f>
        <v>0</v>
      </c>
      <c r="Q89" s="111">
        <f>'(당초)집계표'!H144</f>
        <v>0</v>
      </c>
      <c r="R89" s="112" t="s">
        <v>5</v>
      </c>
      <c r="S89" s="140">
        <f>'(당초)집계표'!J144</f>
        <v>0</v>
      </c>
      <c r="T89" s="111">
        <f>'(변경)집계표'!K174</f>
        <v>0</v>
      </c>
      <c r="U89" s="112" t="s">
        <v>5</v>
      </c>
      <c r="V89" s="140">
        <f>'(변경)집계표'!M174</f>
        <v>0</v>
      </c>
      <c r="W89" s="111">
        <f>'(변경)집계표'!K204</f>
        <v>0</v>
      </c>
      <c r="X89" s="112" t="s">
        <v>5</v>
      </c>
      <c r="Y89" s="140">
        <f>'(변경)집계표'!M204</f>
        <v>0</v>
      </c>
      <c r="Z89" s="111">
        <f>'(변경)집계표'!K234</f>
        <v>0</v>
      </c>
      <c r="AA89" s="112" t="s">
        <v>5</v>
      </c>
      <c r="AB89" s="140">
        <f>'(변경)집계표'!M234</f>
        <v>0</v>
      </c>
      <c r="AC89" s="111">
        <f>'(변경)집계표'!K264</f>
        <v>0</v>
      </c>
      <c r="AD89" s="112" t="s">
        <v>5</v>
      </c>
      <c r="AE89" s="140">
        <f>'(변경)집계표'!M264</f>
        <v>0</v>
      </c>
      <c r="AF89" s="111">
        <f>'(변경)집계표'!K294</f>
        <v>0</v>
      </c>
      <c r="AG89" s="112" t="s">
        <v>5</v>
      </c>
      <c r="AH89" s="140">
        <f>'(변경)집계표'!M294</f>
        <v>0</v>
      </c>
      <c r="AI89" s="128"/>
      <c r="AJ89" s="6"/>
    </row>
    <row r="90" spans="1:36" s="7" customFormat="1" ht="22.5" customHeight="1">
      <c r="A90" s="129" t="s">
        <v>25</v>
      </c>
      <c r="B90" s="111">
        <f t="shared" si="125"/>
        <v>0</v>
      </c>
      <c r="C90" s="112" t="s">
        <v>5</v>
      </c>
      <c r="D90" s="179">
        <f t="shared" si="126"/>
        <v>0</v>
      </c>
      <c r="E90" s="111">
        <f>'(당초)집계표'!H25</f>
        <v>0</v>
      </c>
      <c r="F90" s="112" t="s">
        <v>5</v>
      </c>
      <c r="G90" s="179">
        <f>'(당초)집계표'!J25</f>
        <v>0</v>
      </c>
      <c r="H90" s="111">
        <f>'(당초)집계표'!H55</f>
        <v>0</v>
      </c>
      <c r="I90" s="112" t="s">
        <v>5</v>
      </c>
      <c r="J90" s="179">
        <f>'(당초)집계표'!J55</f>
        <v>0</v>
      </c>
      <c r="K90" s="111">
        <f>'(당초)집계표'!H85</f>
        <v>0</v>
      </c>
      <c r="L90" s="112" t="s">
        <v>5</v>
      </c>
      <c r="M90" s="179">
        <f>'(당초)집계표'!J85</f>
        <v>0</v>
      </c>
      <c r="N90" s="111">
        <f>'(당초)집계표'!H115</f>
        <v>0</v>
      </c>
      <c r="O90" s="112" t="s">
        <v>5</v>
      </c>
      <c r="P90" s="179">
        <f>'(당초)집계표'!J115</f>
        <v>0</v>
      </c>
      <c r="Q90" s="111">
        <f>'(당초)집계표'!H145</f>
        <v>0</v>
      </c>
      <c r="R90" s="112" t="s">
        <v>5</v>
      </c>
      <c r="S90" s="140">
        <f>'(당초)집계표'!J145</f>
        <v>0</v>
      </c>
      <c r="T90" s="111">
        <f>'(변경)집계표'!K175</f>
        <v>0</v>
      </c>
      <c r="U90" s="112" t="s">
        <v>5</v>
      </c>
      <c r="V90" s="140">
        <f>'(변경)집계표'!M175</f>
        <v>0</v>
      </c>
      <c r="W90" s="111">
        <f>'(변경)집계표'!K205</f>
        <v>0</v>
      </c>
      <c r="X90" s="112" t="s">
        <v>5</v>
      </c>
      <c r="Y90" s="140">
        <f>'(변경)집계표'!M205</f>
        <v>0</v>
      </c>
      <c r="Z90" s="111">
        <f>'(변경)집계표'!K235</f>
        <v>0</v>
      </c>
      <c r="AA90" s="112" t="s">
        <v>5</v>
      </c>
      <c r="AB90" s="140">
        <f>'(변경)집계표'!M235</f>
        <v>0</v>
      </c>
      <c r="AC90" s="111">
        <f>'(변경)집계표'!K265</f>
        <v>0</v>
      </c>
      <c r="AD90" s="112" t="s">
        <v>5</v>
      </c>
      <c r="AE90" s="140">
        <f>'(변경)집계표'!M265</f>
        <v>0</v>
      </c>
      <c r="AF90" s="111">
        <f>'(변경)집계표'!K295</f>
        <v>0</v>
      </c>
      <c r="AG90" s="112" t="s">
        <v>5</v>
      </c>
      <c r="AH90" s="140">
        <f>'(변경)집계표'!M295</f>
        <v>0</v>
      </c>
      <c r="AI90" s="128"/>
      <c r="AJ90" s="6"/>
    </row>
    <row r="91" spans="1:36" s="7" customFormat="1" ht="22.5" customHeight="1">
      <c r="A91" s="129" t="s">
        <v>26</v>
      </c>
      <c r="B91" s="111">
        <f t="shared" si="125"/>
        <v>0</v>
      </c>
      <c r="C91" s="112" t="s">
        <v>5</v>
      </c>
      <c r="D91" s="179">
        <f t="shared" si="126"/>
        <v>0</v>
      </c>
      <c r="E91" s="111">
        <f>'(당초)집계표'!H26</f>
        <v>0</v>
      </c>
      <c r="F91" s="112" t="s">
        <v>5</v>
      </c>
      <c r="G91" s="179">
        <f>'(당초)집계표'!J26</f>
        <v>0</v>
      </c>
      <c r="H91" s="111">
        <f>'(당초)집계표'!H56</f>
        <v>0</v>
      </c>
      <c r="I91" s="112" t="s">
        <v>5</v>
      </c>
      <c r="J91" s="179">
        <f>'(당초)집계표'!J56</f>
        <v>0</v>
      </c>
      <c r="K91" s="111">
        <f>'(당초)집계표'!H86</f>
        <v>0</v>
      </c>
      <c r="L91" s="112" t="s">
        <v>5</v>
      </c>
      <c r="M91" s="179">
        <f>'(당초)집계표'!J86</f>
        <v>0</v>
      </c>
      <c r="N91" s="111">
        <f>'(당초)집계표'!H116</f>
        <v>0</v>
      </c>
      <c r="O91" s="112" t="s">
        <v>5</v>
      </c>
      <c r="P91" s="179">
        <f>'(당초)집계표'!J116</f>
        <v>0</v>
      </c>
      <c r="Q91" s="111">
        <f>'(당초)집계표'!H146</f>
        <v>0</v>
      </c>
      <c r="R91" s="112" t="s">
        <v>5</v>
      </c>
      <c r="S91" s="140">
        <f>'(당초)집계표'!J146</f>
        <v>0</v>
      </c>
      <c r="T91" s="111">
        <f>'(변경)집계표'!K176</f>
        <v>0</v>
      </c>
      <c r="U91" s="112" t="s">
        <v>5</v>
      </c>
      <c r="V91" s="140">
        <f>'(변경)집계표'!M176</f>
        <v>0</v>
      </c>
      <c r="W91" s="111">
        <f>'(변경)집계표'!K206</f>
        <v>0</v>
      </c>
      <c r="X91" s="112" t="s">
        <v>5</v>
      </c>
      <c r="Y91" s="140">
        <f>'(변경)집계표'!M206</f>
        <v>0</v>
      </c>
      <c r="Z91" s="111">
        <f>'(변경)집계표'!K236</f>
        <v>0</v>
      </c>
      <c r="AA91" s="112" t="s">
        <v>5</v>
      </c>
      <c r="AB91" s="140">
        <f>'(변경)집계표'!M236</f>
        <v>0</v>
      </c>
      <c r="AC91" s="111">
        <f>'(변경)집계표'!K266</f>
        <v>0</v>
      </c>
      <c r="AD91" s="112" t="s">
        <v>5</v>
      </c>
      <c r="AE91" s="140">
        <f>'(변경)집계표'!M266</f>
        <v>0</v>
      </c>
      <c r="AF91" s="111">
        <f>'(변경)집계표'!K296</f>
        <v>0</v>
      </c>
      <c r="AG91" s="112" t="s">
        <v>5</v>
      </c>
      <c r="AH91" s="140">
        <f>'(변경)집계표'!M296</f>
        <v>0</v>
      </c>
      <c r="AI91" s="128"/>
      <c r="AJ91" s="6"/>
    </row>
    <row r="92" spans="1:36" s="7" customFormat="1" ht="22.5" customHeight="1">
      <c r="A92" s="129" t="s">
        <v>27</v>
      </c>
      <c r="B92" s="111">
        <f t="shared" si="125"/>
        <v>0</v>
      </c>
      <c r="C92" s="112" t="s">
        <v>5</v>
      </c>
      <c r="D92" s="179">
        <f t="shared" si="126"/>
        <v>0</v>
      </c>
      <c r="E92" s="111">
        <f>'(당초)집계표'!H27</f>
        <v>0</v>
      </c>
      <c r="F92" s="112" t="s">
        <v>5</v>
      </c>
      <c r="G92" s="179">
        <f>'(당초)집계표'!J27</f>
        <v>0</v>
      </c>
      <c r="H92" s="111">
        <f>'(당초)집계표'!H57</f>
        <v>0</v>
      </c>
      <c r="I92" s="112" t="s">
        <v>5</v>
      </c>
      <c r="J92" s="179">
        <f>'(당초)집계표'!J57</f>
        <v>0</v>
      </c>
      <c r="K92" s="111">
        <f>'(당초)집계표'!H87</f>
        <v>0</v>
      </c>
      <c r="L92" s="112" t="s">
        <v>5</v>
      </c>
      <c r="M92" s="179">
        <f>'(당초)집계표'!J87</f>
        <v>0</v>
      </c>
      <c r="N92" s="111">
        <f>'(당초)집계표'!H117</f>
        <v>0</v>
      </c>
      <c r="O92" s="112" t="s">
        <v>5</v>
      </c>
      <c r="P92" s="179">
        <f>'(당초)집계표'!J117</f>
        <v>0</v>
      </c>
      <c r="Q92" s="111">
        <f>'(당초)집계표'!H147</f>
        <v>0</v>
      </c>
      <c r="R92" s="112" t="s">
        <v>5</v>
      </c>
      <c r="S92" s="140">
        <f>'(당초)집계표'!J147</f>
        <v>0</v>
      </c>
      <c r="T92" s="111">
        <f>'(변경)집계표'!K177</f>
        <v>0</v>
      </c>
      <c r="U92" s="112" t="s">
        <v>5</v>
      </c>
      <c r="V92" s="140">
        <f>'(변경)집계표'!M177</f>
        <v>0</v>
      </c>
      <c r="W92" s="111">
        <f>'(변경)집계표'!K207</f>
        <v>0</v>
      </c>
      <c r="X92" s="112" t="s">
        <v>5</v>
      </c>
      <c r="Y92" s="140">
        <f>'(변경)집계표'!M207</f>
        <v>0</v>
      </c>
      <c r="Z92" s="111">
        <f>'(변경)집계표'!K237</f>
        <v>0</v>
      </c>
      <c r="AA92" s="112" t="s">
        <v>5</v>
      </c>
      <c r="AB92" s="140">
        <f>'(변경)집계표'!M237</f>
        <v>0</v>
      </c>
      <c r="AC92" s="111">
        <f>'(변경)집계표'!K267</f>
        <v>0</v>
      </c>
      <c r="AD92" s="112" t="s">
        <v>5</v>
      </c>
      <c r="AE92" s="140">
        <f>'(변경)집계표'!M267</f>
        <v>0</v>
      </c>
      <c r="AF92" s="111">
        <f>'(변경)집계표'!K297</f>
        <v>0</v>
      </c>
      <c r="AG92" s="112" t="s">
        <v>5</v>
      </c>
      <c r="AH92" s="140">
        <f>'(변경)집계표'!M297</f>
        <v>0</v>
      </c>
      <c r="AI92" s="128"/>
      <c r="AJ92" s="6"/>
    </row>
    <row r="93" spans="1:36" s="7" customFormat="1" ht="22.5" customHeight="1">
      <c r="A93" s="129" t="s">
        <v>28</v>
      </c>
      <c r="B93" s="111">
        <f t="shared" si="125"/>
        <v>0</v>
      </c>
      <c r="C93" s="112" t="s">
        <v>5</v>
      </c>
      <c r="D93" s="179">
        <f t="shared" si="126"/>
        <v>0</v>
      </c>
      <c r="E93" s="111">
        <f>'(당초)집계표'!H28</f>
        <v>0</v>
      </c>
      <c r="F93" s="112" t="s">
        <v>5</v>
      </c>
      <c r="G93" s="179">
        <f>'(당초)집계표'!J28</f>
        <v>0</v>
      </c>
      <c r="H93" s="111">
        <f>'(당초)집계표'!H58</f>
        <v>0</v>
      </c>
      <c r="I93" s="112" t="s">
        <v>5</v>
      </c>
      <c r="J93" s="179">
        <f>'(당초)집계표'!J58</f>
        <v>0</v>
      </c>
      <c r="K93" s="111">
        <f>'(당초)집계표'!H88</f>
        <v>0</v>
      </c>
      <c r="L93" s="112" t="s">
        <v>5</v>
      </c>
      <c r="M93" s="179">
        <f>'(당초)집계표'!J88</f>
        <v>0</v>
      </c>
      <c r="N93" s="111">
        <f>'(당초)집계표'!H118</f>
        <v>0</v>
      </c>
      <c r="O93" s="112" t="s">
        <v>5</v>
      </c>
      <c r="P93" s="179">
        <f>'(당초)집계표'!J118</f>
        <v>0</v>
      </c>
      <c r="Q93" s="111">
        <f>'(당초)집계표'!H148</f>
        <v>0</v>
      </c>
      <c r="R93" s="112" t="s">
        <v>5</v>
      </c>
      <c r="S93" s="140">
        <f>'(당초)집계표'!J148</f>
        <v>0</v>
      </c>
      <c r="T93" s="111">
        <f>'(변경)집계표'!K178</f>
        <v>0</v>
      </c>
      <c r="U93" s="112" t="s">
        <v>5</v>
      </c>
      <c r="V93" s="140">
        <f>'(변경)집계표'!M178</f>
        <v>0</v>
      </c>
      <c r="W93" s="111">
        <f>'(변경)집계표'!K208</f>
        <v>0</v>
      </c>
      <c r="X93" s="112" t="s">
        <v>5</v>
      </c>
      <c r="Y93" s="140">
        <f>'(변경)집계표'!M208</f>
        <v>0</v>
      </c>
      <c r="Z93" s="111">
        <f>'(변경)집계표'!K238</f>
        <v>0</v>
      </c>
      <c r="AA93" s="112" t="s">
        <v>5</v>
      </c>
      <c r="AB93" s="140">
        <f>'(변경)집계표'!M238</f>
        <v>0</v>
      </c>
      <c r="AC93" s="111">
        <f>'(변경)집계표'!K268</f>
        <v>0</v>
      </c>
      <c r="AD93" s="112" t="s">
        <v>5</v>
      </c>
      <c r="AE93" s="140">
        <f>'(변경)집계표'!M268</f>
        <v>0</v>
      </c>
      <c r="AF93" s="111">
        <f>'(변경)집계표'!K298</f>
        <v>0</v>
      </c>
      <c r="AG93" s="112" t="s">
        <v>5</v>
      </c>
      <c r="AH93" s="140">
        <f>'(변경)집계표'!M298</f>
        <v>0</v>
      </c>
      <c r="AI93" s="128"/>
      <c r="AJ93" s="6"/>
    </row>
    <row r="94" spans="1:36" s="7" customFormat="1" ht="22.5" customHeight="1">
      <c r="A94" s="129" t="s">
        <v>60</v>
      </c>
      <c r="B94" s="111">
        <f t="shared" si="125"/>
        <v>0</v>
      </c>
      <c r="C94" s="112" t="s">
        <v>5</v>
      </c>
      <c r="D94" s="179">
        <f t="shared" si="126"/>
        <v>0</v>
      </c>
      <c r="E94" s="111">
        <f>'(당초)집계표'!H29</f>
        <v>0</v>
      </c>
      <c r="F94" s="112" t="s">
        <v>5</v>
      </c>
      <c r="G94" s="179">
        <f>'(당초)집계표'!J29</f>
        <v>0</v>
      </c>
      <c r="H94" s="111">
        <f>'(당초)집계표'!H59</f>
        <v>0</v>
      </c>
      <c r="I94" s="112" t="s">
        <v>5</v>
      </c>
      <c r="J94" s="179">
        <f>'(당초)집계표'!J59</f>
        <v>0</v>
      </c>
      <c r="K94" s="111">
        <f>'(당초)집계표'!H89</f>
        <v>0</v>
      </c>
      <c r="L94" s="112" t="s">
        <v>5</v>
      </c>
      <c r="M94" s="179">
        <f>'(당초)집계표'!J89</f>
        <v>0</v>
      </c>
      <c r="N94" s="111">
        <f>'(당초)집계표'!H119</f>
        <v>0</v>
      </c>
      <c r="O94" s="112" t="s">
        <v>5</v>
      </c>
      <c r="P94" s="179">
        <f>'(당초)집계표'!J119</f>
        <v>0</v>
      </c>
      <c r="Q94" s="111">
        <f>'(당초)집계표'!H149</f>
        <v>0</v>
      </c>
      <c r="R94" s="112" t="s">
        <v>5</v>
      </c>
      <c r="S94" s="140">
        <f>'(당초)집계표'!J149</f>
        <v>0</v>
      </c>
      <c r="T94" s="111">
        <f>'(변경)집계표'!K179</f>
        <v>0</v>
      </c>
      <c r="U94" s="112" t="s">
        <v>5</v>
      </c>
      <c r="V94" s="140">
        <f>'(변경)집계표'!M179</f>
        <v>0</v>
      </c>
      <c r="W94" s="111">
        <f>'(변경)집계표'!K209</f>
        <v>0</v>
      </c>
      <c r="X94" s="112" t="s">
        <v>5</v>
      </c>
      <c r="Y94" s="140">
        <f>'(변경)집계표'!M209</f>
        <v>0</v>
      </c>
      <c r="Z94" s="111">
        <f>'(변경)집계표'!K239</f>
        <v>0</v>
      </c>
      <c r="AA94" s="112" t="s">
        <v>5</v>
      </c>
      <c r="AB94" s="140">
        <f>'(변경)집계표'!M239</f>
        <v>0</v>
      </c>
      <c r="AC94" s="111">
        <f>'(변경)집계표'!K269</f>
        <v>0</v>
      </c>
      <c r="AD94" s="112" t="s">
        <v>5</v>
      </c>
      <c r="AE94" s="140">
        <f>'(변경)집계표'!M269</f>
        <v>0</v>
      </c>
      <c r="AF94" s="111">
        <f>'(변경)집계표'!K299</f>
        <v>0</v>
      </c>
      <c r="AG94" s="112" t="s">
        <v>5</v>
      </c>
      <c r="AH94" s="140">
        <f>'(변경)집계표'!M299</f>
        <v>0</v>
      </c>
      <c r="AI94" s="128"/>
      <c r="AJ94" s="6"/>
    </row>
    <row r="95" spans="1:36" s="7" customFormat="1" ht="22.5" customHeight="1">
      <c r="A95" s="129" t="s">
        <v>70</v>
      </c>
      <c r="B95" s="111">
        <f t="shared" si="125"/>
        <v>2</v>
      </c>
      <c r="C95" s="112" t="s">
        <v>5</v>
      </c>
      <c r="D95" s="179">
        <f t="shared" si="126"/>
        <v>452</v>
      </c>
      <c r="E95" s="111">
        <f>'(당초)집계표'!H30</f>
        <v>0</v>
      </c>
      <c r="F95" s="112" t="s">
        <v>5</v>
      </c>
      <c r="G95" s="179">
        <f>'(당초)집계표'!J30</f>
        <v>0</v>
      </c>
      <c r="H95" s="111">
        <f>'(당초)집계표'!H60</f>
        <v>1</v>
      </c>
      <c r="I95" s="112" t="s">
        <v>5</v>
      </c>
      <c r="J95" s="179">
        <f>'(당초)집계표'!J60</f>
        <v>436</v>
      </c>
      <c r="K95" s="111">
        <f>'(당초)집계표'!H90</f>
        <v>1</v>
      </c>
      <c r="L95" s="112" t="s">
        <v>5</v>
      </c>
      <c r="M95" s="179">
        <f>'(당초)집계표'!J90</f>
        <v>16</v>
      </c>
      <c r="N95" s="111">
        <f>'(당초)집계표'!H120</f>
        <v>0</v>
      </c>
      <c r="O95" s="112" t="s">
        <v>5</v>
      </c>
      <c r="P95" s="179">
        <f>'(당초)집계표'!J120</f>
        <v>0</v>
      </c>
      <c r="Q95" s="111">
        <f>'(당초)집계표'!H150</f>
        <v>0</v>
      </c>
      <c r="R95" s="112" t="s">
        <v>5</v>
      </c>
      <c r="S95" s="140">
        <f>'(당초)집계표'!J150</f>
        <v>0</v>
      </c>
      <c r="T95" s="111">
        <f>'(변경)집계표'!K180</f>
        <v>0</v>
      </c>
      <c r="U95" s="112" t="s">
        <v>5</v>
      </c>
      <c r="V95" s="140">
        <f>'(변경)집계표'!M180</f>
        <v>0</v>
      </c>
      <c r="W95" s="111">
        <f>'(변경)집계표'!K210</f>
        <v>0</v>
      </c>
      <c r="X95" s="112" t="s">
        <v>5</v>
      </c>
      <c r="Y95" s="140">
        <f>'(변경)집계표'!M210</f>
        <v>0</v>
      </c>
      <c r="Z95" s="111">
        <f>'(변경)집계표'!K240</f>
        <v>0</v>
      </c>
      <c r="AA95" s="112" t="s">
        <v>5</v>
      </c>
      <c r="AB95" s="140">
        <f>'(변경)집계표'!M240</f>
        <v>0</v>
      </c>
      <c r="AC95" s="111">
        <f>'(변경)집계표'!K270</f>
        <v>0</v>
      </c>
      <c r="AD95" s="112" t="s">
        <v>5</v>
      </c>
      <c r="AE95" s="140">
        <f>'(변경)집계표'!M270</f>
        <v>0</v>
      </c>
      <c r="AF95" s="111">
        <f>'(변경)집계표'!K300</f>
        <v>0</v>
      </c>
      <c r="AG95" s="112" t="s">
        <v>5</v>
      </c>
      <c r="AH95" s="140">
        <f>'(변경)집계표'!M300</f>
        <v>0</v>
      </c>
      <c r="AI95" s="128"/>
      <c r="AJ95" s="6"/>
    </row>
    <row r="96" spans="1:36" s="7" customFormat="1" ht="22.5" customHeight="1" thickBot="1">
      <c r="A96" s="130" t="s">
        <v>62</v>
      </c>
      <c r="B96" s="131">
        <f t="shared" si="125"/>
        <v>0</v>
      </c>
      <c r="C96" s="132" t="s">
        <v>5</v>
      </c>
      <c r="D96" s="180">
        <f t="shared" si="126"/>
        <v>0</v>
      </c>
      <c r="E96" s="131">
        <f>'(당초)집계표'!H31</f>
        <v>0</v>
      </c>
      <c r="F96" s="132" t="s">
        <v>5</v>
      </c>
      <c r="G96" s="180">
        <f>'(당초)집계표'!J31</f>
        <v>0</v>
      </c>
      <c r="H96" s="131">
        <f>'(당초)집계표'!H61</f>
        <v>0</v>
      </c>
      <c r="I96" s="132" t="s">
        <v>5</v>
      </c>
      <c r="J96" s="180">
        <f>'(당초)집계표'!J61</f>
        <v>0</v>
      </c>
      <c r="K96" s="131">
        <f>'(당초)집계표'!H91</f>
        <v>0</v>
      </c>
      <c r="L96" s="132" t="s">
        <v>5</v>
      </c>
      <c r="M96" s="180">
        <f>'(당초)집계표'!J91</f>
        <v>0</v>
      </c>
      <c r="N96" s="131">
        <f>'(당초)집계표'!H121</f>
        <v>0</v>
      </c>
      <c r="O96" s="132" t="s">
        <v>5</v>
      </c>
      <c r="P96" s="180">
        <f>'(당초)집계표'!J121</f>
        <v>0</v>
      </c>
      <c r="Q96" s="131">
        <f>'(당초)집계표'!H151</f>
        <v>0</v>
      </c>
      <c r="R96" s="132" t="s">
        <v>5</v>
      </c>
      <c r="S96" s="141">
        <f>'(당초)집계표'!J151</f>
        <v>0</v>
      </c>
      <c r="T96" s="131">
        <f>'(변경)집계표'!K181</f>
        <v>0</v>
      </c>
      <c r="U96" s="132" t="s">
        <v>5</v>
      </c>
      <c r="V96" s="141">
        <f>'(변경)집계표'!M181</f>
        <v>0</v>
      </c>
      <c r="W96" s="131">
        <f>'(변경)집계표'!K211</f>
        <v>0</v>
      </c>
      <c r="X96" s="132" t="s">
        <v>5</v>
      </c>
      <c r="Y96" s="141">
        <f>'(변경)집계표'!M211</f>
        <v>0</v>
      </c>
      <c r="Z96" s="131">
        <f>'(변경)집계표'!K241</f>
        <v>0</v>
      </c>
      <c r="AA96" s="132" t="s">
        <v>5</v>
      </c>
      <c r="AB96" s="141">
        <f>'(변경)집계표'!M241</f>
        <v>0</v>
      </c>
      <c r="AC96" s="131">
        <f>'(변경)집계표'!K271</f>
        <v>0</v>
      </c>
      <c r="AD96" s="132" t="s">
        <v>5</v>
      </c>
      <c r="AE96" s="141">
        <f>'(변경)집계표'!M271</f>
        <v>0</v>
      </c>
      <c r="AF96" s="131">
        <f>'(변경)집계표'!K301</f>
        <v>0</v>
      </c>
      <c r="AG96" s="132" t="s">
        <v>5</v>
      </c>
      <c r="AH96" s="141">
        <f>'(변경)집계표'!M301</f>
        <v>0</v>
      </c>
      <c r="AI96" s="133"/>
      <c r="AJ96" s="6"/>
    </row>
    <row r="97" spans="1:36" s="5" customFormat="1" ht="27.95" customHeight="1">
      <c r="A97" s="190" t="s">
        <v>55</v>
      </c>
      <c r="B97" s="191"/>
      <c r="C97" s="192"/>
      <c r="D97" s="193"/>
      <c r="E97" s="192"/>
      <c r="F97" s="192"/>
      <c r="G97" s="193"/>
      <c r="H97" s="192"/>
      <c r="I97" s="192"/>
      <c r="J97" s="193"/>
      <c r="K97" s="192"/>
      <c r="L97" s="192"/>
      <c r="M97" s="193"/>
      <c r="N97" s="192"/>
      <c r="O97" s="192"/>
      <c r="P97" s="193"/>
      <c r="Q97" s="192"/>
      <c r="R97" s="192"/>
      <c r="S97" s="194"/>
      <c r="T97" s="192"/>
      <c r="U97" s="192"/>
      <c r="V97" s="194"/>
      <c r="W97" s="192"/>
      <c r="X97" s="192"/>
      <c r="Y97" s="194"/>
      <c r="Z97" s="192"/>
      <c r="AA97" s="192"/>
      <c r="AB97" s="194"/>
      <c r="AC97" s="192"/>
      <c r="AD97" s="192"/>
      <c r="AE97" s="194"/>
      <c r="AF97" s="192"/>
      <c r="AG97" s="192"/>
      <c r="AH97" s="194"/>
      <c r="AI97" s="198"/>
    </row>
    <row r="98" spans="1:36" s="5" customFormat="1" ht="9.9499999999999993" customHeight="1" thickBot="1">
      <c r="A98" s="196"/>
      <c r="B98" s="189"/>
      <c r="D98" s="188"/>
      <c r="E98" s="189"/>
      <c r="G98" s="188"/>
      <c r="H98" s="189"/>
      <c r="J98" s="188"/>
      <c r="K98" s="189"/>
      <c r="M98" s="188"/>
      <c r="N98" s="189"/>
      <c r="P98" s="188"/>
      <c r="Q98" s="189"/>
      <c r="S98" s="146"/>
      <c r="T98" s="189"/>
      <c r="V98" s="146"/>
      <c r="W98" s="189"/>
      <c r="Y98" s="146"/>
      <c r="Z98" s="189"/>
      <c r="AB98" s="146"/>
      <c r="AC98" s="189"/>
      <c r="AE98" s="146"/>
      <c r="AF98" s="189"/>
      <c r="AH98" s="146"/>
      <c r="AI98" s="197"/>
    </row>
    <row r="99" spans="1:36" s="7" customFormat="1" ht="30" customHeight="1">
      <c r="A99" s="119"/>
      <c r="B99" s="484" t="s">
        <v>2</v>
      </c>
      <c r="C99" s="485"/>
      <c r="D99" s="485"/>
      <c r="E99" s="120" t="s">
        <v>72</v>
      </c>
      <c r="F99" s="121"/>
      <c r="G99" s="182"/>
      <c r="H99" s="120"/>
      <c r="I99" s="121"/>
      <c r="J99" s="182"/>
      <c r="K99" s="120"/>
      <c r="L99" s="121"/>
      <c r="M99" s="182"/>
      <c r="N99" s="120"/>
      <c r="O99" s="121"/>
      <c r="P99" s="182"/>
      <c r="Q99" s="120"/>
      <c r="R99" s="121"/>
      <c r="S99" s="143"/>
      <c r="T99" s="120"/>
      <c r="U99" s="121"/>
      <c r="V99" s="143"/>
      <c r="W99" s="120"/>
      <c r="X99" s="121"/>
      <c r="Y99" s="143"/>
      <c r="Z99" s="120"/>
      <c r="AA99" s="121"/>
      <c r="AB99" s="143"/>
      <c r="AC99" s="120"/>
      <c r="AD99" s="121"/>
      <c r="AE99" s="143"/>
      <c r="AF99" s="120"/>
      <c r="AG99" s="121"/>
      <c r="AH99" s="143"/>
      <c r="AI99" s="471" t="s">
        <v>53</v>
      </c>
      <c r="AJ99" s="6"/>
    </row>
    <row r="100" spans="1:36" s="7" customFormat="1" ht="30" customHeight="1">
      <c r="A100" s="122"/>
      <c r="B100" s="486"/>
      <c r="C100" s="487"/>
      <c r="D100" s="487"/>
      <c r="E100" s="8" t="s">
        <v>73</v>
      </c>
      <c r="F100" s="9"/>
      <c r="G100" s="183"/>
      <c r="H100" s="8"/>
      <c r="I100" s="9"/>
      <c r="J100" s="183"/>
      <c r="K100" s="8"/>
      <c r="L100" s="9"/>
      <c r="M100" s="183"/>
      <c r="N100" s="8"/>
      <c r="O100" s="9"/>
      <c r="P100" s="183"/>
      <c r="Q100" s="8"/>
      <c r="R100" s="9"/>
      <c r="S100" s="144"/>
      <c r="T100" s="8"/>
      <c r="U100" s="9"/>
      <c r="V100" s="144"/>
      <c r="W100" s="8"/>
      <c r="X100" s="9"/>
      <c r="Y100" s="144"/>
      <c r="Z100" s="8"/>
      <c r="AA100" s="9"/>
      <c r="AB100" s="144"/>
      <c r="AC100" s="8"/>
      <c r="AD100" s="9"/>
      <c r="AE100" s="144"/>
      <c r="AF100" s="8"/>
      <c r="AG100" s="9"/>
      <c r="AH100" s="144"/>
      <c r="AI100" s="488"/>
      <c r="AJ100" s="6"/>
    </row>
    <row r="101" spans="1:36" s="7" customFormat="1" ht="30" customHeight="1">
      <c r="A101" s="123" t="s">
        <v>3</v>
      </c>
      <c r="B101" s="486"/>
      <c r="C101" s="487"/>
      <c r="D101" s="487"/>
      <c r="E101" s="8" t="s">
        <v>74</v>
      </c>
      <c r="F101" s="9"/>
      <c r="G101" s="183"/>
      <c r="H101" s="8" t="s">
        <v>75</v>
      </c>
      <c r="I101" s="9"/>
      <c r="J101" s="183"/>
      <c r="K101" s="8" t="s">
        <v>76</v>
      </c>
      <c r="L101" s="9"/>
      <c r="M101" s="183"/>
      <c r="N101" s="8" t="s">
        <v>77</v>
      </c>
      <c r="O101" s="9"/>
      <c r="P101" s="183"/>
      <c r="Q101" s="8" t="s">
        <v>78</v>
      </c>
      <c r="R101" s="9"/>
      <c r="S101" s="144"/>
      <c r="T101" s="8">
        <v>6</v>
      </c>
      <c r="U101" s="9"/>
      <c r="V101" s="144"/>
      <c r="W101" s="8">
        <v>7</v>
      </c>
      <c r="X101" s="9"/>
      <c r="Y101" s="144"/>
      <c r="Z101" s="8">
        <v>8</v>
      </c>
      <c r="AA101" s="9"/>
      <c r="AB101" s="144"/>
      <c r="AC101" s="8">
        <v>9</v>
      </c>
      <c r="AD101" s="9"/>
      <c r="AE101" s="144"/>
      <c r="AF101" s="8">
        <v>10</v>
      </c>
      <c r="AG101" s="9"/>
      <c r="AH101" s="144"/>
      <c r="AI101" s="488"/>
      <c r="AJ101" s="6"/>
    </row>
    <row r="102" spans="1:36" s="7" customFormat="1" ht="30" customHeight="1" thickBot="1">
      <c r="A102" s="124"/>
      <c r="B102" s="115" t="s">
        <v>4</v>
      </c>
      <c r="C102" s="116" t="s">
        <v>5</v>
      </c>
      <c r="D102" s="178" t="s">
        <v>6</v>
      </c>
      <c r="E102" s="115" t="s">
        <v>4</v>
      </c>
      <c r="F102" s="116" t="s">
        <v>5</v>
      </c>
      <c r="G102" s="178" t="s">
        <v>6</v>
      </c>
      <c r="H102" s="115" t="s">
        <v>4</v>
      </c>
      <c r="I102" s="116" t="s">
        <v>5</v>
      </c>
      <c r="J102" s="178" t="s">
        <v>6</v>
      </c>
      <c r="K102" s="115" t="s">
        <v>4</v>
      </c>
      <c r="L102" s="116" t="s">
        <v>5</v>
      </c>
      <c r="M102" s="178" t="s">
        <v>6</v>
      </c>
      <c r="N102" s="115" t="s">
        <v>4</v>
      </c>
      <c r="O102" s="116" t="s">
        <v>5</v>
      </c>
      <c r="P102" s="178" t="s">
        <v>6</v>
      </c>
      <c r="Q102" s="115" t="s">
        <v>4</v>
      </c>
      <c r="R102" s="116" t="s">
        <v>5</v>
      </c>
      <c r="S102" s="178" t="s">
        <v>6</v>
      </c>
      <c r="T102" s="117" t="s">
        <v>4</v>
      </c>
      <c r="U102" s="118" t="s">
        <v>5</v>
      </c>
      <c r="V102" s="145" t="s">
        <v>6</v>
      </c>
      <c r="W102" s="117" t="s">
        <v>4</v>
      </c>
      <c r="X102" s="118" t="s">
        <v>5</v>
      </c>
      <c r="Y102" s="145" t="s">
        <v>6</v>
      </c>
      <c r="Z102" s="117" t="s">
        <v>4</v>
      </c>
      <c r="AA102" s="118" t="s">
        <v>5</v>
      </c>
      <c r="AB102" s="145" t="s">
        <v>6</v>
      </c>
      <c r="AC102" s="117" t="s">
        <v>4</v>
      </c>
      <c r="AD102" s="118" t="s">
        <v>5</v>
      </c>
      <c r="AE102" s="145" t="s">
        <v>6</v>
      </c>
      <c r="AF102" s="117" t="s">
        <v>4</v>
      </c>
      <c r="AG102" s="118" t="s">
        <v>5</v>
      </c>
      <c r="AH102" s="145" t="s">
        <v>6</v>
      </c>
      <c r="AI102" s="472"/>
      <c r="AJ102" s="6"/>
    </row>
    <row r="103" spans="1:36" s="6" customFormat="1" ht="22.5" customHeight="1" thickTop="1">
      <c r="A103" s="134" t="s">
        <v>2</v>
      </c>
      <c r="B103" s="135">
        <f>SUM(B104:B128)</f>
        <v>53</v>
      </c>
      <c r="C103" s="136" t="s">
        <v>5</v>
      </c>
      <c r="D103" s="181">
        <f ca="1">SUM(D104:D128)</f>
        <v>13047.000000000009</v>
      </c>
      <c r="E103" s="135">
        <f>SUM(E104:E128)</f>
        <v>38</v>
      </c>
      <c r="F103" s="136" t="s">
        <v>5</v>
      </c>
      <c r="G103" s="181">
        <f ca="1">SUM(G104:G128)</f>
        <v>4445.0000000000009</v>
      </c>
      <c r="H103" s="135">
        <f>SUM(H104:H128)</f>
        <v>2</v>
      </c>
      <c r="I103" s="136" t="s">
        <v>5</v>
      </c>
      <c r="J103" s="181">
        <f>SUM(J104:J128)</f>
        <v>1060.0000000000009</v>
      </c>
      <c r="K103" s="135">
        <f>SUM(K104:K128)</f>
        <v>7</v>
      </c>
      <c r="L103" s="136" t="s">
        <v>5</v>
      </c>
      <c r="M103" s="181">
        <f>SUM(M104:M128)</f>
        <v>4243.0000000000055</v>
      </c>
      <c r="N103" s="135">
        <f>SUM(N104:N128)</f>
        <v>4</v>
      </c>
      <c r="O103" s="136" t="s">
        <v>5</v>
      </c>
      <c r="P103" s="181">
        <f>SUM(P104:P128)</f>
        <v>575.00000000000182</v>
      </c>
      <c r="Q103" s="135">
        <f>SUM(Q104:Q128)</f>
        <v>2</v>
      </c>
      <c r="R103" s="136" t="s">
        <v>5</v>
      </c>
      <c r="S103" s="181">
        <f>SUM(S104:S128)</f>
        <v>2724</v>
      </c>
      <c r="T103" s="135">
        <f>SUM(T104:T128)</f>
        <v>0</v>
      </c>
      <c r="U103" s="136" t="s">
        <v>5</v>
      </c>
      <c r="V103" s="181">
        <f>SUM(V104:V128)</f>
        <v>0</v>
      </c>
      <c r="W103" s="135">
        <f>SUM(W104:W128)</f>
        <v>0</v>
      </c>
      <c r="X103" s="136" t="s">
        <v>5</v>
      </c>
      <c r="Y103" s="181">
        <f>SUM(Y104:Y128)</f>
        <v>0</v>
      </c>
      <c r="Z103" s="135">
        <f>SUM(Z104:Z128)</f>
        <v>0</v>
      </c>
      <c r="AA103" s="136" t="s">
        <v>5</v>
      </c>
      <c r="AB103" s="181">
        <f>SUM(AB104:AB128)</f>
        <v>0</v>
      </c>
      <c r="AC103" s="135">
        <f>SUM(AC104:AC128)</f>
        <v>0</v>
      </c>
      <c r="AD103" s="136" t="s">
        <v>5</v>
      </c>
      <c r="AE103" s="181">
        <f>SUM(AE104:AE128)</f>
        <v>0</v>
      </c>
      <c r="AF103" s="135">
        <f>SUM(AF104:AF128)</f>
        <v>0</v>
      </c>
      <c r="AG103" s="136" t="s">
        <v>5</v>
      </c>
      <c r="AH103" s="181">
        <f>SUM(AH104:AH128)</f>
        <v>0</v>
      </c>
      <c r="AI103" s="137"/>
    </row>
    <row r="104" spans="1:36" s="6" customFormat="1" ht="22.5" customHeight="1">
      <c r="A104" s="127" t="s">
        <v>7</v>
      </c>
      <c r="B104" s="111">
        <f t="shared" ref="B104:B128" si="127">SUM(E104,H104,K104,N104,Q104,T104,W104,Z104,AC104,AF104)</f>
        <v>9</v>
      </c>
      <c r="C104" s="112" t="s">
        <v>5</v>
      </c>
      <c r="D104" s="179">
        <f t="shared" ref="D104:D128" ca="1" si="128">SUM(G104,J104,M104,P104,S104,V104,Y104,AB104,AE104,AH104)</f>
        <v>1875</v>
      </c>
      <c r="E104" s="111">
        <f>'(당초)집계표'!K7</f>
        <v>7</v>
      </c>
      <c r="F104" s="112" t="s">
        <v>5</v>
      </c>
      <c r="G104" s="179">
        <f ca="1">'(당초)집계표'!M7</f>
        <v>358</v>
      </c>
      <c r="H104" s="111">
        <f>'(당초)집계표'!K37</f>
        <v>0</v>
      </c>
      <c r="I104" s="112" t="s">
        <v>5</v>
      </c>
      <c r="J104" s="179">
        <f>'(당초)집계표'!M37</f>
        <v>0</v>
      </c>
      <c r="K104" s="111">
        <f>'(당초)집계표'!K67</f>
        <v>1</v>
      </c>
      <c r="L104" s="112" t="s">
        <v>5</v>
      </c>
      <c r="M104" s="179">
        <f>'(당초)집계표'!M67</f>
        <v>1474</v>
      </c>
      <c r="N104" s="111">
        <f>'(당초)집계표'!K97</f>
        <v>1</v>
      </c>
      <c r="O104" s="112" t="s">
        <v>5</v>
      </c>
      <c r="P104" s="179">
        <f>'(당초)집계표'!M97</f>
        <v>43</v>
      </c>
      <c r="Q104" s="111">
        <f>'(당초)집계표'!K127</f>
        <v>0</v>
      </c>
      <c r="R104" s="112" t="s">
        <v>5</v>
      </c>
      <c r="S104" s="140">
        <f>'(당초)집계표'!M127</f>
        <v>0</v>
      </c>
      <c r="T104" s="111">
        <f>'(변경)집계표'!H157</f>
        <v>0</v>
      </c>
      <c r="U104" s="112" t="s">
        <v>5</v>
      </c>
      <c r="V104" s="140">
        <f>'(변경)집계표'!J157</f>
        <v>0</v>
      </c>
      <c r="W104" s="111">
        <f>'(변경)집계표'!H187</f>
        <v>0</v>
      </c>
      <c r="X104" s="112" t="s">
        <v>5</v>
      </c>
      <c r="Y104" s="140">
        <f>'(변경)집계표'!J187</f>
        <v>0</v>
      </c>
      <c r="Z104" s="111">
        <f>'(변경)집계표'!H217</f>
        <v>0</v>
      </c>
      <c r="AA104" s="112" t="s">
        <v>5</v>
      </c>
      <c r="AB104" s="140">
        <f>'(변경)집계표'!J217</f>
        <v>0</v>
      </c>
      <c r="AC104" s="111">
        <f>'(변경)집계표'!H247</f>
        <v>0</v>
      </c>
      <c r="AD104" s="112" t="s">
        <v>5</v>
      </c>
      <c r="AE104" s="140">
        <f>'(변경)집계표'!J247</f>
        <v>0</v>
      </c>
      <c r="AF104" s="111">
        <f>'(변경)집계표'!H277</f>
        <v>0</v>
      </c>
      <c r="AG104" s="112" t="s">
        <v>5</v>
      </c>
      <c r="AH104" s="140">
        <f>'(변경)집계표'!J277</f>
        <v>0</v>
      </c>
      <c r="AI104" s="128"/>
    </row>
    <row r="105" spans="1:36" s="6" customFormat="1" ht="22.5" customHeight="1">
      <c r="A105" s="127" t="s">
        <v>8</v>
      </c>
      <c r="B105" s="111">
        <f t="shared" si="127"/>
        <v>19</v>
      </c>
      <c r="C105" s="112" t="s">
        <v>5</v>
      </c>
      <c r="D105" s="179">
        <f t="shared" ca="1" si="128"/>
        <v>2979.0000000000036</v>
      </c>
      <c r="E105" s="111">
        <f>'(당초)집계표'!K8</f>
        <v>18</v>
      </c>
      <c r="F105" s="112" t="s">
        <v>5</v>
      </c>
      <c r="G105" s="179">
        <f ca="1">'(당초)집계표'!M8</f>
        <v>2936</v>
      </c>
      <c r="H105" s="111">
        <f>'(당초)집계표'!K38</f>
        <v>0</v>
      </c>
      <c r="I105" s="112" t="s">
        <v>5</v>
      </c>
      <c r="J105" s="179">
        <f>'(당초)집계표'!M38</f>
        <v>0</v>
      </c>
      <c r="K105" s="111">
        <f>'(당초)집계표'!K68</f>
        <v>1</v>
      </c>
      <c r="L105" s="112" t="s">
        <v>5</v>
      </c>
      <c r="M105" s="179">
        <f>'(당초)집계표'!M68</f>
        <v>43.000000000003638</v>
      </c>
      <c r="N105" s="111">
        <f>'(당초)집계표'!K98</f>
        <v>0</v>
      </c>
      <c r="O105" s="112" t="s">
        <v>5</v>
      </c>
      <c r="P105" s="179">
        <f>'(당초)집계표'!M98</f>
        <v>0</v>
      </c>
      <c r="Q105" s="111">
        <f>'(당초)집계표'!K128</f>
        <v>0</v>
      </c>
      <c r="R105" s="112" t="s">
        <v>5</v>
      </c>
      <c r="S105" s="140">
        <f>'(당초)집계표'!M128</f>
        <v>0</v>
      </c>
      <c r="T105" s="111">
        <f>'(변경)집계표'!H158</f>
        <v>0</v>
      </c>
      <c r="U105" s="112" t="s">
        <v>5</v>
      </c>
      <c r="V105" s="140">
        <f>'(변경)집계표'!J158</f>
        <v>0</v>
      </c>
      <c r="W105" s="111">
        <f>'(변경)집계표'!H188</f>
        <v>0</v>
      </c>
      <c r="X105" s="112" t="s">
        <v>5</v>
      </c>
      <c r="Y105" s="140">
        <f>'(변경)집계표'!J188</f>
        <v>0</v>
      </c>
      <c r="Z105" s="111">
        <f>'(변경)집계표'!H218</f>
        <v>0</v>
      </c>
      <c r="AA105" s="112" t="s">
        <v>5</v>
      </c>
      <c r="AB105" s="140">
        <f>'(변경)집계표'!J218</f>
        <v>0</v>
      </c>
      <c r="AC105" s="111">
        <f>'(변경)집계표'!H248</f>
        <v>0</v>
      </c>
      <c r="AD105" s="112" t="s">
        <v>5</v>
      </c>
      <c r="AE105" s="140">
        <f>'(변경)집계표'!J248</f>
        <v>0</v>
      </c>
      <c r="AF105" s="111">
        <f>'(변경)집계표'!H278</f>
        <v>0</v>
      </c>
      <c r="AG105" s="112" t="s">
        <v>5</v>
      </c>
      <c r="AH105" s="140">
        <f>'(변경)집계표'!J278</f>
        <v>0</v>
      </c>
      <c r="AI105" s="128"/>
    </row>
    <row r="106" spans="1:36" s="6" customFormat="1" ht="22.5" customHeight="1">
      <c r="A106" s="127" t="s">
        <v>9</v>
      </c>
      <c r="B106" s="111">
        <f t="shared" si="127"/>
        <v>11</v>
      </c>
      <c r="C106" s="112" t="s">
        <v>5</v>
      </c>
      <c r="D106" s="179">
        <f t="shared" ca="1" si="128"/>
        <v>5828</v>
      </c>
      <c r="E106" s="111">
        <f>'(당초)집계표'!K9</f>
        <v>3</v>
      </c>
      <c r="F106" s="112" t="s">
        <v>5</v>
      </c>
      <c r="G106" s="179">
        <f ca="1">'(당초)집계표'!M9</f>
        <v>148</v>
      </c>
      <c r="H106" s="111">
        <f>'(당초)집계표'!K39</f>
        <v>1</v>
      </c>
      <c r="I106" s="112" t="s">
        <v>5</v>
      </c>
      <c r="J106" s="179">
        <f>'(당초)집계표'!M39</f>
        <v>984</v>
      </c>
      <c r="K106" s="111">
        <f>'(당초)집계표'!K69</f>
        <v>2</v>
      </c>
      <c r="L106" s="112" t="s">
        <v>5</v>
      </c>
      <c r="M106" s="179">
        <f>'(당초)집계표'!M69</f>
        <v>1440</v>
      </c>
      <c r="N106" s="111">
        <f>'(당초)집계표'!K99</f>
        <v>3</v>
      </c>
      <c r="O106" s="112" t="s">
        <v>5</v>
      </c>
      <c r="P106" s="179">
        <f>'(당초)집계표'!M99</f>
        <v>532</v>
      </c>
      <c r="Q106" s="111">
        <f>'(당초)집계표'!K129</f>
        <v>2</v>
      </c>
      <c r="R106" s="112" t="s">
        <v>5</v>
      </c>
      <c r="S106" s="140">
        <f>'(당초)집계표'!M129</f>
        <v>2724</v>
      </c>
      <c r="T106" s="111">
        <f>'(변경)집계표'!H159</f>
        <v>0</v>
      </c>
      <c r="U106" s="112" t="s">
        <v>5</v>
      </c>
      <c r="V106" s="140">
        <f>'(변경)집계표'!J159</f>
        <v>0</v>
      </c>
      <c r="W106" s="111">
        <f>'(변경)집계표'!H189</f>
        <v>0</v>
      </c>
      <c r="X106" s="112" t="s">
        <v>5</v>
      </c>
      <c r="Y106" s="140">
        <f>'(변경)집계표'!J189</f>
        <v>0</v>
      </c>
      <c r="Z106" s="111">
        <f>'(변경)집계표'!H219</f>
        <v>0</v>
      </c>
      <c r="AA106" s="112" t="s">
        <v>5</v>
      </c>
      <c r="AB106" s="140">
        <f>'(변경)집계표'!J219</f>
        <v>0</v>
      </c>
      <c r="AC106" s="111">
        <f>'(변경)집계표'!H249</f>
        <v>0</v>
      </c>
      <c r="AD106" s="112" t="s">
        <v>5</v>
      </c>
      <c r="AE106" s="140">
        <f>'(변경)집계표'!J249</f>
        <v>0</v>
      </c>
      <c r="AF106" s="111">
        <f>'(변경)집계표'!H279</f>
        <v>0</v>
      </c>
      <c r="AG106" s="112" t="s">
        <v>5</v>
      </c>
      <c r="AH106" s="140">
        <f>'(변경)집계표'!J279</f>
        <v>0</v>
      </c>
      <c r="AI106" s="128"/>
    </row>
    <row r="107" spans="1:36" s="6" customFormat="1" ht="22.5" customHeight="1">
      <c r="A107" s="127" t="s">
        <v>10</v>
      </c>
      <c r="B107" s="111">
        <f t="shared" si="127"/>
        <v>5</v>
      </c>
      <c r="C107" s="112" t="s">
        <v>5</v>
      </c>
      <c r="D107" s="179">
        <f t="shared" ca="1" si="128"/>
        <v>267</v>
      </c>
      <c r="E107" s="111">
        <f>'(당초)집계표'!K10</f>
        <v>5</v>
      </c>
      <c r="F107" s="112" t="s">
        <v>5</v>
      </c>
      <c r="G107" s="179">
        <f ca="1">'(당초)집계표'!M10</f>
        <v>267</v>
      </c>
      <c r="H107" s="111">
        <f>'(당초)집계표'!K40</f>
        <v>0</v>
      </c>
      <c r="I107" s="112" t="s">
        <v>5</v>
      </c>
      <c r="J107" s="179">
        <f>'(당초)집계표'!M40</f>
        <v>0</v>
      </c>
      <c r="K107" s="111">
        <f>'(당초)집계표'!K70</f>
        <v>0</v>
      </c>
      <c r="L107" s="112" t="s">
        <v>5</v>
      </c>
      <c r="M107" s="179">
        <f>'(당초)집계표'!M70</f>
        <v>0</v>
      </c>
      <c r="N107" s="111">
        <f>'(당초)집계표'!K100</f>
        <v>0</v>
      </c>
      <c r="O107" s="112" t="s">
        <v>5</v>
      </c>
      <c r="P107" s="179">
        <f>'(당초)집계표'!M100</f>
        <v>0</v>
      </c>
      <c r="Q107" s="111">
        <f>'(당초)집계표'!K130</f>
        <v>0</v>
      </c>
      <c r="R107" s="112" t="s">
        <v>5</v>
      </c>
      <c r="S107" s="140">
        <f>'(당초)집계표'!M130</f>
        <v>0</v>
      </c>
      <c r="T107" s="111">
        <f>'(변경)집계표'!H160</f>
        <v>0</v>
      </c>
      <c r="U107" s="112" t="s">
        <v>5</v>
      </c>
      <c r="V107" s="140">
        <f>'(변경)집계표'!J160</f>
        <v>0</v>
      </c>
      <c r="W107" s="111">
        <f>'(변경)집계표'!H190</f>
        <v>0</v>
      </c>
      <c r="X107" s="112" t="s">
        <v>5</v>
      </c>
      <c r="Y107" s="140">
        <f>'(변경)집계표'!J190</f>
        <v>0</v>
      </c>
      <c r="Z107" s="111">
        <f>'(변경)집계표'!H220</f>
        <v>0</v>
      </c>
      <c r="AA107" s="112" t="s">
        <v>5</v>
      </c>
      <c r="AB107" s="140">
        <f>'(변경)집계표'!J220</f>
        <v>0</v>
      </c>
      <c r="AC107" s="111">
        <f>'(변경)집계표'!H250</f>
        <v>0</v>
      </c>
      <c r="AD107" s="112" t="s">
        <v>5</v>
      </c>
      <c r="AE107" s="140">
        <f>'(변경)집계표'!J250</f>
        <v>0</v>
      </c>
      <c r="AF107" s="111">
        <f>'(변경)집계표'!H280</f>
        <v>0</v>
      </c>
      <c r="AG107" s="112" t="s">
        <v>5</v>
      </c>
      <c r="AH107" s="140">
        <f>'(변경)집계표'!J280</f>
        <v>0</v>
      </c>
      <c r="AI107" s="128"/>
    </row>
    <row r="108" spans="1:36" s="6" customFormat="1" ht="22.5" customHeight="1">
      <c r="A108" s="127" t="s">
        <v>11</v>
      </c>
      <c r="B108" s="111">
        <f t="shared" si="127"/>
        <v>5</v>
      </c>
      <c r="C108" s="112" t="s">
        <v>5</v>
      </c>
      <c r="D108" s="179">
        <f t="shared" ca="1" si="128"/>
        <v>1580.0000000000055</v>
      </c>
      <c r="E108" s="111">
        <f>'(당초)집계표'!K11</f>
        <v>2</v>
      </c>
      <c r="F108" s="112" t="s">
        <v>5</v>
      </c>
      <c r="G108" s="179">
        <f ca="1">'(당초)집계표'!M11</f>
        <v>317.00000000000091</v>
      </c>
      <c r="H108" s="111">
        <f>'(당초)집계표'!K41</f>
        <v>1</v>
      </c>
      <c r="I108" s="112" t="s">
        <v>5</v>
      </c>
      <c r="J108" s="179">
        <f>'(당초)집계표'!M41</f>
        <v>76.000000000000909</v>
      </c>
      <c r="K108" s="111">
        <f>'(당초)집계표'!K71</f>
        <v>2</v>
      </c>
      <c r="L108" s="112" t="s">
        <v>5</v>
      </c>
      <c r="M108" s="179">
        <f>'(당초)집계표'!M71</f>
        <v>1187.0000000000018</v>
      </c>
      <c r="N108" s="111">
        <f>'(당초)집계표'!K101</f>
        <v>0</v>
      </c>
      <c r="O108" s="112" t="s">
        <v>5</v>
      </c>
      <c r="P108" s="179">
        <f>'(당초)집계표'!M101</f>
        <v>1.8189894035458565E-12</v>
      </c>
      <c r="Q108" s="111">
        <f>'(당초)집계표'!K131</f>
        <v>0</v>
      </c>
      <c r="R108" s="112" t="s">
        <v>5</v>
      </c>
      <c r="S108" s="140">
        <f>'(당초)집계표'!M131</f>
        <v>0</v>
      </c>
      <c r="T108" s="111">
        <f>'(변경)집계표'!H161</f>
        <v>0</v>
      </c>
      <c r="U108" s="112" t="s">
        <v>5</v>
      </c>
      <c r="V108" s="140">
        <f>'(변경)집계표'!J161</f>
        <v>0</v>
      </c>
      <c r="W108" s="111">
        <f>'(변경)집계표'!H191</f>
        <v>0</v>
      </c>
      <c r="X108" s="112" t="s">
        <v>5</v>
      </c>
      <c r="Y108" s="140">
        <f>'(변경)집계표'!J191</f>
        <v>0</v>
      </c>
      <c r="Z108" s="111">
        <f>'(변경)집계표'!H221</f>
        <v>0</v>
      </c>
      <c r="AA108" s="112" t="s">
        <v>5</v>
      </c>
      <c r="AB108" s="140">
        <f>'(변경)집계표'!J221</f>
        <v>0</v>
      </c>
      <c r="AC108" s="111">
        <f>'(변경)집계표'!H251</f>
        <v>0</v>
      </c>
      <c r="AD108" s="112" t="s">
        <v>5</v>
      </c>
      <c r="AE108" s="140">
        <f>'(변경)집계표'!J251</f>
        <v>0</v>
      </c>
      <c r="AF108" s="111">
        <f>'(변경)집계표'!H281</f>
        <v>0</v>
      </c>
      <c r="AG108" s="112" t="s">
        <v>5</v>
      </c>
      <c r="AH108" s="140">
        <f>'(변경)집계표'!J281</f>
        <v>0</v>
      </c>
      <c r="AI108" s="128"/>
    </row>
    <row r="109" spans="1:36" s="6" customFormat="1" ht="22.5" customHeight="1">
      <c r="A109" s="127" t="s">
        <v>12</v>
      </c>
      <c r="B109" s="111">
        <f t="shared" si="127"/>
        <v>0</v>
      </c>
      <c r="C109" s="112" t="s">
        <v>5</v>
      </c>
      <c r="D109" s="179">
        <f t="shared" ca="1" si="128"/>
        <v>0</v>
      </c>
      <c r="E109" s="111">
        <f>'(당초)집계표'!K12</f>
        <v>0</v>
      </c>
      <c r="F109" s="112" t="s">
        <v>5</v>
      </c>
      <c r="G109" s="179">
        <f ca="1">'(당초)집계표'!M12</f>
        <v>0</v>
      </c>
      <c r="H109" s="111">
        <f>'(당초)집계표'!K42</f>
        <v>0</v>
      </c>
      <c r="I109" s="112" t="s">
        <v>5</v>
      </c>
      <c r="J109" s="179">
        <f>'(당초)집계표'!M42</f>
        <v>0</v>
      </c>
      <c r="K109" s="111">
        <f>'(당초)집계표'!K72</f>
        <v>0</v>
      </c>
      <c r="L109" s="112" t="s">
        <v>5</v>
      </c>
      <c r="M109" s="179">
        <f>'(당초)집계표'!M72</f>
        <v>0</v>
      </c>
      <c r="N109" s="111">
        <f>'(당초)집계표'!K102</f>
        <v>0</v>
      </c>
      <c r="O109" s="112" t="s">
        <v>5</v>
      </c>
      <c r="P109" s="179">
        <f>'(당초)집계표'!M102</f>
        <v>0</v>
      </c>
      <c r="Q109" s="111">
        <f>'(당초)집계표'!K132</f>
        <v>0</v>
      </c>
      <c r="R109" s="112" t="s">
        <v>5</v>
      </c>
      <c r="S109" s="140">
        <f>'(당초)집계표'!M132</f>
        <v>0</v>
      </c>
      <c r="T109" s="111">
        <f>'(변경)집계표'!H162</f>
        <v>0</v>
      </c>
      <c r="U109" s="112" t="s">
        <v>5</v>
      </c>
      <c r="V109" s="140">
        <f>'(변경)집계표'!J162</f>
        <v>0</v>
      </c>
      <c r="W109" s="111">
        <f>'(변경)집계표'!H192</f>
        <v>0</v>
      </c>
      <c r="X109" s="112" t="s">
        <v>5</v>
      </c>
      <c r="Y109" s="140">
        <f>'(변경)집계표'!J192</f>
        <v>0</v>
      </c>
      <c r="Z109" s="111">
        <f>'(변경)집계표'!H222</f>
        <v>0</v>
      </c>
      <c r="AA109" s="112" t="s">
        <v>5</v>
      </c>
      <c r="AB109" s="140">
        <f>'(변경)집계표'!J222</f>
        <v>0</v>
      </c>
      <c r="AC109" s="111">
        <f>'(변경)집계표'!H252</f>
        <v>0</v>
      </c>
      <c r="AD109" s="112" t="s">
        <v>5</v>
      </c>
      <c r="AE109" s="140">
        <f>'(변경)집계표'!J252</f>
        <v>0</v>
      </c>
      <c r="AF109" s="111">
        <f>'(변경)집계표'!H282</f>
        <v>0</v>
      </c>
      <c r="AG109" s="112" t="s">
        <v>5</v>
      </c>
      <c r="AH109" s="140">
        <f>'(변경)집계표'!J282</f>
        <v>0</v>
      </c>
      <c r="AI109" s="128"/>
    </row>
    <row r="110" spans="1:36" s="6" customFormat="1" ht="22.5" customHeight="1">
      <c r="A110" s="127" t="s">
        <v>13</v>
      </c>
      <c r="B110" s="111">
        <f t="shared" si="127"/>
        <v>0</v>
      </c>
      <c r="C110" s="112" t="s">
        <v>5</v>
      </c>
      <c r="D110" s="179">
        <f t="shared" ca="1" si="128"/>
        <v>0</v>
      </c>
      <c r="E110" s="111">
        <f>'(당초)집계표'!K13</f>
        <v>0</v>
      </c>
      <c r="F110" s="112" t="s">
        <v>5</v>
      </c>
      <c r="G110" s="179">
        <f ca="1">'(당초)집계표'!M13</f>
        <v>0</v>
      </c>
      <c r="H110" s="111">
        <f>'(당초)집계표'!K43</f>
        <v>0</v>
      </c>
      <c r="I110" s="112" t="s">
        <v>5</v>
      </c>
      <c r="J110" s="179">
        <f>'(당초)집계표'!M43</f>
        <v>0</v>
      </c>
      <c r="K110" s="111">
        <f>'(당초)집계표'!K73</f>
        <v>0</v>
      </c>
      <c r="L110" s="112" t="s">
        <v>5</v>
      </c>
      <c r="M110" s="179">
        <f>'(당초)집계표'!M73</f>
        <v>0</v>
      </c>
      <c r="N110" s="111">
        <f>'(당초)집계표'!K103</f>
        <v>0</v>
      </c>
      <c r="O110" s="112" t="s">
        <v>5</v>
      </c>
      <c r="P110" s="179">
        <f>'(당초)집계표'!M103</f>
        <v>0</v>
      </c>
      <c r="Q110" s="111">
        <f>'(당초)집계표'!K133</f>
        <v>0</v>
      </c>
      <c r="R110" s="112" t="s">
        <v>5</v>
      </c>
      <c r="S110" s="140">
        <f>'(당초)집계표'!M133</f>
        <v>0</v>
      </c>
      <c r="T110" s="111">
        <f>'(변경)집계표'!H163</f>
        <v>0</v>
      </c>
      <c r="U110" s="112" t="s">
        <v>5</v>
      </c>
      <c r="V110" s="140">
        <f>'(변경)집계표'!J163</f>
        <v>0</v>
      </c>
      <c r="W110" s="111">
        <f>'(변경)집계표'!H193</f>
        <v>0</v>
      </c>
      <c r="X110" s="112" t="s">
        <v>5</v>
      </c>
      <c r="Y110" s="140">
        <f>'(변경)집계표'!J193</f>
        <v>0</v>
      </c>
      <c r="Z110" s="111">
        <f>'(변경)집계표'!H223</f>
        <v>0</v>
      </c>
      <c r="AA110" s="112" t="s">
        <v>5</v>
      </c>
      <c r="AB110" s="140">
        <f>'(변경)집계표'!J223</f>
        <v>0</v>
      </c>
      <c r="AC110" s="111">
        <f>'(변경)집계표'!H253</f>
        <v>0</v>
      </c>
      <c r="AD110" s="112" t="s">
        <v>5</v>
      </c>
      <c r="AE110" s="140">
        <f>'(변경)집계표'!J253</f>
        <v>0</v>
      </c>
      <c r="AF110" s="111">
        <f>'(변경)집계표'!H283</f>
        <v>0</v>
      </c>
      <c r="AG110" s="112" t="s">
        <v>5</v>
      </c>
      <c r="AH110" s="140">
        <f>'(변경)집계표'!J283</f>
        <v>0</v>
      </c>
      <c r="AI110" s="128"/>
    </row>
    <row r="111" spans="1:36" s="6" customFormat="1" ht="22.5" customHeight="1">
      <c r="A111" s="127" t="s">
        <v>14</v>
      </c>
      <c r="B111" s="111">
        <f t="shared" si="127"/>
        <v>3</v>
      </c>
      <c r="C111" s="112" t="s">
        <v>5</v>
      </c>
      <c r="D111" s="179">
        <f t="shared" ca="1" si="128"/>
        <v>419</v>
      </c>
      <c r="E111" s="111">
        <f>'(당초)집계표'!K14</f>
        <v>3</v>
      </c>
      <c r="F111" s="112" t="s">
        <v>5</v>
      </c>
      <c r="G111" s="179">
        <f ca="1">'(당초)집계표'!M14</f>
        <v>419</v>
      </c>
      <c r="H111" s="111">
        <f>'(당초)집계표'!K44</f>
        <v>0</v>
      </c>
      <c r="I111" s="112" t="s">
        <v>5</v>
      </c>
      <c r="J111" s="179">
        <f>'(당초)집계표'!M44</f>
        <v>0</v>
      </c>
      <c r="K111" s="111">
        <f>'(당초)집계표'!K74</f>
        <v>0</v>
      </c>
      <c r="L111" s="112" t="s">
        <v>5</v>
      </c>
      <c r="M111" s="179">
        <f>'(당초)집계표'!M74</f>
        <v>0</v>
      </c>
      <c r="N111" s="111">
        <f>'(당초)집계표'!K104</f>
        <v>0</v>
      </c>
      <c r="O111" s="112" t="s">
        <v>5</v>
      </c>
      <c r="P111" s="179">
        <f>'(당초)집계표'!M104</f>
        <v>0</v>
      </c>
      <c r="Q111" s="111">
        <f>'(당초)집계표'!K134</f>
        <v>0</v>
      </c>
      <c r="R111" s="112" t="s">
        <v>5</v>
      </c>
      <c r="S111" s="140">
        <f>'(당초)집계표'!M134</f>
        <v>0</v>
      </c>
      <c r="T111" s="111">
        <f>'(변경)집계표'!H164</f>
        <v>0</v>
      </c>
      <c r="U111" s="112" t="s">
        <v>5</v>
      </c>
      <c r="V111" s="140">
        <f>'(변경)집계표'!J164</f>
        <v>0</v>
      </c>
      <c r="W111" s="111">
        <f>'(변경)집계표'!H194</f>
        <v>0</v>
      </c>
      <c r="X111" s="112" t="s">
        <v>5</v>
      </c>
      <c r="Y111" s="140">
        <f>'(변경)집계표'!J194</f>
        <v>0</v>
      </c>
      <c r="Z111" s="111">
        <f>'(변경)집계표'!H224</f>
        <v>0</v>
      </c>
      <c r="AA111" s="112" t="s">
        <v>5</v>
      </c>
      <c r="AB111" s="140">
        <f>'(변경)집계표'!J224</f>
        <v>0</v>
      </c>
      <c r="AC111" s="111">
        <f>'(변경)집계표'!H254</f>
        <v>0</v>
      </c>
      <c r="AD111" s="112" t="s">
        <v>5</v>
      </c>
      <c r="AE111" s="140">
        <f>'(변경)집계표'!J254</f>
        <v>0</v>
      </c>
      <c r="AF111" s="111">
        <f>'(변경)집계표'!H284</f>
        <v>0</v>
      </c>
      <c r="AG111" s="112" t="s">
        <v>5</v>
      </c>
      <c r="AH111" s="140">
        <f>'(변경)집계표'!J284</f>
        <v>0</v>
      </c>
      <c r="AI111" s="128"/>
    </row>
    <row r="112" spans="1:36" s="6" customFormat="1" ht="22.5" customHeight="1">
      <c r="A112" s="127" t="s">
        <v>15</v>
      </c>
      <c r="B112" s="111">
        <f t="shared" si="127"/>
        <v>1</v>
      </c>
      <c r="C112" s="112" t="s">
        <v>5</v>
      </c>
      <c r="D112" s="179">
        <f t="shared" ca="1" si="128"/>
        <v>99</v>
      </c>
      <c r="E112" s="111">
        <f>'(당초)집계표'!K15</f>
        <v>0</v>
      </c>
      <c r="F112" s="112" t="s">
        <v>5</v>
      </c>
      <c r="G112" s="179">
        <f ca="1">'(당초)집계표'!M15</f>
        <v>0</v>
      </c>
      <c r="H112" s="111">
        <f>'(당초)집계표'!K45</f>
        <v>0</v>
      </c>
      <c r="I112" s="112" t="s">
        <v>5</v>
      </c>
      <c r="J112" s="179">
        <f>'(당초)집계표'!M45</f>
        <v>0</v>
      </c>
      <c r="K112" s="111">
        <f>'(당초)집계표'!K75</f>
        <v>1</v>
      </c>
      <c r="L112" s="112" t="s">
        <v>5</v>
      </c>
      <c r="M112" s="179">
        <f>'(당초)집계표'!M75</f>
        <v>99</v>
      </c>
      <c r="N112" s="111">
        <f>'(당초)집계표'!K105</f>
        <v>0</v>
      </c>
      <c r="O112" s="112" t="s">
        <v>5</v>
      </c>
      <c r="P112" s="179">
        <f>'(당초)집계표'!M105</f>
        <v>0</v>
      </c>
      <c r="Q112" s="111">
        <f>'(당초)집계표'!K135</f>
        <v>0</v>
      </c>
      <c r="R112" s="112" t="s">
        <v>5</v>
      </c>
      <c r="S112" s="140">
        <f>'(당초)집계표'!M135</f>
        <v>0</v>
      </c>
      <c r="T112" s="111">
        <f>'(변경)집계표'!H165</f>
        <v>0</v>
      </c>
      <c r="U112" s="112" t="s">
        <v>5</v>
      </c>
      <c r="V112" s="140">
        <f>'(변경)집계표'!J165</f>
        <v>0</v>
      </c>
      <c r="W112" s="111">
        <f>'(변경)집계표'!H195</f>
        <v>0</v>
      </c>
      <c r="X112" s="112" t="s">
        <v>5</v>
      </c>
      <c r="Y112" s="140">
        <f>'(변경)집계표'!J195</f>
        <v>0</v>
      </c>
      <c r="Z112" s="111">
        <f>'(변경)집계표'!H225</f>
        <v>0</v>
      </c>
      <c r="AA112" s="112" t="s">
        <v>5</v>
      </c>
      <c r="AB112" s="140">
        <f>'(변경)집계표'!J225</f>
        <v>0</v>
      </c>
      <c r="AC112" s="111">
        <f>'(변경)집계표'!H255</f>
        <v>0</v>
      </c>
      <c r="AD112" s="112" t="s">
        <v>5</v>
      </c>
      <c r="AE112" s="140">
        <f>'(변경)집계표'!J255</f>
        <v>0</v>
      </c>
      <c r="AF112" s="111">
        <f>'(변경)집계표'!H285</f>
        <v>0</v>
      </c>
      <c r="AG112" s="112" t="s">
        <v>5</v>
      </c>
      <c r="AH112" s="140">
        <f>'(변경)집계표'!J285</f>
        <v>0</v>
      </c>
      <c r="AI112" s="128"/>
    </row>
    <row r="113" spans="1:36" s="6" customFormat="1" ht="22.5" customHeight="1">
      <c r="A113" s="127" t="s">
        <v>16</v>
      </c>
      <c r="B113" s="111">
        <f t="shared" si="127"/>
        <v>0</v>
      </c>
      <c r="C113" s="112" t="s">
        <v>5</v>
      </c>
      <c r="D113" s="179">
        <f t="shared" ca="1" si="128"/>
        <v>0</v>
      </c>
      <c r="E113" s="111">
        <f>'(당초)집계표'!K16</f>
        <v>0</v>
      </c>
      <c r="F113" s="112" t="s">
        <v>5</v>
      </c>
      <c r="G113" s="179">
        <f ca="1">'(당초)집계표'!M16</f>
        <v>0</v>
      </c>
      <c r="H113" s="111">
        <f>'(당초)집계표'!K46</f>
        <v>0</v>
      </c>
      <c r="I113" s="112" t="s">
        <v>5</v>
      </c>
      <c r="J113" s="179">
        <f>'(당초)집계표'!M46</f>
        <v>0</v>
      </c>
      <c r="K113" s="111">
        <f>'(당초)집계표'!K76</f>
        <v>0</v>
      </c>
      <c r="L113" s="112" t="s">
        <v>5</v>
      </c>
      <c r="M113" s="179">
        <f>'(당초)집계표'!M76</f>
        <v>0</v>
      </c>
      <c r="N113" s="111">
        <f>'(당초)집계표'!K106</f>
        <v>0</v>
      </c>
      <c r="O113" s="112" t="s">
        <v>5</v>
      </c>
      <c r="P113" s="179">
        <f>'(당초)집계표'!M106</f>
        <v>0</v>
      </c>
      <c r="Q113" s="111">
        <f>'(당초)집계표'!K136</f>
        <v>0</v>
      </c>
      <c r="R113" s="112" t="s">
        <v>5</v>
      </c>
      <c r="S113" s="140">
        <f>'(당초)집계표'!M136</f>
        <v>0</v>
      </c>
      <c r="T113" s="111">
        <f>'(변경)집계표'!H166</f>
        <v>0</v>
      </c>
      <c r="U113" s="112" t="s">
        <v>5</v>
      </c>
      <c r="V113" s="140">
        <f>'(변경)집계표'!J166</f>
        <v>0</v>
      </c>
      <c r="W113" s="111">
        <f>'(변경)집계표'!H196</f>
        <v>0</v>
      </c>
      <c r="X113" s="112" t="s">
        <v>5</v>
      </c>
      <c r="Y113" s="140">
        <f>'(변경)집계표'!J196</f>
        <v>0</v>
      </c>
      <c r="Z113" s="111">
        <f>'(변경)집계표'!H226</f>
        <v>0</v>
      </c>
      <c r="AA113" s="112" t="s">
        <v>5</v>
      </c>
      <c r="AB113" s="140">
        <f>'(변경)집계표'!J226</f>
        <v>0</v>
      </c>
      <c r="AC113" s="111">
        <f>'(변경)집계표'!H256</f>
        <v>0</v>
      </c>
      <c r="AD113" s="112" t="s">
        <v>5</v>
      </c>
      <c r="AE113" s="140">
        <f>'(변경)집계표'!J256</f>
        <v>0</v>
      </c>
      <c r="AF113" s="111">
        <f>'(변경)집계표'!H286</f>
        <v>0</v>
      </c>
      <c r="AG113" s="112" t="s">
        <v>5</v>
      </c>
      <c r="AH113" s="140">
        <f>'(변경)집계표'!J286</f>
        <v>0</v>
      </c>
      <c r="AI113" s="128"/>
    </row>
    <row r="114" spans="1:36" s="6" customFormat="1" ht="22.5" customHeight="1">
      <c r="A114" s="127" t="s">
        <v>17</v>
      </c>
      <c r="B114" s="111">
        <f t="shared" si="127"/>
        <v>0</v>
      </c>
      <c r="C114" s="112" t="s">
        <v>5</v>
      </c>
      <c r="D114" s="179">
        <f t="shared" ca="1" si="128"/>
        <v>0</v>
      </c>
      <c r="E114" s="111">
        <f>'(당초)집계표'!K17</f>
        <v>0</v>
      </c>
      <c r="F114" s="112" t="s">
        <v>5</v>
      </c>
      <c r="G114" s="179">
        <f ca="1">'(당초)집계표'!M17</f>
        <v>0</v>
      </c>
      <c r="H114" s="111">
        <f>'(당초)집계표'!K47</f>
        <v>0</v>
      </c>
      <c r="I114" s="112" t="s">
        <v>5</v>
      </c>
      <c r="J114" s="179">
        <f>'(당초)집계표'!M47</f>
        <v>0</v>
      </c>
      <c r="K114" s="111">
        <f>'(당초)집계표'!K77</f>
        <v>0</v>
      </c>
      <c r="L114" s="112" t="s">
        <v>5</v>
      </c>
      <c r="M114" s="179">
        <f>'(당초)집계표'!M77</f>
        <v>0</v>
      </c>
      <c r="N114" s="111">
        <f>'(당초)집계표'!K107</f>
        <v>0</v>
      </c>
      <c r="O114" s="112" t="s">
        <v>5</v>
      </c>
      <c r="P114" s="179">
        <f>'(당초)집계표'!M107</f>
        <v>0</v>
      </c>
      <c r="Q114" s="111">
        <f>'(당초)집계표'!K137</f>
        <v>0</v>
      </c>
      <c r="R114" s="112" t="s">
        <v>5</v>
      </c>
      <c r="S114" s="140">
        <f>'(당초)집계표'!M137</f>
        <v>0</v>
      </c>
      <c r="T114" s="111">
        <f>'(변경)집계표'!H167</f>
        <v>0</v>
      </c>
      <c r="U114" s="112" t="s">
        <v>5</v>
      </c>
      <c r="V114" s="140">
        <f>'(변경)집계표'!J167</f>
        <v>0</v>
      </c>
      <c r="W114" s="111">
        <f>'(변경)집계표'!H197</f>
        <v>0</v>
      </c>
      <c r="X114" s="112" t="s">
        <v>5</v>
      </c>
      <c r="Y114" s="140">
        <f>'(변경)집계표'!J197</f>
        <v>0</v>
      </c>
      <c r="Z114" s="111">
        <f>'(변경)집계표'!H227</f>
        <v>0</v>
      </c>
      <c r="AA114" s="112" t="s">
        <v>5</v>
      </c>
      <c r="AB114" s="140">
        <f>'(변경)집계표'!J227</f>
        <v>0</v>
      </c>
      <c r="AC114" s="111">
        <f>'(변경)집계표'!H257</f>
        <v>0</v>
      </c>
      <c r="AD114" s="112" t="s">
        <v>5</v>
      </c>
      <c r="AE114" s="140">
        <f>'(변경)집계표'!J257</f>
        <v>0</v>
      </c>
      <c r="AF114" s="111">
        <f>'(변경)집계표'!H287</f>
        <v>0</v>
      </c>
      <c r="AG114" s="112" t="s">
        <v>5</v>
      </c>
      <c r="AH114" s="140">
        <f>'(변경)집계표'!J287</f>
        <v>0</v>
      </c>
      <c r="AI114" s="128"/>
    </row>
    <row r="115" spans="1:36" s="7" customFormat="1" ht="22.5" customHeight="1">
      <c r="A115" s="127" t="s">
        <v>18</v>
      </c>
      <c r="B115" s="111">
        <f t="shared" si="127"/>
        <v>0</v>
      </c>
      <c r="C115" s="112" t="s">
        <v>5</v>
      </c>
      <c r="D115" s="179">
        <f t="shared" ca="1" si="128"/>
        <v>0</v>
      </c>
      <c r="E115" s="111">
        <f>'(당초)집계표'!K18</f>
        <v>0</v>
      </c>
      <c r="F115" s="112" t="s">
        <v>5</v>
      </c>
      <c r="G115" s="179">
        <f ca="1">'(당초)집계표'!M18</f>
        <v>0</v>
      </c>
      <c r="H115" s="111">
        <f>'(당초)집계표'!K48</f>
        <v>0</v>
      </c>
      <c r="I115" s="112" t="s">
        <v>5</v>
      </c>
      <c r="J115" s="179">
        <f>'(당초)집계표'!M48</f>
        <v>0</v>
      </c>
      <c r="K115" s="111">
        <f>'(당초)집계표'!K78</f>
        <v>0</v>
      </c>
      <c r="L115" s="112" t="s">
        <v>5</v>
      </c>
      <c r="M115" s="179">
        <f>'(당초)집계표'!M78</f>
        <v>0</v>
      </c>
      <c r="N115" s="111">
        <f>'(당초)집계표'!K108</f>
        <v>0</v>
      </c>
      <c r="O115" s="112" t="s">
        <v>5</v>
      </c>
      <c r="P115" s="179">
        <f>'(당초)집계표'!M108</f>
        <v>0</v>
      </c>
      <c r="Q115" s="111">
        <f>'(당초)집계표'!K138</f>
        <v>0</v>
      </c>
      <c r="R115" s="112" t="s">
        <v>5</v>
      </c>
      <c r="S115" s="140">
        <f>'(당초)집계표'!M138</f>
        <v>0</v>
      </c>
      <c r="T115" s="111">
        <f>'(변경)집계표'!H168</f>
        <v>0</v>
      </c>
      <c r="U115" s="112" t="s">
        <v>5</v>
      </c>
      <c r="V115" s="140">
        <f>'(변경)집계표'!J168</f>
        <v>0</v>
      </c>
      <c r="W115" s="111">
        <f>'(변경)집계표'!H198</f>
        <v>0</v>
      </c>
      <c r="X115" s="112" t="s">
        <v>5</v>
      </c>
      <c r="Y115" s="140">
        <f>'(변경)집계표'!J198</f>
        <v>0</v>
      </c>
      <c r="Z115" s="111">
        <f>'(변경)집계표'!H228</f>
        <v>0</v>
      </c>
      <c r="AA115" s="112" t="s">
        <v>5</v>
      </c>
      <c r="AB115" s="140">
        <f>'(변경)집계표'!J228</f>
        <v>0</v>
      </c>
      <c r="AC115" s="111">
        <f>'(변경)집계표'!H258</f>
        <v>0</v>
      </c>
      <c r="AD115" s="112" t="s">
        <v>5</v>
      </c>
      <c r="AE115" s="140">
        <f>'(변경)집계표'!J258</f>
        <v>0</v>
      </c>
      <c r="AF115" s="111">
        <f>'(변경)집계표'!H288</f>
        <v>0</v>
      </c>
      <c r="AG115" s="112" t="s">
        <v>5</v>
      </c>
      <c r="AH115" s="140">
        <f>'(변경)집계표'!J288</f>
        <v>0</v>
      </c>
      <c r="AI115" s="128"/>
      <c r="AJ115" s="6"/>
    </row>
    <row r="116" spans="1:36" s="7" customFormat="1" ht="22.5" customHeight="1">
      <c r="A116" s="127" t="s">
        <v>19</v>
      </c>
      <c r="B116" s="111">
        <f t="shared" si="127"/>
        <v>0</v>
      </c>
      <c r="C116" s="112" t="s">
        <v>5</v>
      </c>
      <c r="D116" s="179">
        <f t="shared" ca="1" si="128"/>
        <v>0</v>
      </c>
      <c r="E116" s="111">
        <f>'(당초)집계표'!K19</f>
        <v>0</v>
      </c>
      <c r="F116" s="112" t="s">
        <v>5</v>
      </c>
      <c r="G116" s="179">
        <f ca="1">'(당초)집계표'!M19</f>
        <v>0</v>
      </c>
      <c r="H116" s="111">
        <f>'(당초)집계표'!K49</f>
        <v>0</v>
      </c>
      <c r="I116" s="112" t="s">
        <v>5</v>
      </c>
      <c r="J116" s="179">
        <f>'(당초)집계표'!M49</f>
        <v>0</v>
      </c>
      <c r="K116" s="111">
        <f>'(당초)집계표'!K79</f>
        <v>0</v>
      </c>
      <c r="L116" s="112" t="s">
        <v>5</v>
      </c>
      <c r="M116" s="179">
        <f>'(당초)집계표'!M79</f>
        <v>0</v>
      </c>
      <c r="N116" s="111">
        <f>'(당초)집계표'!K109</f>
        <v>0</v>
      </c>
      <c r="O116" s="112" t="s">
        <v>5</v>
      </c>
      <c r="P116" s="179">
        <f>'(당초)집계표'!M109</f>
        <v>0</v>
      </c>
      <c r="Q116" s="111">
        <f>'(당초)집계표'!K139</f>
        <v>0</v>
      </c>
      <c r="R116" s="112" t="s">
        <v>5</v>
      </c>
      <c r="S116" s="140">
        <f>'(당초)집계표'!M139</f>
        <v>0</v>
      </c>
      <c r="T116" s="111">
        <f>'(변경)집계표'!H169</f>
        <v>0</v>
      </c>
      <c r="U116" s="112" t="s">
        <v>5</v>
      </c>
      <c r="V116" s="140">
        <f>'(변경)집계표'!J169</f>
        <v>0</v>
      </c>
      <c r="W116" s="111">
        <f>'(변경)집계표'!H199</f>
        <v>0</v>
      </c>
      <c r="X116" s="112" t="s">
        <v>5</v>
      </c>
      <c r="Y116" s="140">
        <f>'(변경)집계표'!J199</f>
        <v>0</v>
      </c>
      <c r="Z116" s="111">
        <f>'(변경)집계표'!H229</f>
        <v>0</v>
      </c>
      <c r="AA116" s="112" t="s">
        <v>5</v>
      </c>
      <c r="AB116" s="140">
        <f>'(변경)집계표'!J229</f>
        <v>0</v>
      </c>
      <c r="AC116" s="111">
        <f>'(변경)집계표'!H259</f>
        <v>0</v>
      </c>
      <c r="AD116" s="112" t="s">
        <v>5</v>
      </c>
      <c r="AE116" s="140">
        <f>'(변경)집계표'!J259</f>
        <v>0</v>
      </c>
      <c r="AF116" s="111">
        <f>'(변경)집계표'!H289</f>
        <v>0</v>
      </c>
      <c r="AG116" s="112" t="s">
        <v>5</v>
      </c>
      <c r="AH116" s="140">
        <f>'(변경)집계표'!J289</f>
        <v>0</v>
      </c>
      <c r="AI116" s="128"/>
      <c r="AJ116" s="6"/>
    </row>
    <row r="117" spans="1:36" s="7" customFormat="1" ht="22.5" customHeight="1">
      <c r="A117" s="127" t="s">
        <v>20</v>
      </c>
      <c r="B117" s="111">
        <f t="shared" si="127"/>
        <v>0</v>
      </c>
      <c r="C117" s="112" t="s">
        <v>5</v>
      </c>
      <c r="D117" s="179">
        <f t="shared" ca="1" si="128"/>
        <v>0</v>
      </c>
      <c r="E117" s="111">
        <f>'(당초)집계표'!K20</f>
        <v>0</v>
      </c>
      <c r="F117" s="112" t="s">
        <v>5</v>
      </c>
      <c r="G117" s="179">
        <f ca="1">'(당초)집계표'!M20</f>
        <v>0</v>
      </c>
      <c r="H117" s="111">
        <f>'(당초)집계표'!K50</f>
        <v>0</v>
      </c>
      <c r="I117" s="112" t="s">
        <v>5</v>
      </c>
      <c r="J117" s="179">
        <f>'(당초)집계표'!M50</f>
        <v>0</v>
      </c>
      <c r="K117" s="111">
        <f>'(당초)집계표'!K80</f>
        <v>0</v>
      </c>
      <c r="L117" s="112" t="s">
        <v>5</v>
      </c>
      <c r="M117" s="179">
        <f>'(당초)집계표'!M80</f>
        <v>0</v>
      </c>
      <c r="N117" s="111">
        <f>'(당초)집계표'!K110</f>
        <v>0</v>
      </c>
      <c r="O117" s="112" t="s">
        <v>5</v>
      </c>
      <c r="P117" s="179">
        <f>'(당초)집계표'!M110</f>
        <v>0</v>
      </c>
      <c r="Q117" s="111">
        <f>'(당초)집계표'!K140</f>
        <v>0</v>
      </c>
      <c r="R117" s="112" t="s">
        <v>5</v>
      </c>
      <c r="S117" s="140">
        <f>'(당초)집계표'!M140</f>
        <v>0</v>
      </c>
      <c r="T117" s="111">
        <f>'(변경)집계표'!H170</f>
        <v>0</v>
      </c>
      <c r="U117" s="112" t="s">
        <v>5</v>
      </c>
      <c r="V117" s="140">
        <f>'(변경)집계표'!J170</f>
        <v>0</v>
      </c>
      <c r="W117" s="111">
        <f>'(변경)집계표'!H200</f>
        <v>0</v>
      </c>
      <c r="X117" s="112" t="s">
        <v>5</v>
      </c>
      <c r="Y117" s="140">
        <f>'(변경)집계표'!J200</f>
        <v>0</v>
      </c>
      <c r="Z117" s="111">
        <f>'(변경)집계표'!H230</f>
        <v>0</v>
      </c>
      <c r="AA117" s="112" t="s">
        <v>5</v>
      </c>
      <c r="AB117" s="140">
        <f>'(변경)집계표'!J230</f>
        <v>0</v>
      </c>
      <c r="AC117" s="111">
        <f>'(변경)집계표'!H260</f>
        <v>0</v>
      </c>
      <c r="AD117" s="112" t="s">
        <v>5</v>
      </c>
      <c r="AE117" s="140">
        <f>'(변경)집계표'!J260</f>
        <v>0</v>
      </c>
      <c r="AF117" s="111">
        <f>'(변경)집계표'!H290</f>
        <v>0</v>
      </c>
      <c r="AG117" s="112" t="s">
        <v>5</v>
      </c>
      <c r="AH117" s="140">
        <f>'(변경)집계표'!J290</f>
        <v>0</v>
      </c>
      <c r="AI117" s="128"/>
      <c r="AJ117" s="6"/>
    </row>
    <row r="118" spans="1:36" s="7" customFormat="1" ht="22.5" customHeight="1">
      <c r="A118" s="127" t="s">
        <v>21</v>
      </c>
      <c r="B118" s="111">
        <f t="shared" si="127"/>
        <v>0</v>
      </c>
      <c r="C118" s="112" t="s">
        <v>5</v>
      </c>
      <c r="D118" s="179">
        <f t="shared" ca="1" si="128"/>
        <v>0</v>
      </c>
      <c r="E118" s="111">
        <f>'(당초)집계표'!K21</f>
        <v>0</v>
      </c>
      <c r="F118" s="112" t="s">
        <v>5</v>
      </c>
      <c r="G118" s="179">
        <f ca="1">'(당초)집계표'!M21</f>
        <v>0</v>
      </c>
      <c r="H118" s="111">
        <f>'(당초)집계표'!K51</f>
        <v>0</v>
      </c>
      <c r="I118" s="112" t="s">
        <v>5</v>
      </c>
      <c r="J118" s="179">
        <f>'(당초)집계표'!M51</f>
        <v>0</v>
      </c>
      <c r="K118" s="111">
        <f>'(당초)집계표'!K81</f>
        <v>0</v>
      </c>
      <c r="L118" s="112" t="s">
        <v>5</v>
      </c>
      <c r="M118" s="179">
        <f>'(당초)집계표'!M81</f>
        <v>0</v>
      </c>
      <c r="N118" s="111">
        <f>'(당초)집계표'!K111</f>
        <v>0</v>
      </c>
      <c r="O118" s="112" t="s">
        <v>5</v>
      </c>
      <c r="P118" s="179">
        <f>'(당초)집계표'!M111</f>
        <v>0</v>
      </c>
      <c r="Q118" s="111">
        <f>'(당초)집계표'!K141</f>
        <v>0</v>
      </c>
      <c r="R118" s="112" t="s">
        <v>5</v>
      </c>
      <c r="S118" s="140">
        <f>'(당초)집계표'!M141</f>
        <v>0</v>
      </c>
      <c r="T118" s="111">
        <f>'(변경)집계표'!H171</f>
        <v>0</v>
      </c>
      <c r="U118" s="112" t="s">
        <v>5</v>
      </c>
      <c r="V118" s="140">
        <f>'(변경)집계표'!J171</f>
        <v>0</v>
      </c>
      <c r="W118" s="111">
        <f>'(변경)집계표'!H201</f>
        <v>0</v>
      </c>
      <c r="X118" s="112" t="s">
        <v>5</v>
      </c>
      <c r="Y118" s="140">
        <f>'(변경)집계표'!J201</f>
        <v>0</v>
      </c>
      <c r="Z118" s="111">
        <f>'(변경)집계표'!H231</f>
        <v>0</v>
      </c>
      <c r="AA118" s="112" t="s">
        <v>5</v>
      </c>
      <c r="AB118" s="140">
        <f>'(변경)집계표'!J231</f>
        <v>0</v>
      </c>
      <c r="AC118" s="111">
        <f>'(변경)집계표'!H261</f>
        <v>0</v>
      </c>
      <c r="AD118" s="112" t="s">
        <v>5</v>
      </c>
      <c r="AE118" s="140">
        <f>'(변경)집계표'!J261</f>
        <v>0</v>
      </c>
      <c r="AF118" s="111">
        <f>'(변경)집계표'!H291</f>
        <v>0</v>
      </c>
      <c r="AG118" s="112" t="s">
        <v>5</v>
      </c>
      <c r="AH118" s="140">
        <f>'(변경)집계표'!J291</f>
        <v>0</v>
      </c>
      <c r="AI118" s="128"/>
      <c r="AJ118" s="6"/>
    </row>
    <row r="119" spans="1:36" s="7" customFormat="1" ht="22.5" customHeight="1">
      <c r="A119" s="127" t="s">
        <v>22</v>
      </c>
      <c r="B119" s="111">
        <f t="shared" si="127"/>
        <v>0</v>
      </c>
      <c r="C119" s="112" t="s">
        <v>5</v>
      </c>
      <c r="D119" s="179">
        <f t="shared" ca="1" si="128"/>
        <v>0</v>
      </c>
      <c r="E119" s="111">
        <f>'(당초)집계표'!K22</f>
        <v>0</v>
      </c>
      <c r="F119" s="112" t="s">
        <v>5</v>
      </c>
      <c r="G119" s="179">
        <f ca="1">'(당초)집계표'!M22</f>
        <v>0</v>
      </c>
      <c r="H119" s="111">
        <f>'(당초)집계표'!K52</f>
        <v>0</v>
      </c>
      <c r="I119" s="112" t="s">
        <v>5</v>
      </c>
      <c r="J119" s="179">
        <f>'(당초)집계표'!M52</f>
        <v>0</v>
      </c>
      <c r="K119" s="111">
        <f>'(당초)집계표'!K82</f>
        <v>0</v>
      </c>
      <c r="L119" s="112" t="s">
        <v>5</v>
      </c>
      <c r="M119" s="179">
        <f>'(당초)집계표'!M82</f>
        <v>0</v>
      </c>
      <c r="N119" s="111">
        <f>'(당초)집계표'!K112</f>
        <v>0</v>
      </c>
      <c r="O119" s="112" t="s">
        <v>5</v>
      </c>
      <c r="P119" s="179">
        <f>'(당초)집계표'!M112</f>
        <v>0</v>
      </c>
      <c r="Q119" s="111">
        <f>'(당초)집계표'!K142</f>
        <v>0</v>
      </c>
      <c r="R119" s="112" t="s">
        <v>5</v>
      </c>
      <c r="S119" s="140">
        <f>'(당초)집계표'!M142</f>
        <v>0</v>
      </c>
      <c r="T119" s="111">
        <f>'(변경)집계표'!H172</f>
        <v>0</v>
      </c>
      <c r="U119" s="112" t="s">
        <v>5</v>
      </c>
      <c r="V119" s="140">
        <f>'(변경)집계표'!J172</f>
        <v>0</v>
      </c>
      <c r="W119" s="111">
        <f>'(변경)집계표'!H202</f>
        <v>0</v>
      </c>
      <c r="X119" s="112" t="s">
        <v>5</v>
      </c>
      <c r="Y119" s="140">
        <f>'(변경)집계표'!J202</f>
        <v>0</v>
      </c>
      <c r="Z119" s="111">
        <f>'(변경)집계표'!H232</f>
        <v>0</v>
      </c>
      <c r="AA119" s="112" t="s">
        <v>5</v>
      </c>
      <c r="AB119" s="140">
        <f>'(변경)집계표'!J232</f>
        <v>0</v>
      </c>
      <c r="AC119" s="111">
        <f>'(변경)집계표'!H262</f>
        <v>0</v>
      </c>
      <c r="AD119" s="112" t="s">
        <v>5</v>
      </c>
      <c r="AE119" s="140">
        <f>'(변경)집계표'!J262</f>
        <v>0</v>
      </c>
      <c r="AF119" s="111">
        <f>'(변경)집계표'!H292</f>
        <v>0</v>
      </c>
      <c r="AG119" s="112" t="s">
        <v>5</v>
      </c>
      <c r="AH119" s="140">
        <f>'(변경)집계표'!J292</f>
        <v>0</v>
      </c>
      <c r="AI119" s="128"/>
      <c r="AJ119" s="6"/>
    </row>
    <row r="120" spans="1:36" s="7" customFormat="1" ht="22.5" customHeight="1">
      <c r="A120" s="127" t="s">
        <v>23</v>
      </c>
      <c r="B120" s="111">
        <f t="shared" si="127"/>
        <v>0</v>
      </c>
      <c r="C120" s="112" t="s">
        <v>5</v>
      </c>
      <c r="D120" s="179">
        <f t="shared" ca="1" si="128"/>
        <v>0</v>
      </c>
      <c r="E120" s="111">
        <f>'(당초)집계표'!K23</f>
        <v>0</v>
      </c>
      <c r="F120" s="112" t="s">
        <v>5</v>
      </c>
      <c r="G120" s="179">
        <f ca="1">'(당초)집계표'!M23</f>
        <v>0</v>
      </c>
      <c r="H120" s="111">
        <f>'(당초)집계표'!K53</f>
        <v>0</v>
      </c>
      <c r="I120" s="112" t="s">
        <v>5</v>
      </c>
      <c r="J120" s="179">
        <f>'(당초)집계표'!M53</f>
        <v>0</v>
      </c>
      <c r="K120" s="111">
        <f>'(당초)집계표'!K83</f>
        <v>0</v>
      </c>
      <c r="L120" s="112" t="s">
        <v>5</v>
      </c>
      <c r="M120" s="179">
        <f>'(당초)집계표'!M83</f>
        <v>0</v>
      </c>
      <c r="N120" s="111">
        <f>'(당초)집계표'!K113</f>
        <v>0</v>
      </c>
      <c r="O120" s="112" t="s">
        <v>5</v>
      </c>
      <c r="P120" s="179">
        <f>'(당초)집계표'!M113</f>
        <v>0</v>
      </c>
      <c r="Q120" s="111">
        <f>'(당초)집계표'!K143</f>
        <v>0</v>
      </c>
      <c r="R120" s="112" t="s">
        <v>5</v>
      </c>
      <c r="S120" s="140">
        <f>'(당초)집계표'!M143</f>
        <v>0</v>
      </c>
      <c r="T120" s="111">
        <f>'(변경)집계표'!H173</f>
        <v>0</v>
      </c>
      <c r="U120" s="112" t="s">
        <v>5</v>
      </c>
      <c r="V120" s="140">
        <f>'(변경)집계표'!J173</f>
        <v>0</v>
      </c>
      <c r="W120" s="111">
        <f>'(변경)집계표'!H203</f>
        <v>0</v>
      </c>
      <c r="X120" s="112" t="s">
        <v>5</v>
      </c>
      <c r="Y120" s="140">
        <f>'(변경)집계표'!J203</f>
        <v>0</v>
      </c>
      <c r="Z120" s="111">
        <f>'(변경)집계표'!H233</f>
        <v>0</v>
      </c>
      <c r="AA120" s="112" t="s">
        <v>5</v>
      </c>
      <c r="AB120" s="140">
        <f>'(변경)집계표'!J233</f>
        <v>0</v>
      </c>
      <c r="AC120" s="111">
        <f>'(변경)집계표'!H263</f>
        <v>0</v>
      </c>
      <c r="AD120" s="112" t="s">
        <v>5</v>
      </c>
      <c r="AE120" s="140">
        <f>'(변경)집계표'!J263</f>
        <v>0</v>
      </c>
      <c r="AF120" s="111">
        <f>'(변경)집계표'!H293</f>
        <v>0</v>
      </c>
      <c r="AG120" s="112" t="s">
        <v>5</v>
      </c>
      <c r="AH120" s="140">
        <f>'(변경)집계표'!J293</f>
        <v>0</v>
      </c>
      <c r="AI120" s="128"/>
      <c r="AJ120" s="6"/>
    </row>
    <row r="121" spans="1:36" s="7" customFormat="1" ht="22.5" customHeight="1">
      <c r="A121" s="129" t="s">
        <v>24</v>
      </c>
      <c r="B121" s="111">
        <f t="shared" si="127"/>
        <v>0</v>
      </c>
      <c r="C121" s="112" t="s">
        <v>5</v>
      </c>
      <c r="D121" s="179">
        <f t="shared" ca="1" si="128"/>
        <v>0</v>
      </c>
      <c r="E121" s="111">
        <f>'(당초)집계표'!K24</f>
        <v>0</v>
      </c>
      <c r="F121" s="112" t="s">
        <v>5</v>
      </c>
      <c r="G121" s="179">
        <f ca="1">'(당초)집계표'!M24</f>
        <v>0</v>
      </c>
      <c r="H121" s="111">
        <f>'(당초)집계표'!K54</f>
        <v>0</v>
      </c>
      <c r="I121" s="112" t="s">
        <v>5</v>
      </c>
      <c r="J121" s="179">
        <f>'(당초)집계표'!M54</f>
        <v>0</v>
      </c>
      <c r="K121" s="111">
        <f>'(당초)집계표'!K84</f>
        <v>0</v>
      </c>
      <c r="L121" s="112" t="s">
        <v>5</v>
      </c>
      <c r="M121" s="179">
        <f>'(당초)집계표'!M84</f>
        <v>0</v>
      </c>
      <c r="N121" s="111">
        <f>'(당초)집계표'!K114</f>
        <v>0</v>
      </c>
      <c r="O121" s="112" t="s">
        <v>5</v>
      </c>
      <c r="P121" s="179">
        <f>'(당초)집계표'!M114</f>
        <v>0</v>
      </c>
      <c r="Q121" s="111">
        <f>'(당초)집계표'!K144</f>
        <v>0</v>
      </c>
      <c r="R121" s="112" t="s">
        <v>5</v>
      </c>
      <c r="S121" s="140">
        <f>'(당초)집계표'!M144</f>
        <v>0</v>
      </c>
      <c r="T121" s="111">
        <f>'(변경)집계표'!H174</f>
        <v>0</v>
      </c>
      <c r="U121" s="112" t="s">
        <v>5</v>
      </c>
      <c r="V121" s="140">
        <f>'(변경)집계표'!J174</f>
        <v>0</v>
      </c>
      <c r="W121" s="111">
        <f>'(변경)집계표'!H204</f>
        <v>0</v>
      </c>
      <c r="X121" s="112" t="s">
        <v>5</v>
      </c>
      <c r="Y121" s="140">
        <f>'(변경)집계표'!J204</f>
        <v>0</v>
      </c>
      <c r="Z121" s="111">
        <f>'(변경)집계표'!H234</f>
        <v>0</v>
      </c>
      <c r="AA121" s="112" t="s">
        <v>5</v>
      </c>
      <c r="AB121" s="140">
        <f>'(변경)집계표'!J234</f>
        <v>0</v>
      </c>
      <c r="AC121" s="111">
        <f>'(변경)집계표'!H264</f>
        <v>0</v>
      </c>
      <c r="AD121" s="112" t="s">
        <v>5</v>
      </c>
      <c r="AE121" s="140">
        <f>'(변경)집계표'!J264</f>
        <v>0</v>
      </c>
      <c r="AF121" s="111">
        <f>'(변경)집계표'!H294</f>
        <v>0</v>
      </c>
      <c r="AG121" s="112" t="s">
        <v>5</v>
      </c>
      <c r="AH121" s="140">
        <f>'(변경)집계표'!J294</f>
        <v>0</v>
      </c>
      <c r="AI121" s="128"/>
      <c r="AJ121" s="6"/>
    </row>
    <row r="122" spans="1:36" s="7" customFormat="1" ht="22.5" customHeight="1">
      <c r="A122" s="129" t="s">
        <v>25</v>
      </c>
      <c r="B122" s="111">
        <f t="shared" si="127"/>
        <v>0</v>
      </c>
      <c r="C122" s="112" t="s">
        <v>5</v>
      </c>
      <c r="D122" s="179">
        <f t="shared" ca="1" si="128"/>
        <v>0</v>
      </c>
      <c r="E122" s="111">
        <f>'(당초)집계표'!K25</f>
        <v>0</v>
      </c>
      <c r="F122" s="112" t="s">
        <v>5</v>
      </c>
      <c r="G122" s="179">
        <f ca="1">'(당초)집계표'!M25</f>
        <v>0</v>
      </c>
      <c r="H122" s="111">
        <f>'(당초)집계표'!K55</f>
        <v>0</v>
      </c>
      <c r="I122" s="112" t="s">
        <v>5</v>
      </c>
      <c r="J122" s="179">
        <f>'(당초)집계표'!M55</f>
        <v>0</v>
      </c>
      <c r="K122" s="111">
        <f>'(당초)집계표'!K85</f>
        <v>0</v>
      </c>
      <c r="L122" s="112" t="s">
        <v>5</v>
      </c>
      <c r="M122" s="179">
        <f>'(당초)집계표'!M85</f>
        <v>0</v>
      </c>
      <c r="N122" s="111">
        <f>'(당초)집계표'!K115</f>
        <v>0</v>
      </c>
      <c r="O122" s="112" t="s">
        <v>5</v>
      </c>
      <c r="P122" s="179">
        <f>'(당초)집계표'!M115</f>
        <v>0</v>
      </c>
      <c r="Q122" s="111">
        <f>'(당초)집계표'!K145</f>
        <v>0</v>
      </c>
      <c r="R122" s="112" t="s">
        <v>5</v>
      </c>
      <c r="S122" s="140">
        <f>'(당초)집계표'!M145</f>
        <v>0</v>
      </c>
      <c r="T122" s="111">
        <f>'(변경)집계표'!H175</f>
        <v>0</v>
      </c>
      <c r="U122" s="112" t="s">
        <v>5</v>
      </c>
      <c r="V122" s="140">
        <f>'(변경)집계표'!J175</f>
        <v>0</v>
      </c>
      <c r="W122" s="111">
        <f>'(변경)집계표'!H205</f>
        <v>0</v>
      </c>
      <c r="X122" s="112" t="s">
        <v>5</v>
      </c>
      <c r="Y122" s="140">
        <f>'(변경)집계표'!J205</f>
        <v>0</v>
      </c>
      <c r="Z122" s="111">
        <f>'(변경)집계표'!H235</f>
        <v>0</v>
      </c>
      <c r="AA122" s="112" t="s">
        <v>5</v>
      </c>
      <c r="AB122" s="140">
        <f>'(변경)집계표'!J235</f>
        <v>0</v>
      </c>
      <c r="AC122" s="111">
        <f>'(변경)집계표'!H265</f>
        <v>0</v>
      </c>
      <c r="AD122" s="112" t="s">
        <v>5</v>
      </c>
      <c r="AE122" s="140">
        <f>'(변경)집계표'!J265</f>
        <v>0</v>
      </c>
      <c r="AF122" s="111">
        <f>'(변경)집계표'!H295</f>
        <v>0</v>
      </c>
      <c r="AG122" s="112" t="s">
        <v>5</v>
      </c>
      <c r="AH122" s="140">
        <f>'(변경)집계표'!J295</f>
        <v>0</v>
      </c>
      <c r="AI122" s="128"/>
      <c r="AJ122" s="6"/>
    </row>
    <row r="123" spans="1:36" s="7" customFormat="1" ht="22.5" customHeight="1">
      <c r="A123" s="129" t="s">
        <v>26</v>
      </c>
      <c r="B123" s="111">
        <f t="shared" si="127"/>
        <v>0</v>
      </c>
      <c r="C123" s="112" t="s">
        <v>5</v>
      </c>
      <c r="D123" s="179">
        <f t="shared" ca="1" si="128"/>
        <v>0</v>
      </c>
      <c r="E123" s="111">
        <f>'(당초)집계표'!K26</f>
        <v>0</v>
      </c>
      <c r="F123" s="112" t="s">
        <v>5</v>
      </c>
      <c r="G123" s="179">
        <f ca="1">'(당초)집계표'!M26</f>
        <v>0</v>
      </c>
      <c r="H123" s="111">
        <f>'(당초)집계표'!K56</f>
        <v>0</v>
      </c>
      <c r="I123" s="112" t="s">
        <v>5</v>
      </c>
      <c r="J123" s="179">
        <f>'(당초)집계표'!M56</f>
        <v>0</v>
      </c>
      <c r="K123" s="111">
        <f>'(당초)집계표'!K86</f>
        <v>0</v>
      </c>
      <c r="L123" s="112" t="s">
        <v>5</v>
      </c>
      <c r="M123" s="179">
        <f>'(당초)집계표'!M86</f>
        <v>0</v>
      </c>
      <c r="N123" s="111">
        <f>'(당초)집계표'!K116</f>
        <v>0</v>
      </c>
      <c r="O123" s="112" t="s">
        <v>5</v>
      </c>
      <c r="P123" s="179">
        <f>'(당초)집계표'!M116</f>
        <v>0</v>
      </c>
      <c r="Q123" s="111">
        <f>'(당초)집계표'!K146</f>
        <v>0</v>
      </c>
      <c r="R123" s="112" t="s">
        <v>5</v>
      </c>
      <c r="S123" s="140">
        <f>'(당초)집계표'!M146</f>
        <v>0</v>
      </c>
      <c r="T123" s="111">
        <f>'(변경)집계표'!H176</f>
        <v>0</v>
      </c>
      <c r="U123" s="112" t="s">
        <v>5</v>
      </c>
      <c r="V123" s="140">
        <f>'(변경)집계표'!J176</f>
        <v>0</v>
      </c>
      <c r="W123" s="111">
        <f>'(변경)집계표'!H206</f>
        <v>0</v>
      </c>
      <c r="X123" s="112" t="s">
        <v>5</v>
      </c>
      <c r="Y123" s="140">
        <f>'(변경)집계표'!J206</f>
        <v>0</v>
      </c>
      <c r="Z123" s="111">
        <f>'(변경)집계표'!H236</f>
        <v>0</v>
      </c>
      <c r="AA123" s="112" t="s">
        <v>5</v>
      </c>
      <c r="AB123" s="140">
        <f>'(변경)집계표'!J236</f>
        <v>0</v>
      </c>
      <c r="AC123" s="111">
        <f>'(변경)집계표'!H266</f>
        <v>0</v>
      </c>
      <c r="AD123" s="112" t="s">
        <v>5</v>
      </c>
      <c r="AE123" s="140">
        <f>'(변경)집계표'!J266</f>
        <v>0</v>
      </c>
      <c r="AF123" s="111">
        <f>'(변경)집계표'!H296</f>
        <v>0</v>
      </c>
      <c r="AG123" s="112" t="s">
        <v>5</v>
      </c>
      <c r="AH123" s="140">
        <f>'(변경)집계표'!J296</f>
        <v>0</v>
      </c>
      <c r="AI123" s="128"/>
      <c r="AJ123" s="6"/>
    </row>
    <row r="124" spans="1:36" s="7" customFormat="1" ht="22.5" customHeight="1">
      <c r="A124" s="129" t="s">
        <v>27</v>
      </c>
      <c r="B124" s="111">
        <f t="shared" si="127"/>
        <v>0</v>
      </c>
      <c r="C124" s="112" t="s">
        <v>5</v>
      </c>
      <c r="D124" s="179">
        <f t="shared" ca="1" si="128"/>
        <v>0</v>
      </c>
      <c r="E124" s="111">
        <f>'(당초)집계표'!K27</f>
        <v>0</v>
      </c>
      <c r="F124" s="112" t="s">
        <v>5</v>
      </c>
      <c r="G124" s="179">
        <f ca="1">'(당초)집계표'!M27</f>
        <v>0</v>
      </c>
      <c r="H124" s="111">
        <f>'(당초)집계표'!K57</f>
        <v>0</v>
      </c>
      <c r="I124" s="112" t="s">
        <v>5</v>
      </c>
      <c r="J124" s="179">
        <f>'(당초)집계표'!M57</f>
        <v>0</v>
      </c>
      <c r="K124" s="111">
        <f>'(당초)집계표'!K87</f>
        <v>0</v>
      </c>
      <c r="L124" s="112" t="s">
        <v>5</v>
      </c>
      <c r="M124" s="179">
        <f>'(당초)집계표'!M87</f>
        <v>0</v>
      </c>
      <c r="N124" s="111">
        <f>'(당초)집계표'!K117</f>
        <v>0</v>
      </c>
      <c r="O124" s="112" t="s">
        <v>5</v>
      </c>
      <c r="P124" s="179">
        <f>'(당초)집계표'!M117</f>
        <v>0</v>
      </c>
      <c r="Q124" s="111">
        <f>'(당초)집계표'!K147</f>
        <v>0</v>
      </c>
      <c r="R124" s="112" t="s">
        <v>5</v>
      </c>
      <c r="S124" s="140">
        <f>'(당초)집계표'!M147</f>
        <v>0</v>
      </c>
      <c r="T124" s="111">
        <f>'(변경)집계표'!H177</f>
        <v>0</v>
      </c>
      <c r="U124" s="112" t="s">
        <v>5</v>
      </c>
      <c r="V124" s="140">
        <f>'(변경)집계표'!J177</f>
        <v>0</v>
      </c>
      <c r="W124" s="111">
        <f>'(변경)집계표'!H207</f>
        <v>0</v>
      </c>
      <c r="X124" s="112" t="s">
        <v>5</v>
      </c>
      <c r="Y124" s="140">
        <f>'(변경)집계표'!J207</f>
        <v>0</v>
      </c>
      <c r="Z124" s="111">
        <f>'(변경)집계표'!H237</f>
        <v>0</v>
      </c>
      <c r="AA124" s="112" t="s">
        <v>5</v>
      </c>
      <c r="AB124" s="140">
        <f>'(변경)집계표'!J237</f>
        <v>0</v>
      </c>
      <c r="AC124" s="111">
        <f>'(변경)집계표'!H267</f>
        <v>0</v>
      </c>
      <c r="AD124" s="112" t="s">
        <v>5</v>
      </c>
      <c r="AE124" s="140">
        <f>'(변경)집계표'!J267</f>
        <v>0</v>
      </c>
      <c r="AF124" s="111">
        <f>'(변경)집계표'!H297</f>
        <v>0</v>
      </c>
      <c r="AG124" s="112" t="s">
        <v>5</v>
      </c>
      <c r="AH124" s="140">
        <f>'(변경)집계표'!J297</f>
        <v>0</v>
      </c>
      <c r="AI124" s="128"/>
      <c r="AJ124" s="6"/>
    </row>
    <row r="125" spans="1:36" s="7" customFormat="1" ht="22.5" customHeight="1">
      <c r="A125" s="129" t="s">
        <v>28</v>
      </c>
      <c r="B125" s="111">
        <f t="shared" si="127"/>
        <v>0</v>
      </c>
      <c r="C125" s="112" t="s">
        <v>5</v>
      </c>
      <c r="D125" s="179">
        <f t="shared" ca="1" si="128"/>
        <v>0</v>
      </c>
      <c r="E125" s="111">
        <f>'(당초)집계표'!K28</f>
        <v>0</v>
      </c>
      <c r="F125" s="112" t="s">
        <v>5</v>
      </c>
      <c r="G125" s="179">
        <f ca="1">'(당초)집계표'!M28</f>
        <v>0</v>
      </c>
      <c r="H125" s="111">
        <f>'(당초)집계표'!K58</f>
        <v>0</v>
      </c>
      <c r="I125" s="112" t="s">
        <v>5</v>
      </c>
      <c r="J125" s="179">
        <f>'(당초)집계표'!M58</f>
        <v>0</v>
      </c>
      <c r="K125" s="111">
        <f>'(당초)집계표'!K88</f>
        <v>0</v>
      </c>
      <c r="L125" s="112" t="s">
        <v>5</v>
      </c>
      <c r="M125" s="179">
        <f>'(당초)집계표'!M88</f>
        <v>0</v>
      </c>
      <c r="N125" s="111">
        <f>'(당초)집계표'!K118</f>
        <v>0</v>
      </c>
      <c r="O125" s="112" t="s">
        <v>5</v>
      </c>
      <c r="P125" s="179">
        <f>'(당초)집계표'!M118</f>
        <v>0</v>
      </c>
      <c r="Q125" s="111">
        <f>'(당초)집계표'!K148</f>
        <v>0</v>
      </c>
      <c r="R125" s="112" t="s">
        <v>5</v>
      </c>
      <c r="S125" s="140">
        <f>'(당초)집계표'!M148</f>
        <v>0</v>
      </c>
      <c r="T125" s="111">
        <f>'(변경)집계표'!H178</f>
        <v>0</v>
      </c>
      <c r="U125" s="112" t="s">
        <v>5</v>
      </c>
      <c r="V125" s="140">
        <f>'(변경)집계표'!J178</f>
        <v>0</v>
      </c>
      <c r="W125" s="111">
        <f>'(변경)집계표'!H208</f>
        <v>0</v>
      </c>
      <c r="X125" s="112" t="s">
        <v>5</v>
      </c>
      <c r="Y125" s="140">
        <f>'(변경)집계표'!J208</f>
        <v>0</v>
      </c>
      <c r="Z125" s="111">
        <f>'(변경)집계표'!H238</f>
        <v>0</v>
      </c>
      <c r="AA125" s="112" t="s">
        <v>5</v>
      </c>
      <c r="AB125" s="140">
        <f>'(변경)집계표'!J238</f>
        <v>0</v>
      </c>
      <c r="AC125" s="111">
        <f>'(변경)집계표'!H268</f>
        <v>0</v>
      </c>
      <c r="AD125" s="112" t="s">
        <v>5</v>
      </c>
      <c r="AE125" s="140">
        <f>'(변경)집계표'!J268</f>
        <v>0</v>
      </c>
      <c r="AF125" s="111">
        <f>'(변경)집계표'!H298</f>
        <v>0</v>
      </c>
      <c r="AG125" s="112" t="s">
        <v>5</v>
      </c>
      <c r="AH125" s="140">
        <f>'(변경)집계표'!J298</f>
        <v>0</v>
      </c>
      <c r="AI125" s="128"/>
      <c r="AJ125" s="6"/>
    </row>
    <row r="126" spans="1:36" s="7" customFormat="1" ht="22.5" customHeight="1">
      <c r="A126" s="129" t="s">
        <v>60</v>
      </c>
      <c r="B126" s="111">
        <f t="shared" si="127"/>
        <v>0</v>
      </c>
      <c r="C126" s="112" t="s">
        <v>5</v>
      </c>
      <c r="D126" s="179">
        <f t="shared" ca="1" si="128"/>
        <v>0</v>
      </c>
      <c r="E126" s="111">
        <f>'(당초)집계표'!K29</f>
        <v>0</v>
      </c>
      <c r="F126" s="112" t="s">
        <v>5</v>
      </c>
      <c r="G126" s="179">
        <f ca="1">'(당초)집계표'!M29</f>
        <v>0</v>
      </c>
      <c r="H126" s="111">
        <f>'(당초)집계표'!K59</f>
        <v>0</v>
      </c>
      <c r="I126" s="112" t="s">
        <v>5</v>
      </c>
      <c r="J126" s="179">
        <f>'(당초)집계표'!M59</f>
        <v>0</v>
      </c>
      <c r="K126" s="111">
        <f>'(당초)집계표'!K89</f>
        <v>0</v>
      </c>
      <c r="L126" s="112" t="s">
        <v>5</v>
      </c>
      <c r="M126" s="179">
        <f>'(당초)집계표'!M89</f>
        <v>0</v>
      </c>
      <c r="N126" s="111">
        <f>'(당초)집계표'!K119</f>
        <v>0</v>
      </c>
      <c r="O126" s="112" t="s">
        <v>5</v>
      </c>
      <c r="P126" s="179">
        <f>'(당초)집계표'!M119</f>
        <v>0</v>
      </c>
      <c r="Q126" s="111">
        <f>'(당초)집계표'!K149</f>
        <v>0</v>
      </c>
      <c r="R126" s="112" t="s">
        <v>5</v>
      </c>
      <c r="S126" s="140">
        <f>'(당초)집계표'!M149</f>
        <v>0</v>
      </c>
      <c r="T126" s="111">
        <f>'(변경)집계표'!H179</f>
        <v>0</v>
      </c>
      <c r="U126" s="112" t="s">
        <v>5</v>
      </c>
      <c r="V126" s="140">
        <f>'(변경)집계표'!J179</f>
        <v>0</v>
      </c>
      <c r="W126" s="111">
        <f>'(변경)집계표'!H209</f>
        <v>0</v>
      </c>
      <c r="X126" s="112" t="s">
        <v>5</v>
      </c>
      <c r="Y126" s="140">
        <f>'(변경)집계표'!J209</f>
        <v>0</v>
      </c>
      <c r="Z126" s="111">
        <f>'(변경)집계표'!H239</f>
        <v>0</v>
      </c>
      <c r="AA126" s="112" t="s">
        <v>5</v>
      </c>
      <c r="AB126" s="140">
        <f>'(변경)집계표'!J239</f>
        <v>0</v>
      </c>
      <c r="AC126" s="111">
        <f>'(변경)집계표'!H269</f>
        <v>0</v>
      </c>
      <c r="AD126" s="112" t="s">
        <v>5</v>
      </c>
      <c r="AE126" s="140">
        <f>'(변경)집계표'!J269</f>
        <v>0</v>
      </c>
      <c r="AF126" s="111">
        <f>'(변경)집계표'!H299</f>
        <v>0</v>
      </c>
      <c r="AG126" s="112" t="s">
        <v>5</v>
      </c>
      <c r="AH126" s="140">
        <f>'(변경)집계표'!J299</f>
        <v>0</v>
      </c>
      <c r="AI126" s="128"/>
      <c r="AJ126" s="6"/>
    </row>
    <row r="127" spans="1:36" s="7" customFormat="1" ht="22.5" customHeight="1">
      <c r="A127" s="129" t="s">
        <v>70</v>
      </c>
      <c r="B127" s="111">
        <f t="shared" si="127"/>
        <v>0</v>
      </c>
      <c r="C127" s="112" t="s">
        <v>5</v>
      </c>
      <c r="D127" s="179">
        <f t="shared" ca="1" si="128"/>
        <v>0</v>
      </c>
      <c r="E127" s="111">
        <f>'(당초)집계표'!K30</f>
        <v>0</v>
      </c>
      <c r="F127" s="112" t="s">
        <v>5</v>
      </c>
      <c r="G127" s="179">
        <f ca="1">'(당초)집계표'!M30</f>
        <v>0</v>
      </c>
      <c r="H127" s="111">
        <f>'(당초)집계표'!K60</f>
        <v>0</v>
      </c>
      <c r="I127" s="112" t="s">
        <v>5</v>
      </c>
      <c r="J127" s="179">
        <f>'(당초)집계표'!M60</f>
        <v>0</v>
      </c>
      <c r="K127" s="111">
        <f>'(당초)집계표'!K90</f>
        <v>0</v>
      </c>
      <c r="L127" s="112" t="s">
        <v>5</v>
      </c>
      <c r="M127" s="179">
        <f>'(당초)집계표'!M90</f>
        <v>0</v>
      </c>
      <c r="N127" s="111">
        <f>'(당초)집계표'!K120</f>
        <v>0</v>
      </c>
      <c r="O127" s="112" t="s">
        <v>5</v>
      </c>
      <c r="P127" s="179">
        <f>'(당초)집계표'!M120</f>
        <v>0</v>
      </c>
      <c r="Q127" s="111">
        <f>'(당초)집계표'!K150</f>
        <v>0</v>
      </c>
      <c r="R127" s="112" t="s">
        <v>5</v>
      </c>
      <c r="S127" s="140">
        <f>'(당초)집계표'!M150</f>
        <v>0</v>
      </c>
      <c r="T127" s="111">
        <f>'(변경)집계표'!H180</f>
        <v>0</v>
      </c>
      <c r="U127" s="112" t="s">
        <v>5</v>
      </c>
      <c r="V127" s="140">
        <f>'(변경)집계표'!J180</f>
        <v>0</v>
      </c>
      <c r="W127" s="111">
        <f>'(변경)집계표'!H210</f>
        <v>0</v>
      </c>
      <c r="X127" s="112" t="s">
        <v>5</v>
      </c>
      <c r="Y127" s="140">
        <f>'(변경)집계표'!J210</f>
        <v>0</v>
      </c>
      <c r="Z127" s="111">
        <f>'(변경)집계표'!H240</f>
        <v>0</v>
      </c>
      <c r="AA127" s="112" t="s">
        <v>5</v>
      </c>
      <c r="AB127" s="140">
        <f>'(변경)집계표'!J240</f>
        <v>0</v>
      </c>
      <c r="AC127" s="111">
        <f>'(변경)집계표'!H270</f>
        <v>0</v>
      </c>
      <c r="AD127" s="112" t="s">
        <v>5</v>
      </c>
      <c r="AE127" s="140">
        <f>'(변경)집계표'!J270</f>
        <v>0</v>
      </c>
      <c r="AF127" s="111">
        <f>'(변경)집계표'!H300</f>
        <v>0</v>
      </c>
      <c r="AG127" s="112" t="s">
        <v>5</v>
      </c>
      <c r="AH127" s="140">
        <f>'(변경)집계표'!J300</f>
        <v>0</v>
      </c>
      <c r="AI127" s="128"/>
      <c r="AJ127" s="6"/>
    </row>
    <row r="128" spans="1:36" s="7" customFormat="1" ht="22.5" customHeight="1" thickBot="1">
      <c r="A128" s="130" t="s">
        <v>62</v>
      </c>
      <c r="B128" s="131">
        <f t="shared" si="127"/>
        <v>0</v>
      </c>
      <c r="C128" s="132" t="s">
        <v>5</v>
      </c>
      <c r="D128" s="180">
        <f t="shared" ca="1" si="128"/>
        <v>0</v>
      </c>
      <c r="E128" s="131">
        <f>'(당초)집계표'!K31</f>
        <v>0</v>
      </c>
      <c r="F128" s="132" t="s">
        <v>5</v>
      </c>
      <c r="G128" s="180">
        <f ca="1">'(당초)집계표'!M31</f>
        <v>0</v>
      </c>
      <c r="H128" s="131">
        <f>'(당초)집계표'!K61</f>
        <v>0</v>
      </c>
      <c r="I128" s="132" t="s">
        <v>5</v>
      </c>
      <c r="J128" s="180">
        <f>'(당초)집계표'!M61</f>
        <v>0</v>
      </c>
      <c r="K128" s="131">
        <f>'(당초)집계표'!K91</f>
        <v>0</v>
      </c>
      <c r="L128" s="132" t="s">
        <v>5</v>
      </c>
      <c r="M128" s="180">
        <f>'(당초)집계표'!M91</f>
        <v>0</v>
      </c>
      <c r="N128" s="131">
        <f>'(당초)집계표'!K121</f>
        <v>0</v>
      </c>
      <c r="O128" s="132" t="s">
        <v>5</v>
      </c>
      <c r="P128" s="180">
        <f>'(당초)집계표'!M121</f>
        <v>0</v>
      </c>
      <c r="Q128" s="131">
        <f>'(당초)집계표'!K151</f>
        <v>0</v>
      </c>
      <c r="R128" s="132" t="s">
        <v>5</v>
      </c>
      <c r="S128" s="141">
        <f>'(당초)집계표'!M151</f>
        <v>0</v>
      </c>
      <c r="T128" s="131">
        <f>'(변경)집계표'!H181</f>
        <v>0</v>
      </c>
      <c r="U128" s="132" t="s">
        <v>5</v>
      </c>
      <c r="V128" s="141">
        <f>'(변경)집계표'!J181</f>
        <v>0</v>
      </c>
      <c r="W128" s="131">
        <f>'(변경)집계표'!H211</f>
        <v>0</v>
      </c>
      <c r="X128" s="132" t="s">
        <v>5</v>
      </c>
      <c r="Y128" s="141">
        <f>'(변경)집계표'!J211</f>
        <v>0</v>
      </c>
      <c r="Z128" s="131">
        <f>'(변경)집계표'!H241</f>
        <v>0</v>
      </c>
      <c r="AA128" s="132" t="s">
        <v>5</v>
      </c>
      <c r="AB128" s="141">
        <f>'(변경)집계표'!J241</f>
        <v>0</v>
      </c>
      <c r="AC128" s="131">
        <f>'(변경)집계표'!H271</f>
        <v>0</v>
      </c>
      <c r="AD128" s="132" t="s">
        <v>5</v>
      </c>
      <c r="AE128" s="141">
        <f>'(변경)집계표'!J271</f>
        <v>0</v>
      </c>
      <c r="AF128" s="131">
        <f>'(변경)집계표'!H301</f>
        <v>0</v>
      </c>
      <c r="AG128" s="132" t="s">
        <v>5</v>
      </c>
      <c r="AH128" s="141">
        <f>'(변경)집계표'!J301</f>
        <v>0</v>
      </c>
      <c r="AI128" s="133"/>
      <c r="AJ128" s="6"/>
    </row>
    <row r="129" spans="35:36" ht="18" customHeight="1">
      <c r="AI129" s="5"/>
      <c r="AJ129" s="5"/>
    </row>
    <row r="130" spans="35:36" ht="18" customHeight="1">
      <c r="AI130" s="5"/>
      <c r="AJ130" s="5"/>
    </row>
    <row r="131" spans="35:36" ht="18" customHeight="1">
      <c r="AI131" s="5"/>
      <c r="AJ131" s="5"/>
    </row>
    <row r="132" spans="35:36" ht="18" customHeight="1">
      <c r="AI132" s="5"/>
      <c r="AJ132" s="5"/>
    </row>
    <row r="133" spans="35:36" ht="18" customHeight="1">
      <c r="AI133" s="5"/>
      <c r="AJ133" s="5"/>
    </row>
    <row r="134" spans="35:36" ht="18" customHeight="1">
      <c r="AI134" s="5"/>
      <c r="AJ134" s="5"/>
    </row>
    <row r="135" spans="35:36" ht="18" customHeight="1">
      <c r="AI135" s="5"/>
      <c r="AJ135" s="5"/>
    </row>
    <row r="136" spans="35:36" ht="18" customHeight="1">
      <c r="AI136" s="5"/>
      <c r="AJ136" s="5"/>
    </row>
    <row r="137" spans="35:36" ht="18" customHeight="1">
      <c r="AI137" s="5"/>
      <c r="AJ137" s="5"/>
    </row>
    <row r="138" spans="35:36" ht="18" customHeight="1">
      <c r="AI138" s="5"/>
      <c r="AJ138" s="5"/>
    </row>
    <row r="139" spans="35:36" ht="18" customHeight="1">
      <c r="AI139" s="5"/>
      <c r="AJ139" s="5"/>
    </row>
    <row r="140" spans="35:36" ht="18" customHeight="1">
      <c r="AI140" s="5"/>
      <c r="AJ140" s="5"/>
    </row>
    <row r="141" spans="35:36" ht="18" customHeight="1">
      <c r="AI141" s="5"/>
      <c r="AJ141" s="5"/>
    </row>
    <row r="142" spans="35:36" ht="18" customHeight="1">
      <c r="AI142" s="5"/>
      <c r="AJ142" s="5"/>
    </row>
    <row r="143" spans="35:36" ht="18" customHeight="1">
      <c r="AI143" s="5"/>
      <c r="AJ143" s="5"/>
    </row>
    <row r="144" spans="35:36" ht="18" customHeight="1">
      <c r="AI144" s="5"/>
      <c r="AJ144" s="5"/>
    </row>
    <row r="145" spans="35:36" ht="18" customHeight="1">
      <c r="AI145" s="5"/>
      <c r="AJ145" s="5"/>
    </row>
    <row r="146" spans="35:36" ht="18" customHeight="1">
      <c r="AI146" s="5"/>
      <c r="AJ146" s="5"/>
    </row>
    <row r="147" spans="35:36" ht="18" customHeight="1">
      <c r="AI147" s="5"/>
      <c r="AJ147" s="5"/>
    </row>
    <row r="148" spans="35:36" ht="18" customHeight="1">
      <c r="AI148" s="5"/>
      <c r="AJ148" s="5"/>
    </row>
    <row r="149" spans="35:36" ht="18" customHeight="1">
      <c r="AI149" s="5"/>
      <c r="AJ149" s="5"/>
    </row>
    <row r="150" spans="35:36" ht="18" customHeight="1">
      <c r="AI150" s="5"/>
      <c r="AJ150" s="5"/>
    </row>
    <row r="151" spans="35:36" ht="18" customHeight="1">
      <c r="AI151" s="5"/>
      <c r="AJ151" s="5"/>
    </row>
    <row r="152" spans="35:36" ht="18" customHeight="1">
      <c r="AI152" s="5"/>
      <c r="AJ152" s="5"/>
    </row>
    <row r="153" spans="35:36" ht="18" customHeight="1">
      <c r="AI153" s="5"/>
      <c r="AJ153" s="5"/>
    </row>
    <row r="154" spans="35:36" ht="18" customHeight="1">
      <c r="AI154" s="5"/>
      <c r="AJ154" s="5"/>
    </row>
    <row r="155" spans="35:36" ht="18" customHeight="1">
      <c r="AI155" s="5"/>
      <c r="AJ155" s="5"/>
    </row>
    <row r="156" spans="35:36" ht="18" customHeight="1">
      <c r="AI156" s="5"/>
      <c r="AJ156" s="5"/>
    </row>
    <row r="157" spans="35:36" ht="18" customHeight="1">
      <c r="AI157" s="5"/>
      <c r="AJ157" s="5"/>
    </row>
  </sheetData>
  <mergeCells count="8">
    <mergeCell ref="B99:D101"/>
    <mergeCell ref="AI99:AI102"/>
    <mergeCell ref="B3:D5"/>
    <mergeCell ref="AI3:AI6"/>
    <mergeCell ref="B35:D37"/>
    <mergeCell ref="AI35:AI38"/>
    <mergeCell ref="B67:D69"/>
    <mergeCell ref="AI67:AI70"/>
  </mergeCells>
  <phoneticPr fontId="5" type="noConversion"/>
  <printOptions horizontalCentered="1" verticalCentered="1"/>
  <pageMargins left="0.19685039370078741" right="0.19685039370078741" top="0.55118110236220474" bottom="0.27559055118110237" header="0.27559055118110237" footer="0.19685039370078741"/>
  <pageSetup paperSize="9" scale="85" orientation="portrait" r:id="rId1"/>
  <headerFooter alignWithMargins="0"/>
  <rowBreaks count="3" manualBreakCount="3">
    <brk id="32" max="16383" man="1"/>
    <brk id="64" max="16383" man="1"/>
    <brk id="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7"/>
  <sheetViews>
    <sheetView showGridLines="0" showZeros="0" view="pageBreakPreview" topLeftCell="A97" zoomScaleSheetLayoutView="100" workbookViewId="0">
      <selection activeCell="V39" sqref="V39"/>
    </sheetView>
  </sheetViews>
  <sheetFormatPr defaultRowHeight="18" customHeight="1"/>
  <cols>
    <col min="1" max="1" width="8.77734375" style="3" customWidth="1"/>
    <col min="2" max="2" width="4.77734375" style="4" customWidth="1"/>
    <col min="3" max="3" width="1.77734375" style="3" customWidth="1"/>
    <col min="4" max="4" width="7.77734375" style="177" customWidth="1"/>
    <col min="5" max="5" width="4.33203125" style="4" customWidth="1"/>
    <col min="6" max="6" width="1.77734375" style="3" customWidth="1"/>
    <col min="7" max="7" width="7.77734375" style="177" customWidth="1"/>
    <col min="8" max="8" width="4.33203125" style="4" customWidth="1"/>
    <col min="9" max="9" width="1.77734375" style="3" customWidth="1"/>
    <col min="10" max="10" width="7.77734375" style="177" customWidth="1"/>
    <col min="11" max="11" width="4.33203125" style="4" customWidth="1"/>
    <col min="12" max="12" width="1.77734375" style="3" customWidth="1"/>
    <col min="13" max="13" width="7.77734375" style="177" customWidth="1"/>
    <col min="14" max="14" width="4.33203125" style="4" customWidth="1"/>
    <col min="15" max="15" width="1.77734375" style="3" customWidth="1"/>
    <col min="16" max="16" width="7.77734375" style="177" customWidth="1"/>
    <col min="17" max="17" width="4.33203125" style="4" customWidth="1"/>
    <col min="18" max="18" width="1.77734375" style="3" customWidth="1"/>
    <col min="19" max="19" width="7.77734375" style="138" customWidth="1"/>
    <col min="20" max="20" width="4.33203125" style="4" hidden="1" customWidth="1"/>
    <col min="21" max="21" width="1.77734375" style="3" hidden="1" customWidth="1"/>
    <col min="22" max="22" width="7.77734375" style="138" hidden="1" customWidth="1"/>
    <col min="23" max="23" width="4.33203125" style="4" hidden="1" customWidth="1"/>
    <col min="24" max="24" width="1.77734375" style="3" hidden="1" customWidth="1"/>
    <col min="25" max="25" width="7.77734375" style="138" hidden="1" customWidth="1"/>
    <col min="26" max="26" width="4.33203125" style="4" hidden="1" customWidth="1"/>
    <col min="27" max="27" width="1.77734375" style="3" hidden="1" customWidth="1"/>
    <col min="28" max="28" width="7.77734375" style="138" hidden="1" customWidth="1"/>
    <col min="29" max="29" width="4.33203125" style="4" hidden="1" customWidth="1"/>
    <col min="30" max="30" width="1.77734375" style="3" hidden="1" customWidth="1"/>
    <col min="31" max="31" width="7.77734375" style="138" hidden="1" customWidth="1"/>
    <col min="32" max="32" width="4.33203125" style="4" hidden="1" customWidth="1"/>
    <col min="33" max="33" width="1.77734375" style="3" hidden="1" customWidth="1"/>
    <col min="34" max="34" width="7.77734375" style="138" hidden="1" customWidth="1"/>
    <col min="35" max="35" width="5.77734375" style="3" customWidth="1"/>
    <col min="36" max="41" width="6" style="3" customWidth="1"/>
    <col min="42" max="16384" width="8.88671875" style="3"/>
  </cols>
  <sheetData>
    <row r="1" spans="1:36" s="2" customFormat="1" ht="27.95" customHeight="1">
      <c r="A1" s="217" t="s">
        <v>448</v>
      </c>
      <c r="B1" s="218"/>
      <c r="C1" s="219"/>
      <c r="D1" s="220"/>
      <c r="E1" s="219"/>
      <c r="F1" s="219"/>
      <c r="G1" s="220"/>
      <c r="H1" s="219"/>
      <c r="I1" s="219"/>
      <c r="J1" s="220"/>
      <c r="K1" s="219"/>
      <c r="L1" s="219"/>
      <c r="M1" s="220"/>
      <c r="N1" s="219"/>
      <c r="O1" s="219"/>
      <c r="P1" s="220"/>
      <c r="Q1" s="219"/>
      <c r="R1" s="219"/>
      <c r="S1" s="221"/>
      <c r="T1" s="219"/>
      <c r="U1" s="219"/>
      <c r="V1" s="221"/>
      <c r="W1" s="219"/>
      <c r="X1" s="219"/>
      <c r="Y1" s="221"/>
      <c r="Z1" s="219"/>
      <c r="AA1" s="219"/>
      <c r="AB1" s="221"/>
      <c r="AC1" s="219"/>
      <c r="AD1" s="219"/>
      <c r="AE1" s="221"/>
      <c r="AF1" s="219"/>
      <c r="AG1" s="219"/>
      <c r="AH1" s="221"/>
      <c r="AI1" s="219"/>
      <c r="AJ1" s="1"/>
    </row>
    <row r="2" spans="1:36" ht="9.9499999999999993" customHeight="1" thickBot="1">
      <c r="A2" s="222"/>
      <c r="B2" s="223"/>
      <c r="C2" s="222"/>
      <c r="D2" s="224"/>
      <c r="E2" s="225"/>
      <c r="F2" s="222"/>
      <c r="G2" s="224"/>
      <c r="H2" s="225"/>
      <c r="I2" s="222"/>
      <c r="J2" s="224"/>
      <c r="K2" s="225"/>
      <c r="L2" s="222"/>
      <c r="M2" s="224"/>
      <c r="N2" s="225"/>
      <c r="O2" s="222"/>
      <c r="P2" s="224"/>
      <c r="Q2" s="225"/>
      <c r="R2" s="222"/>
      <c r="S2" s="226"/>
      <c r="T2" s="225"/>
      <c r="U2" s="222"/>
      <c r="V2" s="226"/>
      <c r="W2" s="225"/>
      <c r="X2" s="222"/>
      <c r="Y2" s="226"/>
      <c r="Z2" s="225"/>
      <c r="AA2" s="222"/>
      <c r="AB2" s="226"/>
      <c r="AC2" s="225"/>
      <c r="AD2" s="222"/>
      <c r="AE2" s="226"/>
      <c r="AF2" s="225"/>
      <c r="AG2" s="222"/>
      <c r="AH2" s="226"/>
      <c r="AI2" s="222"/>
      <c r="AJ2" s="5"/>
    </row>
    <row r="3" spans="1:36" s="7" customFormat="1" ht="30" customHeight="1">
      <c r="A3" s="119"/>
      <c r="B3" s="484" t="s">
        <v>2</v>
      </c>
      <c r="C3" s="485"/>
      <c r="D3" s="485"/>
      <c r="E3" s="120" t="s">
        <v>72</v>
      </c>
      <c r="F3" s="121"/>
      <c r="G3" s="182"/>
      <c r="H3" s="120"/>
      <c r="I3" s="121"/>
      <c r="J3" s="182"/>
      <c r="K3" s="120"/>
      <c r="L3" s="121"/>
      <c r="M3" s="182"/>
      <c r="N3" s="120"/>
      <c r="O3" s="121"/>
      <c r="P3" s="182"/>
      <c r="Q3" s="120"/>
      <c r="R3" s="121"/>
      <c r="S3" s="143"/>
      <c r="T3" s="120"/>
      <c r="U3" s="121"/>
      <c r="V3" s="143"/>
      <c r="W3" s="120"/>
      <c r="X3" s="121"/>
      <c r="Y3" s="143"/>
      <c r="Z3" s="120"/>
      <c r="AA3" s="121"/>
      <c r="AB3" s="143"/>
      <c r="AC3" s="120"/>
      <c r="AD3" s="121"/>
      <c r="AE3" s="143"/>
      <c r="AF3" s="120"/>
      <c r="AG3" s="121"/>
      <c r="AH3" s="143"/>
      <c r="AI3" s="471" t="s">
        <v>53</v>
      </c>
      <c r="AJ3" s="6"/>
    </row>
    <row r="4" spans="1:36" s="7" customFormat="1" ht="30" customHeight="1">
      <c r="A4" s="122"/>
      <c r="B4" s="486"/>
      <c r="C4" s="487"/>
      <c r="D4" s="487"/>
      <c r="E4" s="8" t="s">
        <v>73</v>
      </c>
      <c r="F4" s="9"/>
      <c r="G4" s="183"/>
      <c r="H4" s="8"/>
      <c r="I4" s="9"/>
      <c r="J4" s="183"/>
      <c r="K4" s="8"/>
      <c r="L4" s="9"/>
      <c r="M4" s="183"/>
      <c r="N4" s="8"/>
      <c r="O4" s="9"/>
      <c r="P4" s="183"/>
      <c r="Q4" s="8"/>
      <c r="R4" s="9"/>
      <c r="S4" s="144"/>
      <c r="T4" s="8"/>
      <c r="U4" s="9"/>
      <c r="V4" s="144"/>
      <c r="W4" s="8"/>
      <c r="X4" s="9"/>
      <c r="Y4" s="144"/>
      <c r="Z4" s="8"/>
      <c r="AA4" s="9"/>
      <c r="AB4" s="144"/>
      <c r="AC4" s="8"/>
      <c r="AD4" s="9"/>
      <c r="AE4" s="144"/>
      <c r="AF4" s="8"/>
      <c r="AG4" s="9"/>
      <c r="AH4" s="144"/>
      <c r="AI4" s="488"/>
      <c r="AJ4" s="6"/>
    </row>
    <row r="5" spans="1:36" s="7" customFormat="1" ht="30" customHeight="1">
      <c r="A5" s="123" t="s">
        <v>3</v>
      </c>
      <c r="B5" s="486"/>
      <c r="C5" s="487"/>
      <c r="D5" s="487"/>
      <c r="E5" s="8" t="s">
        <v>74</v>
      </c>
      <c r="F5" s="9"/>
      <c r="G5" s="183"/>
      <c r="H5" s="8" t="s">
        <v>75</v>
      </c>
      <c r="I5" s="9"/>
      <c r="J5" s="183"/>
      <c r="K5" s="8" t="s">
        <v>76</v>
      </c>
      <c r="L5" s="9"/>
      <c r="M5" s="183"/>
      <c r="N5" s="8" t="s">
        <v>77</v>
      </c>
      <c r="O5" s="9"/>
      <c r="P5" s="183"/>
      <c r="Q5" s="8" t="s">
        <v>78</v>
      </c>
      <c r="R5" s="9"/>
      <c r="S5" s="144"/>
      <c r="T5" s="8">
        <v>6</v>
      </c>
      <c r="U5" s="9"/>
      <c r="V5" s="144"/>
      <c r="W5" s="8">
        <v>7</v>
      </c>
      <c r="X5" s="9"/>
      <c r="Y5" s="144"/>
      <c r="Z5" s="8">
        <v>8</v>
      </c>
      <c r="AA5" s="9"/>
      <c r="AB5" s="144"/>
      <c r="AC5" s="8">
        <v>9</v>
      </c>
      <c r="AD5" s="9"/>
      <c r="AE5" s="144"/>
      <c r="AF5" s="8">
        <v>10</v>
      </c>
      <c r="AG5" s="9"/>
      <c r="AH5" s="144"/>
      <c r="AI5" s="488"/>
      <c r="AJ5" s="6"/>
    </row>
    <row r="6" spans="1:36" s="7" customFormat="1" ht="30" customHeight="1" thickBot="1">
      <c r="A6" s="124"/>
      <c r="B6" s="115" t="s">
        <v>4</v>
      </c>
      <c r="C6" s="116" t="s">
        <v>5</v>
      </c>
      <c r="D6" s="178" t="s">
        <v>6</v>
      </c>
      <c r="E6" s="115" t="s">
        <v>4</v>
      </c>
      <c r="F6" s="116" t="s">
        <v>5</v>
      </c>
      <c r="G6" s="178" t="s">
        <v>6</v>
      </c>
      <c r="H6" s="115" t="s">
        <v>4</v>
      </c>
      <c r="I6" s="116" t="s">
        <v>5</v>
      </c>
      <c r="J6" s="178" t="s">
        <v>6</v>
      </c>
      <c r="K6" s="115" t="s">
        <v>4</v>
      </c>
      <c r="L6" s="116" t="s">
        <v>5</v>
      </c>
      <c r="M6" s="178" t="s">
        <v>6</v>
      </c>
      <c r="N6" s="115" t="s">
        <v>4</v>
      </c>
      <c r="O6" s="116" t="s">
        <v>5</v>
      </c>
      <c r="P6" s="178" t="s">
        <v>6</v>
      </c>
      <c r="Q6" s="115" t="s">
        <v>4</v>
      </c>
      <c r="R6" s="116" t="s">
        <v>5</v>
      </c>
      <c r="S6" s="178" t="s">
        <v>6</v>
      </c>
      <c r="T6" s="117" t="s">
        <v>4</v>
      </c>
      <c r="U6" s="118" t="s">
        <v>5</v>
      </c>
      <c r="V6" s="145" t="s">
        <v>6</v>
      </c>
      <c r="W6" s="117" t="s">
        <v>4</v>
      </c>
      <c r="X6" s="118" t="s">
        <v>5</v>
      </c>
      <c r="Y6" s="145" t="s">
        <v>6</v>
      </c>
      <c r="Z6" s="117" t="s">
        <v>4</v>
      </c>
      <c r="AA6" s="118" t="s">
        <v>5</v>
      </c>
      <c r="AB6" s="145" t="s">
        <v>6</v>
      </c>
      <c r="AC6" s="117" t="s">
        <v>4</v>
      </c>
      <c r="AD6" s="118" t="s">
        <v>5</v>
      </c>
      <c r="AE6" s="145" t="s">
        <v>6</v>
      </c>
      <c r="AF6" s="117" t="s">
        <v>4</v>
      </c>
      <c r="AG6" s="118" t="s">
        <v>5</v>
      </c>
      <c r="AH6" s="145" t="s">
        <v>6</v>
      </c>
      <c r="AI6" s="472"/>
      <c r="AJ6" s="6"/>
    </row>
    <row r="7" spans="1:36" s="7" customFormat="1" ht="22.5" customHeight="1" thickTop="1">
      <c r="A7" s="125" t="s">
        <v>2</v>
      </c>
      <c r="B7" s="113">
        <f>SUM(B8:B32)</f>
        <v>804</v>
      </c>
      <c r="C7" s="114" t="s">
        <v>5</v>
      </c>
      <c r="D7" s="139">
        <f>SUM(D8:D32)</f>
        <v>410260.10000000003</v>
      </c>
      <c r="E7" s="113">
        <f>SUM(E8:E32)</f>
        <v>146</v>
      </c>
      <c r="F7" s="114" t="s">
        <v>5</v>
      </c>
      <c r="G7" s="139">
        <f>SUM(G8:G32)</f>
        <v>39534.799999999996</v>
      </c>
      <c r="H7" s="113">
        <f>SUM(H8:H32)</f>
        <v>150</v>
      </c>
      <c r="I7" s="114" t="s">
        <v>5</v>
      </c>
      <c r="J7" s="139">
        <f>SUM(J8:J32)</f>
        <v>57534.399999999994</v>
      </c>
      <c r="K7" s="113">
        <f>SUM(K8:K32)</f>
        <v>228</v>
      </c>
      <c r="L7" s="114" t="s">
        <v>5</v>
      </c>
      <c r="M7" s="139">
        <f>SUM(M8:M32)</f>
        <v>92654.5</v>
      </c>
      <c r="N7" s="113">
        <f>SUM(N8:N32)</f>
        <v>123</v>
      </c>
      <c r="O7" s="114" t="s">
        <v>5</v>
      </c>
      <c r="P7" s="139">
        <f>SUM(P8:P32)</f>
        <v>124209.39999999997</v>
      </c>
      <c r="Q7" s="113">
        <f>SUM(Q8:Q32)</f>
        <v>157</v>
      </c>
      <c r="R7" s="114" t="s">
        <v>5</v>
      </c>
      <c r="S7" s="139">
        <f>SUM(S8:S32)</f>
        <v>96327</v>
      </c>
      <c r="T7" s="113">
        <f>SUM(T8:T32)</f>
        <v>0</v>
      </c>
      <c r="U7" s="114" t="s">
        <v>5</v>
      </c>
      <c r="V7" s="139">
        <f>SUM(V8:V32)</f>
        <v>0</v>
      </c>
      <c r="W7" s="113">
        <f>SUM(W8:W32)</f>
        <v>0</v>
      </c>
      <c r="X7" s="114" t="s">
        <v>5</v>
      </c>
      <c r="Y7" s="139">
        <f>SUM(Y8:Y32)</f>
        <v>0</v>
      </c>
      <c r="Z7" s="113">
        <f>SUM(Z8:Z32)</f>
        <v>0</v>
      </c>
      <c r="AA7" s="114" t="s">
        <v>5</v>
      </c>
      <c r="AB7" s="139">
        <f>SUM(AB8:AB32)</f>
        <v>0</v>
      </c>
      <c r="AC7" s="113">
        <f>SUM(AC8:AC32)</f>
        <v>0</v>
      </c>
      <c r="AD7" s="114" t="s">
        <v>5</v>
      </c>
      <c r="AE7" s="139">
        <f>SUM(AE8:AE32)</f>
        <v>0</v>
      </c>
      <c r="AF7" s="113">
        <f>SUM(AF8:AF32)</f>
        <v>0</v>
      </c>
      <c r="AG7" s="114" t="s">
        <v>5</v>
      </c>
      <c r="AH7" s="139">
        <f>SUM(AH8:AH32)</f>
        <v>0</v>
      </c>
      <c r="AI7" s="126"/>
      <c r="AJ7" s="6"/>
    </row>
    <row r="8" spans="1:36" s="7" customFormat="1" ht="22.5" customHeight="1">
      <c r="A8" s="127" t="s">
        <v>7</v>
      </c>
      <c r="B8" s="111">
        <f t="shared" ref="B8:B32" si="0">SUM(E8,H8,K8,N8,Q8,T8,W8,Z8,AC8,AF8)</f>
        <v>116</v>
      </c>
      <c r="C8" s="112" t="s">
        <v>5</v>
      </c>
      <c r="D8" s="140">
        <f t="shared" ref="D8:D32" si="1">SUM(G8,J8,M8,P8,S8,V8,Y8,AB8,AE8,AH8)</f>
        <v>37751.599999999999</v>
      </c>
      <c r="E8" s="111">
        <f>'(변경)집계표'!B7</f>
        <v>12</v>
      </c>
      <c r="F8" s="112" t="s">
        <v>5</v>
      </c>
      <c r="G8" s="140">
        <f>'(변경)집계표'!D7</f>
        <v>3039.6</v>
      </c>
      <c r="H8" s="111">
        <f>'(변경)집계표'!B37</f>
        <v>30</v>
      </c>
      <c r="I8" s="112" t="s">
        <v>5</v>
      </c>
      <c r="J8" s="140">
        <f>'(변경)집계표'!D37</f>
        <v>10337</v>
      </c>
      <c r="K8" s="111">
        <f>'(변경)집계표'!B67</f>
        <v>43</v>
      </c>
      <c r="L8" s="112" t="s">
        <v>5</v>
      </c>
      <c r="M8" s="140">
        <f>'(변경)집계표'!D67</f>
        <v>13678</v>
      </c>
      <c r="N8" s="111">
        <f>'(변경)집계표'!B97</f>
        <v>7</v>
      </c>
      <c r="O8" s="112" t="s">
        <v>5</v>
      </c>
      <c r="P8" s="140">
        <f>'(변경)집계표'!D97</f>
        <v>3505</v>
      </c>
      <c r="Q8" s="111">
        <f>'(변경)집계표'!B127</f>
        <v>24</v>
      </c>
      <c r="R8" s="112" t="s">
        <v>5</v>
      </c>
      <c r="S8" s="140">
        <f>'(변경)집계표'!D127</f>
        <v>7192</v>
      </c>
      <c r="T8" s="111">
        <f>'(변경)집계표'!B157</f>
        <v>0</v>
      </c>
      <c r="U8" s="112" t="s">
        <v>5</v>
      </c>
      <c r="V8" s="140">
        <f>'(변경)집계표'!D157</f>
        <v>0</v>
      </c>
      <c r="W8" s="111">
        <f>'(변경)집계표'!B187</f>
        <v>0</v>
      </c>
      <c r="X8" s="112" t="s">
        <v>5</v>
      </c>
      <c r="Y8" s="140">
        <f>'(변경)집계표'!D187</f>
        <v>0</v>
      </c>
      <c r="Z8" s="111">
        <f>'(변경)집계표'!B217</f>
        <v>0</v>
      </c>
      <c r="AA8" s="112" t="s">
        <v>5</v>
      </c>
      <c r="AB8" s="140">
        <f>'(변경)집계표'!D217</f>
        <v>0</v>
      </c>
      <c r="AC8" s="111">
        <f>'(변경)집계표'!B247</f>
        <v>0</v>
      </c>
      <c r="AD8" s="112" t="s">
        <v>5</v>
      </c>
      <c r="AE8" s="140">
        <f>'(변경)집계표'!D247</f>
        <v>0</v>
      </c>
      <c r="AF8" s="111">
        <f>'(변경)집계표'!B277</f>
        <v>0</v>
      </c>
      <c r="AG8" s="112" t="s">
        <v>5</v>
      </c>
      <c r="AH8" s="140">
        <f>'(변경)집계표'!D277</f>
        <v>0</v>
      </c>
      <c r="AI8" s="128"/>
      <c r="AJ8" s="6"/>
    </row>
    <row r="9" spans="1:36" s="7" customFormat="1" ht="22.5" customHeight="1">
      <c r="A9" s="127" t="s">
        <v>8</v>
      </c>
      <c r="B9" s="111">
        <f t="shared" si="0"/>
        <v>168</v>
      </c>
      <c r="C9" s="112" t="s">
        <v>5</v>
      </c>
      <c r="D9" s="140">
        <f t="shared" si="1"/>
        <v>109792.4</v>
      </c>
      <c r="E9" s="111">
        <f>'(변경)집계표'!B8</f>
        <v>47</v>
      </c>
      <c r="F9" s="112" t="s">
        <v>5</v>
      </c>
      <c r="G9" s="140">
        <f>'(변경)집계표'!D8</f>
        <v>15471.5</v>
      </c>
      <c r="H9" s="111">
        <f>'(변경)집계표'!B38</f>
        <v>17</v>
      </c>
      <c r="I9" s="112" t="s">
        <v>5</v>
      </c>
      <c r="J9" s="140">
        <f>'(변경)집계표'!D38</f>
        <v>16153.899999999998</v>
      </c>
      <c r="K9" s="111">
        <f>'(변경)집계표'!B68</f>
        <v>33</v>
      </c>
      <c r="L9" s="112" t="s">
        <v>5</v>
      </c>
      <c r="M9" s="140">
        <f>'(변경)집계표'!D68</f>
        <v>19354.400000000001</v>
      </c>
      <c r="N9" s="111">
        <f>'(변경)집계표'!B98</f>
        <v>44</v>
      </c>
      <c r="O9" s="112" t="s">
        <v>5</v>
      </c>
      <c r="P9" s="140">
        <f>'(변경)집계표'!D98</f>
        <v>46694.599999999984</v>
      </c>
      <c r="Q9" s="111">
        <f>'(변경)집계표'!B128</f>
        <v>27</v>
      </c>
      <c r="R9" s="112" t="s">
        <v>5</v>
      </c>
      <c r="S9" s="140">
        <f>'(변경)집계표'!D128</f>
        <v>12118</v>
      </c>
      <c r="T9" s="111">
        <f>'(변경)집계표'!B158</f>
        <v>0</v>
      </c>
      <c r="U9" s="112" t="s">
        <v>5</v>
      </c>
      <c r="V9" s="140">
        <f>'(변경)집계표'!D158</f>
        <v>0</v>
      </c>
      <c r="W9" s="111">
        <f>'(변경)집계표'!B188</f>
        <v>0</v>
      </c>
      <c r="X9" s="112" t="s">
        <v>5</v>
      </c>
      <c r="Y9" s="140">
        <f>'(변경)집계표'!D188</f>
        <v>0</v>
      </c>
      <c r="Z9" s="111">
        <f>'(변경)집계표'!B218</f>
        <v>0</v>
      </c>
      <c r="AA9" s="112" t="s">
        <v>5</v>
      </c>
      <c r="AB9" s="140">
        <f>'(변경)집계표'!D218</f>
        <v>0</v>
      </c>
      <c r="AC9" s="111">
        <f>'(변경)집계표'!B248</f>
        <v>0</v>
      </c>
      <c r="AD9" s="112" t="s">
        <v>5</v>
      </c>
      <c r="AE9" s="140">
        <f>'(변경)집계표'!D248</f>
        <v>0</v>
      </c>
      <c r="AF9" s="111">
        <f>'(변경)집계표'!B278</f>
        <v>0</v>
      </c>
      <c r="AG9" s="112" t="s">
        <v>5</v>
      </c>
      <c r="AH9" s="140">
        <f>'(변경)집계표'!D278</f>
        <v>0</v>
      </c>
      <c r="AI9" s="128"/>
      <c r="AJ9" s="6"/>
    </row>
    <row r="10" spans="1:36" s="7" customFormat="1" ht="22.5" customHeight="1">
      <c r="A10" s="127" t="s">
        <v>9</v>
      </c>
      <c r="B10" s="111">
        <f t="shared" si="0"/>
        <v>156</v>
      </c>
      <c r="C10" s="112" t="s">
        <v>5</v>
      </c>
      <c r="D10" s="140">
        <f t="shared" si="1"/>
        <v>156604</v>
      </c>
      <c r="E10" s="111">
        <f>'(변경)집계표'!B9</f>
        <v>8</v>
      </c>
      <c r="F10" s="112" t="s">
        <v>5</v>
      </c>
      <c r="G10" s="140">
        <f>'(변경)집계표'!D9</f>
        <v>1737</v>
      </c>
      <c r="H10" s="111">
        <f>'(변경)집계표'!B39</f>
        <v>17</v>
      </c>
      <c r="I10" s="112" t="s">
        <v>5</v>
      </c>
      <c r="J10" s="140">
        <f>'(변경)집계표'!D39</f>
        <v>13328</v>
      </c>
      <c r="K10" s="111">
        <f>'(변경)집계표'!B69</f>
        <v>46</v>
      </c>
      <c r="L10" s="112" t="s">
        <v>5</v>
      </c>
      <c r="M10" s="140">
        <f>'(변경)집계표'!D69</f>
        <v>30895</v>
      </c>
      <c r="N10" s="111">
        <f>'(변경)집계표'!B99</f>
        <v>41</v>
      </c>
      <c r="O10" s="112" t="s">
        <v>5</v>
      </c>
      <c r="P10" s="140">
        <f>'(변경)집계표'!D99</f>
        <v>49066</v>
      </c>
      <c r="Q10" s="111">
        <f>'(변경)집계표'!B129</f>
        <v>44</v>
      </c>
      <c r="R10" s="112" t="s">
        <v>5</v>
      </c>
      <c r="S10" s="140">
        <f>'(변경)집계표'!D129</f>
        <v>61578</v>
      </c>
      <c r="T10" s="111">
        <f>'(변경)집계표'!B159</f>
        <v>0</v>
      </c>
      <c r="U10" s="112" t="s">
        <v>5</v>
      </c>
      <c r="V10" s="140">
        <f>'(변경)집계표'!D159</f>
        <v>0</v>
      </c>
      <c r="W10" s="111">
        <f>'(변경)집계표'!B189</f>
        <v>0</v>
      </c>
      <c r="X10" s="112" t="s">
        <v>5</v>
      </c>
      <c r="Y10" s="140">
        <f>'(변경)집계표'!D189</f>
        <v>0</v>
      </c>
      <c r="Z10" s="111">
        <f>'(변경)집계표'!B219</f>
        <v>0</v>
      </c>
      <c r="AA10" s="112" t="s">
        <v>5</v>
      </c>
      <c r="AB10" s="140">
        <f>'(변경)집계표'!D219</f>
        <v>0</v>
      </c>
      <c r="AC10" s="111">
        <f>'(변경)집계표'!B249</f>
        <v>0</v>
      </c>
      <c r="AD10" s="112" t="s">
        <v>5</v>
      </c>
      <c r="AE10" s="140">
        <f>'(변경)집계표'!D249</f>
        <v>0</v>
      </c>
      <c r="AF10" s="111">
        <f>'(변경)집계표'!B279</f>
        <v>0</v>
      </c>
      <c r="AG10" s="112" t="s">
        <v>5</v>
      </c>
      <c r="AH10" s="140">
        <f>'(변경)집계표'!D279</f>
        <v>0</v>
      </c>
      <c r="AI10" s="128"/>
      <c r="AJ10" s="6"/>
    </row>
    <row r="11" spans="1:36" s="7" customFormat="1" ht="22.5" customHeight="1">
      <c r="A11" s="127" t="s">
        <v>10</v>
      </c>
      <c r="B11" s="111">
        <f t="shared" si="0"/>
        <v>34</v>
      </c>
      <c r="C11" s="112" t="s">
        <v>5</v>
      </c>
      <c r="D11" s="140">
        <f t="shared" si="1"/>
        <v>3819</v>
      </c>
      <c r="E11" s="111">
        <f>'(변경)집계표'!B10</f>
        <v>6</v>
      </c>
      <c r="F11" s="112" t="s">
        <v>5</v>
      </c>
      <c r="G11" s="140">
        <f>'(변경)집계표'!D10</f>
        <v>662</v>
      </c>
      <c r="H11" s="111">
        <f>'(변경)집계표'!B40</f>
        <v>8</v>
      </c>
      <c r="I11" s="112" t="s">
        <v>5</v>
      </c>
      <c r="J11" s="140">
        <f>'(변경)집계표'!D40</f>
        <v>664</v>
      </c>
      <c r="K11" s="111">
        <f>'(변경)집계표'!B70</f>
        <v>9</v>
      </c>
      <c r="L11" s="112" t="s">
        <v>5</v>
      </c>
      <c r="M11" s="140">
        <f>'(변경)집계표'!D70</f>
        <v>1449</v>
      </c>
      <c r="N11" s="111">
        <f>'(변경)집계표'!B100</f>
        <v>1</v>
      </c>
      <c r="O11" s="112" t="s">
        <v>5</v>
      </c>
      <c r="P11" s="140">
        <f>'(변경)집계표'!D100</f>
        <v>61</v>
      </c>
      <c r="Q11" s="111">
        <f>'(변경)집계표'!B130</f>
        <v>10</v>
      </c>
      <c r="R11" s="112" t="s">
        <v>5</v>
      </c>
      <c r="S11" s="140">
        <f>'(변경)집계표'!D130</f>
        <v>983</v>
      </c>
      <c r="T11" s="111">
        <f>'(변경)집계표'!B160</f>
        <v>0</v>
      </c>
      <c r="U11" s="112" t="s">
        <v>5</v>
      </c>
      <c r="V11" s="140">
        <f>'(변경)집계표'!D160</f>
        <v>0</v>
      </c>
      <c r="W11" s="111">
        <f>'(변경)집계표'!B190</f>
        <v>0</v>
      </c>
      <c r="X11" s="112" t="s">
        <v>5</v>
      </c>
      <c r="Y11" s="140">
        <f>'(변경)집계표'!D190</f>
        <v>0</v>
      </c>
      <c r="Z11" s="111">
        <f>'(변경)집계표'!B220</f>
        <v>0</v>
      </c>
      <c r="AA11" s="112" t="s">
        <v>5</v>
      </c>
      <c r="AB11" s="140">
        <f>'(변경)집계표'!D220</f>
        <v>0</v>
      </c>
      <c r="AC11" s="111">
        <f>'(변경)집계표'!B250</f>
        <v>0</v>
      </c>
      <c r="AD11" s="112" t="s">
        <v>5</v>
      </c>
      <c r="AE11" s="140">
        <f>'(변경)집계표'!D250</f>
        <v>0</v>
      </c>
      <c r="AF11" s="111">
        <f>'(변경)집계표'!B280</f>
        <v>0</v>
      </c>
      <c r="AG11" s="112" t="s">
        <v>5</v>
      </c>
      <c r="AH11" s="140">
        <f>'(변경)집계표'!D280</f>
        <v>0</v>
      </c>
      <c r="AI11" s="128"/>
      <c r="AJ11" s="6"/>
    </row>
    <row r="12" spans="1:36" s="7" customFormat="1" ht="22.5" customHeight="1">
      <c r="A12" s="127" t="s">
        <v>11</v>
      </c>
      <c r="B12" s="111">
        <f t="shared" si="0"/>
        <v>250</v>
      </c>
      <c r="C12" s="112" t="s">
        <v>5</v>
      </c>
      <c r="D12" s="140">
        <f t="shared" si="1"/>
        <v>76539.600000000006</v>
      </c>
      <c r="E12" s="111">
        <f>'(변경)집계표'!B11</f>
        <v>54</v>
      </c>
      <c r="F12" s="112" t="s">
        <v>5</v>
      </c>
      <c r="G12" s="140">
        <f>'(변경)집계표'!D11</f>
        <v>13046.1</v>
      </c>
      <c r="H12" s="111">
        <f>'(변경)집계표'!B41</f>
        <v>58</v>
      </c>
      <c r="I12" s="112" t="s">
        <v>5</v>
      </c>
      <c r="J12" s="140">
        <f>'(변경)집계표'!D41</f>
        <v>12321.7</v>
      </c>
      <c r="K12" s="111">
        <f>'(변경)집계표'!B71</f>
        <v>80</v>
      </c>
      <c r="L12" s="112" t="s">
        <v>5</v>
      </c>
      <c r="M12" s="140">
        <f>'(변경)집계표'!D71</f>
        <v>22240.9</v>
      </c>
      <c r="N12" s="111">
        <f>'(변경)집계표'!B101</f>
        <v>20</v>
      </c>
      <c r="O12" s="112" t="s">
        <v>5</v>
      </c>
      <c r="P12" s="140">
        <f>'(변경)집계표'!D101</f>
        <v>21503.9</v>
      </c>
      <c r="Q12" s="111">
        <f>'(변경)집계표'!B131</f>
        <v>38</v>
      </c>
      <c r="R12" s="112" t="s">
        <v>5</v>
      </c>
      <c r="S12" s="140">
        <f>'(변경)집계표'!D131</f>
        <v>7427</v>
      </c>
      <c r="T12" s="111">
        <f>'(변경)집계표'!B161</f>
        <v>0</v>
      </c>
      <c r="U12" s="112" t="s">
        <v>5</v>
      </c>
      <c r="V12" s="140">
        <f>'(변경)집계표'!D161</f>
        <v>0</v>
      </c>
      <c r="W12" s="111">
        <f>'(변경)집계표'!B191</f>
        <v>0</v>
      </c>
      <c r="X12" s="112" t="s">
        <v>5</v>
      </c>
      <c r="Y12" s="140">
        <f>'(변경)집계표'!D191</f>
        <v>0</v>
      </c>
      <c r="Z12" s="111">
        <f>'(변경)집계표'!B221</f>
        <v>0</v>
      </c>
      <c r="AA12" s="112" t="s">
        <v>5</v>
      </c>
      <c r="AB12" s="140">
        <f>'(변경)집계표'!D221</f>
        <v>0</v>
      </c>
      <c r="AC12" s="111">
        <f>'(변경)집계표'!B251</f>
        <v>0</v>
      </c>
      <c r="AD12" s="112" t="s">
        <v>5</v>
      </c>
      <c r="AE12" s="140">
        <f>'(변경)집계표'!D251</f>
        <v>0</v>
      </c>
      <c r="AF12" s="111">
        <f>'(변경)집계표'!B281</f>
        <v>0</v>
      </c>
      <c r="AG12" s="112" t="s">
        <v>5</v>
      </c>
      <c r="AH12" s="140">
        <f>'(변경)집계표'!D281</f>
        <v>0</v>
      </c>
      <c r="AI12" s="128"/>
      <c r="AJ12" s="6"/>
    </row>
    <row r="13" spans="1:36" s="7" customFormat="1" ht="22.5" customHeight="1">
      <c r="A13" s="127" t="s">
        <v>12</v>
      </c>
      <c r="B13" s="111">
        <f t="shared" si="0"/>
        <v>45</v>
      </c>
      <c r="C13" s="112" t="s">
        <v>5</v>
      </c>
      <c r="D13" s="140">
        <f t="shared" si="1"/>
        <v>11174.199999999999</v>
      </c>
      <c r="E13" s="111">
        <f>'(변경)집계표'!B12</f>
        <v>13</v>
      </c>
      <c r="F13" s="112" t="s">
        <v>5</v>
      </c>
      <c r="G13" s="140">
        <f>'(변경)집계표'!D12</f>
        <v>1440.1999999999998</v>
      </c>
      <c r="H13" s="111">
        <f>'(변경)집계표'!B42</f>
        <v>13</v>
      </c>
      <c r="I13" s="112" t="s">
        <v>5</v>
      </c>
      <c r="J13" s="140">
        <f>'(변경)집계표'!D42</f>
        <v>2402.7999999999997</v>
      </c>
      <c r="K13" s="111">
        <f>'(변경)집계표'!B72</f>
        <v>12</v>
      </c>
      <c r="L13" s="112" t="s">
        <v>5</v>
      </c>
      <c r="M13" s="140">
        <f>'(변경)집계표'!D72</f>
        <v>4652.2</v>
      </c>
      <c r="N13" s="111">
        <f>'(변경)집계표'!B102</f>
        <v>7</v>
      </c>
      <c r="O13" s="112" t="s">
        <v>5</v>
      </c>
      <c r="P13" s="140">
        <f>'(변경)집계표'!D102</f>
        <v>2679</v>
      </c>
      <c r="Q13" s="111">
        <f>'(변경)집계표'!B132</f>
        <v>0</v>
      </c>
      <c r="R13" s="112" t="s">
        <v>5</v>
      </c>
      <c r="S13" s="140">
        <f>'(변경)집계표'!D132</f>
        <v>0</v>
      </c>
      <c r="T13" s="111">
        <f>'(변경)집계표'!B162</f>
        <v>0</v>
      </c>
      <c r="U13" s="112" t="s">
        <v>5</v>
      </c>
      <c r="V13" s="140">
        <f>'(변경)집계표'!D162</f>
        <v>0</v>
      </c>
      <c r="W13" s="111">
        <f>'(변경)집계표'!B192</f>
        <v>0</v>
      </c>
      <c r="X13" s="112" t="s">
        <v>5</v>
      </c>
      <c r="Y13" s="140">
        <f>'(변경)집계표'!D192</f>
        <v>0</v>
      </c>
      <c r="Z13" s="111">
        <f>'(변경)집계표'!B222</f>
        <v>0</v>
      </c>
      <c r="AA13" s="112" t="s">
        <v>5</v>
      </c>
      <c r="AB13" s="140">
        <f>'(변경)집계표'!D222</f>
        <v>0</v>
      </c>
      <c r="AC13" s="111">
        <f>'(변경)집계표'!B252</f>
        <v>0</v>
      </c>
      <c r="AD13" s="112" t="s">
        <v>5</v>
      </c>
      <c r="AE13" s="140">
        <f>'(변경)집계표'!D252</f>
        <v>0</v>
      </c>
      <c r="AF13" s="111">
        <f>'(변경)집계표'!B282</f>
        <v>0</v>
      </c>
      <c r="AG13" s="112" t="s">
        <v>5</v>
      </c>
      <c r="AH13" s="140">
        <f>'(변경)집계표'!D282</f>
        <v>0</v>
      </c>
      <c r="AI13" s="128"/>
      <c r="AJ13" s="6"/>
    </row>
    <row r="14" spans="1:36" s="7" customFormat="1" ht="22.5" customHeight="1">
      <c r="A14" s="127" t="s">
        <v>13</v>
      </c>
      <c r="B14" s="111">
        <f t="shared" si="0"/>
        <v>1</v>
      </c>
      <c r="C14" s="112" t="s">
        <v>5</v>
      </c>
      <c r="D14" s="140">
        <f t="shared" si="1"/>
        <v>597.9</v>
      </c>
      <c r="E14" s="111">
        <f>'(변경)집계표'!B13</f>
        <v>0</v>
      </c>
      <c r="F14" s="112" t="s">
        <v>5</v>
      </c>
      <c r="G14" s="140">
        <f>'(변경)집계표'!D13</f>
        <v>0</v>
      </c>
      <c r="H14" s="111">
        <f>'(변경)집계표'!B43</f>
        <v>0</v>
      </c>
      <c r="I14" s="112" t="s">
        <v>5</v>
      </c>
      <c r="J14" s="140">
        <f>'(변경)집계표'!D43</f>
        <v>0</v>
      </c>
      <c r="K14" s="111">
        <f>'(변경)집계표'!B73</f>
        <v>0</v>
      </c>
      <c r="L14" s="112" t="s">
        <v>5</v>
      </c>
      <c r="M14" s="140">
        <f>'(변경)집계표'!D73</f>
        <v>0</v>
      </c>
      <c r="N14" s="111">
        <f>'(변경)집계표'!B103</f>
        <v>1</v>
      </c>
      <c r="O14" s="112" t="s">
        <v>5</v>
      </c>
      <c r="P14" s="140">
        <f>'(변경)집계표'!D103</f>
        <v>597.9</v>
      </c>
      <c r="Q14" s="111">
        <f>'(변경)집계표'!B133</f>
        <v>0</v>
      </c>
      <c r="R14" s="112" t="s">
        <v>5</v>
      </c>
      <c r="S14" s="140">
        <f>'(변경)집계표'!D133</f>
        <v>0</v>
      </c>
      <c r="T14" s="111">
        <f>'(변경)집계표'!B163</f>
        <v>0</v>
      </c>
      <c r="U14" s="112" t="s">
        <v>5</v>
      </c>
      <c r="V14" s="140">
        <f>'(변경)집계표'!D163</f>
        <v>0</v>
      </c>
      <c r="W14" s="111">
        <f>'(변경)집계표'!B193</f>
        <v>0</v>
      </c>
      <c r="X14" s="112" t="s">
        <v>5</v>
      </c>
      <c r="Y14" s="140">
        <f>'(변경)집계표'!D193</f>
        <v>0</v>
      </c>
      <c r="Z14" s="111">
        <f>'(변경)집계표'!B223</f>
        <v>0</v>
      </c>
      <c r="AA14" s="112" t="s">
        <v>5</v>
      </c>
      <c r="AB14" s="140">
        <f>'(변경)집계표'!D223</f>
        <v>0</v>
      </c>
      <c r="AC14" s="111">
        <f>'(변경)집계표'!B253</f>
        <v>0</v>
      </c>
      <c r="AD14" s="112" t="s">
        <v>5</v>
      </c>
      <c r="AE14" s="140">
        <f>'(변경)집계표'!D253</f>
        <v>0</v>
      </c>
      <c r="AF14" s="111">
        <f>'(변경)집계표'!B283</f>
        <v>0</v>
      </c>
      <c r="AG14" s="112" t="s">
        <v>5</v>
      </c>
      <c r="AH14" s="140">
        <f>'(변경)집계표'!D283</f>
        <v>0</v>
      </c>
      <c r="AI14" s="128"/>
      <c r="AJ14" s="6"/>
    </row>
    <row r="15" spans="1:36" s="7" customFormat="1" ht="22.5" customHeight="1">
      <c r="A15" s="127" t="s">
        <v>14</v>
      </c>
      <c r="B15" s="111">
        <f t="shared" si="0"/>
        <v>8</v>
      </c>
      <c r="C15" s="112" t="s">
        <v>5</v>
      </c>
      <c r="D15" s="140">
        <f t="shared" si="1"/>
        <v>4390.3999999999996</v>
      </c>
      <c r="E15" s="111">
        <f>'(변경)집계표'!B14</f>
        <v>6</v>
      </c>
      <c r="F15" s="112" t="s">
        <v>5</v>
      </c>
      <c r="G15" s="140">
        <f>'(변경)집계표'!D14</f>
        <v>4138.3999999999996</v>
      </c>
      <c r="H15" s="111">
        <f>'(변경)집계표'!B44</f>
        <v>0</v>
      </c>
      <c r="I15" s="112" t="s">
        <v>5</v>
      </c>
      <c r="J15" s="140">
        <f>'(변경)집계표'!D44</f>
        <v>0</v>
      </c>
      <c r="K15" s="111">
        <f>'(변경)집계표'!B74</f>
        <v>2</v>
      </c>
      <c r="L15" s="112" t="s">
        <v>5</v>
      </c>
      <c r="M15" s="140">
        <f>'(변경)집계표'!D74</f>
        <v>252</v>
      </c>
      <c r="N15" s="111">
        <f>'(변경)집계표'!B104</f>
        <v>0</v>
      </c>
      <c r="O15" s="112" t="s">
        <v>5</v>
      </c>
      <c r="P15" s="140">
        <f>'(변경)집계표'!D104</f>
        <v>0</v>
      </c>
      <c r="Q15" s="111">
        <f>'(변경)집계표'!B134</f>
        <v>0</v>
      </c>
      <c r="R15" s="112" t="s">
        <v>5</v>
      </c>
      <c r="S15" s="140">
        <f>'(변경)집계표'!D134</f>
        <v>0</v>
      </c>
      <c r="T15" s="111">
        <f>'(변경)집계표'!B164</f>
        <v>0</v>
      </c>
      <c r="U15" s="112" t="s">
        <v>5</v>
      </c>
      <c r="V15" s="140">
        <f>'(변경)집계표'!D164</f>
        <v>0</v>
      </c>
      <c r="W15" s="111">
        <f>'(변경)집계표'!B194</f>
        <v>0</v>
      </c>
      <c r="X15" s="112" t="s">
        <v>5</v>
      </c>
      <c r="Y15" s="140">
        <f>'(변경)집계표'!D194</f>
        <v>0</v>
      </c>
      <c r="Z15" s="111">
        <f>'(변경)집계표'!B224</f>
        <v>0</v>
      </c>
      <c r="AA15" s="112" t="s">
        <v>5</v>
      </c>
      <c r="AB15" s="140">
        <f>'(변경)집계표'!D224</f>
        <v>0</v>
      </c>
      <c r="AC15" s="111">
        <f>'(변경)집계표'!B254</f>
        <v>0</v>
      </c>
      <c r="AD15" s="112" t="s">
        <v>5</v>
      </c>
      <c r="AE15" s="140">
        <f>'(변경)집계표'!D254</f>
        <v>0</v>
      </c>
      <c r="AF15" s="111">
        <f>'(변경)집계표'!B284</f>
        <v>0</v>
      </c>
      <c r="AG15" s="112" t="s">
        <v>5</v>
      </c>
      <c r="AH15" s="140">
        <f>'(변경)집계표'!D284</f>
        <v>0</v>
      </c>
      <c r="AI15" s="128"/>
      <c r="AJ15" s="6"/>
    </row>
    <row r="16" spans="1:36" s="7" customFormat="1" ht="22.5" customHeight="1">
      <c r="A16" s="127" t="s">
        <v>15</v>
      </c>
      <c r="B16" s="111">
        <f t="shared" si="0"/>
        <v>3</v>
      </c>
      <c r="C16" s="112" t="s">
        <v>5</v>
      </c>
      <c r="D16" s="140">
        <f t="shared" si="1"/>
        <v>663</v>
      </c>
      <c r="E16" s="111">
        <f>'(변경)집계표'!B15</f>
        <v>0</v>
      </c>
      <c r="F16" s="112" t="s">
        <v>5</v>
      </c>
      <c r="G16" s="140">
        <f>'(변경)집계표'!D15</f>
        <v>0</v>
      </c>
      <c r="H16" s="111">
        <f>'(변경)집계표'!B45</f>
        <v>0</v>
      </c>
      <c r="I16" s="112" t="s">
        <v>5</v>
      </c>
      <c r="J16" s="140">
        <f>'(변경)집계표'!D45</f>
        <v>0</v>
      </c>
      <c r="K16" s="111">
        <f>'(변경)집계표'!B75</f>
        <v>2</v>
      </c>
      <c r="L16" s="112" t="s">
        <v>5</v>
      </c>
      <c r="M16" s="140">
        <f>'(변경)집계표'!D75</f>
        <v>117</v>
      </c>
      <c r="N16" s="111">
        <f>'(변경)집계표'!B105</f>
        <v>0</v>
      </c>
      <c r="O16" s="112" t="s">
        <v>5</v>
      </c>
      <c r="P16" s="140">
        <f>'(변경)집계표'!D105</f>
        <v>0</v>
      </c>
      <c r="Q16" s="111">
        <f>'(변경)집계표'!B135</f>
        <v>1</v>
      </c>
      <c r="R16" s="112" t="s">
        <v>5</v>
      </c>
      <c r="S16" s="140">
        <f>'(변경)집계표'!D135</f>
        <v>546</v>
      </c>
      <c r="T16" s="111">
        <f>'(변경)집계표'!B165</f>
        <v>0</v>
      </c>
      <c r="U16" s="112" t="s">
        <v>5</v>
      </c>
      <c r="V16" s="140">
        <f>'(변경)집계표'!D165</f>
        <v>0</v>
      </c>
      <c r="W16" s="111">
        <f>'(변경)집계표'!B195</f>
        <v>0</v>
      </c>
      <c r="X16" s="112" t="s">
        <v>5</v>
      </c>
      <c r="Y16" s="140">
        <f>'(변경)집계표'!D195</f>
        <v>0</v>
      </c>
      <c r="Z16" s="111">
        <f>'(변경)집계표'!B225</f>
        <v>0</v>
      </c>
      <c r="AA16" s="112" t="s">
        <v>5</v>
      </c>
      <c r="AB16" s="140">
        <f>'(변경)집계표'!D225</f>
        <v>0</v>
      </c>
      <c r="AC16" s="111">
        <f>'(변경)집계표'!B255</f>
        <v>0</v>
      </c>
      <c r="AD16" s="112" t="s">
        <v>5</v>
      </c>
      <c r="AE16" s="140">
        <f>'(변경)집계표'!D255</f>
        <v>0</v>
      </c>
      <c r="AF16" s="111">
        <f>'(변경)집계표'!B285</f>
        <v>0</v>
      </c>
      <c r="AG16" s="112" t="s">
        <v>5</v>
      </c>
      <c r="AH16" s="140">
        <f>'(변경)집계표'!D285</f>
        <v>0</v>
      </c>
      <c r="AI16" s="128"/>
      <c r="AJ16" s="6"/>
    </row>
    <row r="17" spans="1:36" s="7" customFormat="1" ht="22.5" customHeight="1">
      <c r="A17" s="127" t="s">
        <v>16</v>
      </c>
      <c r="B17" s="111">
        <f t="shared" si="0"/>
        <v>0</v>
      </c>
      <c r="C17" s="112" t="s">
        <v>5</v>
      </c>
      <c r="D17" s="140">
        <f t="shared" si="1"/>
        <v>0</v>
      </c>
      <c r="E17" s="111">
        <f>'(변경)집계표'!B16</f>
        <v>0</v>
      </c>
      <c r="F17" s="112" t="s">
        <v>5</v>
      </c>
      <c r="G17" s="140">
        <f>'(변경)집계표'!D16</f>
        <v>0</v>
      </c>
      <c r="H17" s="111">
        <f>'(변경)집계표'!B46</f>
        <v>0</v>
      </c>
      <c r="I17" s="112" t="s">
        <v>5</v>
      </c>
      <c r="J17" s="140">
        <f>'(변경)집계표'!D46</f>
        <v>0</v>
      </c>
      <c r="K17" s="111">
        <f>'(변경)집계표'!B76</f>
        <v>0</v>
      </c>
      <c r="L17" s="112" t="s">
        <v>5</v>
      </c>
      <c r="M17" s="140">
        <f>'(변경)집계표'!D76</f>
        <v>0</v>
      </c>
      <c r="N17" s="111">
        <f>'(변경)집계표'!B106</f>
        <v>0</v>
      </c>
      <c r="O17" s="112" t="s">
        <v>5</v>
      </c>
      <c r="P17" s="140">
        <f>'(변경)집계표'!D106</f>
        <v>0</v>
      </c>
      <c r="Q17" s="111">
        <f>'(변경)집계표'!B136</f>
        <v>0</v>
      </c>
      <c r="R17" s="112" t="s">
        <v>5</v>
      </c>
      <c r="S17" s="140">
        <f>'(변경)집계표'!D136</f>
        <v>0</v>
      </c>
      <c r="T17" s="111">
        <f>'(변경)집계표'!B166</f>
        <v>0</v>
      </c>
      <c r="U17" s="112" t="s">
        <v>5</v>
      </c>
      <c r="V17" s="140">
        <f>'(변경)집계표'!D166</f>
        <v>0</v>
      </c>
      <c r="W17" s="111">
        <f>'(변경)집계표'!B196</f>
        <v>0</v>
      </c>
      <c r="X17" s="112" t="s">
        <v>5</v>
      </c>
      <c r="Y17" s="140">
        <f>'(변경)집계표'!D196</f>
        <v>0</v>
      </c>
      <c r="Z17" s="111">
        <f>'(변경)집계표'!B226</f>
        <v>0</v>
      </c>
      <c r="AA17" s="112" t="s">
        <v>5</v>
      </c>
      <c r="AB17" s="140">
        <f>'(변경)집계표'!D226</f>
        <v>0</v>
      </c>
      <c r="AC17" s="111">
        <f>'(변경)집계표'!B256</f>
        <v>0</v>
      </c>
      <c r="AD17" s="112" t="s">
        <v>5</v>
      </c>
      <c r="AE17" s="140">
        <f>'(변경)집계표'!D256</f>
        <v>0</v>
      </c>
      <c r="AF17" s="111">
        <f>'(변경)집계표'!B286</f>
        <v>0</v>
      </c>
      <c r="AG17" s="112" t="s">
        <v>5</v>
      </c>
      <c r="AH17" s="140">
        <f>'(변경)집계표'!D286</f>
        <v>0</v>
      </c>
      <c r="AI17" s="128"/>
      <c r="AJ17" s="6"/>
    </row>
    <row r="18" spans="1:36" s="7" customFormat="1" ht="22.5" customHeight="1">
      <c r="A18" s="127" t="s">
        <v>17</v>
      </c>
      <c r="B18" s="111">
        <f t="shared" si="0"/>
        <v>0</v>
      </c>
      <c r="C18" s="112" t="s">
        <v>5</v>
      </c>
      <c r="D18" s="140">
        <f t="shared" si="1"/>
        <v>0</v>
      </c>
      <c r="E18" s="111">
        <f>'(변경)집계표'!B17</f>
        <v>0</v>
      </c>
      <c r="F18" s="112" t="s">
        <v>5</v>
      </c>
      <c r="G18" s="140">
        <f>'(변경)집계표'!D17</f>
        <v>0</v>
      </c>
      <c r="H18" s="111">
        <f>'(변경)집계표'!B47</f>
        <v>0</v>
      </c>
      <c r="I18" s="112" t="s">
        <v>5</v>
      </c>
      <c r="J18" s="140">
        <f>'(변경)집계표'!D47</f>
        <v>0</v>
      </c>
      <c r="K18" s="111">
        <f>'(변경)집계표'!B77</f>
        <v>0</v>
      </c>
      <c r="L18" s="112" t="s">
        <v>5</v>
      </c>
      <c r="M18" s="140">
        <f>'(변경)집계표'!D77</f>
        <v>0</v>
      </c>
      <c r="N18" s="111">
        <f>'(변경)집계표'!B107</f>
        <v>0</v>
      </c>
      <c r="O18" s="112" t="s">
        <v>5</v>
      </c>
      <c r="P18" s="140">
        <f>'(변경)집계표'!D107</f>
        <v>0</v>
      </c>
      <c r="Q18" s="111">
        <f>'(변경)집계표'!B137</f>
        <v>0</v>
      </c>
      <c r="R18" s="112" t="s">
        <v>5</v>
      </c>
      <c r="S18" s="140">
        <f>'(변경)집계표'!D137</f>
        <v>0</v>
      </c>
      <c r="T18" s="111">
        <f>'(변경)집계표'!B167</f>
        <v>0</v>
      </c>
      <c r="U18" s="112" t="s">
        <v>5</v>
      </c>
      <c r="V18" s="140">
        <f>'(변경)집계표'!D167</f>
        <v>0</v>
      </c>
      <c r="W18" s="111">
        <f>'(변경)집계표'!B197</f>
        <v>0</v>
      </c>
      <c r="X18" s="112" t="s">
        <v>5</v>
      </c>
      <c r="Y18" s="140">
        <f>'(변경)집계표'!D197</f>
        <v>0</v>
      </c>
      <c r="Z18" s="111">
        <f>'(변경)집계표'!B227</f>
        <v>0</v>
      </c>
      <c r="AA18" s="112" t="s">
        <v>5</v>
      </c>
      <c r="AB18" s="140">
        <f>'(변경)집계표'!D227</f>
        <v>0</v>
      </c>
      <c r="AC18" s="111">
        <f>'(변경)집계표'!B257</f>
        <v>0</v>
      </c>
      <c r="AD18" s="112" t="s">
        <v>5</v>
      </c>
      <c r="AE18" s="140">
        <f>'(변경)집계표'!D257</f>
        <v>0</v>
      </c>
      <c r="AF18" s="111">
        <f>'(변경)집계표'!B287</f>
        <v>0</v>
      </c>
      <c r="AG18" s="112" t="s">
        <v>5</v>
      </c>
      <c r="AH18" s="140">
        <f>'(변경)집계표'!D287</f>
        <v>0</v>
      </c>
      <c r="AI18" s="128"/>
      <c r="AJ18" s="6"/>
    </row>
    <row r="19" spans="1:36" s="7" customFormat="1" ht="22.5" customHeight="1">
      <c r="A19" s="127" t="s">
        <v>18</v>
      </c>
      <c r="B19" s="111">
        <f t="shared" si="0"/>
        <v>0</v>
      </c>
      <c r="C19" s="112" t="s">
        <v>5</v>
      </c>
      <c r="D19" s="140">
        <f t="shared" si="1"/>
        <v>0</v>
      </c>
      <c r="E19" s="111">
        <f>'(변경)집계표'!B18</f>
        <v>0</v>
      </c>
      <c r="F19" s="112" t="s">
        <v>5</v>
      </c>
      <c r="G19" s="140">
        <f>'(변경)집계표'!D18</f>
        <v>0</v>
      </c>
      <c r="H19" s="111">
        <f>'(변경)집계표'!B48</f>
        <v>0</v>
      </c>
      <c r="I19" s="112" t="s">
        <v>5</v>
      </c>
      <c r="J19" s="140">
        <f>'(변경)집계표'!D48</f>
        <v>0</v>
      </c>
      <c r="K19" s="111">
        <f>'(변경)집계표'!B78</f>
        <v>0</v>
      </c>
      <c r="L19" s="112" t="s">
        <v>5</v>
      </c>
      <c r="M19" s="140">
        <f>'(변경)집계표'!D78</f>
        <v>0</v>
      </c>
      <c r="N19" s="111">
        <f>'(변경)집계표'!B108</f>
        <v>0</v>
      </c>
      <c r="O19" s="112" t="s">
        <v>5</v>
      </c>
      <c r="P19" s="140">
        <f>'(변경)집계표'!D108</f>
        <v>0</v>
      </c>
      <c r="Q19" s="111">
        <f>'(변경)집계표'!B138</f>
        <v>0</v>
      </c>
      <c r="R19" s="112" t="s">
        <v>5</v>
      </c>
      <c r="S19" s="140">
        <f>'(변경)집계표'!D138</f>
        <v>0</v>
      </c>
      <c r="T19" s="111">
        <f>'(변경)집계표'!B168</f>
        <v>0</v>
      </c>
      <c r="U19" s="112" t="s">
        <v>5</v>
      </c>
      <c r="V19" s="140">
        <f>'(변경)집계표'!D168</f>
        <v>0</v>
      </c>
      <c r="W19" s="111">
        <f>'(변경)집계표'!B198</f>
        <v>0</v>
      </c>
      <c r="X19" s="112" t="s">
        <v>5</v>
      </c>
      <c r="Y19" s="140">
        <f>'(변경)집계표'!D198</f>
        <v>0</v>
      </c>
      <c r="Z19" s="111">
        <f>'(변경)집계표'!B228</f>
        <v>0</v>
      </c>
      <c r="AA19" s="112" t="s">
        <v>5</v>
      </c>
      <c r="AB19" s="140">
        <f>'(변경)집계표'!D228</f>
        <v>0</v>
      </c>
      <c r="AC19" s="111">
        <f>'(변경)집계표'!B258</f>
        <v>0</v>
      </c>
      <c r="AD19" s="112" t="s">
        <v>5</v>
      </c>
      <c r="AE19" s="140">
        <f>'(변경)집계표'!D258</f>
        <v>0</v>
      </c>
      <c r="AF19" s="111">
        <f>'(변경)집계표'!B288</f>
        <v>0</v>
      </c>
      <c r="AG19" s="112" t="s">
        <v>5</v>
      </c>
      <c r="AH19" s="140">
        <f>'(변경)집계표'!D288</f>
        <v>0</v>
      </c>
      <c r="AI19" s="128"/>
      <c r="AJ19" s="6"/>
    </row>
    <row r="20" spans="1:36" s="7" customFormat="1" ht="22.5" customHeight="1">
      <c r="A20" s="127" t="s">
        <v>19</v>
      </c>
      <c r="B20" s="111">
        <f t="shared" si="0"/>
        <v>0</v>
      </c>
      <c r="C20" s="112" t="s">
        <v>5</v>
      </c>
      <c r="D20" s="140">
        <f t="shared" si="1"/>
        <v>0</v>
      </c>
      <c r="E20" s="111">
        <f>'(변경)집계표'!B19</f>
        <v>0</v>
      </c>
      <c r="F20" s="112" t="s">
        <v>5</v>
      </c>
      <c r="G20" s="140">
        <f>'(변경)집계표'!D19</f>
        <v>0</v>
      </c>
      <c r="H20" s="111">
        <f>'(변경)집계표'!B49</f>
        <v>0</v>
      </c>
      <c r="I20" s="112" t="s">
        <v>5</v>
      </c>
      <c r="J20" s="140">
        <f>'(변경)집계표'!D49</f>
        <v>0</v>
      </c>
      <c r="K20" s="111">
        <f>'(변경)집계표'!B79</f>
        <v>0</v>
      </c>
      <c r="L20" s="112" t="s">
        <v>5</v>
      </c>
      <c r="M20" s="140">
        <f>'(변경)집계표'!D79</f>
        <v>0</v>
      </c>
      <c r="N20" s="111">
        <f>'(변경)집계표'!B109</f>
        <v>0</v>
      </c>
      <c r="O20" s="112" t="s">
        <v>5</v>
      </c>
      <c r="P20" s="140">
        <f>'(변경)집계표'!D109</f>
        <v>0</v>
      </c>
      <c r="Q20" s="111">
        <f>'(변경)집계표'!B139</f>
        <v>0</v>
      </c>
      <c r="R20" s="112" t="s">
        <v>5</v>
      </c>
      <c r="S20" s="140">
        <f>'(변경)집계표'!D139</f>
        <v>0</v>
      </c>
      <c r="T20" s="111">
        <f>'(변경)집계표'!B169</f>
        <v>0</v>
      </c>
      <c r="U20" s="112" t="s">
        <v>5</v>
      </c>
      <c r="V20" s="140">
        <f>'(변경)집계표'!D169</f>
        <v>0</v>
      </c>
      <c r="W20" s="111">
        <f>'(변경)집계표'!B199</f>
        <v>0</v>
      </c>
      <c r="X20" s="112" t="s">
        <v>5</v>
      </c>
      <c r="Y20" s="140">
        <f>'(변경)집계표'!D199</f>
        <v>0</v>
      </c>
      <c r="Z20" s="111">
        <f>'(변경)집계표'!B229</f>
        <v>0</v>
      </c>
      <c r="AA20" s="112" t="s">
        <v>5</v>
      </c>
      <c r="AB20" s="140">
        <f>'(변경)집계표'!D229</f>
        <v>0</v>
      </c>
      <c r="AC20" s="111">
        <f>'(변경)집계표'!B259</f>
        <v>0</v>
      </c>
      <c r="AD20" s="112" t="s">
        <v>5</v>
      </c>
      <c r="AE20" s="140">
        <f>'(변경)집계표'!D259</f>
        <v>0</v>
      </c>
      <c r="AF20" s="111">
        <f>'(변경)집계표'!B289</f>
        <v>0</v>
      </c>
      <c r="AG20" s="112" t="s">
        <v>5</v>
      </c>
      <c r="AH20" s="140">
        <f>'(변경)집계표'!D289</f>
        <v>0</v>
      </c>
      <c r="AI20" s="128"/>
      <c r="AJ20" s="6"/>
    </row>
    <row r="21" spans="1:36" s="7" customFormat="1" ht="22.5" customHeight="1">
      <c r="A21" s="127" t="s">
        <v>20</v>
      </c>
      <c r="B21" s="111">
        <f t="shared" si="0"/>
        <v>0</v>
      </c>
      <c r="C21" s="112" t="s">
        <v>5</v>
      </c>
      <c r="D21" s="140">
        <f t="shared" si="1"/>
        <v>0</v>
      </c>
      <c r="E21" s="111">
        <f>'(변경)집계표'!B20</f>
        <v>0</v>
      </c>
      <c r="F21" s="112" t="s">
        <v>5</v>
      </c>
      <c r="G21" s="140">
        <f>'(변경)집계표'!D20</f>
        <v>0</v>
      </c>
      <c r="H21" s="111">
        <f>'(변경)집계표'!B50</f>
        <v>0</v>
      </c>
      <c r="I21" s="112" t="s">
        <v>5</v>
      </c>
      <c r="J21" s="140">
        <f>'(변경)집계표'!D50</f>
        <v>0</v>
      </c>
      <c r="K21" s="111">
        <f>'(변경)집계표'!B80</f>
        <v>0</v>
      </c>
      <c r="L21" s="112" t="s">
        <v>5</v>
      </c>
      <c r="M21" s="140">
        <f>'(변경)집계표'!D80</f>
        <v>0</v>
      </c>
      <c r="N21" s="111">
        <f>'(변경)집계표'!B110</f>
        <v>0</v>
      </c>
      <c r="O21" s="112" t="s">
        <v>5</v>
      </c>
      <c r="P21" s="140">
        <f>'(변경)집계표'!D110</f>
        <v>0</v>
      </c>
      <c r="Q21" s="111">
        <f>'(변경)집계표'!B140</f>
        <v>0</v>
      </c>
      <c r="R21" s="112" t="s">
        <v>5</v>
      </c>
      <c r="S21" s="140">
        <f>'(변경)집계표'!D140</f>
        <v>0</v>
      </c>
      <c r="T21" s="111">
        <f>'(변경)집계표'!B170</f>
        <v>0</v>
      </c>
      <c r="U21" s="112" t="s">
        <v>5</v>
      </c>
      <c r="V21" s="140">
        <f>'(변경)집계표'!D170</f>
        <v>0</v>
      </c>
      <c r="W21" s="111">
        <f>'(변경)집계표'!B200</f>
        <v>0</v>
      </c>
      <c r="X21" s="112" t="s">
        <v>5</v>
      </c>
      <c r="Y21" s="140">
        <f>'(변경)집계표'!D200</f>
        <v>0</v>
      </c>
      <c r="Z21" s="111">
        <f>'(변경)집계표'!B230</f>
        <v>0</v>
      </c>
      <c r="AA21" s="112" t="s">
        <v>5</v>
      </c>
      <c r="AB21" s="140">
        <f>'(변경)집계표'!D230</f>
        <v>0</v>
      </c>
      <c r="AC21" s="111">
        <f>'(변경)집계표'!B260</f>
        <v>0</v>
      </c>
      <c r="AD21" s="112" t="s">
        <v>5</v>
      </c>
      <c r="AE21" s="140">
        <f>'(변경)집계표'!D260</f>
        <v>0</v>
      </c>
      <c r="AF21" s="111">
        <f>'(변경)집계표'!B290</f>
        <v>0</v>
      </c>
      <c r="AG21" s="112" t="s">
        <v>5</v>
      </c>
      <c r="AH21" s="140">
        <f>'(변경)집계표'!D290</f>
        <v>0</v>
      </c>
      <c r="AI21" s="128"/>
      <c r="AJ21" s="6"/>
    </row>
    <row r="22" spans="1:36" s="7" customFormat="1" ht="22.5" customHeight="1">
      <c r="A22" s="127" t="s">
        <v>21</v>
      </c>
      <c r="B22" s="111">
        <f t="shared" si="0"/>
        <v>0</v>
      </c>
      <c r="C22" s="112" t="s">
        <v>5</v>
      </c>
      <c r="D22" s="140">
        <f t="shared" si="1"/>
        <v>0</v>
      </c>
      <c r="E22" s="111">
        <f>'(변경)집계표'!B21</f>
        <v>0</v>
      </c>
      <c r="F22" s="112" t="s">
        <v>5</v>
      </c>
      <c r="G22" s="140">
        <f>'(변경)집계표'!D21</f>
        <v>0</v>
      </c>
      <c r="H22" s="111">
        <f>'(변경)집계표'!B51</f>
        <v>0</v>
      </c>
      <c r="I22" s="112" t="s">
        <v>5</v>
      </c>
      <c r="J22" s="140">
        <f>'(변경)집계표'!D51</f>
        <v>0</v>
      </c>
      <c r="K22" s="111">
        <f>'(변경)집계표'!B81</f>
        <v>0</v>
      </c>
      <c r="L22" s="112" t="s">
        <v>5</v>
      </c>
      <c r="M22" s="140">
        <f>'(변경)집계표'!D81</f>
        <v>0</v>
      </c>
      <c r="N22" s="111">
        <f>'(변경)집계표'!B111</f>
        <v>0</v>
      </c>
      <c r="O22" s="112" t="s">
        <v>5</v>
      </c>
      <c r="P22" s="140">
        <f>'(변경)집계표'!D111</f>
        <v>0</v>
      </c>
      <c r="Q22" s="111">
        <f>'(변경)집계표'!B141</f>
        <v>0</v>
      </c>
      <c r="R22" s="112" t="s">
        <v>5</v>
      </c>
      <c r="S22" s="140">
        <f>'(변경)집계표'!D141</f>
        <v>0</v>
      </c>
      <c r="T22" s="111">
        <f>'(변경)집계표'!B171</f>
        <v>0</v>
      </c>
      <c r="U22" s="112" t="s">
        <v>5</v>
      </c>
      <c r="V22" s="140">
        <f>'(변경)집계표'!D171</f>
        <v>0</v>
      </c>
      <c r="W22" s="111">
        <f>'(변경)집계표'!B201</f>
        <v>0</v>
      </c>
      <c r="X22" s="112" t="s">
        <v>5</v>
      </c>
      <c r="Y22" s="140">
        <f>'(변경)집계표'!D201</f>
        <v>0</v>
      </c>
      <c r="Z22" s="111">
        <f>'(변경)집계표'!B231</f>
        <v>0</v>
      </c>
      <c r="AA22" s="112" t="s">
        <v>5</v>
      </c>
      <c r="AB22" s="140">
        <f>'(변경)집계표'!D231</f>
        <v>0</v>
      </c>
      <c r="AC22" s="111">
        <f>'(변경)집계표'!B261</f>
        <v>0</v>
      </c>
      <c r="AD22" s="112" t="s">
        <v>5</v>
      </c>
      <c r="AE22" s="140">
        <f>'(변경)집계표'!D261</f>
        <v>0</v>
      </c>
      <c r="AF22" s="111">
        <f>'(변경)집계표'!B291</f>
        <v>0</v>
      </c>
      <c r="AG22" s="112" t="s">
        <v>5</v>
      </c>
      <c r="AH22" s="140">
        <f>'(변경)집계표'!D291</f>
        <v>0</v>
      </c>
      <c r="AI22" s="128"/>
      <c r="AJ22" s="6"/>
    </row>
    <row r="23" spans="1:36" s="7" customFormat="1" ht="22.5" customHeight="1">
      <c r="A23" s="127" t="s">
        <v>22</v>
      </c>
      <c r="B23" s="111">
        <f t="shared" si="0"/>
        <v>0</v>
      </c>
      <c r="C23" s="112" t="s">
        <v>5</v>
      </c>
      <c r="D23" s="140">
        <f t="shared" si="1"/>
        <v>0</v>
      </c>
      <c r="E23" s="111">
        <f>'(변경)집계표'!B22</f>
        <v>0</v>
      </c>
      <c r="F23" s="112" t="s">
        <v>5</v>
      </c>
      <c r="G23" s="140">
        <f>'(변경)집계표'!D22</f>
        <v>0</v>
      </c>
      <c r="H23" s="111">
        <f>'(변경)집계표'!B52</f>
        <v>0</v>
      </c>
      <c r="I23" s="112" t="s">
        <v>5</v>
      </c>
      <c r="J23" s="140">
        <f>'(변경)집계표'!D52</f>
        <v>0</v>
      </c>
      <c r="K23" s="111">
        <f>'(변경)집계표'!B82</f>
        <v>0</v>
      </c>
      <c r="L23" s="112" t="s">
        <v>5</v>
      </c>
      <c r="M23" s="140">
        <f>'(변경)집계표'!D82</f>
        <v>0</v>
      </c>
      <c r="N23" s="111">
        <f>'(변경)집계표'!B112</f>
        <v>0</v>
      </c>
      <c r="O23" s="112" t="s">
        <v>5</v>
      </c>
      <c r="P23" s="140">
        <f>'(변경)집계표'!D112</f>
        <v>0</v>
      </c>
      <c r="Q23" s="111">
        <f>'(변경)집계표'!B142</f>
        <v>0</v>
      </c>
      <c r="R23" s="112" t="s">
        <v>5</v>
      </c>
      <c r="S23" s="140">
        <f>'(변경)집계표'!D142</f>
        <v>0</v>
      </c>
      <c r="T23" s="111">
        <f>'(변경)집계표'!B172</f>
        <v>0</v>
      </c>
      <c r="U23" s="112" t="s">
        <v>5</v>
      </c>
      <c r="V23" s="140">
        <f>'(변경)집계표'!D172</f>
        <v>0</v>
      </c>
      <c r="W23" s="111">
        <f>'(변경)집계표'!B202</f>
        <v>0</v>
      </c>
      <c r="X23" s="112" t="s">
        <v>5</v>
      </c>
      <c r="Y23" s="140">
        <f>'(변경)집계표'!D202</f>
        <v>0</v>
      </c>
      <c r="Z23" s="111">
        <f>'(변경)집계표'!B232</f>
        <v>0</v>
      </c>
      <c r="AA23" s="112" t="s">
        <v>5</v>
      </c>
      <c r="AB23" s="140">
        <f>'(변경)집계표'!D232</f>
        <v>0</v>
      </c>
      <c r="AC23" s="111">
        <f>'(변경)집계표'!B262</f>
        <v>0</v>
      </c>
      <c r="AD23" s="112" t="s">
        <v>5</v>
      </c>
      <c r="AE23" s="140">
        <f>'(변경)집계표'!D262</f>
        <v>0</v>
      </c>
      <c r="AF23" s="111">
        <f>'(변경)집계표'!B292</f>
        <v>0</v>
      </c>
      <c r="AG23" s="112" t="s">
        <v>5</v>
      </c>
      <c r="AH23" s="140">
        <f>'(변경)집계표'!D292</f>
        <v>0</v>
      </c>
      <c r="AI23" s="128"/>
      <c r="AJ23" s="6"/>
    </row>
    <row r="24" spans="1:36" s="7" customFormat="1" ht="22.5" customHeight="1">
      <c r="A24" s="127" t="s">
        <v>23</v>
      </c>
      <c r="B24" s="111">
        <f t="shared" si="0"/>
        <v>16</v>
      </c>
      <c r="C24" s="112" t="s">
        <v>5</v>
      </c>
      <c r="D24" s="140">
        <f t="shared" si="1"/>
        <v>6966</v>
      </c>
      <c r="E24" s="111">
        <f>'(변경)집계표'!B23</f>
        <v>0</v>
      </c>
      <c r="F24" s="112" t="s">
        <v>5</v>
      </c>
      <c r="G24" s="140">
        <f>'(변경)집계표'!D23</f>
        <v>0</v>
      </c>
      <c r="H24" s="111">
        <f>'(변경)집계표'!B53</f>
        <v>3</v>
      </c>
      <c r="I24" s="112" t="s">
        <v>5</v>
      </c>
      <c r="J24" s="140">
        <f>'(변경)집계표'!D53</f>
        <v>483</v>
      </c>
      <c r="K24" s="111">
        <f>'(변경)집계표'!B83</f>
        <v>0</v>
      </c>
      <c r="L24" s="112" t="s">
        <v>5</v>
      </c>
      <c r="M24" s="140">
        <f>'(변경)집계표'!D83</f>
        <v>0</v>
      </c>
      <c r="N24" s="111">
        <f>'(변경)집계표'!B113</f>
        <v>0</v>
      </c>
      <c r="O24" s="112" t="s">
        <v>5</v>
      </c>
      <c r="P24" s="140">
        <f>'(변경)집계표'!D113</f>
        <v>0</v>
      </c>
      <c r="Q24" s="111">
        <f>'(변경)집계표'!B143</f>
        <v>13</v>
      </c>
      <c r="R24" s="112" t="s">
        <v>5</v>
      </c>
      <c r="S24" s="140">
        <f>'(변경)집계표'!D143</f>
        <v>6483</v>
      </c>
      <c r="T24" s="111">
        <f>'(변경)집계표'!B173</f>
        <v>0</v>
      </c>
      <c r="U24" s="112" t="s">
        <v>5</v>
      </c>
      <c r="V24" s="140">
        <f>'(변경)집계표'!D173</f>
        <v>0</v>
      </c>
      <c r="W24" s="111">
        <f>'(변경)집계표'!B203</f>
        <v>0</v>
      </c>
      <c r="X24" s="112" t="s">
        <v>5</v>
      </c>
      <c r="Y24" s="140">
        <f>'(변경)집계표'!D203</f>
        <v>0</v>
      </c>
      <c r="Z24" s="111">
        <f>'(변경)집계표'!B233</f>
        <v>0</v>
      </c>
      <c r="AA24" s="112" t="s">
        <v>5</v>
      </c>
      <c r="AB24" s="140">
        <f>'(변경)집계표'!D233</f>
        <v>0</v>
      </c>
      <c r="AC24" s="111">
        <f>'(변경)집계표'!B263</f>
        <v>0</v>
      </c>
      <c r="AD24" s="112" t="s">
        <v>5</v>
      </c>
      <c r="AE24" s="140">
        <f>'(변경)집계표'!D263</f>
        <v>0</v>
      </c>
      <c r="AF24" s="111">
        <f>'(변경)집계표'!B293</f>
        <v>0</v>
      </c>
      <c r="AG24" s="112" t="s">
        <v>5</v>
      </c>
      <c r="AH24" s="140">
        <f>'(변경)집계표'!D293</f>
        <v>0</v>
      </c>
      <c r="AI24" s="128"/>
      <c r="AJ24" s="6"/>
    </row>
    <row r="25" spans="1:36" s="7" customFormat="1" ht="22.5" customHeight="1">
      <c r="A25" s="129" t="s">
        <v>24</v>
      </c>
      <c r="B25" s="111">
        <f t="shared" si="0"/>
        <v>0</v>
      </c>
      <c r="C25" s="112" t="s">
        <v>5</v>
      </c>
      <c r="D25" s="140">
        <f t="shared" si="1"/>
        <v>0</v>
      </c>
      <c r="E25" s="111">
        <f>'(변경)집계표'!B24</f>
        <v>0</v>
      </c>
      <c r="F25" s="112" t="s">
        <v>5</v>
      </c>
      <c r="G25" s="140">
        <f>'(변경)집계표'!D24</f>
        <v>0</v>
      </c>
      <c r="H25" s="111">
        <f>'(변경)집계표'!B54</f>
        <v>0</v>
      </c>
      <c r="I25" s="112" t="s">
        <v>5</v>
      </c>
      <c r="J25" s="140">
        <f>'(변경)집계표'!D54</f>
        <v>0</v>
      </c>
      <c r="K25" s="111">
        <f>'(변경)집계표'!B84</f>
        <v>0</v>
      </c>
      <c r="L25" s="112" t="s">
        <v>5</v>
      </c>
      <c r="M25" s="140">
        <f>'(변경)집계표'!D84</f>
        <v>0</v>
      </c>
      <c r="N25" s="111">
        <f>'(변경)집계표'!B114</f>
        <v>0</v>
      </c>
      <c r="O25" s="112" t="s">
        <v>5</v>
      </c>
      <c r="P25" s="140">
        <f>'(변경)집계표'!D114</f>
        <v>0</v>
      </c>
      <c r="Q25" s="111">
        <f>'(변경)집계표'!B144</f>
        <v>0</v>
      </c>
      <c r="R25" s="112" t="s">
        <v>5</v>
      </c>
      <c r="S25" s="140">
        <f>'(변경)집계표'!D144</f>
        <v>0</v>
      </c>
      <c r="T25" s="111">
        <f>'(변경)집계표'!B174</f>
        <v>0</v>
      </c>
      <c r="U25" s="112" t="s">
        <v>5</v>
      </c>
      <c r="V25" s="140">
        <f>'(변경)집계표'!D174</f>
        <v>0</v>
      </c>
      <c r="W25" s="111">
        <f>'(변경)집계표'!B204</f>
        <v>0</v>
      </c>
      <c r="X25" s="112" t="s">
        <v>5</v>
      </c>
      <c r="Y25" s="140">
        <f>'(변경)집계표'!D204</f>
        <v>0</v>
      </c>
      <c r="Z25" s="111">
        <f>'(변경)집계표'!B234</f>
        <v>0</v>
      </c>
      <c r="AA25" s="112" t="s">
        <v>5</v>
      </c>
      <c r="AB25" s="140">
        <f>'(변경)집계표'!D234</f>
        <v>0</v>
      </c>
      <c r="AC25" s="111">
        <f>'(변경)집계표'!B264</f>
        <v>0</v>
      </c>
      <c r="AD25" s="112" t="s">
        <v>5</v>
      </c>
      <c r="AE25" s="140">
        <f>'(변경)집계표'!D264</f>
        <v>0</v>
      </c>
      <c r="AF25" s="111">
        <f>'(변경)집계표'!B294</f>
        <v>0</v>
      </c>
      <c r="AG25" s="112" t="s">
        <v>5</v>
      </c>
      <c r="AH25" s="140">
        <f>'(변경)집계표'!D294</f>
        <v>0</v>
      </c>
      <c r="AI25" s="128"/>
    </row>
    <row r="26" spans="1:36" s="7" customFormat="1" ht="22.5" customHeight="1">
      <c r="A26" s="129" t="s">
        <v>25</v>
      </c>
      <c r="B26" s="111">
        <f t="shared" si="0"/>
        <v>0</v>
      </c>
      <c r="C26" s="112" t="s">
        <v>5</v>
      </c>
      <c r="D26" s="140">
        <f t="shared" si="1"/>
        <v>0</v>
      </c>
      <c r="E26" s="111">
        <f>'(변경)집계표'!B25</f>
        <v>0</v>
      </c>
      <c r="F26" s="112" t="s">
        <v>5</v>
      </c>
      <c r="G26" s="140">
        <f>'(변경)집계표'!D25</f>
        <v>0</v>
      </c>
      <c r="H26" s="111">
        <f>'(변경)집계표'!B55</f>
        <v>0</v>
      </c>
      <c r="I26" s="112" t="s">
        <v>5</v>
      </c>
      <c r="J26" s="140">
        <f>'(변경)집계표'!D55</f>
        <v>0</v>
      </c>
      <c r="K26" s="111">
        <f>'(변경)집계표'!B85</f>
        <v>0</v>
      </c>
      <c r="L26" s="112" t="s">
        <v>5</v>
      </c>
      <c r="M26" s="140">
        <f>'(변경)집계표'!D85</f>
        <v>0</v>
      </c>
      <c r="N26" s="111">
        <f>'(변경)집계표'!B115</f>
        <v>0</v>
      </c>
      <c r="O26" s="112" t="s">
        <v>5</v>
      </c>
      <c r="P26" s="140">
        <f>'(변경)집계표'!D115</f>
        <v>0</v>
      </c>
      <c r="Q26" s="111">
        <f>'(변경)집계표'!B145</f>
        <v>0</v>
      </c>
      <c r="R26" s="112" t="s">
        <v>5</v>
      </c>
      <c r="S26" s="140">
        <f>'(변경)집계표'!D145</f>
        <v>0</v>
      </c>
      <c r="T26" s="111">
        <f>'(변경)집계표'!B175</f>
        <v>0</v>
      </c>
      <c r="U26" s="112" t="s">
        <v>5</v>
      </c>
      <c r="V26" s="140">
        <f>'(변경)집계표'!D175</f>
        <v>0</v>
      </c>
      <c r="W26" s="111">
        <f>'(변경)집계표'!B205</f>
        <v>0</v>
      </c>
      <c r="X26" s="112" t="s">
        <v>5</v>
      </c>
      <c r="Y26" s="140">
        <f>'(변경)집계표'!D205</f>
        <v>0</v>
      </c>
      <c r="Z26" s="111">
        <f>'(변경)집계표'!B235</f>
        <v>0</v>
      </c>
      <c r="AA26" s="112" t="s">
        <v>5</v>
      </c>
      <c r="AB26" s="140">
        <f>'(변경)집계표'!D235</f>
        <v>0</v>
      </c>
      <c r="AC26" s="111">
        <f>'(변경)집계표'!B265</f>
        <v>0</v>
      </c>
      <c r="AD26" s="112" t="s">
        <v>5</v>
      </c>
      <c r="AE26" s="140">
        <f>'(변경)집계표'!D265</f>
        <v>0</v>
      </c>
      <c r="AF26" s="111">
        <f>'(변경)집계표'!B295</f>
        <v>0</v>
      </c>
      <c r="AG26" s="112" t="s">
        <v>5</v>
      </c>
      <c r="AH26" s="140">
        <f>'(변경)집계표'!D295</f>
        <v>0</v>
      </c>
      <c r="AI26" s="128"/>
    </row>
    <row r="27" spans="1:36" s="7" customFormat="1" ht="22.5" customHeight="1">
      <c r="A27" s="129" t="s">
        <v>26</v>
      </c>
      <c r="B27" s="111">
        <f t="shared" si="0"/>
        <v>0</v>
      </c>
      <c r="C27" s="112" t="s">
        <v>5</v>
      </c>
      <c r="D27" s="140">
        <f t="shared" si="1"/>
        <v>0</v>
      </c>
      <c r="E27" s="111">
        <f>'(변경)집계표'!B26</f>
        <v>0</v>
      </c>
      <c r="F27" s="112" t="s">
        <v>5</v>
      </c>
      <c r="G27" s="140">
        <f>'(변경)집계표'!D26</f>
        <v>0</v>
      </c>
      <c r="H27" s="111">
        <f>'(변경)집계표'!B56</f>
        <v>0</v>
      </c>
      <c r="I27" s="112" t="s">
        <v>5</v>
      </c>
      <c r="J27" s="140">
        <f>'(변경)집계표'!D56</f>
        <v>0</v>
      </c>
      <c r="K27" s="111">
        <f>'(변경)집계표'!B86</f>
        <v>0</v>
      </c>
      <c r="L27" s="112" t="s">
        <v>5</v>
      </c>
      <c r="M27" s="140">
        <f>'(변경)집계표'!D86</f>
        <v>0</v>
      </c>
      <c r="N27" s="111">
        <f>'(변경)집계표'!B116</f>
        <v>0</v>
      </c>
      <c r="O27" s="112" t="s">
        <v>5</v>
      </c>
      <c r="P27" s="140">
        <f>'(변경)집계표'!D116</f>
        <v>0</v>
      </c>
      <c r="Q27" s="111">
        <f>'(변경)집계표'!B146</f>
        <v>0</v>
      </c>
      <c r="R27" s="112" t="s">
        <v>5</v>
      </c>
      <c r="S27" s="140">
        <f>'(변경)집계표'!D146</f>
        <v>0</v>
      </c>
      <c r="T27" s="111">
        <f>'(변경)집계표'!B176</f>
        <v>0</v>
      </c>
      <c r="U27" s="112" t="s">
        <v>5</v>
      </c>
      <c r="V27" s="140">
        <f>'(변경)집계표'!D176</f>
        <v>0</v>
      </c>
      <c r="W27" s="111">
        <f>'(변경)집계표'!B206</f>
        <v>0</v>
      </c>
      <c r="X27" s="112" t="s">
        <v>5</v>
      </c>
      <c r="Y27" s="140">
        <f>'(변경)집계표'!D206</f>
        <v>0</v>
      </c>
      <c r="Z27" s="111">
        <f>'(변경)집계표'!B236</f>
        <v>0</v>
      </c>
      <c r="AA27" s="112" t="s">
        <v>5</v>
      </c>
      <c r="AB27" s="140">
        <f>'(변경)집계표'!D236</f>
        <v>0</v>
      </c>
      <c r="AC27" s="111">
        <f>'(변경)집계표'!B266</f>
        <v>0</v>
      </c>
      <c r="AD27" s="112" t="s">
        <v>5</v>
      </c>
      <c r="AE27" s="140">
        <f>'(변경)집계표'!D266</f>
        <v>0</v>
      </c>
      <c r="AF27" s="111">
        <f>'(변경)집계표'!B296</f>
        <v>0</v>
      </c>
      <c r="AG27" s="112" t="s">
        <v>5</v>
      </c>
      <c r="AH27" s="140">
        <f>'(변경)집계표'!D296</f>
        <v>0</v>
      </c>
      <c r="AI27" s="128"/>
    </row>
    <row r="28" spans="1:36" s="7" customFormat="1" ht="22.5" customHeight="1">
      <c r="A28" s="129" t="s">
        <v>27</v>
      </c>
      <c r="B28" s="111">
        <f t="shared" si="0"/>
        <v>0</v>
      </c>
      <c r="C28" s="112" t="s">
        <v>5</v>
      </c>
      <c r="D28" s="140">
        <f t="shared" si="1"/>
        <v>0</v>
      </c>
      <c r="E28" s="111">
        <f>'(변경)집계표'!B27</f>
        <v>0</v>
      </c>
      <c r="F28" s="112" t="s">
        <v>5</v>
      </c>
      <c r="G28" s="140">
        <f>'(변경)집계표'!D27</f>
        <v>0</v>
      </c>
      <c r="H28" s="111">
        <f>'(변경)집계표'!B57</f>
        <v>0</v>
      </c>
      <c r="I28" s="112" t="s">
        <v>5</v>
      </c>
      <c r="J28" s="140">
        <f>'(변경)집계표'!D57</f>
        <v>0</v>
      </c>
      <c r="K28" s="111">
        <f>'(변경)집계표'!B87</f>
        <v>0</v>
      </c>
      <c r="L28" s="112" t="s">
        <v>5</v>
      </c>
      <c r="M28" s="140">
        <f>'(변경)집계표'!D87</f>
        <v>0</v>
      </c>
      <c r="N28" s="111">
        <f>'(변경)집계표'!B117</f>
        <v>0</v>
      </c>
      <c r="O28" s="112" t="s">
        <v>5</v>
      </c>
      <c r="P28" s="140">
        <f>'(변경)집계표'!D117</f>
        <v>0</v>
      </c>
      <c r="Q28" s="111">
        <f>'(변경)집계표'!B147</f>
        <v>0</v>
      </c>
      <c r="R28" s="112" t="s">
        <v>5</v>
      </c>
      <c r="S28" s="140">
        <f>'(변경)집계표'!D147</f>
        <v>0</v>
      </c>
      <c r="T28" s="111">
        <f>'(변경)집계표'!B177</f>
        <v>0</v>
      </c>
      <c r="U28" s="112" t="s">
        <v>5</v>
      </c>
      <c r="V28" s="140">
        <f>'(변경)집계표'!D177</f>
        <v>0</v>
      </c>
      <c r="W28" s="111">
        <f>'(변경)집계표'!B207</f>
        <v>0</v>
      </c>
      <c r="X28" s="112" t="s">
        <v>5</v>
      </c>
      <c r="Y28" s="140">
        <f>'(변경)집계표'!D207</f>
        <v>0</v>
      </c>
      <c r="Z28" s="111">
        <f>'(변경)집계표'!B237</f>
        <v>0</v>
      </c>
      <c r="AA28" s="112" t="s">
        <v>5</v>
      </c>
      <c r="AB28" s="140">
        <f>'(변경)집계표'!D237</f>
        <v>0</v>
      </c>
      <c r="AC28" s="111">
        <f>'(변경)집계표'!B267</f>
        <v>0</v>
      </c>
      <c r="AD28" s="112" t="s">
        <v>5</v>
      </c>
      <c r="AE28" s="140">
        <f>'(변경)집계표'!D267</f>
        <v>0</v>
      </c>
      <c r="AF28" s="111">
        <f>'(변경)집계표'!B297</f>
        <v>0</v>
      </c>
      <c r="AG28" s="112" t="s">
        <v>5</v>
      </c>
      <c r="AH28" s="140">
        <f>'(변경)집계표'!D297</f>
        <v>0</v>
      </c>
      <c r="AI28" s="128"/>
    </row>
    <row r="29" spans="1:36" s="7" customFormat="1" ht="22.5" customHeight="1">
      <c r="A29" s="129" t="s">
        <v>28</v>
      </c>
      <c r="B29" s="111">
        <f t="shared" si="0"/>
        <v>0</v>
      </c>
      <c r="C29" s="112" t="s">
        <v>5</v>
      </c>
      <c r="D29" s="140">
        <f t="shared" si="1"/>
        <v>0</v>
      </c>
      <c r="E29" s="111">
        <f>'(변경)집계표'!B28</f>
        <v>0</v>
      </c>
      <c r="F29" s="112" t="s">
        <v>5</v>
      </c>
      <c r="G29" s="140">
        <f>'(변경)집계표'!D28</f>
        <v>0</v>
      </c>
      <c r="H29" s="111">
        <f>'(변경)집계표'!B58</f>
        <v>0</v>
      </c>
      <c r="I29" s="112" t="s">
        <v>5</v>
      </c>
      <c r="J29" s="140">
        <f>'(변경)집계표'!D58</f>
        <v>0</v>
      </c>
      <c r="K29" s="111">
        <f>'(변경)집계표'!B88</f>
        <v>0</v>
      </c>
      <c r="L29" s="112" t="s">
        <v>5</v>
      </c>
      <c r="M29" s="140">
        <f>'(변경)집계표'!D88</f>
        <v>0</v>
      </c>
      <c r="N29" s="111">
        <f>'(변경)집계표'!B118</f>
        <v>0</v>
      </c>
      <c r="O29" s="112" t="s">
        <v>5</v>
      </c>
      <c r="P29" s="140">
        <f>'(변경)집계표'!D118</f>
        <v>0</v>
      </c>
      <c r="Q29" s="111">
        <f>'(변경)집계표'!B148</f>
        <v>0</v>
      </c>
      <c r="R29" s="112" t="s">
        <v>5</v>
      </c>
      <c r="S29" s="140">
        <f>'(변경)집계표'!D148</f>
        <v>0</v>
      </c>
      <c r="T29" s="111">
        <f>'(변경)집계표'!B178</f>
        <v>0</v>
      </c>
      <c r="U29" s="112" t="s">
        <v>5</v>
      </c>
      <c r="V29" s="140">
        <f>'(변경)집계표'!D178</f>
        <v>0</v>
      </c>
      <c r="W29" s="111">
        <f>'(변경)집계표'!B208</f>
        <v>0</v>
      </c>
      <c r="X29" s="112" t="s">
        <v>5</v>
      </c>
      <c r="Y29" s="140">
        <f>'(변경)집계표'!D208</f>
        <v>0</v>
      </c>
      <c r="Z29" s="111">
        <f>'(변경)집계표'!B238</f>
        <v>0</v>
      </c>
      <c r="AA29" s="112" t="s">
        <v>5</v>
      </c>
      <c r="AB29" s="140">
        <f>'(변경)집계표'!D238</f>
        <v>0</v>
      </c>
      <c r="AC29" s="111">
        <f>'(변경)집계표'!B268</f>
        <v>0</v>
      </c>
      <c r="AD29" s="112" t="s">
        <v>5</v>
      </c>
      <c r="AE29" s="140">
        <f>'(변경)집계표'!D268</f>
        <v>0</v>
      </c>
      <c r="AF29" s="111">
        <f>'(변경)집계표'!B298</f>
        <v>0</v>
      </c>
      <c r="AG29" s="112" t="s">
        <v>5</v>
      </c>
      <c r="AH29" s="140">
        <f>'(변경)집계표'!D298</f>
        <v>0</v>
      </c>
      <c r="AI29" s="128"/>
    </row>
    <row r="30" spans="1:36" s="7" customFormat="1" ht="22.5" customHeight="1">
      <c r="A30" s="129" t="s">
        <v>60</v>
      </c>
      <c r="B30" s="111">
        <f t="shared" si="0"/>
        <v>0</v>
      </c>
      <c r="C30" s="112" t="s">
        <v>5</v>
      </c>
      <c r="D30" s="140">
        <f t="shared" si="1"/>
        <v>0</v>
      </c>
      <c r="E30" s="111">
        <f>'(변경)집계표'!B29</f>
        <v>0</v>
      </c>
      <c r="F30" s="112" t="s">
        <v>5</v>
      </c>
      <c r="G30" s="140">
        <f>'(변경)집계표'!D29</f>
        <v>0</v>
      </c>
      <c r="H30" s="111">
        <f>'(변경)집계표'!B59</f>
        <v>0</v>
      </c>
      <c r="I30" s="112" t="s">
        <v>5</v>
      </c>
      <c r="J30" s="140">
        <f>'(변경)집계표'!D59</f>
        <v>0</v>
      </c>
      <c r="K30" s="111">
        <f>'(변경)집계표'!B89</f>
        <v>0</v>
      </c>
      <c r="L30" s="112" t="s">
        <v>5</v>
      </c>
      <c r="M30" s="140">
        <f>'(변경)집계표'!D89</f>
        <v>0</v>
      </c>
      <c r="N30" s="111">
        <f>'(변경)집계표'!B119</f>
        <v>0</v>
      </c>
      <c r="O30" s="112" t="s">
        <v>5</v>
      </c>
      <c r="P30" s="140">
        <f>'(변경)집계표'!D119</f>
        <v>0</v>
      </c>
      <c r="Q30" s="111">
        <f>'(변경)집계표'!B149</f>
        <v>0</v>
      </c>
      <c r="R30" s="112" t="s">
        <v>5</v>
      </c>
      <c r="S30" s="140">
        <f>'(변경)집계표'!D149</f>
        <v>0</v>
      </c>
      <c r="T30" s="111">
        <f>'(변경)집계표'!B179</f>
        <v>0</v>
      </c>
      <c r="U30" s="112" t="s">
        <v>5</v>
      </c>
      <c r="V30" s="140">
        <f>'(변경)집계표'!D179</f>
        <v>0</v>
      </c>
      <c r="W30" s="111">
        <f>'(변경)집계표'!B209</f>
        <v>0</v>
      </c>
      <c r="X30" s="112" t="s">
        <v>5</v>
      </c>
      <c r="Y30" s="140">
        <f>'(변경)집계표'!D209</f>
        <v>0</v>
      </c>
      <c r="Z30" s="111">
        <f>'(변경)집계표'!B239</f>
        <v>0</v>
      </c>
      <c r="AA30" s="112" t="s">
        <v>5</v>
      </c>
      <c r="AB30" s="140">
        <f>'(변경)집계표'!D239</f>
        <v>0</v>
      </c>
      <c r="AC30" s="111">
        <f>'(변경)집계표'!B269</f>
        <v>0</v>
      </c>
      <c r="AD30" s="112" t="s">
        <v>5</v>
      </c>
      <c r="AE30" s="140">
        <f>'(변경)집계표'!D269</f>
        <v>0</v>
      </c>
      <c r="AF30" s="111">
        <f>'(변경)집계표'!B299</f>
        <v>0</v>
      </c>
      <c r="AG30" s="112" t="s">
        <v>5</v>
      </c>
      <c r="AH30" s="140">
        <f>'(변경)집계표'!D299</f>
        <v>0</v>
      </c>
      <c r="AI30" s="128"/>
    </row>
    <row r="31" spans="1:36" s="7" customFormat="1" ht="22.5" customHeight="1">
      <c r="A31" s="129" t="s">
        <v>70</v>
      </c>
      <c r="B31" s="111">
        <f t="shared" si="0"/>
        <v>2</v>
      </c>
      <c r="C31" s="112" t="s">
        <v>5</v>
      </c>
      <c r="D31" s="140">
        <f t="shared" si="1"/>
        <v>452</v>
      </c>
      <c r="E31" s="111">
        <f>'(변경)집계표'!B30</f>
        <v>0</v>
      </c>
      <c r="F31" s="112" t="s">
        <v>5</v>
      </c>
      <c r="G31" s="140">
        <f>'(변경)집계표'!D30</f>
        <v>0</v>
      </c>
      <c r="H31" s="111">
        <f>'(변경)집계표'!B60</f>
        <v>1</v>
      </c>
      <c r="I31" s="112" t="s">
        <v>5</v>
      </c>
      <c r="J31" s="140">
        <f>'(변경)집계표'!D60</f>
        <v>436</v>
      </c>
      <c r="K31" s="111">
        <f>'(변경)집계표'!B90</f>
        <v>1</v>
      </c>
      <c r="L31" s="112" t="s">
        <v>5</v>
      </c>
      <c r="M31" s="140">
        <f>'(변경)집계표'!D90</f>
        <v>16</v>
      </c>
      <c r="N31" s="111">
        <f>'(변경)집계표'!B120</f>
        <v>0</v>
      </c>
      <c r="O31" s="112" t="s">
        <v>5</v>
      </c>
      <c r="P31" s="140">
        <f>'(변경)집계표'!D120</f>
        <v>0</v>
      </c>
      <c r="Q31" s="111">
        <f>'(변경)집계표'!B150</f>
        <v>0</v>
      </c>
      <c r="R31" s="112" t="s">
        <v>5</v>
      </c>
      <c r="S31" s="140">
        <f>'(변경)집계표'!D150</f>
        <v>0</v>
      </c>
      <c r="T31" s="111">
        <f>'(변경)집계표'!B180</f>
        <v>0</v>
      </c>
      <c r="U31" s="112" t="s">
        <v>5</v>
      </c>
      <c r="V31" s="140">
        <f>'(변경)집계표'!D180</f>
        <v>0</v>
      </c>
      <c r="W31" s="111">
        <f>'(변경)집계표'!B210</f>
        <v>0</v>
      </c>
      <c r="X31" s="112" t="s">
        <v>5</v>
      </c>
      <c r="Y31" s="140">
        <f>'(변경)집계표'!D210</f>
        <v>0</v>
      </c>
      <c r="Z31" s="111">
        <f>'(변경)집계표'!B240</f>
        <v>0</v>
      </c>
      <c r="AA31" s="112" t="s">
        <v>5</v>
      </c>
      <c r="AB31" s="140">
        <f>'(변경)집계표'!D240</f>
        <v>0</v>
      </c>
      <c r="AC31" s="111">
        <f>'(변경)집계표'!B270</f>
        <v>0</v>
      </c>
      <c r="AD31" s="112" t="s">
        <v>5</v>
      </c>
      <c r="AE31" s="140">
        <f>'(변경)집계표'!D270</f>
        <v>0</v>
      </c>
      <c r="AF31" s="111">
        <f>'(변경)집계표'!B300</f>
        <v>0</v>
      </c>
      <c r="AG31" s="112" t="s">
        <v>5</v>
      </c>
      <c r="AH31" s="140">
        <f>'(변경)집계표'!D300</f>
        <v>0</v>
      </c>
      <c r="AI31" s="128"/>
    </row>
    <row r="32" spans="1:36" s="7" customFormat="1" ht="22.5" customHeight="1" thickBot="1">
      <c r="A32" s="130" t="s">
        <v>62</v>
      </c>
      <c r="B32" s="131">
        <f t="shared" si="0"/>
        <v>5</v>
      </c>
      <c r="C32" s="132" t="s">
        <v>5</v>
      </c>
      <c r="D32" s="141">
        <f t="shared" si="1"/>
        <v>1510</v>
      </c>
      <c r="E32" s="131">
        <f>'(변경)집계표'!B31</f>
        <v>0</v>
      </c>
      <c r="F32" s="132" t="s">
        <v>5</v>
      </c>
      <c r="G32" s="141">
        <f>'(변경)집계표'!D31</f>
        <v>0</v>
      </c>
      <c r="H32" s="131">
        <f>'(변경)집계표'!B61</f>
        <v>3</v>
      </c>
      <c r="I32" s="132" t="s">
        <v>5</v>
      </c>
      <c r="J32" s="141">
        <f>'(변경)집계표'!D61</f>
        <v>1408</v>
      </c>
      <c r="K32" s="131">
        <f>'(변경)집계표'!B91</f>
        <v>0</v>
      </c>
      <c r="L32" s="132" t="s">
        <v>5</v>
      </c>
      <c r="M32" s="141">
        <f>'(변경)집계표'!D91</f>
        <v>0</v>
      </c>
      <c r="N32" s="131">
        <f>'(변경)집계표'!B121</f>
        <v>2</v>
      </c>
      <c r="O32" s="132" t="s">
        <v>5</v>
      </c>
      <c r="P32" s="141">
        <f>'(변경)집계표'!D121</f>
        <v>102</v>
      </c>
      <c r="Q32" s="131">
        <f>'(변경)집계표'!B151</f>
        <v>0</v>
      </c>
      <c r="R32" s="132" t="s">
        <v>5</v>
      </c>
      <c r="S32" s="141">
        <f>'(변경)집계표'!D151</f>
        <v>0</v>
      </c>
      <c r="T32" s="131">
        <f>'(변경)집계표'!B181</f>
        <v>0</v>
      </c>
      <c r="U32" s="132" t="s">
        <v>5</v>
      </c>
      <c r="V32" s="141">
        <f>'(변경)집계표'!D181</f>
        <v>0</v>
      </c>
      <c r="W32" s="131">
        <f>'(변경)집계표'!B211</f>
        <v>0</v>
      </c>
      <c r="X32" s="132" t="s">
        <v>5</v>
      </c>
      <c r="Y32" s="141">
        <f>'(변경)집계표'!D211</f>
        <v>0</v>
      </c>
      <c r="Z32" s="131">
        <f>'(변경)집계표'!B241</f>
        <v>0</v>
      </c>
      <c r="AA32" s="132" t="s">
        <v>5</v>
      </c>
      <c r="AB32" s="141">
        <f>'(변경)집계표'!D241</f>
        <v>0</v>
      </c>
      <c r="AC32" s="131">
        <f>'(변경)집계표'!B271</f>
        <v>0</v>
      </c>
      <c r="AD32" s="132" t="s">
        <v>5</v>
      </c>
      <c r="AE32" s="141">
        <f>'(변경)집계표'!D271</f>
        <v>0</v>
      </c>
      <c r="AF32" s="131">
        <f>'(변경)집계표'!B301</f>
        <v>0</v>
      </c>
      <c r="AG32" s="132" t="s">
        <v>5</v>
      </c>
      <c r="AH32" s="141">
        <f>'(변경)집계표'!D301</f>
        <v>0</v>
      </c>
      <c r="AI32" s="133"/>
      <c r="AJ32" s="6"/>
    </row>
    <row r="33" spans="1:36" s="1" customFormat="1" ht="27.95" customHeight="1">
      <c r="A33" s="190" t="s">
        <v>54</v>
      </c>
      <c r="B33" s="191"/>
      <c r="C33" s="192"/>
      <c r="D33" s="193"/>
      <c r="E33" s="192"/>
      <c r="F33" s="192"/>
      <c r="G33" s="193"/>
      <c r="H33" s="192"/>
      <c r="I33" s="192"/>
      <c r="J33" s="193"/>
      <c r="K33" s="192"/>
      <c r="L33" s="192"/>
      <c r="M33" s="193"/>
      <c r="N33" s="192"/>
      <c r="O33" s="192"/>
      <c r="P33" s="193"/>
      <c r="Q33" s="192"/>
      <c r="R33" s="192"/>
      <c r="S33" s="194"/>
      <c r="T33" s="192"/>
      <c r="U33" s="192"/>
      <c r="V33" s="194"/>
      <c r="W33" s="192"/>
      <c r="X33" s="192"/>
      <c r="Y33" s="194"/>
      <c r="Z33" s="192"/>
      <c r="AA33" s="192"/>
      <c r="AB33" s="194"/>
      <c r="AC33" s="192"/>
      <c r="AD33" s="192"/>
      <c r="AE33" s="194"/>
      <c r="AF33" s="192"/>
      <c r="AG33" s="192"/>
      <c r="AH33" s="194"/>
      <c r="AI33" s="195"/>
    </row>
    <row r="34" spans="1:36" s="5" customFormat="1" ht="9.9499999999999993" customHeight="1" thickBot="1">
      <c r="A34" s="196"/>
      <c r="B34" s="189"/>
      <c r="D34" s="188"/>
      <c r="E34" s="189"/>
      <c r="G34" s="188"/>
      <c r="H34" s="189"/>
      <c r="J34" s="188"/>
      <c r="K34" s="189"/>
      <c r="M34" s="188"/>
      <c r="N34" s="189"/>
      <c r="P34" s="188"/>
      <c r="Q34" s="189"/>
      <c r="S34" s="146"/>
      <c r="T34" s="189"/>
      <c r="V34" s="146"/>
      <c r="W34" s="189"/>
      <c r="Y34" s="146"/>
      <c r="Z34" s="189"/>
      <c r="AB34" s="146"/>
      <c r="AC34" s="189"/>
      <c r="AE34" s="146"/>
      <c r="AF34" s="189"/>
      <c r="AH34" s="146"/>
      <c r="AI34" s="197"/>
    </row>
    <row r="35" spans="1:36" s="7" customFormat="1" ht="30" customHeight="1">
      <c r="A35" s="119"/>
      <c r="B35" s="484" t="s">
        <v>2</v>
      </c>
      <c r="C35" s="485"/>
      <c r="D35" s="485"/>
      <c r="E35" s="120" t="s">
        <v>72</v>
      </c>
      <c r="F35" s="121"/>
      <c r="G35" s="182"/>
      <c r="H35" s="120"/>
      <c r="I35" s="121"/>
      <c r="J35" s="182"/>
      <c r="K35" s="120"/>
      <c r="L35" s="121"/>
      <c r="M35" s="182"/>
      <c r="N35" s="120"/>
      <c r="O35" s="121"/>
      <c r="P35" s="182"/>
      <c r="Q35" s="120"/>
      <c r="R35" s="121"/>
      <c r="S35" s="143"/>
      <c r="T35" s="120"/>
      <c r="U35" s="121"/>
      <c r="V35" s="143"/>
      <c r="W35" s="120"/>
      <c r="X35" s="121"/>
      <c r="Y35" s="143"/>
      <c r="Z35" s="120"/>
      <c r="AA35" s="121"/>
      <c r="AB35" s="143"/>
      <c r="AC35" s="120"/>
      <c r="AD35" s="121"/>
      <c r="AE35" s="143"/>
      <c r="AF35" s="120"/>
      <c r="AG35" s="121"/>
      <c r="AH35" s="143"/>
      <c r="AI35" s="471" t="s">
        <v>53</v>
      </c>
      <c r="AJ35" s="6"/>
    </row>
    <row r="36" spans="1:36" s="7" customFormat="1" ht="30" customHeight="1">
      <c r="A36" s="122"/>
      <c r="B36" s="486"/>
      <c r="C36" s="487"/>
      <c r="D36" s="487"/>
      <c r="E36" s="8" t="s">
        <v>73</v>
      </c>
      <c r="F36" s="9"/>
      <c r="G36" s="183"/>
      <c r="H36" s="8"/>
      <c r="I36" s="9"/>
      <c r="J36" s="183"/>
      <c r="K36" s="8"/>
      <c r="L36" s="9"/>
      <c r="M36" s="183"/>
      <c r="N36" s="8"/>
      <c r="O36" s="9"/>
      <c r="P36" s="183"/>
      <c r="Q36" s="8"/>
      <c r="R36" s="9"/>
      <c r="S36" s="144"/>
      <c r="T36" s="8"/>
      <c r="U36" s="9"/>
      <c r="V36" s="144"/>
      <c r="W36" s="8"/>
      <c r="X36" s="9"/>
      <c r="Y36" s="144"/>
      <c r="Z36" s="8"/>
      <c r="AA36" s="9"/>
      <c r="AB36" s="144"/>
      <c r="AC36" s="8"/>
      <c r="AD36" s="9"/>
      <c r="AE36" s="144"/>
      <c r="AF36" s="8"/>
      <c r="AG36" s="9"/>
      <c r="AH36" s="144"/>
      <c r="AI36" s="488"/>
      <c r="AJ36" s="6"/>
    </row>
    <row r="37" spans="1:36" s="7" customFormat="1" ht="30" customHeight="1">
      <c r="A37" s="123" t="s">
        <v>3</v>
      </c>
      <c r="B37" s="486"/>
      <c r="C37" s="487"/>
      <c r="D37" s="487"/>
      <c r="E37" s="8" t="s">
        <v>74</v>
      </c>
      <c r="F37" s="9"/>
      <c r="G37" s="183"/>
      <c r="H37" s="8" t="s">
        <v>75</v>
      </c>
      <c r="I37" s="9"/>
      <c r="J37" s="183"/>
      <c r="K37" s="8" t="s">
        <v>76</v>
      </c>
      <c r="L37" s="9"/>
      <c r="M37" s="183"/>
      <c r="N37" s="8" t="s">
        <v>77</v>
      </c>
      <c r="O37" s="9"/>
      <c r="P37" s="183"/>
      <c r="Q37" s="8" t="s">
        <v>78</v>
      </c>
      <c r="R37" s="9"/>
      <c r="S37" s="144"/>
      <c r="T37" s="8">
        <v>6</v>
      </c>
      <c r="U37" s="9"/>
      <c r="V37" s="144"/>
      <c r="W37" s="8">
        <v>7</v>
      </c>
      <c r="X37" s="9"/>
      <c r="Y37" s="144"/>
      <c r="Z37" s="8">
        <v>8</v>
      </c>
      <c r="AA37" s="9"/>
      <c r="AB37" s="144"/>
      <c r="AC37" s="8">
        <v>9</v>
      </c>
      <c r="AD37" s="9"/>
      <c r="AE37" s="144"/>
      <c r="AF37" s="8">
        <v>10</v>
      </c>
      <c r="AG37" s="9"/>
      <c r="AH37" s="144"/>
      <c r="AI37" s="488"/>
      <c r="AJ37" s="6"/>
    </row>
    <row r="38" spans="1:36" s="7" customFormat="1" ht="30" customHeight="1" thickBot="1">
      <c r="A38" s="124"/>
      <c r="B38" s="115" t="s">
        <v>4</v>
      </c>
      <c r="C38" s="116" t="s">
        <v>5</v>
      </c>
      <c r="D38" s="178" t="s">
        <v>6</v>
      </c>
      <c r="E38" s="115" t="s">
        <v>4</v>
      </c>
      <c r="F38" s="116" t="s">
        <v>5</v>
      </c>
      <c r="G38" s="178" t="s">
        <v>6</v>
      </c>
      <c r="H38" s="115" t="s">
        <v>4</v>
      </c>
      <c r="I38" s="116" t="s">
        <v>5</v>
      </c>
      <c r="J38" s="178" t="s">
        <v>6</v>
      </c>
      <c r="K38" s="115" t="s">
        <v>4</v>
      </c>
      <c r="L38" s="116" t="s">
        <v>5</v>
      </c>
      <c r="M38" s="178" t="s">
        <v>6</v>
      </c>
      <c r="N38" s="115" t="s">
        <v>4</v>
      </c>
      <c r="O38" s="116" t="s">
        <v>5</v>
      </c>
      <c r="P38" s="178" t="s">
        <v>6</v>
      </c>
      <c r="Q38" s="115" t="s">
        <v>4</v>
      </c>
      <c r="R38" s="116" t="s">
        <v>5</v>
      </c>
      <c r="S38" s="178" t="s">
        <v>6</v>
      </c>
      <c r="T38" s="117" t="s">
        <v>4</v>
      </c>
      <c r="U38" s="118" t="s">
        <v>5</v>
      </c>
      <c r="V38" s="145" t="s">
        <v>6</v>
      </c>
      <c r="W38" s="117" t="s">
        <v>4</v>
      </c>
      <c r="X38" s="118" t="s">
        <v>5</v>
      </c>
      <c r="Y38" s="145" t="s">
        <v>6</v>
      </c>
      <c r="Z38" s="117" t="s">
        <v>4</v>
      </c>
      <c r="AA38" s="118" t="s">
        <v>5</v>
      </c>
      <c r="AB38" s="145" t="s">
        <v>6</v>
      </c>
      <c r="AC38" s="117" t="s">
        <v>4</v>
      </c>
      <c r="AD38" s="118" t="s">
        <v>5</v>
      </c>
      <c r="AE38" s="145" t="s">
        <v>6</v>
      </c>
      <c r="AF38" s="117" t="s">
        <v>4</v>
      </c>
      <c r="AG38" s="118" t="s">
        <v>5</v>
      </c>
      <c r="AH38" s="145" t="s">
        <v>6</v>
      </c>
      <c r="AI38" s="472"/>
      <c r="AJ38" s="6"/>
    </row>
    <row r="39" spans="1:36" s="6" customFormat="1" ht="22.5" customHeight="1" thickTop="1">
      <c r="A39" s="134" t="s">
        <v>2</v>
      </c>
      <c r="B39" s="135" t="e">
        <f>SUM(B40:B64)</f>
        <v>#REF!</v>
      </c>
      <c r="C39" s="136" t="s">
        <v>5</v>
      </c>
      <c r="D39" s="181" t="e">
        <f>SUM(D40:D64)</f>
        <v>#REF!</v>
      </c>
      <c r="E39" s="135" t="e">
        <f>SUM(E40:E64)</f>
        <v>#REF!</v>
      </c>
      <c r="F39" s="136" t="s">
        <v>5</v>
      </c>
      <c r="G39" s="181" t="e">
        <f>SUM(G40:G64)</f>
        <v>#REF!</v>
      </c>
      <c r="H39" s="135" t="e">
        <f>SUM(H40:H64)</f>
        <v>#REF!</v>
      </c>
      <c r="I39" s="136" t="s">
        <v>5</v>
      </c>
      <c r="J39" s="181" t="e">
        <f>SUM(J40:J64)</f>
        <v>#REF!</v>
      </c>
      <c r="K39" s="135" t="e">
        <f>SUM(K40:K64)</f>
        <v>#REF!</v>
      </c>
      <c r="L39" s="136" t="s">
        <v>5</v>
      </c>
      <c r="M39" s="181" t="e">
        <f>SUM(M40:M64)</f>
        <v>#REF!</v>
      </c>
      <c r="N39" s="135" t="e">
        <f>SUM(N40:N64)</f>
        <v>#REF!</v>
      </c>
      <c r="O39" s="136" t="s">
        <v>5</v>
      </c>
      <c r="P39" s="181" t="e">
        <f>SUM(P40:P64)</f>
        <v>#REF!</v>
      </c>
      <c r="Q39" s="135" t="e">
        <f>SUM(Q40:Q64)</f>
        <v>#REF!</v>
      </c>
      <c r="R39" s="136" t="s">
        <v>5</v>
      </c>
      <c r="S39" s="142" t="e">
        <f>SUM(S40:S64)</f>
        <v>#REF!</v>
      </c>
      <c r="T39" s="135">
        <f>SUM(T40:T64)</f>
        <v>0</v>
      </c>
      <c r="U39" s="136" t="s">
        <v>5</v>
      </c>
      <c r="V39" s="142">
        <f>SUM(V40:V64)</f>
        <v>0</v>
      </c>
      <c r="W39" s="135">
        <f>SUM(W40:W64)</f>
        <v>0</v>
      </c>
      <c r="X39" s="136" t="s">
        <v>5</v>
      </c>
      <c r="Y39" s="142">
        <f>SUM(Y40:Y64)</f>
        <v>0</v>
      </c>
      <c r="Z39" s="135">
        <f>SUM(Z40:Z64)</f>
        <v>0</v>
      </c>
      <c r="AA39" s="136" t="s">
        <v>5</v>
      </c>
      <c r="AB39" s="142">
        <f>SUM(AB40:AB64)</f>
        <v>0</v>
      </c>
      <c r="AC39" s="135">
        <f>SUM(AC40:AC64)</f>
        <v>0</v>
      </c>
      <c r="AD39" s="136" t="s">
        <v>5</v>
      </c>
      <c r="AE39" s="142">
        <f>SUM(AE40:AE64)</f>
        <v>0</v>
      </c>
      <c r="AF39" s="135">
        <f>SUM(AF40:AF64)</f>
        <v>0</v>
      </c>
      <c r="AG39" s="136" t="s">
        <v>5</v>
      </c>
      <c r="AH39" s="142">
        <f>SUM(AH40:AH64)</f>
        <v>0</v>
      </c>
      <c r="AI39" s="137"/>
    </row>
    <row r="40" spans="1:36" s="6" customFormat="1" ht="22.5" customHeight="1">
      <c r="A40" s="127" t="s">
        <v>7</v>
      </c>
      <c r="B40" s="111" t="e">
        <f t="shared" ref="B40:B64" si="2">SUM(E40,H40,K40,N40,Q40,T40,W40,Z40,AC40,AF40)</f>
        <v>#REF!</v>
      </c>
      <c r="C40" s="112" t="s">
        <v>5</v>
      </c>
      <c r="D40" s="179" t="e">
        <f t="shared" ref="D40:D64" si="3">SUM(G40,J40,M40,P40,S40,V40,Y40,AB40,AE40,AH40)</f>
        <v>#REF!</v>
      </c>
      <c r="E40" s="111" t="e">
        <f>'(변경)집계표'!E7</f>
        <v>#REF!</v>
      </c>
      <c r="F40" s="112" t="s">
        <v>5</v>
      </c>
      <c r="G40" s="179" t="e">
        <f>'(변경)집계표'!G7</f>
        <v>#REF!</v>
      </c>
      <c r="H40" s="111" t="e">
        <f>'(변경)집계표'!E37</f>
        <v>#REF!</v>
      </c>
      <c r="I40" s="112" t="s">
        <v>5</v>
      </c>
      <c r="J40" s="179" t="e">
        <f>'(변경)집계표'!G37</f>
        <v>#REF!</v>
      </c>
      <c r="K40" s="111" t="e">
        <f>'(변경)집계표'!E67</f>
        <v>#REF!</v>
      </c>
      <c r="L40" s="112" t="s">
        <v>5</v>
      </c>
      <c r="M40" s="179" t="e">
        <f>'(변경)집계표'!G67</f>
        <v>#REF!</v>
      </c>
      <c r="N40" s="111" t="e">
        <f>'(변경)집계표'!E97</f>
        <v>#REF!</v>
      </c>
      <c r="O40" s="112" t="s">
        <v>5</v>
      </c>
      <c r="P40" s="179" t="e">
        <f>'(변경)집계표'!G97</f>
        <v>#REF!</v>
      </c>
      <c r="Q40" s="111" t="e">
        <f>'(변경)집계표'!E127</f>
        <v>#REF!</v>
      </c>
      <c r="R40" s="112" t="s">
        <v>5</v>
      </c>
      <c r="S40" s="140" t="e">
        <f>'(변경)집계표'!G127</f>
        <v>#REF!</v>
      </c>
      <c r="T40" s="111">
        <f>'(변경)집계표'!E157</f>
        <v>0</v>
      </c>
      <c r="U40" s="112" t="s">
        <v>5</v>
      </c>
      <c r="V40" s="140">
        <f>'(변경)집계표'!G157</f>
        <v>0</v>
      </c>
      <c r="W40" s="111">
        <f>'(변경)집계표'!E187</f>
        <v>0</v>
      </c>
      <c r="X40" s="112" t="s">
        <v>5</v>
      </c>
      <c r="Y40" s="140">
        <f>'(변경)집계표'!G187</f>
        <v>0</v>
      </c>
      <c r="Z40" s="111">
        <f>'(변경)집계표'!E217</f>
        <v>0</v>
      </c>
      <c r="AA40" s="112" t="s">
        <v>5</v>
      </c>
      <c r="AB40" s="140">
        <f>'(변경)집계표'!G217</f>
        <v>0</v>
      </c>
      <c r="AC40" s="111">
        <f>'(변경)집계표'!E247</f>
        <v>0</v>
      </c>
      <c r="AD40" s="112" t="s">
        <v>5</v>
      </c>
      <c r="AE40" s="140">
        <f>'(변경)집계표'!G247</f>
        <v>0</v>
      </c>
      <c r="AF40" s="111">
        <f>'(변경)집계표'!E277</f>
        <v>0</v>
      </c>
      <c r="AG40" s="112" t="s">
        <v>5</v>
      </c>
      <c r="AH40" s="140">
        <f>'(변경)집계표'!G277</f>
        <v>0</v>
      </c>
      <c r="AI40" s="128"/>
    </row>
    <row r="41" spans="1:36" s="6" customFormat="1" ht="22.5" customHeight="1">
      <c r="A41" s="127" t="s">
        <v>8</v>
      </c>
      <c r="B41" s="111" t="e">
        <f t="shared" si="2"/>
        <v>#REF!</v>
      </c>
      <c r="C41" s="112" t="s">
        <v>5</v>
      </c>
      <c r="D41" s="179" t="e">
        <f t="shared" si="3"/>
        <v>#REF!</v>
      </c>
      <c r="E41" s="111" t="e">
        <f>'(변경)집계표'!E8</f>
        <v>#REF!</v>
      </c>
      <c r="F41" s="112" t="s">
        <v>5</v>
      </c>
      <c r="G41" s="179" t="e">
        <f>'(변경)집계표'!G8</f>
        <v>#REF!</v>
      </c>
      <c r="H41" s="111" t="e">
        <f>'(변경)집계표'!E38</f>
        <v>#REF!</v>
      </c>
      <c r="I41" s="112" t="s">
        <v>5</v>
      </c>
      <c r="J41" s="179" t="e">
        <f>'(변경)집계표'!G38</f>
        <v>#REF!</v>
      </c>
      <c r="K41" s="111" t="e">
        <f>'(변경)집계표'!E68</f>
        <v>#REF!</v>
      </c>
      <c r="L41" s="112" t="s">
        <v>5</v>
      </c>
      <c r="M41" s="179" t="e">
        <f>'(변경)집계표'!G68</f>
        <v>#REF!</v>
      </c>
      <c r="N41" s="111" t="e">
        <f>'(변경)집계표'!E98</f>
        <v>#REF!</v>
      </c>
      <c r="O41" s="112" t="s">
        <v>5</v>
      </c>
      <c r="P41" s="179" t="e">
        <f>'(변경)집계표'!G98</f>
        <v>#REF!</v>
      </c>
      <c r="Q41" s="111" t="e">
        <f>'(변경)집계표'!E128</f>
        <v>#REF!</v>
      </c>
      <c r="R41" s="112" t="s">
        <v>5</v>
      </c>
      <c r="S41" s="140" t="e">
        <f>'(변경)집계표'!G128</f>
        <v>#REF!</v>
      </c>
      <c r="T41" s="111">
        <f>'(변경)집계표'!E158</f>
        <v>0</v>
      </c>
      <c r="U41" s="112" t="s">
        <v>5</v>
      </c>
      <c r="V41" s="140">
        <f>'(변경)집계표'!G158</f>
        <v>0</v>
      </c>
      <c r="W41" s="111">
        <f>'(변경)집계표'!E188</f>
        <v>0</v>
      </c>
      <c r="X41" s="112" t="s">
        <v>5</v>
      </c>
      <c r="Y41" s="140">
        <f>'(변경)집계표'!G188</f>
        <v>0</v>
      </c>
      <c r="Z41" s="111">
        <f>'(변경)집계표'!E218</f>
        <v>0</v>
      </c>
      <c r="AA41" s="112" t="s">
        <v>5</v>
      </c>
      <c r="AB41" s="140">
        <f>'(변경)집계표'!G218</f>
        <v>0</v>
      </c>
      <c r="AC41" s="111">
        <f>'(변경)집계표'!E248</f>
        <v>0</v>
      </c>
      <c r="AD41" s="112" t="s">
        <v>5</v>
      </c>
      <c r="AE41" s="140">
        <f>'(변경)집계표'!G248</f>
        <v>0</v>
      </c>
      <c r="AF41" s="111">
        <f>'(변경)집계표'!E278</f>
        <v>0</v>
      </c>
      <c r="AG41" s="112" t="s">
        <v>5</v>
      </c>
      <c r="AH41" s="140">
        <f>'(변경)집계표'!G278</f>
        <v>0</v>
      </c>
      <c r="AI41" s="128"/>
    </row>
    <row r="42" spans="1:36" s="6" customFormat="1" ht="22.5" customHeight="1">
      <c r="A42" s="127" t="s">
        <v>9</v>
      </c>
      <c r="B42" s="111" t="e">
        <f t="shared" si="2"/>
        <v>#REF!</v>
      </c>
      <c r="C42" s="112" t="s">
        <v>5</v>
      </c>
      <c r="D42" s="179" t="e">
        <f t="shared" si="3"/>
        <v>#REF!</v>
      </c>
      <c r="E42" s="111" t="e">
        <f>'(변경)집계표'!E9</f>
        <v>#REF!</v>
      </c>
      <c r="F42" s="112" t="s">
        <v>5</v>
      </c>
      <c r="G42" s="179" t="e">
        <f>'(변경)집계표'!G9</f>
        <v>#REF!</v>
      </c>
      <c r="H42" s="111" t="e">
        <f>'(변경)집계표'!E39</f>
        <v>#REF!</v>
      </c>
      <c r="I42" s="112" t="s">
        <v>5</v>
      </c>
      <c r="J42" s="179" t="e">
        <f>'(변경)집계표'!G39</f>
        <v>#REF!</v>
      </c>
      <c r="K42" s="111" t="e">
        <f>'(변경)집계표'!E69</f>
        <v>#REF!</v>
      </c>
      <c r="L42" s="112" t="s">
        <v>5</v>
      </c>
      <c r="M42" s="179" t="e">
        <f>'(변경)집계표'!G69</f>
        <v>#REF!</v>
      </c>
      <c r="N42" s="111" t="e">
        <f>'(변경)집계표'!E99</f>
        <v>#REF!</v>
      </c>
      <c r="O42" s="112" t="s">
        <v>5</v>
      </c>
      <c r="P42" s="179" t="e">
        <f>'(변경)집계표'!G99</f>
        <v>#REF!</v>
      </c>
      <c r="Q42" s="111" t="e">
        <f>'(변경)집계표'!E129</f>
        <v>#REF!</v>
      </c>
      <c r="R42" s="112" t="s">
        <v>5</v>
      </c>
      <c r="S42" s="140" t="e">
        <f>'(변경)집계표'!G129</f>
        <v>#REF!</v>
      </c>
      <c r="T42" s="111">
        <f>'(변경)집계표'!E159</f>
        <v>0</v>
      </c>
      <c r="U42" s="112" t="s">
        <v>5</v>
      </c>
      <c r="V42" s="140">
        <f>'(변경)집계표'!G159</f>
        <v>0</v>
      </c>
      <c r="W42" s="111">
        <f>'(변경)집계표'!E189</f>
        <v>0</v>
      </c>
      <c r="X42" s="112" t="s">
        <v>5</v>
      </c>
      <c r="Y42" s="140">
        <f>'(변경)집계표'!G189</f>
        <v>0</v>
      </c>
      <c r="Z42" s="111">
        <f>'(변경)집계표'!E219</f>
        <v>0</v>
      </c>
      <c r="AA42" s="112" t="s">
        <v>5</v>
      </c>
      <c r="AB42" s="140">
        <f>'(변경)집계표'!G219</f>
        <v>0</v>
      </c>
      <c r="AC42" s="111">
        <f>'(변경)집계표'!E249</f>
        <v>0</v>
      </c>
      <c r="AD42" s="112" t="s">
        <v>5</v>
      </c>
      <c r="AE42" s="140">
        <f>'(변경)집계표'!G249</f>
        <v>0</v>
      </c>
      <c r="AF42" s="111">
        <f>'(변경)집계표'!E279</f>
        <v>0</v>
      </c>
      <c r="AG42" s="112" t="s">
        <v>5</v>
      </c>
      <c r="AH42" s="140">
        <f>'(변경)집계표'!G279</f>
        <v>0</v>
      </c>
      <c r="AI42" s="128"/>
    </row>
    <row r="43" spans="1:36" s="6" customFormat="1" ht="22.5" customHeight="1">
      <c r="A43" s="127" t="s">
        <v>10</v>
      </c>
      <c r="B43" s="111" t="e">
        <f t="shared" si="2"/>
        <v>#REF!</v>
      </c>
      <c r="C43" s="112" t="s">
        <v>5</v>
      </c>
      <c r="D43" s="179" t="e">
        <f t="shared" si="3"/>
        <v>#REF!</v>
      </c>
      <c r="E43" s="111" t="e">
        <f>'(변경)집계표'!E10</f>
        <v>#REF!</v>
      </c>
      <c r="F43" s="112" t="s">
        <v>5</v>
      </c>
      <c r="G43" s="179" t="e">
        <f>'(변경)집계표'!G10</f>
        <v>#REF!</v>
      </c>
      <c r="H43" s="111" t="e">
        <f>'(변경)집계표'!E40</f>
        <v>#REF!</v>
      </c>
      <c r="I43" s="112" t="s">
        <v>5</v>
      </c>
      <c r="J43" s="179" t="e">
        <f>'(변경)집계표'!G40</f>
        <v>#REF!</v>
      </c>
      <c r="K43" s="111" t="e">
        <f>'(변경)집계표'!E70</f>
        <v>#REF!</v>
      </c>
      <c r="L43" s="112" t="s">
        <v>5</v>
      </c>
      <c r="M43" s="179" t="e">
        <f>'(변경)집계표'!G70</f>
        <v>#REF!</v>
      </c>
      <c r="N43" s="111" t="e">
        <f>'(변경)집계표'!E100</f>
        <v>#REF!</v>
      </c>
      <c r="O43" s="112" t="s">
        <v>5</v>
      </c>
      <c r="P43" s="179" t="e">
        <f>'(변경)집계표'!G100</f>
        <v>#REF!</v>
      </c>
      <c r="Q43" s="111" t="e">
        <f>'(변경)집계표'!E130</f>
        <v>#REF!</v>
      </c>
      <c r="R43" s="112" t="s">
        <v>5</v>
      </c>
      <c r="S43" s="140" t="e">
        <f>'(변경)집계표'!G130</f>
        <v>#REF!</v>
      </c>
      <c r="T43" s="111">
        <f>'(변경)집계표'!E160</f>
        <v>0</v>
      </c>
      <c r="U43" s="112" t="s">
        <v>5</v>
      </c>
      <c r="V43" s="140">
        <f>'(변경)집계표'!G160</f>
        <v>0</v>
      </c>
      <c r="W43" s="111">
        <f>'(변경)집계표'!E190</f>
        <v>0</v>
      </c>
      <c r="X43" s="112" t="s">
        <v>5</v>
      </c>
      <c r="Y43" s="140">
        <f>'(변경)집계표'!G190</f>
        <v>0</v>
      </c>
      <c r="Z43" s="111">
        <f>'(변경)집계표'!E220</f>
        <v>0</v>
      </c>
      <c r="AA43" s="112" t="s">
        <v>5</v>
      </c>
      <c r="AB43" s="140">
        <f>'(변경)집계표'!G220</f>
        <v>0</v>
      </c>
      <c r="AC43" s="111">
        <f>'(변경)집계표'!E250</f>
        <v>0</v>
      </c>
      <c r="AD43" s="112" t="s">
        <v>5</v>
      </c>
      <c r="AE43" s="140">
        <f>'(변경)집계표'!G250</f>
        <v>0</v>
      </c>
      <c r="AF43" s="111">
        <f>'(변경)집계표'!E280</f>
        <v>0</v>
      </c>
      <c r="AG43" s="112" t="s">
        <v>5</v>
      </c>
      <c r="AH43" s="140">
        <f>'(변경)집계표'!G280</f>
        <v>0</v>
      </c>
      <c r="AI43" s="128"/>
    </row>
    <row r="44" spans="1:36" s="6" customFormat="1" ht="22.5" customHeight="1">
      <c r="A44" s="127" t="s">
        <v>11</v>
      </c>
      <c r="B44" s="111" t="e">
        <f t="shared" si="2"/>
        <v>#REF!</v>
      </c>
      <c r="C44" s="112" t="s">
        <v>5</v>
      </c>
      <c r="D44" s="179" t="e">
        <f t="shared" si="3"/>
        <v>#REF!</v>
      </c>
      <c r="E44" s="111" t="e">
        <f>'(변경)집계표'!E11</f>
        <v>#REF!</v>
      </c>
      <c r="F44" s="112" t="s">
        <v>5</v>
      </c>
      <c r="G44" s="179" t="e">
        <f>'(변경)집계표'!G11</f>
        <v>#REF!</v>
      </c>
      <c r="H44" s="111" t="e">
        <f>'(변경)집계표'!E41</f>
        <v>#REF!</v>
      </c>
      <c r="I44" s="112" t="s">
        <v>5</v>
      </c>
      <c r="J44" s="179" t="e">
        <f>'(변경)집계표'!G41</f>
        <v>#REF!</v>
      </c>
      <c r="K44" s="111" t="e">
        <f>'(변경)집계표'!E71</f>
        <v>#REF!</v>
      </c>
      <c r="L44" s="112" t="s">
        <v>5</v>
      </c>
      <c r="M44" s="179" t="e">
        <f>'(변경)집계표'!G71</f>
        <v>#REF!</v>
      </c>
      <c r="N44" s="111" t="e">
        <f>'(변경)집계표'!E101</f>
        <v>#REF!</v>
      </c>
      <c r="O44" s="112" t="s">
        <v>5</v>
      </c>
      <c r="P44" s="179" t="e">
        <f>'(변경)집계표'!G101</f>
        <v>#REF!</v>
      </c>
      <c r="Q44" s="111" t="e">
        <f>'(변경)집계표'!E131</f>
        <v>#REF!</v>
      </c>
      <c r="R44" s="112" t="s">
        <v>5</v>
      </c>
      <c r="S44" s="140" t="e">
        <f>'(변경)집계표'!G131</f>
        <v>#REF!</v>
      </c>
      <c r="T44" s="111">
        <f>'(변경)집계표'!E161</f>
        <v>0</v>
      </c>
      <c r="U44" s="112" t="s">
        <v>5</v>
      </c>
      <c r="V44" s="140">
        <f>'(변경)집계표'!G161</f>
        <v>0</v>
      </c>
      <c r="W44" s="111">
        <f>'(변경)집계표'!E191</f>
        <v>0</v>
      </c>
      <c r="X44" s="112" t="s">
        <v>5</v>
      </c>
      <c r="Y44" s="140">
        <f>'(변경)집계표'!G191</f>
        <v>0</v>
      </c>
      <c r="Z44" s="111">
        <f>'(변경)집계표'!E221</f>
        <v>0</v>
      </c>
      <c r="AA44" s="112" t="s">
        <v>5</v>
      </c>
      <c r="AB44" s="140">
        <f>'(변경)집계표'!G221</f>
        <v>0</v>
      </c>
      <c r="AC44" s="111">
        <f>'(변경)집계표'!E251</f>
        <v>0</v>
      </c>
      <c r="AD44" s="112" t="s">
        <v>5</v>
      </c>
      <c r="AE44" s="140">
        <f>'(변경)집계표'!G251</f>
        <v>0</v>
      </c>
      <c r="AF44" s="111">
        <f>'(변경)집계표'!E281</f>
        <v>0</v>
      </c>
      <c r="AG44" s="112" t="s">
        <v>5</v>
      </c>
      <c r="AH44" s="140">
        <f>'(변경)집계표'!G281</f>
        <v>0</v>
      </c>
      <c r="AI44" s="128"/>
    </row>
    <row r="45" spans="1:36" s="6" customFormat="1" ht="22.5" customHeight="1">
      <c r="A45" s="127" t="s">
        <v>12</v>
      </c>
      <c r="B45" s="111" t="e">
        <f t="shared" si="2"/>
        <v>#REF!</v>
      </c>
      <c r="C45" s="112" t="s">
        <v>5</v>
      </c>
      <c r="D45" s="179" t="e">
        <f t="shared" si="3"/>
        <v>#REF!</v>
      </c>
      <c r="E45" s="111" t="e">
        <f>'(변경)집계표'!E12</f>
        <v>#REF!</v>
      </c>
      <c r="F45" s="112" t="s">
        <v>5</v>
      </c>
      <c r="G45" s="179" t="e">
        <f>'(변경)집계표'!G12</f>
        <v>#REF!</v>
      </c>
      <c r="H45" s="111" t="e">
        <f>'(변경)집계표'!E42</f>
        <v>#REF!</v>
      </c>
      <c r="I45" s="112" t="s">
        <v>5</v>
      </c>
      <c r="J45" s="179" t="e">
        <f>'(변경)집계표'!G42</f>
        <v>#REF!</v>
      </c>
      <c r="K45" s="111" t="e">
        <f>'(변경)집계표'!E72</f>
        <v>#REF!</v>
      </c>
      <c r="L45" s="112" t="s">
        <v>5</v>
      </c>
      <c r="M45" s="179" t="e">
        <f>'(변경)집계표'!G72</f>
        <v>#REF!</v>
      </c>
      <c r="N45" s="111" t="e">
        <f>'(변경)집계표'!E102</f>
        <v>#REF!</v>
      </c>
      <c r="O45" s="112" t="s">
        <v>5</v>
      </c>
      <c r="P45" s="179" t="e">
        <f>'(변경)집계표'!G102</f>
        <v>#REF!</v>
      </c>
      <c r="Q45" s="111" t="e">
        <f>'(변경)집계표'!E132</f>
        <v>#REF!</v>
      </c>
      <c r="R45" s="112" t="s">
        <v>5</v>
      </c>
      <c r="S45" s="140" t="e">
        <f>'(변경)집계표'!G132</f>
        <v>#REF!</v>
      </c>
      <c r="T45" s="111">
        <f>'(변경)집계표'!E162</f>
        <v>0</v>
      </c>
      <c r="U45" s="112" t="s">
        <v>5</v>
      </c>
      <c r="V45" s="140">
        <f>'(변경)집계표'!G162</f>
        <v>0</v>
      </c>
      <c r="W45" s="111">
        <f>'(변경)집계표'!E192</f>
        <v>0</v>
      </c>
      <c r="X45" s="112" t="s">
        <v>5</v>
      </c>
      <c r="Y45" s="140">
        <f>'(변경)집계표'!G192</f>
        <v>0</v>
      </c>
      <c r="Z45" s="111">
        <f>'(변경)집계표'!E222</f>
        <v>0</v>
      </c>
      <c r="AA45" s="112" t="s">
        <v>5</v>
      </c>
      <c r="AB45" s="140">
        <f>'(변경)집계표'!G222</f>
        <v>0</v>
      </c>
      <c r="AC45" s="111">
        <f>'(변경)집계표'!E252</f>
        <v>0</v>
      </c>
      <c r="AD45" s="112" t="s">
        <v>5</v>
      </c>
      <c r="AE45" s="140">
        <f>'(변경)집계표'!G252</f>
        <v>0</v>
      </c>
      <c r="AF45" s="111">
        <f>'(변경)집계표'!E282</f>
        <v>0</v>
      </c>
      <c r="AG45" s="112" t="s">
        <v>5</v>
      </c>
      <c r="AH45" s="140">
        <f>'(변경)집계표'!G282</f>
        <v>0</v>
      </c>
      <c r="AI45" s="128"/>
    </row>
    <row r="46" spans="1:36" s="6" customFormat="1" ht="22.5" customHeight="1">
      <c r="A46" s="127" t="s">
        <v>13</v>
      </c>
      <c r="B46" s="111" t="e">
        <f t="shared" si="2"/>
        <v>#REF!</v>
      </c>
      <c r="C46" s="112" t="s">
        <v>5</v>
      </c>
      <c r="D46" s="179" t="e">
        <f t="shared" si="3"/>
        <v>#REF!</v>
      </c>
      <c r="E46" s="111" t="e">
        <f>'(변경)집계표'!E13</f>
        <v>#REF!</v>
      </c>
      <c r="F46" s="112" t="s">
        <v>5</v>
      </c>
      <c r="G46" s="179" t="e">
        <f>'(변경)집계표'!G13</f>
        <v>#REF!</v>
      </c>
      <c r="H46" s="111" t="e">
        <f>'(변경)집계표'!E43</f>
        <v>#REF!</v>
      </c>
      <c r="I46" s="112" t="s">
        <v>5</v>
      </c>
      <c r="J46" s="179" t="e">
        <f>'(변경)집계표'!G43</f>
        <v>#REF!</v>
      </c>
      <c r="K46" s="111" t="e">
        <f>'(변경)집계표'!E73</f>
        <v>#REF!</v>
      </c>
      <c r="L46" s="112" t="s">
        <v>5</v>
      </c>
      <c r="M46" s="179" t="e">
        <f>'(변경)집계표'!G73</f>
        <v>#REF!</v>
      </c>
      <c r="N46" s="111" t="e">
        <f>'(변경)집계표'!E103</f>
        <v>#REF!</v>
      </c>
      <c r="O46" s="112" t="s">
        <v>5</v>
      </c>
      <c r="P46" s="179" t="e">
        <f>'(변경)집계표'!G103</f>
        <v>#REF!</v>
      </c>
      <c r="Q46" s="111" t="e">
        <f>'(변경)집계표'!E133</f>
        <v>#REF!</v>
      </c>
      <c r="R46" s="112" t="s">
        <v>5</v>
      </c>
      <c r="S46" s="140" t="e">
        <f>'(변경)집계표'!G133</f>
        <v>#REF!</v>
      </c>
      <c r="T46" s="111">
        <f>'(변경)집계표'!E163</f>
        <v>0</v>
      </c>
      <c r="U46" s="112" t="s">
        <v>5</v>
      </c>
      <c r="V46" s="140">
        <f>'(변경)집계표'!G163</f>
        <v>0</v>
      </c>
      <c r="W46" s="111">
        <f>'(변경)집계표'!E193</f>
        <v>0</v>
      </c>
      <c r="X46" s="112" t="s">
        <v>5</v>
      </c>
      <c r="Y46" s="140">
        <f>'(변경)집계표'!G193</f>
        <v>0</v>
      </c>
      <c r="Z46" s="111">
        <f>'(변경)집계표'!E223</f>
        <v>0</v>
      </c>
      <c r="AA46" s="112" t="s">
        <v>5</v>
      </c>
      <c r="AB46" s="140">
        <f>'(변경)집계표'!G223</f>
        <v>0</v>
      </c>
      <c r="AC46" s="111">
        <f>'(변경)집계표'!E253</f>
        <v>0</v>
      </c>
      <c r="AD46" s="112" t="s">
        <v>5</v>
      </c>
      <c r="AE46" s="140">
        <f>'(변경)집계표'!G253</f>
        <v>0</v>
      </c>
      <c r="AF46" s="111">
        <f>'(변경)집계표'!E283</f>
        <v>0</v>
      </c>
      <c r="AG46" s="112" t="s">
        <v>5</v>
      </c>
      <c r="AH46" s="140">
        <f>'(변경)집계표'!G283</f>
        <v>0</v>
      </c>
      <c r="AI46" s="128"/>
    </row>
    <row r="47" spans="1:36" s="6" customFormat="1" ht="22.5" customHeight="1">
      <c r="A47" s="127" t="s">
        <v>14</v>
      </c>
      <c r="B47" s="111" t="e">
        <f t="shared" si="2"/>
        <v>#REF!</v>
      </c>
      <c r="C47" s="112" t="s">
        <v>5</v>
      </c>
      <c r="D47" s="179" t="e">
        <f t="shared" si="3"/>
        <v>#REF!</v>
      </c>
      <c r="E47" s="111" t="e">
        <f>'(변경)집계표'!E14</f>
        <v>#REF!</v>
      </c>
      <c r="F47" s="112" t="s">
        <v>5</v>
      </c>
      <c r="G47" s="179" t="e">
        <f>'(변경)집계표'!G14</f>
        <v>#REF!</v>
      </c>
      <c r="H47" s="111" t="e">
        <f>'(변경)집계표'!E44</f>
        <v>#REF!</v>
      </c>
      <c r="I47" s="112" t="s">
        <v>5</v>
      </c>
      <c r="J47" s="179" t="e">
        <f>'(변경)집계표'!G44</f>
        <v>#REF!</v>
      </c>
      <c r="K47" s="111" t="e">
        <f>'(변경)집계표'!E74</f>
        <v>#REF!</v>
      </c>
      <c r="L47" s="112" t="s">
        <v>5</v>
      </c>
      <c r="M47" s="179" t="e">
        <f>'(변경)집계표'!G74</f>
        <v>#REF!</v>
      </c>
      <c r="N47" s="111" t="e">
        <f>'(변경)집계표'!E104</f>
        <v>#REF!</v>
      </c>
      <c r="O47" s="112" t="s">
        <v>5</v>
      </c>
      <c r="P47" s="179" t="e">
        <f>'(변경)집계표'!G104</f>
        <v>#REF!</v>
      </c>
      <c r="Q47" s="111" t="e">
        <f>'(변경)집계표'!E134</f>
        <v>#REF!</v>
      </c>
      <c r="R47" s="112" t="s">
        <v>5</v>
      </c>
      <c r="S47" s="140" t="e">
        <f>'(변경)집계표'!G134</f>
        <v>#REF!</v>
      </c>
      <c r="T47" s="111">
        <f>'(변경)집계표'!E164</f>
        <v>0</v>
      </c>
      <c r="U47" s="112" t="s">
        <v>5</v>
      </c>
      <c r="V47" s="140">
        <f>'(변경)집계표'!G164</f>
        <v>0</v>
      </c>
      <c r="W47" s="111">
        <f>'(변경)집계표'!E194</f>
        <v>0</v>
      </c>
      <c r="X47" s="112" t="s">
        <v>5</v>
      </c>
      <c r="Y47" s="140">
        <f>'(변경)집계표'!G194</f>
        <v>0</v>
      </c>
      <c r="Z47" s="111">
        <f>'(변경)집계표'!E224</f>
        <v>0</v>
      </c>
      <c r="AA47" s="112" t="s">
        <v>5</v>
      </c>
      <c r="AB47" s="140">
        <f>'(변경)집계표'!G224</f>
        <v>0</v>
      </c>
      <c r="AC47" s="111">
        <f>'(변경)집계표'!E254</f>
        <v>0</v>
      </c>
      <c r="AD47" s="112" t="s">
        <v>5</v>
      </c>
      <c r="AE47" s="140">
        <f>'(변경)집계표'!G254</f>
        <v>0</v>
      </c>
      <c r="AF47" s="111">
        <f>'(변경)집계표'!E284</f>
        <v>0</v>
      </c>
      <c r="AG47" s="112" t="s">
        <v>5</v>
      </c>
      <c r="AH47" s="140">
        <f>'(변경)집계표'!G284</f>
        <v>0</v>
      </c>
      <c r="AI47" s="128"/>
    </row>
    <row r="48" spans="1:36" s="6" customFormat="1" ht="22.5" customHeight="1">
      <c r="A48" s="127" t="s">
        <v>15</v>
      </c>
      <c r="B48" s="111" t="e">
        <f t="shared" si="2"/>
        <v>#REF!</v>
      </c>
      <c r="C48" s="112" t="s">
        <v>5</v>
      </c>
      <c r="D48" s="179" t="e">
        <f t="shared" si="3"/>
        <v>#REF!</v>
      </c>
      <c r="E48" s="111" t="e">
        <f>'(변경)집계표'!E15</f>
        <v>#REF!</v>
      </c>
      <c r="F48" s="112" t="s">
        <v>5</v>
      </c>
      <c r="G48" s="179" t="e">
        <f>'(변경)집계표'!G15</f>
        <v>#REF!</v>
      </c>
      <c r="H48" s="111" t="e">
        <f>'(변경)집계표'!E45</f>
        <v>#REF!</v>
      </c>
      <c r="I48" s="112" t="s">
        <v>5</v>
      </c>
      <c r="J48" s="179" t="e">
        <f>'(변경)집계표'!G45</f>
        <v>#REF!</v>
      </c>
      <c r="K48" s="111" t="e">
        <f>'(변경)집계표'!E75</f>
        <v>#REF!</v>
      </c>
      <c r="L48" s="112" t="s">
        <v>5</v>
      </c>
      <c r="M48" s="179" t="e">
        <f>'(변경)집계표'!G75</f>
        <v>#REF!</v>
      </c>
      <c r="N48" s="111" t="e">
        <f>'(변경)집계표'!E105</f>
        <v>#REF!</v>
      </c>
      <c r="O48" s="112" t="s">
        <v>5</v>
      </c>
      <c r="P48" s="179" t="e">
        <f>'(변경)집계표'!G105</f>
        <v>#REF!</v>
      </c>
      <c r="Q48" s="111" t="e">
        <f>'(변경)집계표'!E135</f>
        <v>#REF!</v>
      </c>
      <c r="R48" s="112" t="s">
        <v>5</v>
      </c>
      <c r="S48" s="140" t="e">
        <f>'(변경)집계표'!G135</f>
        <v>#REF!</v>
      </c>
      <c r="T48" s="111">
        <f>'(변경)집계표'!E165</f>
        <v>0</v>
      </c>
      <c r="U48" s="112" t="s">
        <v>5</v>
      </c>
      <c r="V48" s="140">
        <f>'(변경)집계표'!G165</f>
        <v>0</v>
      </c>
      <c r="W48" s="111">
        <f>'(변경)집계표'!E195</f>
        <v>0</v>
      </c>
      <c r="X48" s="112" t="s">
        <v>5</v>
      </c>
      <c r="Y48" s="140">
        <f>'(변경)집계표'!G195</f>
        <v>0</v>
      </c>
      <c r="Z48" s="111">
        <f>'(변경)집계표'!E225</f>
        <v>0</v>
      </c>
      <c r="AA48" s="112" t="s">
        <v>5</v>
      </c>
      <c r="AB48" s="140">
        <f>'(변경)집계표'!G225</f>
        <v>0</v>
      </c>
      <c r="AC48" s="111">
        <f>'(변경)집계표'!E255</f>
        <v>0</v>
      </c>
      <c r="AD48" s="112" t="s">
        <v>5</v>
      </c>
      <c r="AE48" s="140">
        <f>'(변경)집계표'!G255</f>
        <v>0</v>
      </c>
      <c r="AF48" s="111">
        <f>'(변경)집계표'!E285</f>
        <v>0</v>
      </c>
      <c r="AG48" s="112" t="s">
        <v>5</v>
      </c>
      <c r="AH48" s="140">
        <f>'(변경)집계표'!G285</f>
        <v>0</v>
      </c>
      <c r="AI48" s="128"/>
    </row>
    <row r="49" spans="1:35" s="6" customFormat="1" ht="22.5" customHeight="1">
      <c r="A49" s="127" t="s">
        <v>16</v>
      </c>
      <c r="B49" s="111" t="e">
        <f t="shared" si="2"/>
        <v>#REF!</v>
      </c>
      <c r="C49" s="112" t="s">
        <v>5</v>
      </c>
      <c r="D49" s="179" t="e">
        <f t="shared" si="3"/>
        <v>#REF!</v>
      </c>
      <c r="E49" s="111" t="e">
        <f>'(변경)집계표'!E16</f>
        <v>#REF!</v>
      </c>
      <c r="F49" s="112" t="s">
        <v>5</v>
      </c>
      <c r="G49" s="179" t="e">
        <f>'(변경)집계표'!G16</f>
        <v>#REF!</v>
      </c>
      <c r="H49" s="111" t="e">
        <f>'(변경)집계표'!E46</f>
        <v>#REF!</v>
      </c>
      <c r="I49" s="112" t="s">
        <v>5</v>
      </c>
      <c r="J49" s="179" t="e">
        <f>'(변경)집계표'!G46</f>
        <v>#REF!</v>
      </c>
      <c r="K49" s="111" t="e">
        <f>'(변경)집계표'!E76</f>
        <v>#REF!</v>
      </c>
      <c r="L49" s="112" t="s">
        <v>5</v>
      </c>
      <c r="M49" s="179" t="e">
        <f>'(변경)집계표'!G76</f>
        <v>#REF!</v>
      </c>
      <c r="N49" s="111" t="e">
        <f>'(변경)집계표'!E106</f>
        <v>#REF!</v>
      </c>
      <c r="O49" s="112" t="s">
        <v>5</v>
      </c>
      <c r="P49" s="179" t="e">
        <f>'(변경)집계표'!G106</f>
        <v>#REF!</v>
      </c>
      <c r="Q49" s="111" t="e">
        <f>'(변경)집계표'!E136</f>
        <v>#REF!</v>
      </c>
      <c r="R49" s="112" t="s">
        <v>5</v>
      </c>
      <c r="S49" s="140" t="e">
        <f>'(변경)집계표'!G136</f>
        <v>#REF!</v>
      </c>
      <c r="T49" s="111">
        <f>'(변경)집계표'!E166</f>
        <v>0</v>
      </c>
      <c r="U49" s="112" t="s">
        <v>5</v>
      </c>
      <c r="V49" s="140">
        <f>'(변경)집계표'!G166</f>
        <v>0</v>
      </c>
      <c r="W49" s="111">
        <f>'(변경)집계표'!E196</f>
        <v>0</v>
      </c>
      <c r="X49" s="112" t="s">
        <v>5</v>
      </c>
      <c r="Y49" s="140">
        <f>'(변경)집계표'!G196</f>
        <v>0</v>
      </c>
      <c r="Z49" s="111">
        <f>'(변경)집계표'!E226</f>
        <v>0</v>
      </c>
      <c r="AA49" s="112" t="s">
        <v>5</v>
      </c>
      <c r="AB49" s="140">
        <f>'(변경)집계표'!G226</f>
        <v>0</v>
      </c>
      <c r="AC49" s="111">
        <f>'(변경)집계표'!E256</f>
        <v>0</v>
      </c>
      <c r="AD49" s="112" t="s">
        <v>5</v>
      </c>
      <c r="AE49" s="140">
        <f>'(변경)집계표'!G256</f>
        <v>0</v>
      </c>
      <c r="AF49" s="111">
        <f>'(변경)집계표'!E286</f>
        <v>0</v>
      </c>
      <c r="AG49" s="112" t="s">
        <v>5</v>
      </c>
      <c r="AH49" s="140">
        <f>'(변경)집계표'!G286</f>
        <v>0</v>
      </c>
      <c r="AI49" s="128"/>
    </row>
    <row r="50" spans="1:35" s="6" customFormat="1" ht="22.5" customHeight="1">
      <c r="A50" s="127" t="s">
        <v>17</v>
      </c>
      <c r="B50" s="111" t="e">
        <f t="shared" si="2"/>
        <v>#REF!</v>
      </c>
      <c r="C50" s="112" t="s">
        <v>5</v>
      </c>
      <c r="D50" s="179" t="e">
        <f t="shared" si="3"/>
        <v>#REF!</v>
      </c>
      <c r="E50" s="111" t="e">
        <f>'(변경)집계표'!E17</f>
        <v>#REF!</v>
      </c>
      <c r="F50" s="112" t="s">
        <v>5</v>
      </c>
      <c r="G50" s="179" t="e">
        <f>'(변경)집계표'!G17</f>
        <v>#REF!</v>
      </c>
      <c r="H50" s="111" t="e">
        <f>'(변경)집계표'!E47</f>
        <v>#REF!</v>
      </c>
      <c r="I50" s="112" t="s">
        <v>5</v>
      </c>
      <c r="J50" s="179" t="e">
        <f>'(변경)집계표'!G47</f>
        <v>#REF!</v>
      </c>
      <c r="K50" s="111" t="e">
        <f>'(변경)집계표'!E77</f>
        <v>#REF!</v>
      </c>
      <c r="L50" s="112" t="s">
        <v>5</v>
      </c>
      <c r="M50" s="179" t="e">
        <f>'(변경)집계표'!G77</f>
        <v>#REF!</v>
      </c>
      <c r="N50" s="111" t="e">
        <f>'(변경)집계표'!E107</f>
        <v>#REF!</v>
      </c>
      <c r="O50" s="112" t="s">
        <v>5</v>
      </c>
      <c r="P50" s="179" t="e">
        <f>'(변경)집계표'!G107</f>
        <v>#REF!</v>
      </c>
      <c r="Q50" s="111" t="e">
        <f>'(변경)집계표'!E137</f>
        <v>#REF!</v>
      </c>
      <c r="R50" s="112" t="s">
        <v>5</v>
      </c>
      <c r="S50" s="140" t="e">
        <f>'(변경)집계표'!G137</f>
        <v>#REF!</v>
      </c>
      <c r="T50" s="111">
        <f>'(변경)집계표'!E167</f>
        <v>0</v>
      </c>
      <c r="U50" s="112" t="s">
        <v>5</v>
      </c>
      <c r="V50" s="140">
        <f>'(변경)집계표'!G167</f>
        <v>0</v>
      </c>
      <c r="W50" s="111">
        <f>'(변경)집계표'!E197</f>
        <v>0</v>
      </c>
      <c r="X50" s="112" t="s">
        <v>5</v>
      </c>
      <c r="Y50" s="140">
        <f>'(변경)집계표'!G197</f>
        <v>0</v>
      </c>
      <c r="Z50" s="111">
        <f>'(변경)집계표'!E227</f>
        <v>0</v>
      </c>
      <c r="AA50" s="112" t="s">
        <v>5</v>
      </c>
      <c r="AB50" s="140">
        <f>'(변경)집계표'!G227</f>
        <v>0</v>
      </c>
      <c r="AC50" s="111">
        <f>'(변경)집계표'!E257</f>
        <v>0</v>
      </c>
      <c r="AD50" s="112" t="s">
        <v>5</v>
      </c>
      <c r="AE50" s="140">
        <f>'(변경)집계표'!G257</f>
        <v>0</v>
      </c>
      <c r="AF50" s="111">
        <f>'(변경)집계표'!E287</f>
        <v>0</v>
      </c>
      <c r="AG50" s="112" t="s">
        <v>5</v>
      </c>
      <c r="AH50" s="140">
        <f>'(변경)집계표'!G287</f>
        <v>0</v>
      </c>
      <c r="AI50" s="128"/>
    </row>
    <row r="51" spans="1:35" s="6" customFormat="1" ht="22.5" customHeight="1">
      <c r="A51" s="127" t="s">
        <v>18</v>
      </c>
      <c r="B51" s="111" t="e">
        <f t="shared" si="2"/>
        <v>#REF!</v>
      </c>
      <c r="C51" s="112" t="s">
        <v>5</v>
      </c>
      <c r="D51" s="179" t="e">
        <f t="shared" si="3"/>
        <v>#REF!</v>
      </c>
      <c r="E51" s="111" t="e">
        <f>'(변경)집계표'!E18</f>
        <v>#REF!</v>
      </c>
      <c r="F51" s="112" t="s">
        <v>5</v>
      </c>
      <c r="G51" s="179" t="e">
        <f>'(변경)집계표'!G18</f>
        <v>#REF!</v>
      </c>
      <c r="H51" s="111" t="e">
        <f>'(변경)집계표'!E48</f>
        <v>#REF!</v>
      </c>
      <c r="I51" s="112" t="s">
        <v>5</v>
      </c>
      <c r="J51" s="179" t="e">
        <f>'(변경)집계표'!G48</f>
        <v>#REF!</v>
      </c>
      <c r="K51" s="111" t="e">
        <f>'(변경)집계표'!E78</f>
        <v>#REF!</v>
      </c>
      <c r="L51" s="112" t="s">
        <v>5</v>
      </c>
      <c r="M51" s="179" t="e">
        <f>'(변경)집계표'!G78</f>
        <v>#REF!</v>
      </c>
      <c r="N51" s="111" t="e">
        <f>'(변경)집계표'!E108</f>
        <v>#REF!</v>
      </c>
      <c r="O51" s="112" t="s">
        <v>5</v>
      </c>
      <c r="P51" s="179" t="e">
        <f>'(변경)집계표'!G108</f>
        <v>#REF!</v>
      </c>
      <c r="Q51" s="111" t="e">
        <f>'(변경)집계표'!E138</f>
        <v>#REF!</v>
      </c>
      <c r="R51" s="112" t="s">
        <v>5</v>
      </c>
      <c r="S51" s="140" t="e">
        <f>'(변경)집계표'!G138</f>
        <v>#REF!</v>
      </c>
      <c r="T51" s="111">
        <f>'(변경)집계표'!E168</f>
        <v>0</v>
      </c>
      <c r="U51" s="112" t="s">
        <v>5</v>
      </c>
      <c r="V51" s="140">
        <f>'(변경)집계표'!G168</f>
        <v>0</v>
      </c>
      <c r="W51" s="111">
        <f>'(변경)집계표'!E198</f>
        <v>0</v>
      </c>
      <c r="X51" s="112" t="s">
        <v>5</v>
      </c>
      <c r="Y51" s="140">
        <f>'(변경)집계표'!G198</f>
        <v>0</v>
      </c>
      <c r="Z51" s="111">
        <f>'(변경)집계표'!E228</f>
        <v>0</v>
      </c>
      <c r="AA51" s="112" t="s">
        <v>5</v>
      </c>
      <c r="AB51" s="140">
        <f>'(변경)집계표'!G228</f>
        <v>0</v>
      </c>
      <c r="AC51" s="111">
        <f>'(변경)집계표'!E258</f>
        <v>0</v>
      </c>
      <c r="AD51" s="112" t="s">
        <v>5</v>
      </c>
      <c r="AE51" s="140">
        <f>'(변경)집계표'!G258</f>
        <v>0</v>
      </c>
      <c r="AF51" s="111">
        <f>'(변경)집계표'!E288</f>
        <v>0</v>
      </c>
      <c r="AG51" s="112" t="s">
        <v>5</v>
      </c>
      <c r="AH51" s="140">
        <f>'(변경)집계표'!G288</f>
        <v>0</v>
      </c>
      <c r="AI51" s="128"/>
    </row>
    <row r="52" spans="1:35" s="6" customFormat="1" ht="22.5" customHeight="1">
      <c r="A52" s="127" t="s">
        <v>19</v>
      </c>
      <c r="B52" s="111" t="e">
        <f t="shared" si="2"/>
        <v>#REF!</v>
      </c>
      <c r="C52" s="112" t="s">
        <v>5</v>
      </c>
      <c r="D52" s="179" t="e">
        <f t="shared" si="3"/>
        <v>#REF!</v>
      </c>
      <c r="E52" s="111" t="e">
        <f>'(변경)집계표'!E19</f>
        <v>#REF!</v>
      </c>
      <c r="F52" s="112" t="s">
        <v>5</v>
      </c>
      <c r="G52" s="179" t="e">
        <f>'(변경)집계표'!G19</f>
        <v>#REF!</v>
      </c>
      <c r="H52" s="111" t="e">
        <f>'(변경)집계표'!E49</f>
        <v>#REF!</v>
      </c>
      <c r="I52" s="112" t="s">
        <v>5</v>
      </c>
      <c r="J52" s="179" t="e">
        <f>'(변경)집계표'!G49</f>
        <v>#REF!</v>
      </c>
      <c r="K52" s="111" t="e">
        <f>'(변경)집계표'!E79</f>
        <v>#REF!</v>
      </c>
      <c r="L52" s="112" t="s">
        <v>5</v>
      </c>
      <c r="M52" s="179" t="e">
        <f>'(변경)집계표'!G79</f>
        <v>#REF!</v>
      </c>
      <c r="N52" s="111" t="e">
        <f>'(변경)집계표'!E109</f>
        <v>#REF!</v>
      </c>
      <c r="O52" s="112" t="s">
        <v>5</v>
      </c>
      <c r="P52" s="179" t="e">
        <f>'(변경)집계표'!G109</f>
        <v>#REF!</v>
      </c>
      <c r="Q52" s="111" t="e">
        <f>'(변경)집계표'!E139</f>
        <v>#REF!</v>
      </c>
      <c r="R52" s="112" t="s">
        <v>5</v>
      </c>
      <c r="S52" s="140" t="e">
        <f>'(변경)집계표'!G139</f>
        <v>#REF!</v>
      </c>
      <c r="T52" s="111">
        <f>'(변경)집계표'!E169</f>
        <v>0</v>
      </c>
      <c r="U52" s="112" t="s">
        <v>5</v>
      </c>
      <c r="V52" s="140">
        <f>'(변경)집계표'!G169</f>
        <v>0</v>
      </c>
      <c r="W52" s="111">
        <f>'(변경)집계표'!E199</f>
        <v>0</v>
      </c>
      <c r="X52" s="112" t="s">
        <v>5</v>
      </c>
      <c r="Y52" s="140">
        <f>'(변경)집계표'!G199</f>
        <v>0</v>
      </c>
      <c r="Z52" s="111">
        <f>'(변경)집계표'!E229</f>
        <v>0</v>
      </c>
      <c r="AA52" s="112" t="s">
        <v>5</v>
      </c>
      <c r="AB52" s="140">
        <f>'(변경)집계표'!G229</f>
        <v>0</v>
      </c>
      <c r="AC52" s="111">
        <f>'(변경)집계표'!E259</f>
        <v>0</v>
      </c>
      <c r="AD52" s="112" t="s">
        <v>5</v>
      </c>
      <c r="AE52" s="140">
        <f>'(변경)집계표'!G259</f>
        <v>0</v>
      </c>
      <c r="AF52" s="111">
        <f>'(변경)집계표'!E289</f>
        <v>0</v>
      </c>
      <c r="AG52" s="112" t="s">
        <v>5</v>
      </c>
      <c r="AH52" s="140">
        <f>'(변경)집계표'!G289</f>
        <v>0</v>
      </c>
      <c r="AI52" s="128"/>
    </row>
    <row r="53" spans="1:35" s="6" customFormat="1" ht="22.5" customHeight="1">
      <c r="A53" s="127" t="s">
        <v>20</v>
      </c>
      <c r="B53" s="111" t="e">
        <f t="shared" si="2"/>
        <v>#REF!</v>
      </c>
      <c r="C53" s="112" t="s">
        <v>5</v>
      </c>
      <c r="D53" s="179" t="e">
        <f t="shared" si="3"/>
        <v>#REF!</v>
      </c>
      <c r="E53" s="111" t="e">
        <f>'(변경)집계표'!E20</f>
        <v>#REF!</v>
      </c>
      <c r="F53" s="112" t="s">
        <v>5</v>
      </c>
      <c r="G53" s="179" t="e">
        <f>'(변경)집계표'!G20</f>
        <v>#REF!</v>
      </c>
      <c r="H53" s="111" t="e">
        <f>'(변경)집계표'!E50</f>
        <v>#REF!</v>
      </c>
      <c r="I53" s="112" t="s">
        <v>5</v>
      </c>
      <c r="J53" s="179" t="e">
        <f>'(변경)집계표'!G50</f>
        <v>#REF!</v>
      </c>
      <c r="K53" s="111" t="e">
        <f>'(변경)집계표'!E80</f>
        <v>#REF!</v>
      </c>
      <c r="L53" s="112" t="s">
        <v>5</v>
      </c>
      <c r="M53" s="179" t="e">
        <f>'(변경)집계표'!G80</f>
        <v>#REF!</v>
      </c>
      <c r="N53" s="111" t="e">
        <f>'(변경)집계표'!E110</f>
        <v>#REF!</v>
      </c>
      <c r="O53" s="112" t="s">
        <v>5</v>
      </c>
      <c r="P53" s="179" t="e">
        <f>'(변경)집계표'!G110</f>
        <v>#REF!</v>
      </c>
      <c r="Q53" s="111" t="e">
        <f>'(변경)집계표'!E140</f>
        <v>#REF!</v>
      </c>
      <c r="R53" s="112" t="s">
        <v>5</v>
      </c>
      <c r="S53" s="140" t="e">
        <f>'(변경)집계표'!G140</f>
        <v>#REF!</v>
      </c>
      <c r="T53" s="111">
        <f>'(변경)집계표'!E170</f>
        <v>0</v>
      </c>
      <c r="U53" s="112" t="s">
        <v>5</v>
      </c>
      <c r="V53" s="140">
        <f>'(변경)집계표'!G170</f>
        <v>0</v>
      </c>
      <c r="W53" s="111">
        <f>'(변경)집계표'!E200</f>
        <v>0</v>
      </c>
      <c r="X53" s="112" t="s">
        <v>5</v>
      </c>
      <c r="Y53" s="140">
        <f>'(변경)집계표'!G200</f>
        <v>0</v>
      </c>
      <c r="Z53" s="111">
        <f>'(변경)집계표'!E230</f>
        <v>0</v>
      </c>
      <c r="AA53" s="112" t="s">
        <v>5</v>
      </c>
      <c r="AB53" s="140">
        <f>'(변경)집계표'!G230</f>
        <v>0</v>
      </c>
      <c r="AC53" s="111">
        <f>'(변경)집계표'!E260</f>
        <v>0</v>
      </c>
      <c r="AD53" s="112" t="s">
        <v>5</v>
      </c>
      <c r="AE53" s="140">
        <f>'(변경)집계표'!G260</f>
        <v>0</v>
      </c>
      <c r="AF53" s="111">
        <f>'(변경)집계표'!E290</f>
        <v>0</v>
      </c>
      <c r="AG53" s="112" t="s">
        <v>5</v>
      </c>
      <c r="AH53" s="140">
        <f>'(변경)집계표'!G290</f>
        <v>0</v>
      </c>
      <c r="AI53" s="128"/>
    </row>
    <row r="54" spans="1:35" s="6" customFormat="1" ht="22.5" customHeight="1">
      <c r="A54" s="127" t="s">
        <v>21</v>
      </c>
      <c r="B54" s="111" t="e">
        <f t="shared" si="2"/>
        <v>#REF!</v>
      </c>
      <c r="C54" s="112" t="s">
        <v>5</v>
      </c>
      <c r="D54" s="179" t="e">
        <f t="shared" si="3"/>
        <v>#REF!</v>
      </c>
      <c r="E54" s="111" t="e">
        <f>'(변경)집계표'!E21</f>
        <v>#REF!</v>
      </c>
      <c r="F54" s="112" t="s">
        <v>5</v>
      </c>
      <c r="G54" s="179" t="e">
        <f>'(변경)집계표'!G21</f>
        <v>#REF!</v>
      </c>
      <c r="H54" s="111" t="e">
        <f>'(변경)집계표'!E51</f>
        <v>#REF!</v>
      </c>
      <c r="I54" s="112" t="s">
        <v>5</v>
      </c>
      <c r="J54" s="179" t="e">
        <f>'(변경)집계표'!G51</f>
        <v>#REF!</v>
      </c>
      <c r="K54" s="111" t="e">
        <f>'(변경)집계표'!E81</f>
        <v>#REF!</v>
      </c>
      <c r="L54" s="112" t="s">
        <v>5</v>
      </c>
      <c r="M54" s="179" t="e">
        <f>'(변경)집계표'!G81</f>
        <v>#REF!</v>
      </c>
      <c r="N54" s="111" t="e">
        <f>'(변경)집계표'!E111</f>
        <v>#REF!</v>
      </c>
      <c r="O54" s="112" t="s">
        <v>5</v>
      </c>
      <c r="P54" s="179" t="e">
        <f>'(변경)집계표'!G111</f>
        <v>#REF!</v>
      </c>
      <c r="Q54" s="111" t="e">
        <f>'(변경)집계표'!E141</f>
        <v>#REF!</v>
      </c>
      <c r="R54" s="112" t="s">
        <v>5</v>
      </c>
      <c r="S54" s="140" t="e">
        <f>'(변경)집계표'!G141</f>
        <v>#REF!</v>
      </c>
      <c r="T54" s="111">
        <f>'(변경)집계표'!E171</f>
        <v>0</v>
      </c>
      <c r="U54" s="112" t="s">
        <v>5</v>
      </c>
      <c r="V54" s="140">
        <f>'(변경)집계표'!G171</f>
        <v>0</v>
      </c>
      <c r="W54" s="111">
        <f>'(변경)집계표'!E201</f>
        <v>0</v>
      </c>
      <c r="X54" s="112" t="s">
        <v>5</v>
      </c>
      <c r="Y54" s="140">
        <f>'(변경)집계표'!G201</f>
        <v>0</v>
      </c>
      <c r="Z54" s="111">
        <f>'(변경)집계표'!E231</f>
        <v>0</v>
      </c>
      <c r="AA54" s="112" t="s">
        <v>5</v>
      </c>
      <c r="AB54" s="140">
        <f>'(변경)집계표'!G231</f>
        <v>0</v>
      </c>
      <c r="AC54" s="111">
        <f>'(변경)집계표'!E261</f>
        <v>0</v>
      </c>
      <c r="AD54" s="112" t="s">
        <v>5</v>
      </c>
      <c r="AE54" s="140">
        <f>'(변경)집계표'!G261</f>
        <v>0</v>
      </c>
      <c r="AF54" s="111">
        <f>'(변경)집계표'!E291</f>
        <v>0</v>
      </c>
      <c r="AG54" s="112" t="s">
        <v>5</v>
      </c>
      <c r="AH54" s="140">
        <f>'(변경)집계표'!G291</f>
        <v>0</v>
      </c>
      <c r="AI54" s="128"/>
    </row>
    <row r="55" spans="1:35" s="6" customFormat="1" ht="22.5" customHeight="1">
      <c r="A55" s="127" t="s">
        <v>22</v>
      </c>
      <c r="B55" s="111" t="e">
        <f t="shared" si="2"/>
        <v>#REF!</v>
      </c>
      <c r="C55" s="112" t="s">
        <v>5</v>
      </c>
      <c r="D55" s="179" t="e">
        <f t="shared" si="3"/>
        <v>#REF!</v>
      </c>
      <c r="E55" s="111" t="e">
        <f>'(변경)집계표'!E22</f>
        <v>#REF!</v>
      </c>
      <c r="F55" s="112" t="s">
        <v>5</v>
      </c>
      <c r="G55" s="179" t="e">
        <f>'(변경)집계표'!G22</f>
        <v>#REF!</v>
      </c>
      <c r="H55" s="111" t="e">
        <f>'(변경)집계표'!E52</f>
        <v>#REF!</v>
      </c>
      <c r="I55" s="112" t="s">
        <v>5</v>
      </c>
      <c r="J55" s="179" t="e">
        <f>'(변경)집계표'!G52</f>
        <v>#REF!</v>
      </c>
      <c r="K55" s="111" t="e">
        <f>'(변경)집계표'!E82</f>
        <v>#REF!</v>
      </c>
      <c r="L55" s="112" t="s">
        <v>5</v>
      </c>
      <c r="M55" s="179" t="e">
        <f>'(변경)집계표'!G82</f>
        <v>#REF!</v>
      </c>
      <c r="N55" s="111" t="e">
        <f>'(변경)집계표'!E112</f>
        <v>#REF!</v>
      </c>
      <c r="O55" s="112" t="s">
        <v>5</v>
      </c>
      <c r="P55" s="179" t="e">
        <f>'(변경)집계표'!G112</f>
        <v>#REF!</v>
      </c>
      <c r="Q55" s="111" t="e">
        <f>'(변경)집계표'!E142</f>
        <v>#REF!</v>
      </c>
      <c r="R55" s="112" t="s">
        <v>5</v>
      </c>
      <c r="S55" s="140" t="e">
        <f>'(변경)집계표'!G142</f>
        <v>#REF!</v>
      </c>
      <c r="T55" s="111">
        <f>'(변경)집계표'!E172</f>
        <v>0</v>
      </c>
      <c r="U55" s="112" t="s">
        <v>5</v>
      </c>
      <c r="V55" s="140">
        <f>'(변경)집계표'!G172</f>
        <v>0</v>
      </c>
      <c r="W55" s="111">
        <f>'(변경)집계표'!E202</f>
        <v>0</v>
      </c>
      <c r="X55" s="112" t="s">
        <v>5</v>
      </c>
      <c r="Y55" s="140">
        <f>'(변경)집계표'!G202</f>
        <v>0</v>
      </c>
      <c r="Z55" s="111">
        <f>'(변경)집계표'!E232</f>
        <v>0</v>
      </c>
      <c r="AA55" s="112" t="s">
        <v>5</v>
      </c>
      <c r="AB55" s="140">
        <f>'(변경)집계표'!G232</f>
        <v>0</v>
      </c>
      <c r="AC55" s="111">
        <f>'(변경)집계표'!E262</f>
        <v>0</v>
      </c>
      <c r="AD55" s="112" t="s">
        <v>5</v>
      </c>
      <c r="AE55" s="140">
        <f>'(변경)집계표'!G262</f>
        <v>0</v>
      </c>
      <c r="AF55" s="111">
        <f>'(변경)집계표'!E292</f>
        <v>0</v>
      </c>
      <c r="AG55" s="112" t="s">
        <v>5</v>
      </c>
      <c r="AH55" s="140">
        <f>'(변경)집계표'!G292</f>
        <v>0</v>
      </c>
      <c r="AI55" s="128"/>
    </row>
    <row r="56" spans="1:35" s="6" customFormat="1" ht="22.5" customHeight="1">
      <c r="A56" s="127" t="s">
        <v>23</v>
      </c>
      <c r="B56" s="111" t="e">
        <f t="shared" si="2"/>
        <v>#REF!</v>
      </c>
      <c r="C56" s="112" t="s">
        <v>5</v>
      </c>
      <c r="D56" s="179" t="e">
        <f t="shared" si="3"/>
        <v>#REF!</v>
      </c>
      <c r="E56" s="111" t="e">
        <f>'(변경)집계표'!E23</f>
        <v>#REF!</v>
      </c>
      <c r="F56" s="112" t="s">
        <v>5</v>
      </c>
      <c r="G56" s="179" t="e">
        <f>'(변경)집계표'!G23</f>
        <v>#REF!</v>
      </c>
      <c r="H56" s="111" t="e">
        <f>'(변경)집계표'!E53</f>
        <v>#REF!</v>
      </c>
      <c r="I56" s="112" t="s">
        <v>5</v>
      </c>
      <c r="J56" s="179" t="e">
        <f>'(변경)집계표'!G53</f>
        <v>#REF!</v>
      </c>
      <c r="K56" s="111" t="e">
        <f>'(변경)집계표'!E83</f>
        <v>#REF!</v>
      </c>
      <c r="L56" s="112" t="s">
        <v>5</v>
      </c>
      <c r="M56" s="179" t="e">
        <f>'(변경)집계표'!G83</f>
        <v>#REF!</v>
      </c>
      <c r="N56" s="111" t="e">
        <f>'(변경)집계표'!E113</f>
        <v>#REF!</v>
      </c>
      <c r="O56" s="112" t="s">
        <v>5</v>
      </c>
      <c r="P56" s="179" t="e">
        <f>'(변경)집계표'!G113</f>
        <v>#REF!</v>
      </c>
      <c r="Q56" s="111" t="e">
        <f>'(변경)집계표'!E143</f>
        <v>#REF!</v>
      </c>
      <c r="R56" s="112" t="s">
        <v>5</v>
      </c>
      <c r="S56" s="140" t="e">
        <f>'(변경)집계표'!G143</f>
        <v>#REF!</v>
      </c>
      <c r="T56" s="111">
        <f>'(변경)집계표'!E173</f>
        <v>0</v>
      </c>
      <c r="U56" s="112" t="s">
        <v>5</v>
      </c>
      <c r="V56" s="140">
        <f>'(변경)집계표'!G173</f>
        <v>0</v>
      </c>
      <c r="W56" s="111">
        <f>'(변경)집계표'!E203</f>
        <v>0</v>
      </c>
      <c r="X56" s="112" t="s">
        <v>5</v>
      </c>
      <c r="Y56" s="140">
        <f>'(변경)집계표'!G203</f>
        <v>0</v>
      </c>
      <c r="Z56" s="111">
        <f>'(변경)집계표'!E233</f>
        <v>0</v>
      </c>
      <c r="AA56" s="112" t="s">
        <v>5</v>
      </c>
      <c r="AB56" s="140">
        <f>'(변경)집계표'!G233</f>
        <v>0</v>
      </c>
      <c r="AC56" s="111">
        <f>'(변경)집계표'!E263</f>
        <v>0</v>
      </c>
      <c r="AD56" s="112" t="s">
        <v>5</v>
      </c>
      <c r="AE56" s="140">
        <f>'(변경)집계표'!G263</f>
        <v>0</v>
      </c>
      <c r="AF56" s="111">
        <f>'(변경)집계표'!E293</f>
        <v>0</v>
      </c>
      <c r="AG56" s="112" t="s">
        <v>5</v>
      </c>
      <c r="AH56" s="140">
        <f>'(변경)집계표'!G293</f>
        <v>0</v>
      </c>
      <c r="AI56" s="128"/>
    </row>
    <row r="57" spans="1:35" s="6" customFormat="1" ht="22.5" customHeight="1">
      <c r="A57" s="129" t="s">
        <v>24</v>
      </c>
      <c r="B57" s="111" t="e">
        <f t="shared" si="2"/>
        <v>#REF!</v>
      </c>
      <c r="C57" s="112" t="s">
        <v>5</v>
      </c>
      <c r="D57" s="179" t="e">
        <f t="shared" si="3"/>
        <v>#REF!</v>
      </c>
      <c r="E57" s="111" t="e">
        <f>'(변경)집계표'!E24</f>
        <v>#REF!</v>
      </c>
      <c r="F57" s="112" t="s">
        <v>5</v>
      </c>
      <c r="G57" s="179" t="e">
        <f>'(변경)집계표'!G24</f>
        <v>#REF!</v>
      </c>
      <c r="H57" s="111" t="e">
        <f>'(변경)집계표'!E54</f>
        <v>#REF!</v>
      </c>
      <c r="I57" s="112" t="s">
        <v>5</v>
      </c>
      <c r="J57" s="179" t="e">
        <f>'(변경)집계표'!G54</f>
        <v>#REF!</v>
      </c>
      <c r="K57" s="111" t="e">
        <f>'(변경)집계표'!E84</f>
        <v>#REF!</v>
      </c>
      <c r="L57" s="112" t="s">
        <v>5</v>
      </c>
      <c r="M57" s="179" t="e">
        <f>'(변경)집계표'!G84</f>
        <v>#REF!</v>
      </c>
      <c r="N57" s="111" t="e">
        <f>'(변경)집계표'!E114</f>
        <v>#REF!</v>
      </c>
      <c r="O57" s="112" t="s">
        <v>5</v>
      </c>
      <c r="P57" s="179" t="e">
        <f>'(변경)집계표'!G114</f>
        <v>#REF!</v>
      </c>
      <c r="Q57" s="111" t="e">
        <f>'(변경)집계표'!E144</f>
        <v>#REF!</v>
      </c>
      <c r="R57" s="112" t="s">
        <v>5</v>
      </c>
      <c r="S57" s="140" t="e">
        <f>'(변경)집계표'!G144</f>
        <v>#REF!</v>
      </c>
      <c r="T57" s="111">
        <f>'(변경)집계표'!E174</f>
        <v>0</v>
      </c>
      <c r="U57" s="112" t="s">
        <v>5</v>
      </c>
      <c r="V57" s="140">
        <f>'(변경)집계표'!G174</f>
        <v>0</v>
      </c>
      <c r="W57" s="111">
        <f>'(변경)집계표'!E204</f>
        <v>0</v>
      </c>
      <c r="X57" s="112" t="s">
        <v>5</v>
      </c>
      <c r="Y57" s="140">
        <f>'(변경)집계표'!G204</f>
        <v>0</v>
      </c>
      <c r="Z57" s="111">
        <f>'(변경)집계표'!E234</f>
        <v>0</v>
      </c>
      <c r="AA57" s="112" t="s">
        <v>5</v>
      </c>
      <c r="AB57" s="140">
        <f>'(변경)집계표'!G234</f>
        <v>0</v>
      </c>
      <c r="AC57" s="111">
        <f>'(변경)집계표'!E264</f>
        <v>0</v>
      </c>
      <c r="AD57" s="112" t="s">
        <v>5</v>
      </c>
      <c r="AE57" s="140">
        <f>'(변경)집계표'!G264</f>
        <v>0</v>
      </c>
      <c r="AF57" s="111">
        <f>'(변경)집계표'!E294</f>
        <v>0</v>
      </c>
      <c r="AG57" s="112" t="s">
        <v>5</v>
      </c>
      <c r="AH57" s="140">
        <f>'(변경)집계표'!G294</f>
        <v>0</v>
      </c>
      <c r="AI57" s="128"/>
    </row>
    <row r="58" spans="1:35" s="6" customFormat="1" ht="22.5" customHeight="1">
      <c r="A58" s="129" t="s">
        <v>25</v>
      </c>
      <c r="B58" s="111" t="e">
        <f t="shared" si="2"/>
        <v>#REF!</v>
      </c>
      <c r="C58" s="112" t="s">
        <v>5</v>
      </c>
      <c r="D58" s="179" t="e">
        <f t="shared" si="3"/>
        <v>#REF!</v>
      </c>
      <c r="E58" s="111" t="e">
        <f>'(변경)집계표'!E25</f>
        <v>#REF!</v>
      </c>
      <c r="F58" s="112" t="s">
        <v>5</v>
      </c>
      <c r="G58" s="179" t="e">
        <f>'(변경)집계표'!G25</f>
        <v>#REF!</v>
      </c>
      <c r="H58" s="111" t="e">
        <f>'(변경)집계표'!E55</f>
        <v>#REF!</v>
      </c>
      <c r="I58" s="112" t="s">
        <v>5</v>
      </c>
      <c r="J58" s="179" t="e">
        <f>'(변경)집계표'!G55</f>
        <v>#REF!</v>
      </c>
      <c r="K58" s="111" t="e">
        <f>'(변경)집계표'!E85</f>
        <v>#REF!</v>
      </c>
      <c r="L58" s="112" t="s">
        <v>5</v>
      </c>
      <c r="M58" s="179" t="e">
        <f>'(변경)집계표'!G85</f>
        <v>#REF!</v>
      </c>
      <c r="N58" s="111" t="e">
        <f>'(변경)집계표'!E115</f>
        <v>#REF!</v>
      </c>
      <c r="O58" s="112" t="s">
        <v>5</v>
      </c>
      <c r="P58" s="179" t="e">
        <f>'(변경)집계표'!G115</f>
        <v>#REF!</v>
      </c>
      <c r="Q58" s="111" t="e">
        <f>'(변경)집계표'!E145</f>
        <v>#REF!</v>
      </c>
      <c r="R58" s="112" t="s">
        <v>5</v>
      </c>
      <c r="S58" s="140" t="e">
        <f>'(변경)집계표'!G145</f>
        <v>#REF!</v>
      </c>
      <c r="T58" s="111">
        <f>'(변경)집계표'!E175</f>
        <v>0</v>
      </c>
      <c r="U58" s="112" t="s">
        <v>5</v>
      </c>
      <c r="V58" s="140">
        <f>'(변경)집계표'!G175</f>
        <v>0</v>
      </c>
      <c r="W58" s="111">
        <f>'(변경)집계표'!E205</f>
        <v>0</v>
      </c>
      <c r="X58" s="112" t="s">
        <v>5</v>
      </c>
      <c r="Y58" s="140">
        <f>'(변경)집계표'!G205</f>
        <v>0</v>
      </c>
      <c r="Z58" s="111">
        <f>'(변경)집계표'!E235</f>
        <v>0</v>
      </c>
      <c r="AA58" s="112" t="s">
        <v>5</v>
      </c>
      <c r="AB58" s="140">
        <f>'(변경)집계표'!G235</f>
        <v>0</v>
      </c>
      <c r="AC58" s="111">
        <f>'(변경)집계표'!E265</f>
        <v>0</v>
      </c>
      <c r="AD58" s="112" t="s">
        <v>5</v>
      </c>
      <c r="AE58" s="140">
        <f>'(변경)집계표'!G265</f>
        <v>0</v>
      </c>
      <c r="AF58" s="111">
        <f>'(변경)집계표'!E295</f>
        <v>0</v>
      </c>
      <c r="AG58" s="112" t="s">
        <v>5</v>
      </c>
      <c r="AH58" s="140">
        <f>'(변경)집계표'!G295</f>
        <v>0</v>
      </c>
      <c r="AI58" s="128"/>
    </row>
    <row r="59" spans="1:35" s="6" customFormat="1" ht="22.5" customHeight="1">
      <c r="A59" s="129" t="s">
        <v>26</v>
      </c>
      <c r="B59" s="111" t="e">
        <f t="shared" si="2"/>
        <v>#REF!</v>
      </c>
      <c r="C59" s="112" t="s">
        <v>5</v>
      </c>
      <c r="D59" s="179" t="e">
        <f t="shared" si="3"/>
        <v>#REF!</v>
      </c>
      <c r="E59" s="111" t="e">
        <f>'(변경)집계표'!E26</f>
        <v>#REF!</v>
      </c>
      <c r="F59" s="112" t="s">
        <v>5</v>
      </c>
      <c r="G59" s="179" t="e">
        <f>'(변경)집계표'!G26</f>
        <v>#REF!</v>
      </c>
      <c r="H59" s="111" t="e">
        <f>'(변경)집계표'!E56</f>
        <v>#REF!</v>
      </c>
      <c r="I59" s="112" t="s">
        <v>5</v>
      </c>
      <c r="J59" s="179" t="e">
        <f>'(변경)집계표'!G56</f>
        <v>#REF!</v>
      </c>
      <c r="K59" s="111" t="e">
        <f>'(변경)집계표'!E86</f>
        <v>#REF!</v>
      </c>
      <c r="L59" s="112" t="s">
        <v>5</v>
      </c>
      <c r="M59" s="179" t="e">
        <f>'(변경)집계표'!G86</f>
        <v>#REF!</v>
      </c>
      <c r="N59" s="111" t="e">
        <f>'(변경)집계표'!E116</f>
        <v>#REF!</v>
      </c>
      <c r="O59" s="112" t="s">
        <v>5</v>
      </c>
      <c r="P59" s="179" t="e">
        <f>'(변경)집계표'!G116</f>
        <v>#REF!</v>
      </c>
      <c r="Q59" s="111" t="e">
        <f>'(변경)집계표'!E146</f>
        <v>#REF!</v>
      </c>
      <c r="R59" s="112" t="s">
        <v>5</v>
      </c>
      <c r="S59" s="140" t="e">
        <f>'(변경)집계표'!G146</f>
        <v>#REF!</v>
      </c>
      <c r="T59" s="111">
        <f>'(변경)집계표'!E176</f>
        <v>0</v>
      </c>
      <c r="U59" s="112" t="s">
        <v>5</v>
      </c>
      <c r="V59" s="140">
        <f>'(변경)집계표'!G176</f>
        <v>0</v>
      </c>
      <c r="W59" s="111">
        <f>'(변경)집계표'!E206</f>
        <v>0</v>
      </c>
      <c r="X59" s="112" t="s">
        <v>5</v>
      </c>
      <c r="Y59" s="140">
        <f>'(변경)집계표'!G206</f>
        <v>0</v>
      </c>
      <c r="Z59" s="111">
        <f>'(변경)집계표'!E236</f>
        <v>0</v>
      </c>
      <c r="AA59" s="112" t="s">
        <v>5</v>
      </c>
      <c r="AB59" s="140">
        <f>'(변경)집계표'!G236</f>
        <v>0</v>
      </c>
      <c r="AC59" s="111">
        <f>'(변경)집계표'!E266</f>
        <v>0</v>
      </c>
      <c r="AD59" s="112" t="s">
        <v>5</v>
      </c>
      <c r="AE59" s="140">
        <f>'(변경)집계표'!G266</f>
        <v>0</v>
      </c>
      <c r="AF59" s="111">
        <f>'(변경)집계표'!E296</f>
        <v>0</v>
      </c>
      <c r="AG59" s="112" t="s">
        <v>5</v>
      </c>
      <c r="AH59" s="140">
        <f>'(변경)집계표'!G296</f>
        <v>0</v>
      </c>
      <c r="AI59" s="128"/>
    </row>
    <row r="60" spans="1:35" s="6" customFormat="1" ht="22.5" customHeight="1">
      <c r="A60" s="129" t="s">
        <v>27</v>
      </c>
      <c r="B60" s="111" t="e">
        <f t="shared" si="2"/>
        <v>#REF!</v>
      </c>
      <c r="C60" s="112" t="s">
        <v>5</v>
      </c>
      <c r="D60" s="179" t="e">
        <f t="shared" si="3"/>
        <v>#REF!</v>
      </c>
      <c r="E60" s="111" t="e">
        <f>'(변경)집계표'!E27</f>
        <v>#REF!</v>
      </c>
      <c r="F60" s="112" t="s">
        <v>5</v>
      </c>
      <c r="G60" s="179" t="e">
        <f>'(변경)집계표'!G27</f>
        <v>#REF!</v>
      </c>
      <c r="H60" s="111" t="e">
        <f>'(변경)집계표'!E57</f>
        <v>#REF!</v>
      </c>
      <c r="I60" s="112" t="s">
        <v>5</v>
      </c>
      <c r="J60" s="179" t="e">
        <f>'(변경)집계표'!G57</f>
        <v>#REF!</v>
      </c>
      <c r="K60" s="111" t="e">
        <f>'(변경)집계표'!E87</f>
        <v>#REF!</v>
      </c>
      <c r="L60" s="112" t="s">
        <v>5</v>
      </c>
      <c r="M60" s="179" t="e">
        <f>'(변경)집계표'!G87</f>
        <v>#REF!</v>
      </c>
      <c r="N60" s="111" t="e">
        <f>'(변경)집계표'!E117</f>
        <v>#REF!</v>
      </c>
      <c r="O60" s="112" t="s">
        <v>5</v>
      </c>
      <c r="P60" s="179" t="e">
        <f>'(변경)집계표'!G117</f>
        <v>#REF!</v>
      </c>
      <c r="Q60" s="111" t="e">
        <f>'(변경)집계표'!E147</f>
        <v>#REF!</v>
      </c>
      <c r="R60" s="112" t="s">
        <v>5</v>
      </c>
      <c r="S60" s="140" t="e">
        <f>'(변경)집계표'!G147</f>
        <v>#REF!</v>
      </c>
      <c r="T60" s="111">
        <f>'(변경)집계표'!E177</f>
        <v>0</v>
      </c>
      <c r="U60" s="112" t="s">
        <v>5</v>
      </c>
      <c r="V60" s="140">
        <f>'(변경)집계표'!G177</f>
        <v>0</v>
      </c>
      <c r="W60" s="111">
        <f>'(변경)집계표'!E207</f>
        <v>0</v>
      </c>
      <c r="X60" s="112" t="s">
        <v>5</v>
      </c>
      <c r="Y60" s="140">
        <f>'(변경)집계표'!G207</f>
        <v>0</v>
      </c>
      <c r="Z60" s="111">
        <f>'(변경)집계표'!E237</f>
        <v>0</v>
      </c>
      <c r="AA60" s="112" t="s">
        <v>5</v>
      </c>
      <c r="AB60" s="140">
        <f>'(변경)집계표'!G237</f>
        <v>0</v>
      </c>
      <c r="AC60" s="111">
        <f>'(변경)집계표'!E267</f>
        <v>0</v>
      </c>
      <c r="AD60" s="112" t="s">
        <v>5</v>
      </c>
      <c r="AE60" s="140">
        <f>'(변경)집계표'!G267</f>
        <v>0</v>
      </c>
      <c r="AF60" s="111">
        <f>'(변경)집계표'!E297</f>
        <v>0</v>
      </c>
      <c r="AG60" s="112" t="s">
        <v>5</v>
      </c>
      <c r="AH60" s="140">
        <f>'(변경)집계표'!G297</f>
        <v>0</v>
      </c>
      <c r="AI60" s="128"/>
    </row>
    <row r="61" spans="1:35" s="6" customFormat="1" ht="22.5" customHeight="1">
      <c r="A61" s="129" t="s">
        <v>28</v>
      </c>
      <c r="B61" s="111" t="e">
        <f t="shared" si="2"/>
        <v>#REF!</v>
      </c>
      <c r="C61" s="112" t="s">
        <v>5</v>
      </c>
      <c r="D61" s="179" t="e">
        <f t="shared" si="3"/>
        <v>#REF!</v>
      </c>
      <c r="E61" s="111" t="e">
        <f>'(변경)집계표'!E28</f>
        <v>#REF!</v>
      </c>
      <c r="F61" s="112" t="s">
        <v>5</v>
      </c>
      <c r="G61" s="179" t="e">
        <f>'(변경)집계표'!G28</f>
        <v>#REF!</v>
      </c>
      <c r="H61" s="111" t="e">
        <f>'(변경)집계표'!E58</f>
        <v>#REF!</v>
      </c>
      <c r="I61" s="112" t="s">
        <v>5</v>
      </c>
      <c r="J61" s="179" t="e">
        <f>'(변경)집계표'!G58</f>
        <v>#REF!</v>
      </c>
      <c r="K61" s="111" t="e">
        <f>'(변경)집계표'!E88</f>
        <v>#REF!</v>
      </c>
      <c r="L61" s="112" t="s">
        <v>5</v>
      </c>
      <c r="M61" s="179" t="e">
        <f>'(변경)집계표'!G88</f>
        <v>#REF!</v>
      </c>
      <c r="N61" s="111" t="e">
        <f>'(변경)집계표'!E118</f>
        <v>#REF!</v>
      </c>
      <c r="O61" s="112" t="s">
        <v>5</v>
      </c>
      <c r="P61" s="179" t="e">
        <f>'(변경)집계표'!G118</f>
        <v>#REF!</v>
      </c>
      <c r="Q61" s="111" t="e">
        <f>'(변경)집계표'!E148</f>
        <v>#REF!</v>
      </c>
      <c r="R61" s="112" t="s">
        <v>5</v>
      </c>
      <c r="S61" s="140" t="e">
        <f>'(변경)집계표'!G148</f>
        <v>#REF!</v>
      </c>
      <c r="T61" s="111">
        <f>'(변경)집계표'!E178</f>
        <v>0</v>
      </c>
      <c r="U61" s="112" t="s">
        <v>5</v>
      </c>
      <c r="V61" s="140">
        <f>'(변경)집계표'!G178</f>
        <v>0</v>
      </c>
      <c r="W61" s="111">
        <f>'(변경)집계표'!E208</f>
        <v>0</v>
      </c>
      <c r="X61" s="112" t="s">
        <v>5</v>
      </c>
      <c r="Y61" s="140">
        <f>'(변경)집계표'!G208</f>
        <v>0</v>
      </c>
      <c r="Z61" s="111">
        <f>'(변경)집계표'!E238</f>
        <v>0</v>
      </c>
      <c r="AA61" s="112" t="s">
        <v>5</v>
      </c>
      <c r="AB61" s="140">
        <f>'(변경)집계표'!G238</f>
        <v>0</v>
      </c>
      <c r="AC61" s="111">
        <f>'(변경)집계표'!E268</f>
        <v>0</v>
      </c>
      <c r="AD61" s="112" t="s">
        <v>5</v>
      </c>
      <c r="AE61" s="140">
        <f>'(변경)집계표'!G268</f>
        <v>0</v>
      </c>
      <c r="AF61" s="111">
        <f>'(변경)집계표'!E298</f>
        <v>0</v>
      </c>
      <c r="AG61" s="112" t="s">
        <v>5</v>
      </c>
      <c r="AH61" s="140">
        <f>'(변경)집계표'!G298</f>
        <v>0</v>
      </c>
      <c r="AI61" s="128"/>
    </row>
    <row r="62" spans="1:35" s="6" customFormat="1" ht="22.5" customHeight="1">
      <c r="A62" s="129" t="s">
        <v>60</v>
      </c>
      <c r="B62" s="111" t="e">
        <f t="shared" si="2"/>
        <v>#REF!</v>
      </c>
      <c r="C62" s="112" t="s">
        <v>5</v>
      </c>
      <c r="D62" s="179" t="e">
        <f t="shared" si="3"/>
        <v>#REF!</v>
      </c>
      <c r="E62" s="111" t="e">
        <f>'(변경)집계표'!E29</f>
        <v>#REF!</v>
      </c>
      <c r="F62" s="112" t="s">
        <v>5</v>
      </c>
      <c r="G62" s="179" t="e">
        <f>'(변경)집계표'!G29</f>
        <v>#REF!</v>
      </c>
      <c r="H62" s="111" t="e">
        <f>'(변경)집계표'!E59</f>
        <v>#REF!</v>
      </c>
      <c r="I62" s="112" t="s">
        <v>5</v>
      </c>
      <c r="J62" s="179" t="e">
        <f>'(변경)집계표'!G59</f>
        <v>#REF!</v>
      </c>
      <c r="K62" s="111" t="e">
        <f>'(변경)집계표'!E89</f>
        <v>#REF!</v>
      </c>
      <c r="L62" s="112" t="s">
        <v>5</v>
      </c>
      <c r="M62" s="179" t="e">
        <f>'(변경)집계표'!G89</f>
        <v>#REF!</v>
      </c>
      <c r="N62" s="111" t="e">
        <f>'(변경)집계표'!E119</f>
        <v>#REF!</v>
      </c>
      <c r="O62" s="112" t="s">
        <v>5</v>
      </c>
      <c r="P62" s="179" t="e">
        <f>'(변경)집계표'!G119</f>
        <v>#REF!</v>
      </c>
      <c r="Q62" s="111" t="e">
        <f>'(변경)집계표'!E149</f>
        <v>#REF!</v>
      </c>
      <c r="R62" s="112" t="s">
        <v>5</v>
      </c>
      <c r="S62" s="140" t="e">
        <f>'(변경)집계표'!G149</f>
        <v>#REF!</v>
      </c>
      <c r="T62" s="111">
        <f>'(변경)집계표'!E179</f>
        <v>0</v>
      </c>
      <c r="U62" s="112" t="s">
        <v>5</v>
      </c>
      <c r="V62" s="140">
        <f>'(변경)집계표'!G179</f>
        <v>0</v>
      </c>
      <c r="W62" s="111">
        <f>'(변경)집계표'!E209</f>
        <v>0</v>
      </c>
      <c r="X62" s="112" t="s">
        <v>5</v>
      </c>
      <c r="Y62" s="140">
        <f>'(변경)집계표'!G209</f>
        <v>0</v>
      </c>
      <c r="Z62" s="111">
        <f>'(변경)집계표'!E239</f>
        <v>0</v>
      </c>
      <c r="AA62" s="112" t="s">
        <v>5</v>
      </c>
      <c r="AB62" s="140">
        <f>'(변경)집계표'!G239</f>
        <v>0</v>
      </c>
      <c r="AC62" s="111">
        <f>'(변경)집계표'!E269</f>
        <v>0</v>
      </c>
      <c r="AD62" s="112" t="s">
        <v>5</v>
      </c>
      <c r="AE62" s="140">
        <f>'(변경)집계표'!G269</f>
        <v>0</v>
      </c>
      <c r="AF62" s="111">
        <f>'(변경)집계표'!E299</f>
        <v>0</v>
      </c>
      <c r="AG62" s="112" t="s">
        <v>5</v>
      </c>
      <c r="AH62" s="140">
        <f>'(변경)집계표'!G299</f>
        <v>0</v>
      </c>
      <c r="AI62" s="128"/>
    </row>
    <row r="63" spans="1:35" s="6" customFormat="1" ht="22.5" customHeight="1">
      <c r="A63" s="129" t="s">
        <v>70</v>
      </c>
      <c r="B63" s="111" t="e">
        <f t="shared" si="2"/>
        <v>#REF!</v>
      </c>
      <c r="C63" s="112" t="s">
        <v>5</v>
      </c>
      <c r="D63" s="179" t="e">
        <f t="shared" si="3"/>
        <v>#REF!</v>
      </c>
      <c r="E63" s="111" t="e">
        <f>'(변경)집계표'!E30</f>
        <v>#REF!</v>
      </c>
      <c r="F63" s="112" t="s">
        <v>5</v>
      </c>
      <c r="G63" s="179" t="e">
        <f>'(변경)집계표'!G30</f>
        <v>#REF!</v>
      </c>
      <c r="H63" s="111" t="e">
        <f>'(변경)집계표'!E60</f>
        <v>#REF!</v>
      </c>
      <c r="I63" s="112" t="s">
        <v>5</v>
      </c>
      <c r="J63" s="179" t="e">
        <f>'(변경)집계표'!G60</f>
        <v>#REF!</v>
      </c>
      <c r="K63" s="111" t="e">
        <f>'(변경)집계표'!E90</f>
        <v>#REF!</v>
      </c>
      <c r="L63" s="112" t="s">
        <v>5</v>
      </c>
      <c r="M63" s="179" t="e">
        <f>'(변경)집계표'!G90</f>
        <v>#REF!</v>
      </c>
      <c r="N63" s="111" t="e">
        <f>'(변경)집계표'!E120</f>
        <v>#REF!</v>
      </c>
      <c r="O63" s="112" t="s">
        <v>5</v>
      </c>
      <c r="P63" s="179" t="e">
        <f>'(변경)집계표'!G120</f>
        <v>#REF!</v>
      </c>
      <c r="Q63" s="111" t="e">
        <f>'(변경)집계표'!E150</f>
        <v>#REF!</v>
      </c>
      <c r="R63" s="112" t="s">
        <v>5</v>
      </c>
      <c r="S63" s="140" t="e">
        <f>'(변경)집계표'!G150</f>
        <v>#REF!</v>
      </c>
      <c r="T63" s="111">
        <f>'(변경)집계표'!E180</f>
        <v>0</v>
      </c>
      <c r="U63" s="112" t="s">
        <v>5</v>
      </c>
      <c r="V63" s="140">
        <f>'(변경)집계표'!G180</f>
        <v>0</v>
      </c>
      <c r="W63" s="111">
        <f>'(변경)집계표'!E210</f>
        <v>0</v>
      </c>
      <c r="X63" s="112" t="s">
        <v>5</v>
      </c>
      <c r="Y63" s="140">
        <f>'(변경)집계표'!G210</f>
        <v>0</v>
      </c>
      <c r="Z63" s="111">
        <f>'(변경)집계표'!E240</f>
        <v>0</v>
      </c>
      <c r="AA63" s="112" t="s">
        <v>5</v>
      </c>
      <c r="AB63" s="140">
        <f>'(변경)집계표'!G240</f>
        <v>0</v>
      </c>
      <c r="AC63" s="111">
        <f>'(변경)집계표'!E270</f>
        <v>0</v>
      </c>
      <c r="AD63" s="112" t="s">
        <v>5</v>
      </c>
      <c r="AE63" s="140">
        <f>'(변경)집계표'!G270</f>
        <v>0</v>
      </c>
      <c r="AF63" s="111">
        <f>'(변경)집계표'!E300</f>
        <v>0</v>
      </c>
      <c r="AG63" s="112" t="s">
        <v>5</v>
      </c>
      <c r="AH63" s="140">
        <f>'(변경)집계표'!G300</f>
        <v>0</v>
      </c>
      <c r="AI63" s="128"/>
    </row>
    <row r="64" spans="1:35" s="6" customFormat="1" ht="22.5" customHeight="1" thickBot="1">
      <c r="A64" s="130" t="s">
        <v>62</v>
      </c>
      <c r="B64" s="131" t="e">
        <f t="shared" si="2"/>
        <v>#REF!</v>
      </c>
      <c r="C64" s="132" t="s">
        <v>5</v>
      </c>
      <c r="D64" s="180" t="e">
        <f t="shared" si="3"/>
        <v>#REF!</v>
      </c>
      <c r="E64" s="131" t="e">
        <f>'(변경)집계표'!E31</f>
        <v>#REF!</v>
      </c>
      <c r="F64" s="132" t="s">
        <v>5</v>
      </c>
      <c r="G64" s="180" t="e">
        <f>'(변경)집계표'!G31</f>
        <v>#REF!</v>
      </c>
      <c r="H64" s="131" t="e">
        <f>'(변경)집계표'!E61</f>
        <v>#REF!</v>
      </c>
      <c r="I64" s="132" t="s">
        <v>5</v>
      </c>
      <c r="J64" s="180" t="e">
        <f>'(변경)집계표'!G61</f>
        <v>#REF!</v>
      </c>
      <c r="K64" s="131" t="e">
        <f>'(변경)집계표'!E91</f>
        <v>#REF!</v>
      </c>
      <c r="L64" s="132" t="s">
        <v>5</v>
      </c>
      <c r="M64" s="180" t="e">
        <f>'(변경)집계표'!G91</f>
        <v>#REF!</v>
      </c>
      <c r="N64" s="131" t="e">
        <f>'(변경)집계표'!E121</f>
        <v>#REF!</v>
      </c>
      <c r="O64" s="132" t="s">
        <v>5</v>
      </c>
      <c r="P64" s="180" t="e">
        <f>'(변경)집계표'!G121</f>
        <v>#REF!</v>
      </c>
      <c r="Q64" s="131" t="e">
        <f>'(변경)집계표'!E151</f>
        <v>#REF!</v>
      </c>
      <c r="R64" s="132" t="s">
        <v>5</v>
      </c>
      <c r="S64" s="141" t="e">
        <f>'(변경)집계표'!G151</f>
        <v>#REF!</v>
      </c>
      <c r="T64" s="131">
        <f>'(변경)집계표'!E181</f>
        <v>0</v>
      </c>
      <c r="U64" s="132" t="s">
        <v>5</v>
      </c>
      <c r="V64" s="141">
        <f>'(변경)집계표'!G181</f>
        <v>0</v>
      </c>
      <c r="W64" s="131">
        <f>'(변경)집계표'!E211</f>
        <v>0</v>
      </c>
      <c r="X64" s="132" t="s">
        <v>5</v>
      </c>
      <c r="Y64" s="141">
        <f>'(변경)집계표'!G211</f>
        <v>0</v>
      </c>
      <c r="Z64" s="131">
        <f>'(변경)집계표'!E241</f>
        <v>0</v>
      </c>
      <c r="AA64" s="132" t="s">
        <v>5</v>
      </c>
      <c r="AB64" s="141">
        <f>'(변경)집계표'!G241</f>
        <v>0</v>
      </c>
      <c r="AC64" s="131">
        <f>'(변경)집계표'!E271</f>
        <v>0</v>
      </c>
      <c r="AD64" s="132" t="s">
        <v>5</v>
      </c>
      <c r="AE64" s="141">
        <f>'(변경)집계표'!G271</f>
        <v>0</v>
      </c>
      <c r="AF64" s="131">
        <f>'(변경)집계표'!E301</f>
        <v>0</v>
      </c>
      <c r="AG64" s="132" t="s">
        <v>5</v>
      </c>
      <c r="AH64" s="141">
        <f>'(변경)집계표'!G301</f>
        <v>0</v>
      </c>
      <c r="AI64" s="133"/>
    </row>
    <row r="65" spans="1:36" s="1" customFormat="1" ht="27.95" customHeight="1">
      <c r="A65" s="190" t="s">
        <v>55</v>
      </c>
      <c r="B65" s="191"/>
      <c r="C65" s="192"/>
      <c r="D65" s="193"/>
      <c r="E65" s="192"/>
      <c r="F65" s="192"/>
      <c r="G65" s="193"/>
      <c r="H65" s="192"/>
      <c r="I65" s="192"/>
      <c r="J65" s="193"/>
      <c r="K65" s="192"/>
      <c r="L65" s="192"/>
      <c r="M65" s="193"/>
      <c r="N65" s="192"/>
      <c r="O65" s="192"/>
      <c r="P65" s="193"/>
      <c r="Q65" s="192"/>
      <c r="R65" s="192"/>
      <c r="S65" s="194"/>
      <c r="T65" s="192"/>
      <c r="U65" s="192"/>
      <c r="V65" s="194"/>
      <c r="W65" s="192"/>
      <c r="X65" s="192"/>
      <c r="Y65" s="194"/>
      <c r="Z65" s="192"/>
      <c r="AA65" s="192"/>
      <c r="AB65" s="194"/>
      <c r="AC65" s="192"/>
      <c r="AD65" s="192"/>
      <c r="AE65" s="194"/>
      <c r="AF65" s="192"/>
      <c r="AG65" s="192"/>
      <c r="AH65" s="194"/>
      <c r="AI65" s="195"/>
    </row>
    <row r="66" spans="1:36" s="5" customFormat="1" ht="9.9499999999999993" customHeight="1" thickBot="1">
      <c r="A66" s="196"/>
      <c r="B66" s="189"/>
      <c r="D66" s="188"/>
      <c r="E66" s="189"/>
      <c r="G66" s="188"/>
      <c r="H66" s="189"/>
      <c r="J66" s="188"/>
      <c r="K66" s="189"/>
      <c r="M66" s="188"/>
      <c r="N66" s="189"/>
      <c r="P66" s="188"/>
      <c r="Q66" s="189"/>
      <c r="S66" s="146"/>
      <c r="T66" s="189"/>
      <c r="V66" s="146"/>
      <c r="W66" s="189"/>
      <c r="Y66" s="146"/>
      <c r="Z66" s="189"/>
      <c r="AB66" s="146"/>
      <c r="AC66" s="189"/>
      <c r="AE66" s="146"/>
      <c r="AF66" s="189"/>
      <c r="AH66" s="146"/>
      <c r="AI66" s="197"/>
    </row>
    <row r="67" spans="1:36" s="7" customFormat="1" ht="30" customHeight="1">
      <c r="A67" s="119"/>
      <c r="B67" s="484" t="s">
        <v>2</v>
      </c>
      <c r="C67" s="485"/>
      <c r="D67" s="485"/>
      <c r="E67" s="120" t="s">
        <v>72</v>
      </c>
      <c r="F67" s="121"/>
      <c r="G67" s="182"/>
      <c r="H67" s="120"/>
      <c r="I67" s="121"/>
      <c r="J67" s="182"/>
      <c r="K67" s="120"/>
      <c r="L67" s="121"/>
      <c r="M67" s="182"/>
      <c r="N67" s="120"/>
      <c r="O67" s="121"/>
      <c r="P67" s="182"/>
      <c r="Q67" s="120"/>
      <c r="R67" s="121"/>
      <c r="S67" s="143"/>
      <c r="T67" s="120"/>
      <c r="U67" s="121"/>
      <c r="V67" s="143"/>
      <c r="W67" s="120"/>
      <c r="X67" s="121"/>
      <c r="Y67" s="143"/>
      <c r="Z67" s="120"/>
      <c r="AA67" s="121"/>
      <c r="AB67" s="143"/>
      <c r="AC67" s="120"/>
      <c r="AD67" s="121"/>
      <c r="AE67" s="143"/>
      <c r="AF67" s="120"/>
      <c r="AG67" s="121"/>
      <c r="AH67" s="143"/>
      <c r="AI67" s="471" t="s">
        <v>53</v>
      </c>
      <c r="AJ67" s="6"/>
    </row>
    <row r="68" spans="1:36" s="7" customFormat="1" ht="30" customHeight="1">
      <c r="A68" s="122"/>
      <c r="B68" s="486"/>
      <c r="C68" s="487"/>
      <c r="D68" s="487"/>
      <c r="E68" s="8" t="s">
        <v>73</v>
      </c>
      <c r="F68" s="9"/>
      <c r="G68" s="183"/>
      <c r="H68" s="8"/>
      <c r="I68" s="9"/>
      <c r="J68" s="183"/>
      <c r="K68" s="8"/>
      <c r="L68" s="9"/>
      <c r="M68" s="183"/>
      <c r="N68" s="8"/>
      <c r="O68" s="9"/>
      <c r="P68" s="183"/>
      <c r="Q68" s="8"/>
      <c r="R68" s="9"/>
      <c r="S68" s="144"/>
      <c r="T68" s="8"/>
      <c r="U68" s="9"/>
      <c r="V68" s="144"/>
      <c r="W68" s="8"/>
      <c r="X68" s="9"/>
      <c r="Y68" s="144"/>
      <c r="Z68" s="8"/>
      <c r="AA68" s="9"/>
      <c r="AB68" s="144"/>
      <c r="AC68" s="8"/>
      <c r="AD68" s="9"/>
      <c r="AE68" s="144"/>
      <c r="AF68" s="8"/>
      <c r="AG68" s="9"/>
      <c r="AH68" s="144"/>
      <c r="AI68" s="488"/>
      <c r="AJ68" s="6"/>
    </row>
    <row r="69" spans="1:36" s="7" customFormat="1" ht="30" customHeight="1">
      <c r="A69" s="123" t="s">
        <v>3</v>
      </c>
      <c r="B69" s="486"/>
      <c r="C69" s="487"/>
      <c r="D69" s="487"/>
      <c r="E69" s="8" t="s">
        <v>74</v>
      </c>
      <c r="F69" s="9"/>
      <c r="G69" s="183"/>
      <c r="H69" s="8" t="s">
        <v>75</v>
      </c>
      <c r="I69" s="9"/>
      <c r="J69" s="183"/>
      <c r="K69" s="8" t="s">
        <v>76</v>
      </c>
      <c r="L69" s="9"/>
      <c r="M69" s="183"/>
      <c r="N69" s="8" t="s">
        <v>77</v>
      </c>
      <c r="O69" s="9"/>
      <c r="P69" s="183"/>
      <c r="Q69" s="8" t="s">
        <v>78</v>
      </c>
      <c r="R69" s="9"/>
      <c r="S69" s="144"/>
      <c r="T69" s="8">
        <v>6</v>
      </c>
      <c r="U69" s="9"/>
      <c r="V69" s="144"/>
      <c r="W69" s="8">
        <v>7</v>
      </c>
      <c r="X69" s="9"/>
      <c r="Y69" s="144"/>
      <c r="Z69" s="8">
        <v>8</v>
      </c>
      <c r="AA69" s="9"/>
      <c r="AB69" s="144"/>
      <c r="AC69" s="8">
        <v>9</v>
      </c>
      <c r="AD69" s="9"/>
      <c r="AE69" s="144"/>
      <c r="AF69" s="8">
        <v>10</v>
      </c>
      <c r="AG69" s="9"/>
      <c r="AH69" s="144"/>
      <c r="AI69" s="488"/>
      <c r="AJ69" s="6"/>
    </row>
    <row r="70" spans="1:36" s="7" customFormat="1" ht="30" customHeight="1" thickBot="1">
      <c r="A70" s="124"/>
      <c r="B70" s="115" t="s">
        <v>4</v>
      </c>
      <c r="C70" s="116" t="s">
        <v>5</v>
      </c>
      <c r="D70" s="178" t="s">
        <v>6</v>
      </c>
      <c r="E70" s="115" t="s">
        <v>4</v>
      </c>
      <c r="F70" s="116" t="s">
        <v>5</v>
      </c>
      <c r="G70" s="178" t="s">
        <v>6</v>
      </c>
      <c r="H70" s="115" t="s">
        <v>4</v>
      </c>
      <c r="I70" s="116" t="s">
        <v>5</v>
      </c>
      <c r="J70" s="178" t="s">
        <v>6</v>
      </c>
      <c r="K70" s="115" t="s">
        <v>4</v>
      </c>
      <c r="L70" s="116" t="s">
        <v>5</v>
      </c>
      <c r="M70" s="178" t="s">
        <v>6</v>
      </c>
      <c r="N70" s="115" t="s">
        <v>4</v>
      </c>
      <c r="O70" s="116" t="s">
        <v>5</v>
      </c>
      <c r="P70" s="178" t="s">
        <v>6</v>
      </c>
      <c r="Q70" s="115" t="s">
        <v>4</v>
      </c>
      <c r="R70" s="116" t="s">
        <v>5</v>
      </c>
      <c r="S70" s="178" t="s">
        <v>6</v>
      </c>
      <c r="T70" s="117" t="s">
        <v>4</v>
      </c>
      <c r="U70" s="118" t="s">
        <v>5</v>
      </c>
      <c r="V70" s="145" t="s">
        <v>6</v>
      </c>
      <c r="W70" s="117" t="s">
        <v>4</v>
      </c>
      <c r="X70" s="118" t="s">
        <v>5</v>
      </c>
      <c r="Y70" s="145" t="s">
        <v>6</v>
      </c>
      <c r="Z70" s="117" t="s">
        <v>4</v>
      </c>
      <c r="AA70" s="118" t="s">
        <v>5</v>
      </c>
      <c r="AB70" s="145" t="s">
        <v>6</v>
      </c>
      <c r="AC70" s="117" t="s">
        <v>4</v>
      </c>
      <c r="AD70" s="118" t="s">
        <v>5</v>
      </c>
      <c r="AE70" s="145" t="s">
        <v>6</v>
      </c>
      <c r="AF70" s="117" t="s">
        <v>4</v>
      </c>
      <c r="AG70" s="118" t="s">
        <v>5</v>
      </c>
      <c r="AH70" s="145" t="s">
        <v>6</v>
      </c>
      <c r="AI70" s="472"/>
      <c r="AJ70" s="6"/>
    </row>
    <row r="71" spans="1:36" s="6" customFormat="1" ht="22.5" customHeight="1" thickTop="1">
      <c r="A71" s="134" t="s">
        <v>2</v>
      </c>
      <c r="B71" s="135" t="e">
        <f>SUM(B72:B96)</f>
        <v>#REF!</v>
      </c>
      <c r="C71" s="136" t="s">
        <v>5</v>
      </c>
      <c r="D71" s="181" t="e">
        <f>SUM(D72:D96)</f>
        <v>#REF!</v>
      </c>
      <c r="E71" s="135" t="e">
        <f>SUM(E72:E96)</f>
        <v>#REF!</v>
      </c>
      <c r="F71" s="136" t="s">
        <v>5</v>
      </c>
      <c r="G71" s="181" t="e">
        <f>SUM(G72:G96)</f>
        <v>#REF!</v>
      </c>
      <c r="H71" s="135" t="e">
        <f>SUM(H72:H96)</f>
        <v>#REF!</v>
      </c>
      <c r="I71" s="136" t="s">
        <v>5</v>
      </c>
      <c r="J71" s="181" t="e">
        <f>SUM(J72:J96)</f>
        <v>#REF!</v>
      </c>
      <c r="K71" s="135" t="e">
        <f>SUM(K72:K96)</f>
        <v>#REF!</v>
      </c>
      <c r="L71" s="136" t="s">
        <v>5</v>
      </c>
      <c r="M71" s="181" t="e">
        <f>SUM(M72:M96)</f>
        <v>#REF!</v>
      </c>
      <c r="N71" s="135" t="e">
        <f>SUM(N72:N96)</f>
        <v>#REF!</v>
      </c>
      <c r="O71" s="136" t="s">
        <v>5</v>
      </c>
      <c r="P71" s="181" t="e">
        <f>SUM(P72:P96)</f>
        <v>#REF!</v>
      </c>
      <c r="Q71" s="135" t="e">
        <f>SUM(Q72:Q96)</f>
        <v>#REF!</v>
      </c>
      <c r="R71" s="136" t="s">
        <v>5</v>
      </c>
      <c r="S71" s="142" t="e">
        <f>SUM(S72:S96)</f>
        <v>#REF!</v>
      </c>
      <c r="T71" s="135">
        <f>SUM(T72:T96)</f>
        <v>0</v>
      </c>
      <c r="U71" s="136" t="s">
        <v>5</v>
      </c>
      <c r="V71" s="142">
        <f>SUM(V72:V96)</f>
        <v>0</v>
      </c>
      <c r="W71" s="135">
        <f>SUM(W72:W96)</f>
        <v>0</v>
      </c>
      <c r="X71" s="136" t="s">
        <v>5</v>
      </c>
      <c r="Y71" s="142">
        <f>SUM(Y72:Y96)</f>
        <v>0</v>
      </c>
      <c r="Z71" s="135">
        <f>SUM(Z72:Z96)</f>
        <v>0</v>
      </c>
      <c r="AA71" s="136" t="s">
        <v>5</v>
      </c>
      <c r="AB71" s="142">
        <f>SUM(AB72:AB96)</f>
        <v>0</v>
      </c>
      <c r="AC71" s="135">
        <f>SUM(AC72:AC96)</f>
        <v>0</v>
      </c>
      <c r="AD71" s="136" t="s">
        <v>5</v>
      </c>
      <c r="AE71" s="142">
        <f>SUM(AE72:AE96)</f>
        <v>0</v>
      </c>
      <c r="AF71" s="135">
        <f>SUM(AF72:AF96)</f>
        <v>0</v>
      </c>
      <c r="AG71" s="136" t="s">
        <v>5</v>
      </c>
      <c r="AH71" s="142">
        <f>SUM(AH72:AH96)</f>
        <v>0</v>
      </c>
      <c r="AI71" s="137"/>
    </row>
    <row r="72" spans="1:36" s="6" customFormat="1" ht="22.5" customHeight="1">
      <c r="A72" s="127" t="s">
        <v>7</v>
      </c>
      <c r="B72" s="111" t="e">
        <f t="shared" ref="B72:B96" si="4">SUM(E72,H72,K72,N72,Q72,T72,W72,Z72,AC72,AF72)</f>
        <v>#REF!</v>
      </c>
      <c r="C72" s="112" t="s">
        <v>5</v>
      </c>
      <c r="D72" s="179" t="e">
        <f t="shared" ref="D72:D96" si="5">SUM(G72,J72,M72,P72,S72,V72,Y72,AB72,AE72,AH72)</f>
        <v>#REF!</v>
      </c>
      <c r="E72" s="111" t="e">
        <f>'(변경)집계표'!K7</f>
        <v>#REF!</v>
      </c>
      <c r="F72" s="112" t="s">
        <v>5</v>
      </c>
      <c r="G72" s="179" t="e">
        <f>'(변경)집계표'!M7</f>
        <v>#REF!</v>
      </c>
      <c r="H72" s="111" t="e">
        <f>'(변경)집계표'!K37</f>
        <v>#REF!</v>
      </c>
      <c r="I72" s="112" t="s">
        <v>5</v>
      </c>
      <c r="J72" s="179" t="e">
        <f>'(변경)집계표'!M37</f>
        <v>#REF!</v>
      </c>
      <c r="K72" s="111" t="e">
        <f>'(변경)집계표'!K67</f>
        <v>#REF!</v>
      </c>
      <c r="L72" s="112" t="s">
        <v>5</v>
      </c>
      <c r="M72" s="179" t="e">
        <f>'(변경)집계표'!M67</f>
        <v>#REF!</v>
      </c>
      <c r="N72" s="111" t="e">
        <f>'(변경)집계표'!K97</f>
        <v>#REF!</v>
      </c>
      <c r="O72" s="112" t="s">
        <v>5</v>
      </c>
      <c r="P72" s="179" t="e">
        <f>'(변경)집계표'!M97</f>
        <v>#REF!</v>
      </c>
      <c r="Q72" s="111" t="e">
        <f>'(변경)집계표'!K127</f>
        <v>#REF!</v>
      </c>
      <c r="R72" s="112" t="s">
        <v>5</v>
      </c>
      <c r="S72" s="140" t="e">
        <f>'(변경)집계표'!M127</f>
        <v>#REF!</v>
      </c>
      <c r="T72" s="111">
        <f>'(변경)집계표'!K157</f>
        <v>0</v>
      </c>
      <c r="U72" s="112" t="s">
        <v>5</v>
      </c>
      <c r="V72" s="140">
        <f>'(변경)집계표'!M157</f>
        <v>0</v>
      </c>
      <c r="W72" s="111">
        <f>'(변경)집계표'!K187</f>
        <v>0</v>
      </c>
      <c r="X72" s="112" t="s">
        <v>5</v>
      </c>
      <c r="Y72" s="140">
        <f>'(변경)집계표'!M187</f>
        <v>0</v>
      </c>
      <c r="Z72" s="111">
        <f>'(변경)집계표'!K217</f>
        <v>0</v>
      </c>
      <c r="AA72" s="112" t="s">
        <v>5</v>
      </c>
      <c r="AB72" s="140">
        <f>'(변경)집계표'!M217</f>
        <v>0</v>
      </c>
      <c r="AC72" s="111">
        <f>'(변경)집계표'!K247</f>
        <v>0</v>
      </c>
      <c r="AD72" s="112" t="s">
        <v>5</v>
      </c>
      <c r="AE72" s="140">
        <f>'(변경)집계표'!M247</f>
        <v>0</v>
      </c>
      <c r="AF72" s="111">
        <f>'(변경)집계표'!K277</f>
        <v>0</v>
      </c>
      <c r="AG72" s="112" t="s">
        <v>5</v>
      </c>
      <c r="AH72" s="140">
        <f>'(변경)집계표'!M277</f>
        <v>0</v>
      </c>
      <c r="AI72" s="128"/>
    </row>
    <row r="73" spans="1:36" s="6" customFormat="1" ht="22.5" customHeight="1">
      <c r="A73" s="127" t="s">
        <v>8</v>
      </c>
      <c r="B73" s="111" t="e">
        <f t="shared" si="4"/>
        <v>#REF!</v>
      </c>
      <c r="C73" s="112" t="s">
        <v>5</v>
      </c>
      <c r="D73" s="179" t="e">
        <f t="shared" si="5"/>
        <v>#REF!</v>
      </c>
      <c r="E73" s="111" t="e">
        <f>'(변경)집계표'!K8</f>
        <v>#REF!</v>
      </c>
      <c r="F73" s="112" t="s">
        <v>5</v>
      </c>
      <c r="G73" s="179" t="e">
        <f>'(변경)집계표'!M8</f>
        <v>#REF!</v>
      </c>
      <c r="H73" s="111" t="e">
        <f>'(변경)집계표'!K38</f>
        <v>#REF!</v>
      </c>
      <c r="I73" s="112" t="s">
        <v>5</v>
      </c>
      <c r="J73" s="179" t="e">
        <f>'(변경)집계표'!M38</f>
        <v>#REF!</v>
      </c>
      <c r="K73" s="111" t="e">
        <f>'(변경)집계표'!K68</f>
        <v>#REF!</v>
      </c>
      <c r="L73" s="112" t="s">
        <v>5</v>
      </c>
      <c r="M73" s="179" t="e">
        <f>'(변경)집계표'!M68</f>
        <v>#REF!</v>
      </c>
      <c r="N73" s="111" t="e">
        <f>'(변경)집계표'!K98</f>
        <v>#REF!</v>
      </c>
      <c r="O73" s="112" t="s">
        <v>5</v>
      </c>
      <c r="P73" s="179" t="e">
        <f>'(변경)집계표'!M98</f>
        <v>#REF!</v>
      </c>
      <c r="Q73" s="111" t="e">
        <f>'(변경)집계표'!K128</f>
        <v>#REF!</v>
      </c>
      <c r="R73" s="112" t="s">
        <v>5</v>
      </c>
      <c r="S73" s="140" t="e">
        <f>'(변경)집계표'!M128</f>
        <v>#REF!</v>
      </c>
      <c r="T73" s="111">
        <f>'(변경)집계표'!K158</f>
        <v>0</v>
      </c>
      <c r="U73" s="112" t="s">
        <v>5</v>
      </c>
      <c r="V73" s="140">
        <f>'(변경)집계표'!M158</f>
        <v>0</v>
      </c>
      <c r="W73" s="111">
        <f>'(변경)집계표'!K188</f>
        <v>0</v>
      </c>
      <c r="X73" s="112" t="s">
        <v>5</v>
      </c>
      <c r="Y73" s="140">
        <f>'(변경)집계표'!M188</f>
        <v>0</v>
      </c>
      <c r="Z73" s="111">
        <f>'(변경)집계표'!K218</f>
        <v>0</v>
      </c>
      <c r="AA73" s="112" t="s">
        <v>5</v>
      </c>
      <c r="AB73" s="140">
        <f>'(변경)집계표'!M218</f>
        <v>0</v>
      </c>
      <c r="AC73" s="111">
        <f>'(변경)집계표'!K248</f>
        <v>0</v>
      </c>
      <c r="AD73" s="112" t="s">
        <v>5</v>
      </c>
      <c r="AE73" s="140">
        <f>'(변경)집계표'!M248</f>
        <v>0</v>
      </c>
      <c r="AF73" s="111">
        <f>'(변경)집계표'!K278</f>
        <v>0</v>
      </c>
      <c r="AG73" s="112" t="s">
        <v>5</v>
      </c>
      <c r="AH73" s="140">
        <f>'(변경)집계표'!M278</f>
        <v>0</v>
      </c>
      <c r="AI73" s="128"/>
    </row>
    <row r="74" spans="1:36" s="6" customFormat="1" ht="22.5" customHeight="1">
      <c r="A74" s="127" t="s">
        <v>9</v>
      </c>
      <c r="B74" s="111" t="e">
        <f t="shared" si="4"/>
        <v>#REF!</v>
      </c>
      <c r="C74" s="112" t="s">
        <v>5</v>
      </c>
      <c r="D74" s="179" t="e">
        <f t="shared" si="5"/>
        <v>#REF!</v>
      </c>
      <c r="E74" s="111" t="e">
        <f>'(변경)집계표'!K9</f>
        <v>#REF!</v>
      </c>
      <c r="F74" s="112" t="s">
        <v>5</v>
      </c>
      <c r="G74" s="179" t="e">
        <f>'(변경)집계표'!M9</f>
        <v>#REF!</v>
      </c>
      <c r="H74" s="111" t="e">
        <f>'(변경)집계표'!K39</f>
        <v>#REF!</v>
      </c>
      <c r="I74" s="112" t="s">
        <v>5</v>
      </c>
      <c r="J74" s="179" t="e">
        <f>'(변경)집계표'!M39</f>
        <v>#REF!</v>
      </c>
      <c r="K74" s="111" t="e">
        <f>'(변경)집계표'!K69</f>
        <v>#REF!</v>
      </c>
      <c r="L74" s="112" t="s">
        <v>5</v>
      </c>
      <c r="M74" s="179" t="e">
        <f>'(변경)집계표'!M69</f>
        <v>#REF!</v>
      </c>
      <c r="N74" s="111" t="e">
        <f>'(변경)집계표'!K99</f>
        <v>#REF!</v>
      </c>
      <c r="O74" s="112" t="s">
        <v>5</v>
      </c>
      <c r="P74" s="179" t="e">
        <f>'(변경)집계표'!M99</f>
        <v>#REF!</v>
      </c>
      <c r="Q74" s="111" t="e">
        <f>'(변경)집계표'!K129</f>
        <v>#REF!</v>
      </c>
      <c r="R74" s="112" t="s">
        <v>5</v>
      </c>
      <c r="S74" s="140" t="e">
        <f>'(변경)집계표'!M129</f>
        <v>#REF!</v>
      </c>
      <c r="T74" s="111">
        <f>'(변경)집계표'!K159</f>
        <v>0</v>
      </c>
      <c r="U74" s="112" t="s">
        <v>5</v>
      </c>
      <c r="V74" s="140">
        <f>'(변경)집계표'!M159</f>
        <v>0</v>
      </c>
      <c r="W74" s="111">
        <f>'(변경)집계표'!K189</f>
        <v>0</v>
      </c>
      <c r="X74" s="112" t="s">
        <v>5</v>
      </c>
      <c r="Y74" s="140">
        <f>'(변경)집계표'!M189</f>
        <v>0</v>
      </c>
      <c r="Z74" s="111">
        <f>'(변경)집계표'!K219</f>
        <v>0</v>
      </c>
      <c r="AA74" s="112" t="s">
        <v>5</v>
      </c>
      <c r="AB74" s="140">
        <f>'(변경)집계표'!M219</f>
        <v>0</v>
      </c>
      <c r="AC74" s="111">
        <f>'(변경)집계표'!K249</f>
        <v>0</v>
      </c>
      <c r="AD74" s="112" t="s">
        <v>5</v>
      </c>
      <c r="AE74" s="140">
        <f>'(변경)집계표'!M249</f>
        <v>0</v>
      </c>
      <c r="AF74" s="111">
        <f>'(변경)집계표'!K279</f>
        <v>0</v>
      </c>
      <c r="AG74" s="112" t="s">
        <v>5</v>
      </c>
      <c r="AH74" s="140">
        <f>'(변경)집계표'!M279</f>
        <v>0</v>
      </c>
      <c r="AI74" s="128"/>
    </row>
    <row r="75" spans="1:36" s="6" customFormat="1" ht="22.5" customHeight="1">
      <c r="A75" s="127" t="s">
        <v>10</v>
      </c>
      <c r="B75" s="111" t="e">
        <f t="shared" si="4"/>
        <v>#REF!</v>
      </c>
      <c r="C75" s="112" t="s">
        <v>5</v>
      </c>
      <c r="D75" s="179" t="e">
        <f t="shared" si="5"/>
        <v>#REF!</v>
      </c>
      <c r="E75" s="111" t="e">
        <f>'(변경)집계표'!K10</f>
        <v>#REF!</v>
      </c>
      <c r="F75" s="112" t="s">
        <v>5</v>
      </c>
      <c r="G75" s="179" t="e">
        <f>'(변경)집계표'!M10</f>
        <v>#REF!</v>
      </c>
      <c r="H75" s="111" t="e">
        <f>'(변경)집계표'!K40</f>
        <v>#REF!</v>
      </c>
      <c r="I75" s="112" t="s">
        <v>5</v>
      </c>
      <c r="J75" s="179" t="e">
        <f>'(변경)집계표'!M40</f>
        <v>#REF!</v>
      </c>
      <c r="K75" s="111" t="e">
        <f>'(변경)집계표'!K70</f>
        <v>#REF!</v>
      </c>
      <c r="L75" s="112" t="s">
        <v>5</v>
      </c>
      <c r="M75" s="179" t="e">
        <f>'(변경)집계표'!M70</f>
        <v>#REF!</v>
      </c>
      <c r="N75" s="111" t="e">
        <f>'(변경)집계표'!K100</f>
        <v>#REF!</v>
      </c>
      <c r="O75" s="112" t="s">
        <v>5</v>
      </c>
      <c r="P75" s="179" t="e">
        <f>'(변경)집계표'!M100</f>
        <v>#REF!</v>
      </c>
      <c r="Q75" s="111" t="e">
        <f>'(변경)집계표'!K130</f>
        <v>#REF!</v>
      </c>
      <c r="R75" s="112" t="s">
        <v>5</v>
      </c>
      <c r="S75" s="140" t="e">
        <f>'(변경)집계표'!M130</f>
        <v>#REF!</v>
      </c>
      <c r="T75" s="111">
        <f>'(변경)집계표'!K160</f>
        <v>0</v>
      </c>
      <c r="U75" s="112" t="s">
        <v>5</v>
      </c>
      <c r="V75" s="140">
        <f>'(변경)집계표'!M160</f>
        <v>0</v>
      </c>
      <c r="W75" s="111">
        <f>'(변경)집계표'!K190</f>
        <v>0</v>
      </c>
      <c r="X75" s="112" t="s">
        <v>5</v>
      </c>
      <c r="Y75" s="140">
        <f>'(변경)집계표'!M190</f>
        <v>0</v>
      </c>
      <c r="Z75" s="111">
        <f>'(변경)집계표'!K220</f>
        <v>0</v>
      </c>
      <c r="AA75" s="112" t="s">
        <v>5</v>
      </c>
      <c r="AB75" s="140">
        <f>'(변경)집계표'!M220</f>
        <v>0</v>
      </c>
      <c r="AC75" s="111">
        <f>'(변경)집계표'!K250</f>
        <v>0</v>
      </c>
      <c r="AD75" s="112" t="s">
        <v>5</v>
      </c>
      <c r="AE75" s="140">
        <f>'(변경)집계표'!M250</f>
        <v>0</v>
      </c>
      <c r="AF75" s="111">
        <f>'(변경)집계표'!K280</f>
        <v>0</v>
      </c>
      <c r="AG75" s="112" t="s">
        <v>5</v>
      </c>
      <c r="AH75" s="140">
        <f>'(변경)집계표'!M280</f>
        <v>0</v>
      </c>
      <c r="AI75" s="128"/>
    </row>
    <row r="76" spans="1:36" s="6" customFormat="1" ht="22.5" customHeight="1">
      <c r="A76" s="127" t="s">
        <v>11</v>
      </c>
      <c r="B76" s="111" t="e">
        <f t="shared" si="4"/>
        <v>#REF!</v>
      </c>
      <c r="C76" s="112" t="s">
        <v>5</v>
      </c>
      <c r="D76" s="179" t="e">
        <f t="shared" si="5"/>
        <v>#REF!</v>
      </c>
      <c r="E76" s="111" t="e">
        <f>'(변경)집계표'!K11</f>
        <v>#REF!</v>
      </c>
      <c r="F76" s="112" t="s">
        <v>5</v>
      </c>
      <c r="G76" s="179" t="e">
        <f>'(변경)집계표'!M11</f>
        <v>#REF!</v>
      </c>
      <c r="H76" s="111" t="e">
        <f>'(변경)집계표'!K41</f>
        <v>#REF!</v>
      </c>
      <c r="I76" s="112" t="s">
        <v>5</v>
      </c>
      <c r="J76" s="179" t="e">
        <f>'(변경)집계표'!M41</f>
        <v>#REF!</v>
      </c>
      <c r="K76" s="111" t="e">
        <f>'(변경)집계표'!K71</f>
        <v>#REF!</v>
      </c>
      <c r="L76" s="112" t="s">
        <v>5</v>
      </c>
      <c r="M76" s="179" t="e">
        <f>'(변경)집계표'!M71</f>
        <v>#REF!</v>
      </c>
      <c r="N76" s="111" t="e">
        <f>'(변경)집계표'!K101</f>
        <v>#REF!</v>
      </c>
      <c r="O76" s="112" t="s">
        <v>5</v>
      </c>
      <c r="P76" s="179" t="e">
        <f>'(변경)집계표'!M101</f>
        <v>#REF!</v>
      </c>
      <c r="Q76" s="111" t="e">
        <f>'(변경)집계표'!K131</f>
        <v>#REF!</v>
      </c>
      <c r="R76" s="112" t="s">
        <v>5</v>
      </c>
      <c r="S76" s="140" t="e">
        <f>'(변경)집계표'!M131</f>
        <v>#REF!</v>
      </c>
      <c r="T76" s="111">
        <f>'(변경)집계표'!K161</f>
        <v>0</v>
      </c>
      <c r="U76" s="112" t="s">
        <v>5</v>
      </c>
      <c r="V76" s="140">
        <f>'(변경)집계표'!M161</f>
        <v>0</v>
      </c>
      <c r="W76" s="111">
        <f>'(변경)집계표'!K191</f>
        <v>0</v>
      </c>
      <c r="X76" s="112" t="s">
        <v>5</v>
      </c>
      <c r="Y76" s="140">
        <f>'(변경)집계표'!M191</f>
        <v>0</v>
      </c>
      <c r="Z76" s="111">
        <f>'(변경)집계표'!K221</f>
        <v>0</v>
      </c>
      <c r="AA76" s="112" t="s">
        <v>5</v>
      </c>
      <c r="AB76" s="140">
        <f>'(변경)집계표'!M221</f>
        <v>0</v>
      </c>
      <c r="AC76" s="111">
        <f>'(변경)집계표'!K251</f>
        <v>0</v>
      </c>
      <c r="AD76" s="112" t="s">
        <v>5</v>
      </c>
      <c r="AE76" s="140">
        <f>'(변경)집계표'!M251</f>
        <v>0</v>
      </c>
      <c r="AF76" s="111">
        <f>'(변경)집계표'!K281</f>
        <v>0</v>
      </c>
      <c r="AG76" s="112" t="s">
        <v>5</v>
      </c>
      <c r="AH76" s="140">
        <f>'(변경)집계표'!M281</f>
        <v>0</v>
      </c>
      <c r="AI76" s="128"/>
    </row>
    <row r="77" spans="1:36" s="6" customFormat="1" ht="22.5" customHeight="1">
      <c r="A77" s="127" t="s">
        <v>12</v>
      </c>
      <c r="B77" s="111" t="e">
        <f t="shared" si="4"/>
        <v>#REF!</v>
      </c>
      <c r="C77" s="112" t="s">
        <v>5</v>
      </c>
      <c r="D77" s="179" t="e">
        <f t="shared" si="5"/>
        <v>#REF!</v>
      </c>
      <c r="E77" s="111" t="e">
        <f>'(변경)집계표'!K12</f>
        <v>#REF!</v>
      </c>
      <c r="F77" s="112" t="s">
        <v>5</v>
      </c>
      <c r="G77" s="179" t="e">
        <f>'(변경)집계표'!M12</f>
        <v>#REF!</v>
      </c>
      <c r="H77" s="111" t="e">
        <f>'(변경)집계표'!K42</f>
        <v>#REF!</v>
      </c>
      <c r="I77" s="112" t="s">
        <v>5</v>
      </c>
      <c r="J77" s="179" t="e">
        <f>'(변경)집계표'!M42</f>
        <v>#REF!</v>
      </c>
      <c r="K77" s="111" t="e">
        <f>'(변경)집계표'!K72</f>
        <v>#REF!</v>
      </c>
      <c r="L77" s="112" t="s">
        <v>5</v>
      </c>
      <c r="M77" s="179" t="e">
        <f>'(변경)집계표'!M72</f>
        <v>#REF!</v>
      </c>
      <c r="N77" s="111" t="e">
        <f>'(변경)집계표'!K102</f>
        <v>#REF!</v>
      </c>
      <c r="O77" s="112" t="s">
        <v>5</v>
      </c>
      <c r="P77" s="179" t="e">
        <f>'(변경)집계표'!M102</f>
        <v>#REF!</v>
      </c>
      <c r="Q77" s="111" t="e">
        <f>'(변경)집계표'!K132</f>
        <v>#REF!</v>
      </c>
      <c r="R77" s="112" t="s">
        <v>5</v>
      </c>
      <c r="S77" s="140" t="e">
        <f>'(변경)집계표'!M132</f>
        <v>#REF!</v>
      </c>
      <c r="T77" s="111">
        <f>'(변경)집계표'!K162</f>
        <v>0</v>
      </c>
      <c r="U77" s="112" t="s">
        <v>5</v>
      </c>
      <c r="V77" s="140">
        <f>'(변경)집계표'!M162</f>
        <v>0</v>
      </c>
      <c r="W77" s="111">
        <f>'(변경)집계표'!K192</f>
        <v>0</v>
      </c>
      <c r="X77" s="112" t="s">
        <v>5</v>
      </c>
      <c r="Y77" s="140">
        <f>'(변경)집계표'!M192</f>
        <v>0</v>
      </c>
      <c r="Z77" s="111">
        <f>'(변경)집계표'!K222</f>
        <v>0</v>
      </c>
      <c r="AA77" s="112" t="s">
        <v>5</v>
      </c>
      <c r="AB77" s="140">
        <f>'(변경)집계표'!M222</f>
        <v>0</v>
      </c>
      <c r="AC77" s="111">
        <f>'(변경)집계표'!K252</f>
        <v>0</v>
      </c>
      <c r="AD77" s="112" t="s">
        <v>5</v>
      </c>
      <c r="AE77" s="140">
        <f>'(변경)집계표'!M252</f>
        <v>0</v>
      </c>
      <c r="AF77" s="111">
        <f>'(변경)집계표'!K282</f>
        <v>0</v>
      </c>
      <c r="AG77" s="112" t="s">
        <v>5</v>
      </c>
      <c r="AH77" s="140">
        <f>'(변경)집계표'!M282</f>
        <v>0</v>
      </c>
      <c r="AI77" s="128"/>
    </row>
    <row r="78" spans="1:36" s="6" customFormat="1" ht="22.5" customHeight="1">
      <c r="A78" s="127" t="s">
        <v>13</v>
      </c>
      <c r="B78" s="111" t="e">
        <f t="shared" si="4"/>
        <v>#REF!</v>
      </c>
      <c r="C78" s="112" t="s">
        <v>5</v>
      </c>
      <c r="D78" s="179" t="e">
        <f t="shared" si="5"/>
        <v>#REF!</v>
      </c>
      <c r="E78" s="111" t="e">
        <f>'(변경)집계표'!K13</f>
        <v>#REF!</v>
      </c>
      <c r="F78" s="112" t="s">
        <v>5</v>
      </c>
      <c r="G78" s="179" t="e">
        <f>'(변경)집계표'!M13</f>
        <v>#REF!</v>
      </c>
      <c r="H78" s="111" t="e">
        <f>'(변경)집계표'!K43</f>
        <v>#REF!</v>
      </c>
      <c r="I78" s="112" t="s">
        <v>5</v>
      </c>
      <c r="J78" s="179" t="e">
        <f>'(변경)집계표'!M43</f>
        <v>#REF!</v>
      </c>
      <c r="K78" s="111" t="e">
        <f>'(변경)집계표'!K73</f>
        <v>#REF!</v>
      </c>
      <c r="L78" s="112" t="s">
        <v>5</v>
      </c>
      <c r="M78" s="179" t="e">
        <f>'(변경)집계표'!M73</f>
        <v>#REF!</v>
      </c>
      <c r="N78" s="111" t="e">
        <f>'(변경)집계표'!K103</f>
        <v>#REF!</v>
      </c>
      <c r="O78" s="112" t="s">
        <v>5</v>
      </c>
      <c r="P78" s="179" t="e">
        <f>'(변경)집계표'!M103</f>
        <v>#REF!</v>
      </c>
      <c r="Q78" s="111" t="e">
        <f>'(변경)집계표'!K133</f>
        <v>#REF!</v>
      </c>
      <c r="R78" s="112" t="s">
        <v>5</v>
      </c>
      <c r="S78" s="140" t="e">
        <f>'(변경)집계표'!M133</f>
        <v>#REF!</v>
      </c>
      <c r="T78" s="111">
        <f>'(변경)집계표'!K163</f>
        <v>0</v>
      </c>
      <c r="U78" s="112" t="s">
        <v>5</v>
      </c>
      <c r="V78" s="140">
        <f>'(변경)집계표'!M163</f>
        <v>0</v>
      </c>
      <c r="W78" s="111">
        <f>'(변경)집계표'!K193</f>
        <v>0</v>
      </c>
      <c r="X78" s="112" t="s">
        <v>5</v>
      </c>
      <c r="Y78" s="140">
        <f>'(변경)집계표'!M193</f>
        <v>0</v>
      </c>
      <c r="Z78" s="111">
        <f>'(변경)집계표'!K223</f>
        <v>0</v>
      </c>
      <c r="AA78" s="112" t="s">
        <v>5</v>
      </c>
      <c r="AB78" s="140">
        <f>'(변경)집계표'!M223</f>
        <v>0</v>
      </c>
      <c r="AC78" s="111">
        <f>'(변경)집계표'!K253</f>
        <v>0</v>
      </c>
      <c r="AD78" s="112" t="s">
        <v>5</v>
      </c>
      <c r="AE78" s="140">
        <f>'(변경)집계표'!M253</f>
        <v>0</v>
      </c>
      <c r="AF78" s="111">
        <f>'(변경)집계표'!K283</f>
        <v>0</v>
      </c>
      <c r="AG78" s="112" t="s">
        <v>5</v>
      </c>
      <c r="AH78" s="140">
        <f>'(변경)집계표'!M283</f>
        <v>0</v>
      </c>
      <c r="AI78" s="128"/>
    </row>
    <row r="79" spans="1:36" s="6" customFormat="1" ht="22.5" customHeight="1">
      <c r="A79" s="127" t="s">
        <v>14</v>
      </c>
      <c r="B79" s="111" t="e">
        <f t="shared" si="4"/>
        <v>#REF!</v>
      </c>
      <c r="C79" s="112" t="s">
        <v>5</v>
      </c>
      <c r="D79" s="179" t="e">
        <f t="shared" si="5"/>
        <v>#REF!</v>
      </c>
      <c r="E79" s="111" t="e">
        <f>'(변경)집계표'!K14</f>
        <v>#REF!</v>
      </c>
      <c r="F79" s="112" t="s">
        <v>5</v>
      </c>
      <c r="G79" s="179" t="e">
        <f>'(변경)집계표'!M14</f>
        <v>#REF!</v>
      </c>
      <c r="H79" s="111" t="e">
        <f>'(변경)집계표'!K44</f>
        <v>#REF!</v>
      </c>
      <c r="I79" s="112" t="s">
        <v>5</v>
      </c>
      <c r="J79" s="179" t="e">
        <f>'(변경)집계표'!M44</f>
        <v>#REF!</v>
      </c>
      <c r="K79" s="111" t="e">
        <f>'(변경)집계표'!K74</f>
        <v>#REF!</v>
      </c>
      <c r="L79" s="112" t="s">
        <v>5</v>
      </c>
      <c r="M79" s="179" t="e">
        <f>'(변경)집계표'!M74</f>
        <v>#REF!</v>
      </c>
      <c r="N79" s="111" t="e">
        <f>'(변경)집계표'!K104</f>
        <v>#REF!</v>
      </c>
      <c r="O79" s="112" t="s">
        <v>5</v>
      </c>
      <c r="P79" s="179" t="e">
        <f>'(변경)집계표'!M104</f>
        <v>#REF!</v>
      </c>
      <c r="Q79" s="111" t="e">
        <f>'(변경)집계표'!K134</f>
        <v>#REF!</v>
      </c>
      <c r="R79" s="112" t="s">
        <v>5</v>
      </c>
      <c r="S79" s="140" t="e">
        <f>'(변경)집계표'!M134</f>
        <v>#REF!</v>
      </c>
      <c r="T79" s="111">
        <f>'(변경)집계표'!K164</f>
        <v>0</v>
      </c>
      <c r="U79" s="112" t="s">
        <v>5</v>
      </c>
      <c r="V79" s="140">
        <f>'(변경)집계표'!M164</f>
        <v>0</v>
      </c>
      <c r="W79" s="111">
        <f>'(변경)집계표'!K194</f>
        <v>0</v>
      </c>
      <c r="X79" s="112" t="s">
        <v>5</v>
      </c>
      <c r="Y79" s="140">
        <f>'(변경)집계표'!M194</f>
        <v>0</v>
      </c>
      <c r="Z79" s="111">
        <f>'(변경)집계표'!K224</f>
        <v>0</v>
      </c>
      <c r="AA79" s="112" t="s">
        <v>5</v>
      </c>
      <c r="AB79" s="140">
        <f>'(변경)집계표'!M224</f>
        <v>0</v>
      </c>
      <c r="AC79" s="111">
        <f>'(변경)집계표'!K254</f>
        <v>0</v>
      </c>
      <c r="AD79" s="112" t="s">
        <v>5</v>
      </c>
      <c r="AE79" s="140">
        <f>'(변경)집계표'!M254</f>
        <v>0</v>
      </c>
      <c r="AF79" s="111">
        <f>'(변경)집계표'!K284</f>
        <v>0</v>
      </c>
      <c r="AG79" s="112" t="s">
        <v>5</v>
      </c>
      <c r="AH79" s="140">
        <f>'(변경)집계표'!M284</f>
        <v>0</v>
      </c>
      <c r="AI79" s="128"/>
    </row>
    <row r="80" spans="1:36" s="6" customFormat="1" ht="22.5" customHeight="1">
      <c r="A80" s="127" t="s">
        <v>15</v>
      </c>
      <c r="B80" s="111" t="e">
        <f t="shared" si="4"/>
        <v>#REF!</v>
      </c>
      <c r="C80" s="112" t="s">
        <v>5</v>
      </c>
      <c r="D80" s="179" t="e">
        <f t="shared" si="5"/>
        <v>#REF!</v>
      </c>
      <c r="E80" s="111" t="e">
        <f>'(변경)집계표'!K15</f>
        <v>#REF!</v>
      </c>
      <c r="F80" s="112" t="s">
        <v>5</v>
      </c>
      <c r="G80" s="179" t="e">
        <f>'(변경)집계표'!M15</f>
        <v>#REF!</v>
      </c>
      <c r="H80" s="111" t="e">
        <f>'(변경)집계표'!K45</f>
        <v>#REF!</v>
      </c>
      <c r="I80" s="112" t="s">
        <v>5</v>
      </c>
      <c r="J80" s="179" t="e">
        <f>'(변경)집계표'!M45</f>
        <v>#REF!</v>
      </c>
      <c r="K80" s="111" t="e">
        <f>'(변경)집계표'!K75</f>
        <v>#REF!</v>
      </c>
      <c r="L80" s="112" t="s">
        <v>5</v>
      </c>
      <c r="M80" s="179" t="e">
        <f>'(변경)집계표'!M75</f>
        <v>#REF!</v>
      </c>
      <c r="N80" s="111" t="e">
        <f>'(변경)집계표'!K105</f>
        <v>#REF!</v>
      </c>
      <c r="O80" s="112" t="s">
        <v>5</v>
      </c>
      <c r="P80" s="179" t="e">
        <f>'(변경)집계표'!M105</f>
        <v>#REF!</v>
      </c>
      <c r="Q80" s="111" t="e">
        <f>'(변경)집계표'!K135</f>
        <v>#REF!</v>
      </c>
      <c r="R80" s="112" t="s">
        <v>5</v>
      </c>
      <c r="S80" s="140" t="e">
        <f>'(변경)집계표'!M135</f>
        <v>#REF!</v>
      </c>
      <c r="T80" s="111">
        <f>'(변경)집계표'!K165</f>
        <v>0</v>
      </c>
      <c r="U80" s="112" t="s">
        <v>5</v>
      </c>
      <c r="V80" s="140">
        <f>'(변경)집계표'!M165</f>
        <v>0</v>
      </c>
      <c r="W80" s="111">
        <f>'(변경)집계표'!K195</f>
        <v>0</v>
      </c>
      <c r="X80" s="112" t="s">
        <v>5</v>
      </c>
      <c r="Y80" s="140">
        <f>'(변경)집계표'!M195</f>
        <v>0</v>
      </c>
      <c r="Z80" s="111">
        <f>'(변경)집계표'!K225</f>
        <v>0</v>
      </c>
      <c r="AA80" s="112" t="s">
        <v>5</v>
      </c>
      <c r="AB80" s="140">
        <f>'(변경)집계표'!M225</f>
        <v>0</v>
      </c>
      <c r="AC80" s="111">
        <f>'(변경)집계표'!K255</f>
        <v>0</v>
      </c>
      <c r="AD80" s="112" t="s">
        <v>5</v>
      </c>
      <c r="AE80" s="140">
        <f>'(변경)집계표'!M255</f>
        <v>0</v>
      </c>
      <c r="AF80" s="111">
        <f>'(변경)집계표'!K285</f>
        <v>0</v>
      </c>
      <c r="AG80" s="112" t="s">
        <v>5</v>
      </c>
      <c r="AH80" s="140">
        <f>'(변경)집계표'!M285</f>
        <v>0</v>
      </c>
      <c r="AI80" s="128"/>
    </row>
    <row r="81" spans="1:36" s="6" customFormat="1" ht="22.5" customHeight="1">
      <c r="A81" s="127" t="s">
        <v>16</v>
      </c>
      <c r="B81" s="111" t="e">
        <f t="shared" si="4"/>
        <v>#REF!</v>
      </c>
      <c r="C81" s="112" t="s">
        <v>5</v>
      </c>
      <c r="D81" s="179" t="e">
        <f t="shared" si="5"/>
        <v>#REF!</v>
      </c>
      <c r="E81" s="111" t="e">
        <f>'(변경)집계표'!K16</f>
        <v>#REF!</v>
      </c>
      <c r="F81" s="112" t="s">
        <v>5</v>
      </c>
      <c r="G81" s="179" t="e">
        <f>'(변경)집계표'!M16</f>
        <v>#REF!</v>
      </c>
      <c r="H81" s="111" t="e">
        <f>'(변경)집계표'!K46</f>
        <v>#REF!</v>
      </c>
      <c r="I81" s="112" t="s">
        <v>5</v>
      </c>
      <c r="J81" s="179" t="e">
        <f>'(변경)집계표'!M46</f>
        <v>#REF!</v>
      </c>
      <c r="K81" s="111" t="e">
        <f>'(변경)집계표'!K76</f>
        <v>#REF!</v>
      </c>
      <c r="L81" s="112" t="s">
        <v>5</v>
      </c>
      <c r="M81" s="179" t="e">
        <f>'(변경)집계표'!M76</f>
        <v>#REF!</v>
      </c>
      <c r="N81" s="111" t="e">
        <f>'(변경)집계표'!K106</f>
        <v>#REF!</v>
      </c>
      <c r="O81" s="112" t="s">
        <v>5</v>
      </c>
      <c r="P81" s="179" t="e">
        <f>'(변경)집계표'!M106</f>
        <v>#REF!</v>
      </c>
      <c r="Q81" s="111" t="e">
        <f>'(변경)집계표'!K136</f>
        <v>#REF!</v>
      </c>
      <c r="R81" s="112" t="s">
        <v>5</v>
      </c>
      <c r="S81" s="140" t="e">
        <f>'(변경)집계표'!M136</f>
        <v>#REF!</v>
      </c>
      <c r="T81" s="111">
        <f>'(변경)집계표'!K166</f>
        <v>0</v>
      </c>
      <c r="U81" s="112" t="s">
        <v>5</v>
      </c>
      <c r="V81" s="140">
        <f>'(변경)집계표'!M166</f>
        <v>0</v>
      </c>
      <c r="W81" s="111">
        <f>'(변경)집계표'!K196</f>
        <v>0</v>
      </c>
      <c r="X81" s="112" t="s">
        <v>5</v>
      </c>
      <c r="Y81" s="140">
        <f>'(변경)집계표'!M196</f>
        <v>0</v>
      </c>
      <c r="Z81" s="111">
        <f>'(변경)집계표'!K226</f>
        <v>0</v>
      </c>
      <c r="AA81" s="112" t="s">
        <v>5</v>
      </c>
      <c r="AB81" s="140">
        <f>'(변경)집계표'!M226</f>
        <v>0</v>
      </c>
      <c r="AC81" s="111">
        <f>'(변경)집계표'!K256</f>
        <v>0</v>
      </c>
      <c r="AD81" s="112" t="s">
        <v>5</v>
      </c>
      <c r="AE81" s="140">
        <f>'(변경)집계표'!M256</f>
        <v>0</v>
      </c>
      <c r="AF81" s="111">
        <f>'(변경)집계표'!K286</f>
        <v>0</v>
      </c>
      <c r="AG81" s="112" t="s">
        <v>5</v>
      </c>
      <c r="AH81" s="140">
        <f>'(변경)집계표'!M286</f>
        <v>0</v>
      </c>
      <c r="AI81" s="128"/>
    </row>
    <row r="82" spans="1:36" s="6" customFormat="1" ht="22.5" customHeight="1">
      <c r="A82" s="127" t="s">
        <v>17</v>
      </c>
      <c r="B82" s="111" t="e">
        <f t="shared" si="4"/>
        <v>#REF!</v>
      </c>
      <c r="C82" s="112" t="s">
        <v>5</v>
      </c>
      <c r="D82" s="179" t="e">
        <f t="shared" si="5"/>
        <v>#REF!</v>
      </c>
      <c r="E82" s="111" t="e">
        <f>'(변경)집계표'!K17</f>
        <v>#REF!</v>
      </c>
      <c r="F82" s="112" t="s">
        <v>5</v>
      </c>
      <c r="G82" s="179" t="e">
        <f>'(변경)집계표'!M17</f>
        <v>#REF!</v>
      </c>
      <c r="H82" s="111" t="e">
        <f>'(변경)집계표'!K47</f>
        <v>#REF!</v>
      </c>
      <c r="I82" s="112" t="s">
        <v>5</v>
      </c>
      <c r="J82" s="179" t="e">
        <f>'(변경)집계표'!M47</f>
        <v>#REF!</v>
      </c>
      <c r="K82" s="111" t="e">
        <f>'(변경)집계표'!K77</f>
        <v>#REF!</v>
      </c>
      <c r="L82" s="112" t="s">
        <v>5</v>
      </c>
      <c r="M82" s="179" t="e">
        <f>'(변경)집계표'!M77</f>
        <v>#REF!</v>
      </c>
      <c r="N82" s="111" t="e">
        <f>'(변경)집계표'!K107</f>
        <v>#REF!</v>
      </c>
      <c r="O82" s="112" t="s">
        <v>5</v>
      </c>
      <c r="P82" s="179" t="e">
        <f>'(변경)집계표'!M107</f>
        <v>#REF!</v>
      </c>
      <c r="Q82" s="111" t="e">
        <f>'(변경)집계표'!K137</f>
        <v>#REF!</v>
      </c>
      <c r="R82" s="112" t="s">
        <v>5</v>
      </c>
      <c r="S82" s="140" t="e">
        <f>'(변경)집계표'!M137</f>
        <v>#REF!</v>
      </c>
      <c r="T82" s="111">
        <f>'(변경)집계표'!K167</f>
        <v>0</v>
      </c>
      <c r="U82" s="112" t="s">
        <v>5</v>
      </c>
      <c r="V82" s="140">
        <f>'(변경)집계표'!M167</f>
        <v>0</v>
      </c>
      <c r="W82" s="111">
        <f>'(변경)집계표'!K197</f>
        <v>0</v>
      </c>
      <c r="X82" s="112" t="s">
        <v>5</v>
      </c>
      <c r="Y82" s="140">
        <f>'(변경)집계표'!M197</f>
        <v>0</v>
      </c>
      <c r="Z82" s="111">
        <f>'(변경)집계표'!K227</f>
        <v>0</v>
      </c>
      <c r="AA82" s="112" t="s">
        <v>5</v>
      </c>
      <c r="AB82" s="140">
        <f>'(변경)집계표'!M227</f>
        <v>0</v>
      </c>
      <c r="AC82" s="111">
        <f>'(변경)집계표'!K257</f>
        <v>0</v>
      </c>
      <c r="AD82" s="112" t="s">
        <v>5</v>
      </c>
      <c r="AE82" s="140">
        <f>'(변경)집계표'!M257</f>
        <v>0</v>
      </c>
      <c r="AF82" s="111">
        <f>'(변경)집계표'!K287</f>
        <v>0</v>
      </c>
      <c r="AG82" s="112" t="s">
        <v>5</v>
      </c>
      <c r="AH82" s="140">
        <f>'(변경)집계표'!M287</f>
        <v>0</v>
      </c>
      <c r="AI82" s="128"/>
    </row>
    <row r="83" spans="1:36" s="7" customFormat="1" ht="22.5" customHeight="1">
      <c r="A83" s="127" t="s">
        <v>18</v>
      </c>
      <c r="B83" s="111" t="e">
        <f t="shared" si="4"/>
        <v>#REF!</v>
      </c>
      <c r="C83" s="112" t="s">
        <v>5</v>
      </c>
      <c r="D83" s="179" t="e">
        <f t="shared" si="5"/>
        <v>#REF!</v>
      </c>
      <c r="E83" s="111" t="e">
        <f>'(변경)집계표'!K18</f>
        <v>#REF!</v>
      </c>
      <c r="F83" s="112" t="s">
        <v>5</v>
      </c>
      <c r="G83" s="179" t="e">
        <f>'(변경)집계표'!M18</f>
        <v>#REF!</v>
      </c>
      <c r="H83" s="111" t="e">
        <f>'(변경)집계표'!K48</f>
        <v>#REF!</v>
      </c>
      <c r="I83" s="112" t="s">
        <v>5</v>
      </c>
      <c r="J83" s="179" t="e">
        <f>'(변경)집계표'!M48</f>
        <v>#REF!</v>
      </c>
      <c r="K83" s="111" t="e">
        <f>'(변경)집계표'!K78</f>
        <v>#REF!</v>
      </c>
      <c r="L83" s="112" t="s">
        <v>5</v>
      </c>
      <c r="M83" s="179" t="e">
        <f>'(변경)집계표'!M78</f>
        <v>#REF!</v>
      </c>
      <c r="N83" s="111" t="e">
        <f>'(변경)집계표'!K108</f>
        <v>#REF!</v>
      </c>
      <c r="O83" s="112" t="s">
        <v>5</v>
      </c>
      <c r="P83" s="179" t="e">
        <f>'(변경)집계표'!M108</f>
        <v>#REF!</v>
      </c>
      <c r="Q83" s="111" t="e">
        <f>'(변경)집계표'!K138</f>
        <v>#REF!</v>
      </c>
      <c r="R83" s="112" t="s">
        <v>5</v>
      </c>
      <c r="S83" s="140" t="e">
        <f>'(변경)집계표'!M138</f>
        <v>#REF!</v>
      </c>
      <c r="T83" s="111">
        <f>'(변경)집계표'!K168</f>
        <v>0</v>
      </c>
      <c r="U83" s="112" t="s">
        <v>5</v>
      </c>
      <c r="V83" s="140">
        <f>'(변경)집계표'!M168</f>
        <v>0</v>
      </c>
      <c r="W83" s="111">
        <f>'(변경)집계표'!K198</f>
        <v>0</v>
      </c>
      <c r="X83" s="112" t="s">
        <v>5</v>
      </c>
      <c r="Y83" s="140">
        <f>'(변경)집계표'!M198</f>
        <v>0</v>
      </c>
      <c r="Z83" s="111">
        <f>'(변경)집계표'!K228</f>
        <v>0</v>
      </c>
      <c r="AA83" s="112" t="s">
        <v>5</v>
      </c>
      <c r="AB83" s="140">
        <f>'(변경)집계표'!M228</f>
        <v>0</v>
      </c>
      <c r="AC83" s="111">
        <f>'(변경)집계표'!K258</f>
        <v>0</v>
      </c>
      <c r="AD83" s="112" t="s">
        <v>5</v>
      </c>
      <c r="AE83" s="140">
        <f>'(변경)집계표'!M258</f>
        <v>0</v>
      </c>
      <c r="AF83" s="111">
        <f>'(변경)집계표'!K288</f>
        <v>0</v>
      </c>
      <c r="AG83" s="112" t="s">
        <v>5</v>
      </c>
      <c r="AH83" s="140">
        <f>'(변경)집계표'!M288</f>
        <v>0</v>
      </c>
      <c r="AI83" s="128"/>
      <c r="AJ83" s="6"/>
    </row>
    <row r="84" spans="1:36" s="7" customFormat="1" ht="22.5" customHeight="1">
      <c r="A84" s="127" t="s">
        <v>19</v>
      </c>
      <c r="B84" s="111" t="e">
        <f t="shared" si="4"/>
        <v>#REF!</v>
      </c>
      <c r="C84" s="112" t="s">
        <v>5</v>
      </c>
      <c r="D84" s="179" t="e">
        <f t="shared" si="5"/>
        <v>#REF!</v>
      </c>
      <c r="E84" s="111" t="e">
        <f>'(변경)집계표'!K19</f>
        <v>#REF!</v>
      </c>
      <c r="F84" s="112" t="s">
        <v>5</v>
      </c>
      <c r="G84" s="179" t="e">
        <f>'(변경)집계표'!M19</f>
        <v>#REF!</v>
      </c>
      <c r="H84" s="111" t="e">
        <f>'(변경)집계표'!K49</f>
        <v>#REF!</v>
      </c>
      <c r="I84" s="112" t="s">
        <v>5</v>
      </c>
      <c r="J84" s="179" t="e">
        <f>'(변경)집계표'!M49</f>
        <v>#REF!</v>
      </c>
      <c r="K84" s="111" t="e">
        <f>'(변경)집계표'!K79</f>
        <v>#REF!</v>
      </c>
      <c r="L84" s="112" t="s">
        <v>5</v>
      </c>
      <c r="M84" s="179" t="e">
        <f>'(변경)집계표'!M79</f>
        <v>#REF!</v>
      </c>
      <c r="N84" s="111" t="e">
        <f>'(변경)집계표'!K109</f>
        <v>#REF!</v>
      </c>
      <c r="O84" s="112" t="s">
        <v>5</v>
      </c>
      <c r="P84" s="179" t="e">
        <f>'(변경)집계표'!M109</f>
        <v>#REF!</v>
      </c>
      <c r="Q84" s="111" t="e">
        <f>'(변경)집계표'!K139</f>
        <v>#REF!</v>
      </c>
      <c r="R84" s="112" t="s">
        <v>5</v>
      </c>
      <c r="S84" s="140" t="e">
        <f>'(변경)집계표'!M139</f>
        <v>#REF!</v>
      </c>
      <c r="T84" s="111">
        <f>'(변경)집계표'!K169</f>
        <v>0</v>
      </c>
      <c r="U84" s="112" t="s">
        <v>5</v>
      </c>
      <c r="V84" s="140">
        <f>'(변경)집계표'!M169</f>
        <v>0</v>
      </c>
      <c r="W84" s="111">
        <f>'(변경)집계표'!K199</f>
        <v>0</v>
      </c>
      <c r="X84" s="112" t="s">
        <v>5</v>
      </c>
      <c r="Y84" s="140">
        <f>'(변경)집계표'!M199</f>
        <v>0</v>
      </c>
      <c r="Z84" s="111">
        <f>'(변경)집계표'!K229</f>
        <v>0</v>
      </c>
      <c r="AA84" s="112" t="s">
        <v>5</v>
      </c>
      <c r="AB84" s="140">
        <f>'(변경)집계표'!M229</f>
        <v>0</v>
      </c>
      <c r="AC84" s="111">
        <f>'(변경)집계표'!K259</f>
        <v>0</v>
      </c>
      <c r="AD84" s="112" t="s">
        <v>5</v>
      </c>
      <c r="AE84" s="140">
        <f>'(변경)집계표'!M259</f>
        <v>0</v>
      </c>
      <c r="AF84" s="111">
        <f>'(변경)집계표'!K289</f>
        <v>0</v>
      </c>
      <c r="AG84" s="112" t="s">
        <v>5</v>
      </c>
      <c r="AH84" s="140">
        <f>'(변경)집계표'!M289</f>
        <v>0</v>
      </c>
      <c r="AI84" s="128"/>
      <c r="AJ84" s="6"/>
    </row>
    <row r="85" spans="1:36" s="7" customFormat="1" ht="22.5" customHeight="1">
      <c r="A85" s="127" t="s">
        <v>20</v>
      </c>
      <c r="B85" s="111" t="e">
        <f t="shared" si="4"/>
        <v>#REF!</v>
      </c>
      <c r="C85" s="112" t="s">
        <v>5</v>
      </c>
      <c r="D85" s="179" t="e">
        <f t="shared" si="5"/>
        <v>#REF!</v>
      </c>
      <c r="E85" s="111" t="e">
        <f>'(변경)집계표'!K20</f>
        <v>#REF!</v>
      </c>
      <c r="F85" s="112" t="s">
        <v>5</v>
      </c>
      <c r="G85" s="179" t="e">
        <f>'(변경)집계표'!M20</f>
        <v>#REF!</v>
      </c>
      <c r="H85" s="111" t="e">
        <f>'(변경)집계표'!K50</f>
        <v>#REF!</v>
      </c>
      <c r="I85" s="112" t="s">
        <v>5</v>
      </c>
      <c r="J85" s="179" t="e">
        <f>'(변경)집계표'!M50</f>
        <v>#REF!</v>
      </c>
      <c r="K85" s="111" t="e">
        <f>'(변경)집계표'!K80</f>
        <v>#REF!</v>
      </c>
      <c r="L85" s="112" t="s">
        <v>5</v>
      </c>
      <c r="M85" s="179" t="e">
        <f>'(변경)집계표'!M80</f>
        <v>#REF!</v>
      </c>
      <c r="N85" s="111" t="e">
        <f>'(변경)집계표'!K110</f>
        <v>#REF!</v>
      </c>
      <c r="O85" s="112" t="s">
        <v>5</v>
      </c>
      <c r="P85" s="179" t="e">
        <f>'(변경)집계표'!M110</f>
        <v>#REF!</v>
      </c>
      <c r="Q85" s="111" t="e">
        <f>'(변경)집계표'!K140</f>
        <v>#REF!</v>
      </c>
      <c r="R85" s="112" t="s">
        <v>5</v>
      </c>
      <c r="S85" s="140" t="e">
        <f>'(변경)집계표'!M140</f>
        <v>#REF!</v>
      </c>
      <c r="T85" s="111">
        <f>'(변경)집계표'!K170</f>
        <v>0</v>
      </c>
      <c r="U85" s="112" t="s">
        <v>5</v>
      </c>
      <c r="V85" s="140">
        <f>'(변경)집계표'!M170</f>
        <v>0</v>
      </c>
      <c r="W85" s="111">
        <f>'(변경)집계표'!K200</f>
        <v>0</v>
      </c>
      <c r="X85" s="112" t="s">
        <v>5</v>
      </c>
      <c r="Y85" s="140">
        <f>'(변경)집계표'!M200</f>
        <v>0</v>
      </c>
      <c r="Z85" s="111">
        <f>'(변경)집계표'!K230</f>
        <v>0</v>
      </c>
      <c r="AA85" s="112" t="s">
        <v>5</v>
      </c>
      <c r="AB85" s="140">
        <f>'(변경)집계표'!M230</f>
        <v>0</v>
      </c>
      <c r="AC85" s="111">
        <f>'(변경)집계표'!K260</f>
        <v>0</v>
      </c>
      <c r="AD85" s="112" t="s">
        <v>5</v>
      </c>
      <c r="AE85" s="140">
        <f>'(변경)집계표'!M260</f>
        <v>0</v>
      </c>
      <c r="AF85" s="111">
        <f>'(변경)집계표'!K290</f>
        <v>0</v>
      </c>
      <c r="AG85" s="112" t="s">
        <v>5</v>
      </c>
      <c r="AH85" s="140">
        <f>'(변경)집계표'!M290</f>
        <v>0</v>
      </c>
      <c r="AI85" s="128"/>
      <c r="AJ85" s="6"/>
    </row>
    <row r="86" spans="1:36" s="7" customFormat="1" ht="22.5" customHeight="1">
      <c r="A86" s="127" t="s">
        <v>21</v>
      </c>
      <c r="B86" s="111" t="e">
        <f t="shared" si="4"/>
        <v>#REF!</v>
      </c>
      <c r="C86" s="112" t="s">
        <v>5</v>
      </c>
      <c r="D86" s="179" t="e">
        <f t="shared" si="5"/>
        <v>#REF!</v>
      </c>
      <c r="E86" s="111" t="e">
        <f>'(변경)집계표'!K21</f>
        <v>#REF!</v>
      </c>
      <c r="F86" s="112" t="s">
        <v>5</v>
      </c>
      <c r="G86" s="179" t="e">
        <f>'(변경)집계표'!M21</f>
        <v>#REF!</v>
      </c>
      <c r="H86" s="111" t="e">
        <f>'(변경)집계표'!K51</f>
        <v>#REF!</v>
      </c>
      <c r="I86" s="112" t="s">
        <v>5</v>
      </c>
      <c r="J86" s="179" t="e">
        <f>'(변경)집계표'!M51</f>
        <v>#REF!</v>
      </c>
      <c r="K86" s="111" t="e">
        <f>'(변경)집계표'!K81</f>
        <v>#REF!</v>
      </c>
      <c r="L86" s="112" t="s">
        <v>5</v>
      </c>
      <c r="M86" s="179" t="e">
        <f>'(변경)집계표'!M81</f>
        <v>#REF!</v>
      </c>
      <c r="N86" s="111" t="e">
        <f>'(변경)집계표'!K111</f>
        <v>#REF!</v>
      </c>
      <c r="O86" s="112" t="s">
        <v>5</v>
      </c>
      <c r="P86" s="179" t="e">
        <f>'(변경)집계표'!M111</f>
        <v>#REF!</v>
      </c>
      <c r="Q86" s="111" t="e">
        <f>'(변경)집계표'!K141</f>
        <v>#REF!</v>
      </c>
      <c r="R86" s="112" t="s">
        <v>5</v>
      </c>
      <c r="S86" s="140" t="e">
        <f>'(변경)집계표'!M141</f>
        <v>#REF!</v>
      </c>
      <c r="T86" s="111">
        <f>'(변경)집계표'!K171</f>
        <v>0</v>
      </c>
      <c r="U86" s="112" t="s">
        <v>5</v>
      </c>
      <c r="V86" s="140">
        <f>'(변경)집계표'!M171</f>
        <v>0</v>
      </c>
      <c r="W86" s="111">
        <f>'(변경)집계표'!K201</f>
        <v>0</v>
      </c>
      <c r="X86" s="112" t="s">
        <v>5</v>
      </c>
      <c r="Y86" s="140">
        <f>'(변경)집계표'!M201</f>
        <v>0</v>
      </c>
      <c r="Z86" s="111">
        <f>'(변경)집계표'!K231</f>
        <v>0</v>
      </c>
      <c r="AA86" s="112" t="s">
        <v>5</v>
      </c>
      <c r="AB86" s="140">
        <f>'(변경)집계표'!M231</f>
        <v>0</v>
      </c>
      <c r="AC86" s="111">
        <f>'(변경)집계표'!K261</f>
        <v>0</v>
      </c>
      <c r="AD86" s="112" t="s">
        <v>5</v>
      </c>
      <c r="AE86" s="140">
        <f>'(변경)집계표'!M261</f>
        <v>0</v>
      </c>
      <c r="AF86" s="111">
        <f>'(변경)집계표'!K291</f>
        <v>0</v>
      </c>
      <c r="AG86" s="112" t="s">
        <v>5</v>
      </c>
      <c r="AH86" s="140">
        <f>'(변경)집계표'!M291</f>
        <v>0</v>
      </c>
      <c r="AI86" s="128"/>
      <c r="AJ86" s="6"/>
    </row>
    <row r="87" spans="1:36" s="7" customFormat="1" ht="22.5" customHeight="1">
      <c r="A87" s="127" t="s">
        <v>22</v>
      </c>
      <c r="B87" s="111" t="e">
        <f t="shared" si="4"/>
        <v>#REF!</v>
      </c>
      <c r="C87" s="112" t="s">
        <v>5</v>
      </c>
      <c r="D87" s="179" t="e">
        <f t="shared" si="5"/>
        <v>#REF!</v>
      </c>
      <c r="E87" s="111" t="e">
        <f>'(변경)집계표'!K22</f>
        <v>#REF!</v>
      </c>
      <c r="F87" s="112" t="s">
        <v>5</v>
      </c>
      <c r="G87" s="179" t="e">
        <f>'(변경)집계표'!M22</f>
        <v>#REF!</v>
      </c>
      <c r="H87" s="111" t="e">
        <f>'(변경)집계표'!K52</f>
        <v>#REF!</v>
      </c>
      <c r="I87" s="112" t="s">
        <v>5</v>
      </c>
      <c r="J87" s="179" t="e">
        <f>'(변경)집계표'!M52</f>
        <v>#REF!</v>
      </c>
      <c r="K87" s="111" t="e">
        <f>'(변경)집계표'!K82</f>
        <v>#REF!</v>
      </c>
      <c r="L87" s="112" t="s">
        <v>5</v>
      </c>
      <c r="M87" s="179" t="e">
        <f>'(변경)집계표'!M82</f>
        <v>#REF!</v>
      </c>
      <c r="N87" s="111" t="e">
        <f>'(변경)집계표'!K112</f>
        <v>#REF!</v>
      </c>
      <c r="O87" s="112" t="s">
        <v>5</v>
      </c>
      <c r="P87" s="179" t="e">
        <f>'(변경)집계표'!M112</f>
        <v>#REF!</v>
      </c>
      <c r="Q87" s="111" t="e">
        <f>'(변경)집계표'!K142</f>
        <v>#REF!</v>
      </c>
      <c r="R87" s="112" t="s">
        <v>5</v>
      </c>
      <c r="S87" s="140" t="e">
        <f>'(변경)집계표'!M142</f>
        <v>#REF!</v>
      </c>
      <c r="T87" s="111">
        <f>'(변경)집계표'!K172</f>
        <v>0</v>
      </c>
      <c r="U87" s="112" t="s">
        <v>5</v>
      </c>
      <c r="V87" s="140">
        <f>'(변경)집계표'!M172</f>
        <v>0</v>
      </c>
      <c r="W87" s="111">
        <f>'(변경)집계표'!K202</f>
        <v>0</v>
      </c>
      <c r="X87" s="112" t="s">
        <v>5</v>
      </c>
      <c r="Y87" s="140">
        <f>'(변경)집계표'!M202</f>
        <v>0</v>
      </c>
      <c r="Z87" s="111">
        <f>'(변경)집계표'!K232</f>
        <v>0</v>
      </c>
      <c r="AA87" s="112" t="s">
        <v>5</v>
      </c>
      <c r="AB87" s="140">
        <f>'(변경)집계표'!M232</f>
        <v>0</v>
      </c>
      <c r="AC87" s="111">
        <f>'(변경)집계표'!K262</f>
        <v>0</v>
      </c>
      <c r="AD87" s="112" t="s">
        <v>5</v>
      </c>
      <c r="AE87" s="140">
        <f>'(변경)집계표'!M262</f>
        <v>0</v>
      </c>
      <c r="AF87" s="111">
        <f>'(변경)집계표'!K292</f>
        <v>0</v>
      </c>
      <c r="AG87" s="112" t="s">
        <v>5</v>
      </c>
      <c r="AH87" s="140">
        <f>'(변경)집계표'!M292</f>
        <v>0</v>
      </c>
      <c r="AI87" s="128"/>
      <c r="AJ87" s="6"/>
    </row>
    <row r="88" spans="1:36" s="7" customFormat="1" ht="22.5" customHeight="1">
      <c r="A88" s="127" t="s">
        <v>23</v>
      </c>
      <c r="B88" s="111" t="e">
        <f t="shared" si="4"/>
        <v>#REF!</v>
      </c>
      <c r="C88" s="112" t="s">
        <v>5</v>
      </c>
      <c r="D88" s="179" t="e">
        <f t="shared" si="5"/>
        <v>#REF!</v>
      </c>
      <c r="E88" s="111" t="e">
        <f>'(변경)집계표'!K23</f>
        <v>#REF!</v>
      </c>
      <c r="F88" s="112" t="s">
        <v>5</v>
      </c>
      <c r="G88" s="179" t="e">
        <f>'(변경)집계표'!M23</f>
        <v>#REF!</v>
      </c>
      <c r="H88" s="111" t="e">
        <f>'(변경)집계표'!K53</f>
        <v>#REF!</v>
      </c>
      <c r="I88" s="112" t="s">
        <v>5</v>
      </c>
      <c r="J88" s="179" t="e">
        <f>'(변경)집계표'!M53</f>
        <v>#REF!</v>
      </c>
      <c r="K88" s="111" t="e">
        <f>'(변경)집계표'!K83</f>
        <v>#REF!</v>
      </c>
      <c r="L88" s="112" t="s">
        <v>5</v>
      </c>
      <c r="M88" s="179" t="e">
        <f>'(변경)집계표'!M83</f>
        <v>#REF!</v>
      </c>
      <c r="N88" s="111" t="e">
        <f>'(변경)집계표'!K113</f>
        <v>#REF!</v>
      </c>
      <c r="O88" s="112" t="s">
        <v>5</v>
      </c>
      <c r="P88" s="179" t="e">
        <f>'(변경)집계표'!M113</f>
        <v>#REF!</v>
      </c>
      <c r="Q88" s="111" t="e">
        <f>'(변경)집계표'!K143</f>
        <v>#REF!</v>
      </c>
      <c r="R88" s="112" t="s">
        <v>5</v>
      </c>
      <c r="S88" s="140" t="e">
        <f>'(변경)집계표'!M143</f>
        <v>#REF!</v>
      </c>
      <c r="T88" s="111">
        <f>'(변경)집계표'!K173</f>
        <v>0</v>
      </c>
      <c r="U88" s="112" t="s">
        <v>5</v>
      </c>
      <c r="V88" s="140">
        <f>'(변경)집계표'!M173</f>
        <v>0</v>
      </c>
      <c r="W88" s="111">
        <f>'(변경)집계표'!K203</f>
        <v>0</v>
      </c>
      <c r="X88" s="112" t="s">
        <v>5</v>
      </c>
      <c r="Y88" s="140">
        <f>'(변경)집계표'!M203</f>
        <v>0</v>
      </c>
      <c r="Z88" s="111">
        <f>'(변경)집계표'!K233</f>
        <v>0</v>
      </c>
      <c r="AA88" s="112" t="s">
        <v>5</v>
      </c>
      <c r="AB88" s="140">
        <f>'(변경)집계표'!M233</f>
        <v>0</v>
      </c>
      <c r="AC88" s="111">
        <f>'(변경)집계표'!K263</f>
        <v>0</v>
      </c>
      <c r="AD88" s="112" t="s">
        <v>5</v>
      </c>
      <c r="AE88" s="140">
        <f>'(변경)집계표'!M263</f>
        <v>0</v>
      </c>
      <c r="AF88" s="111">
        <f>'(변경)집계표'!K293</f>
        <v>0</v>
      </c>
      <c r="AG88" s="112" t="s">
        <v>5</v>
      </c>
      <c r="AH88" s="140">
        <f>'(변경)집계표'!M293</f>
        <v>0</v>
      </c>
      <c r="AI88" s="128"/>
      <c r="AJ88" s="6"/>
    </row>
    <row r="89" spans="1:36" s="7" customFormat="1" ht="22.5" customHeight="1">
      <c r="A89" s="129" t="s">
        <v>24</v>
      </c>
      <c r="B89" s="111" t="e">
        <f t="shared" si="4"/>
        <v>#REF!</v>
      </c>
      <c r="C89" s="112" t="s">
        <v>5</v>
      </c>
      <c r="D89" s="179" t="e">
        <f t="shared" si="5"/>
        <v>#REF!</v>
      </c>
      <c r="E89" s="111" t="e">
        <f>'(변경)집계표'!K24</f>
        <v>#REF!</v>
      </c>
      <c r="F89" s="112" t="s">
        <v>5</v>
      </c>
      <c r="G89" s="179" t="e">
        <f>'(변경)집계표'!M24</f>
        <v>#REF!</v>
      </c>
      <c r="H89" s="111" t="e">
        <f>'(변경)집계표'!K54</f>
        <v>#REF!</v>
      </c>
      <c r="I89" s="112" t="s">
        <v>5</v>
      </c>
      <c r="J89" s="179" t="e">
        <f>'(변경)집계표'!M54</f>
        <v>#REF!</v>
      </c>
      <c r="K89" s="111" t="e">
        <f>'(변경)집계표'!K84</f>
        <v>#REF!</v>
      </c>
      <c r="L89" s="112" t="s">
        <v>5</v>
      </c>
      <c r="M89" s="179" t="e">
        <f>'(변경)집계표'!M84</f>
        <v>#REF!</v>
      </c>
      <c r="N89" s="111" t="e">
        <f>'(변경)집계표'!K114</f>
        <v>#REF!</v>
      </c>
      <c r="O89" s="112" t="s">
        <v>5</v>
      </c>
      <c r="P89" s="179" t="e">
        <f>'(변경)집계표'!M114</f>
        <v>#REF!</v>
      </c>
      <c r="Q89" s="111" t="e">
        <f>'(변경)집계표'!K144</f>
        <v>#REF!</v>
      </c>
      <c r="R89" s="112" t="s">
        <v>5</v>
      </c>
      <c r="S89" s="140" t="e">
        <f>'(변경)집계표'!M144</f>
        <v>#REF!</v>
      </c>
      <c r="T89" s="111">
        <f>'(변경)집계표'!K174</f>
        <v>0</v>
      </c>
      <c r="U89" s="112" t="s">
        <v>5</v>
      </c>
      <c r="V89" s="140">
        <f>'(변경)집계표'!M174</f>
        <v>0</v>
      </c>
      <c r="W89" s="111">
        <f>'(변경)집계표'!K204</f>
        <v>0</v>
      </c>
      <c r="X89" s="112" t="s">
        <v>5</v>
      </c>
      <c r="Y89" s="140">
        <f>'(변경)집계표'!M204</f>
        <v>0</v>
      </c>
      <c r="Z89" s="111">
        <f>'(변경)집계표'!K234</f>
        <v>0</v>
      </c>
      <c r="AA89" s="112" t="s">
        <v>5</v>
      </c>
      <c r="AB89" s="140">
        <f>'(변경)집계표'!M234</f>
        <v>0</v>
      </c>
      <c r="AC89" s="111">
        <f>'(변경)집계표'!K264</f>
        <v>0</v>
      </c>
      <c r="AD89" s="112" t="s">
        <v>5</v>
      </c>
      <c r="AE89" s="140">
        <f>'(변경)집계표'!M264</f>
        <v>0</v>
      </c>
      <c r="AF89" s="111">
        <f>'(변경)집계표'!K294</f>
        <v>0</v>
      </c>
      <c r="AG89" s="112" t="s">
        <v>5</v>
      </c>
      <c r="AH89" s="140">
        <f>'(변경)집계표'!M294</f>
        <v>0</v>
      </c>
      <c r="AI89" s="128"/>
      <c r="AJ89" s="6"/>
    </row>
    <row r="90" spans="1:36" s="7" customFormat="1" ht="22.5" customHeight="1">
      <c r="A90" s="129" t="s">
        <v>25</v>
      </c>
      <c r="B90" s="111" t="e">
        <f t="shared" si="4"/>
        <v>#REF!</v>
      </c>
      <c r="C90" s="112" t="s">
        <v>5</v>
      </c>
      <c r="D90" s="179" t="e">
        <f t="shared" si="5"/>
        <v>#REF!</v>
      </c>
      <c r="E90" s="111" t="e">
        <f>'(변경)집계표'!K25</f>
        <v>#REF!</v>
      </c>
      <c r="F90" s="112" t="s">
        <v>5</v>
      </c>
      <c r="G90" s="179" t="e">
        <f>'(변경)집계표'!M25</f>
        <v>#REF!</v>
      </c>
      <c r="H90" s="111" t="e">
        <f>'(변경)집계표'!K55</f>
        <v>#REF!</v>
      </c>
      <c r="I90" s="112" t="s">
        <v>5</v>
      </c>
      <c r="J90" s="179" t="e">
        <f>'(변경)집계표'!M55</f>
        <v>#REF!</v>
      </c>
      <c r="K90" s="111" t="e">
        <f>'(변경)집계표'!K85</f>
        <v>#REF!</v>
      </c>
      <c r="L90" s="112" t="s">
        <v>5</v>
      </c>
      <c r="M90" s="179" t="e">
        <f>'(변경)집계표'!M85</f>
        <v>#REF!</v>
      </c>
      <c r="N90" s="111" t="e">
        <f>'(변경)집계표'!K115</f>
        <v>#REF!</v>
      </c>
      <c r="O90" s="112" t="s">
        <v>5</v>
      </c>
      <c r="P90" s="179" t="e">
        <f>'(변경)집계표'!M115</f>
        <v>#REF!</v>
      </c>
      <c r="Q90" s="111" t="e">
        <f>'(변경)집계표'!K145</f>
        <v>#REF!</v>
      </c>
      <c r="R90" s="112" t="s">
        <v>5</v>
      </c>
      <c r="S90" s="140" t="e">
        <f>'(변경)집계표'!M145</f>
        <v>#REF!</v>
      </c>
      <c r="T90" s="111">
        <f>'(변경)집계표'!K175</f>
        <v>0</v>
      </c>
      <c r="U90" s="112" t="s">
        <v>5</v>
      </c>
      <c r="V90" s="140">
        <f>'(변경)집계표'!M175</f>
        <v>0</v>
      </c>
      <c r="W90" s="111">
        <f>'(변경)집계표'!K205</f>
        <v>0</v>
      </c>
      <c r="X90" s="112" t="s">
        <v>5</v>
      </c>
      <c r="Y90" s="140">
        <f>'(변경)집계표'!M205</f>
        <v>0</v>
      </c>
      <c r="Z90" s="111">
        <f>'(변경)집계표'!K235</f>
        <v>0</v>
      </c>
      <c r="AA90" s="112" t="s">
        <v>5</v>
      </c>
      <c r="AB90" s="140">
        <f>'(변경)집계표'!M235</f>
        <v>0</v>
      </c>
      <c r="AC90" s="111">
        <f>'(변경)집계표'!K265</f>
        <v>0</v>
      </c>
      <c r="AD90" s="112" t="s">
        <v>5</v>
      </c>
      <c r="AE90" s="140">
        <f>'(변경)집계표'!M265</f>
        <v>0</v>
      </c>
      <c r="AF90" s="111">
        <f>'(변경)집계표'!K295</f>
        <v>0</v>
      </c>
      <c r="AG90" s="112" t="s">
        <v>5</v>
      </c>
      <c r="AH90" s="140">
        <f>'(변경)집계표'!M295</f>
        <v>0</v>
      </c>
      <c r="AI90" s="128"/>
      <c r="AJ90" s="6"/>
    </row>
    <row r="91" spans="1:36" s="7" customFormat="1" ht="22.5" customHeight="1">
      <c r="A91" s="129" t="s">
        <v>26</v>
      </c>
      <c r="B91" s="111" t="e">
        <f t="shared" si="4"/>
        <v>#REF!</v>
      </c>
      <c r="C91" s="112" t="s">
        <v>5</v>
      </c>
      <c r="D91" s="179" t="e">
        <f t="shared" si="5"/>
        <v>#REF!</v>
      </c>
      <c r="E91" s="111" t="e">
        <f>'(변경)집계표'!K26</f>
        <v>#REF!</v>
      </c>
      <c r="F91" s="112" t="s">
        <v>5</v>
      </c>
      <c r="G91" s="179" t="e">
        <f>'(변경)집계표'!M26</f>
        <v>#REF!</v>
      </c>
      <c r="H91" s="111" t="e">
        <f>'(변경)집계표'!K56</f>
        <v>#REF!</v>
      </c>
      <c r="I91" s="112" t="s">
        <v>5</v>
      </c>
      <c r="J91" s="179" t="e">
        <f>'(변경)집계표'!M56</f>
        <v>#REF!</v>
      </c>
      <c r="K91" s="111" t="e">
        <f>'(변경)집계표'!K86</f>
        <v>#REF!</v>
      </c>
      <c r="L91" s="112" t="s">
        <v>5</v>
      </c>
      <c r="M91" s="179" t="e">
        <f>'(변경)집계표'!M86</f>
        <v>#REF!</v>
      </c>
      <c r="N91" s="111" t="e">
        <f>'(변경)집계표'!K116</f>
        <v>#REF!</v>
      </c>
      <c r="O91" s="112" t="s">
        <v>5</v>
      </c>
      <c r="P91" s="179" t="e">
        <f>'(변경)집계표'!M116</f>
        <v>#REF!</v>
      </c>
      <c r="Q91" s="111" t="e">
        <f>'(변경)집계표'!K146</f>
        <v>#REF!</v>
      </c>
      <c r="R91" s="112" t="s">
        <v>5</v>
      </c>
      <c r="S91" s="140" t="e">
        <f>'(변경)집계표'!M146</f>
        <v>#REF!</v>
      </c>
      <c r="T91" s="111">
        <f>'(변경)집계표'!K176</f>
        <v>0</v>
      </c>
      <c r="U91" s="112" t="s">
        <v>5</v>
      </c>
      <c r="V91" s="140">
        <f>'(변경)집계표'!M176</f>
        <v>0</v>
      </c>
      <c r="W91" s="111">
        <f>'(변경)집계표'!K206</f>
        <v>0</v>
      </c>
      <c r="X91" s="112" t="s">
        <v>5</v>
      </c>
      <c r="Y91" s="140">
        <f>'(변경)집계표'!M206</f>
        <v>0</v>
      </c>
      <c r="Z91" s="111">
        <f>'(변경)집계표'!K236</f>
        <v>0</v>
      </c>
      <c r="AA91" s="112" t="s">
        <v>5</v>
      </c>
      <c r="AB91" s="140">
        <f>'(변경)집계표'!M236</f>
        <v>0</v>
      </c>
      <c r="AC91" s="111">
        <f>'(변경)집계표'!K266</f>
        <v>0</v>
      </c>
      <c r="AD91" s="112" t="s">
        <v>5</v>
      </c>
      <c r="AE91" s="140">
        <f>'(변경)집계표'!M266</f>
        <v>0</v>
      </c>
      <c r="AF91" s="111">
        <f>'(변경)집계표'!K296</f>
        <v>0</v>
      </c>
      <c r="AG91" s="112" t="s">
        <v>5</v>
      </c>
      <c r="AH91" s="140">
        <f>'(변경)집계표'!M296</f>
        <v>0</v>
      </c>
      <c r="AI91" s="128"/>
      <c r="AJ91" s="6"/>
    </row>
    <row r="92" spans="1:36" s="7" customFormat="1" ht="22.5" customHeight="1">
      <c r="A92" s="129" t="s">
        <v>27</v>
      </c>
      <c r="B92" s="111" t="e">
        <f t="shared" si="4"/>
        <v>#REF!</v>
      </c>
      <c r="C92" s="112" t="s">
        <v>5</v>
      </c>
      <c r="D92" s="179" t="e">
        <f t="shared" si="5"/>
        <v>#REF!</v>
      </c>
      <c r="E92" s="111" t="e">
        <f>'(변경)집계표'!K27</f>
        <v>#REF!</v>
      </c>
      <c r="F92" s="112" t="s">
        <v>5</v>
      </c>
      <c r="G92" s="179" t="e">
        <f>'(변경)집계표'!M27</f>
        <v>#REF!</v>
      </c>
      <c r="H92" s="111" t="e">
        <f>'(변경)집계표'!K57</f>
        <v>#REF!</v>
      </c>
      <c r="I92" s="112" t="s">
        <v>5</v>
      </c>
      <c r="J92" s="179" t="e">
        <f>'(변경)집계표'!M57</f>
        <v>#REF!</v>
      </c>
      <c r="K92" s="111" t="e">
        <f>'(변경)집계표'!K87</f>
        <v>#REF!</v>
      </c>
      <c r="L92" s="112" t="s">
        <v>5</v>
      </c>
      <c r="M92" s="179" t="e">
        <f>'(변경)집계표'!M87</f>
        <v>#REF!</v>
      </c>
      <c r="N92" s="111" t="e">
        <f>'(변경)집계표'!K117</f>
        <v>#REF!</v>
      </c>
      <c r="O92" s="112" t="s">
        <v>5</v>
      </c>
      <c r="P92" s="179" t="e">
        <f>'(변경)집계표'!M117</f>
        <v>#REF!</v>
      </c>
      <c r="Q92" s="111" t="e">
        <f>'(변경)집계표'!K147</f>
        <v>#REF!</v>
      </c>
      <c r="R92" s="112" t="s">
        <v>5</v>
      </c>
      <c r="S92" s="140" t="e">
        <f>'(변경)집계표'!M147</f>
        <v>#REF!</v>
      </c>
      <c r="T92" s="111">
        <f>'(변경)집계표'!K177</f>
        <v>0</v>
      </c>
      <c r="U92" s="112" t="s">
        <v>5</v>
      </c>
      <c r="V92" s="140">
        <f>'(변경)집계표'!M177</f>
        <v>0</v>
      </c>
      <c r="W92" s="111">
        <f>'(변경)집계표'!K207</f>
        <v>0</v>
      </c>
      <c r="X92" s="112" t="s">
        <v>5</v>
      </c>
      <c r="Y92" s="140">
        <f>'(변경)집계표'!M207</f>
        <v>0</v>
      </c>
      <c r="Z92" s="111">
        <f>'(변경)집계표'!K237</f>
        <v>0</v>
      </c>
      <c r="AA92" s="112" t="s">
        <v>5</v>
      </c>
      <c r="AB92" s="140">
        <f>'(변경)집계표'!M237</f>
        <v>0</v>
      </c>
      <c r="AC92" s="111">
        <f>'(변경)집계표'!K267</f>
        <v>0</v>
      </c>
      <c r="AD92" s="112" t="s">
        <v>5</v>
      </c>
      <c r="AE92" s="140">
        <f>'(변경)집계표'!M267</f>
        <v>0</v>
      </c>
      <c r="AF92" s="111">
        <f>'(변경)집계표'!K297</f>
        <v>0</v>
      </c>
      <c r="AG92" s="112" t="s">
        <v>5</v>
      </c>
      <c r="AH92" s="140">
        <f>'(변경)집계표'!M297</f>
        <v>0</v>
      </c>
      <c r="AI92" s="128"/>
      <c r="AJ92" s="6"/>
    </row>
    <row r="93" spans="1:36" s="7" customFormat="1" ht="22.5" customHeight="1">
      <c r="A93" s="129" t="s">
        <v>28</v>
      </c>
      <c r="B93" s="111" t="e">
        <f t="shared" si="4"/>
        <v>#REF!</v>
      </c>
      <c r="C93" s="112" t="s">
        <v>5</v>
      </c>
      <c r="D93" s="179" t="e">
        <f t="shared" si="5"/>
        <v>#REF!</v>
      </c>
      <c r="E93" s="111" t="e">
        <f>'(변경)집계표'!K28</f>
        <v>#REF!</v>
      </c>
      <c r="F93" s="112" t="s">
        <v>5</v>
      </c>
      <c r="G93" s="179" t="e">
        <f>'(변경)집계표'!M28</f>
        <v>#REF!</v>
      </c>
      <c r="H93" s="111" t="e">
        <f>'(변경)집계표'!K58</f>
        <v>#REF!</v>
      </c>
      <c r="I93" s="112" t="s">
        <v>5</v>
      </c>
      <c r="J93" s="179" t="e">
        <f>'(변경)집계표'!M58</f>
        <v>#REF!</v>
      </c>
      <c r="K93" s="111" t="e">
        <f>'(변경)집계표'!K88</f>
        <v>#REF!</v>
      </c>
      <c r="L93" s="112" t="s">
        <v>5</v>
      </c>
      <c r="M93" s="179" t="e">
        <f>'(변경)집계표'!M88</f>
        <v>#REF!</v>
      </c>
      <c r="N93" s="111" t="e">
        <f>'(변경)집계표'!K118</f>
        <v>#REF!</v>
      </c>
      <c r="O93" s="112" t="s">
        <v>5</v>
      </c>
      <c r="P93" s="179" t="e">
        <f>'(변경)집계표'!M118</f>
        <v>#REF!</v>
      </c>
      <c r="Q93" s="111" t="e">
        <f>'(변경)집계표'!K148</f>
        <v>#REF!</v>
      </c>
      <c r="R93" s="112" t="s">
        <v>5</v>
      </c>
      <c r="S93" s="140" t="e">
        <f>'(변경)집계표'!M148</f>
        <v>#REF!</v>
      </c>
      <c r="T93" s="111">
        <f>'(변경)집계표'!K178</f>
        <v>0</v>
      </c>
      <c r="U93" s="112" t="s">
        <v>5</v>
      </c>
      <c r="V93" s="140">
        <f>'(변경)집계표'!M178</f>
        <v>0</v>
      </c>
      <c r="W93" s="111">
        <f>'(변경)집계표'!K208</f>
        <v>0</v>
      </c>
      <c r="X93" s="112" t="s">
        <v>5</v>
      </c>
      <c r="Y93" s="140">
        <f>'(변경)집계표'!M208</f>
        <v>0</v>
      </c>
      <c r="Z93" s="111">
        <f>'(변경)집계표'!K238</f>
        <v>0</v>
      </c>
      <c r="AA93" s="112" t="s">
        <v>5</v>
      </c>
      <c r="AB93" s="140">
        <f>'(변경)집계표'!M238</f>
        <v>0</v>
      </c>
      <c r="AC93" s="111">
        <f>'(변경)집계표'!K268</f>
        <v>0</v>
      </c>
      <c r="AD93" s="112" t="s">
        <v>5</v>
      </c>
      <c r="AE93" s="140">
        <f>'(변경)집계표'!M268</f>
        <v>0</v>
      </c>
      <c r="AF93" s="111">
        <f>'(변경)집계표'!K298</f>
        <v>0</v>
      </c>
      <c r="AG93" s="112" t="s">
        <v>5</v>
      </c>
      <c r="AH93" s="140">
        <f>'(변경)집계표'!M298</f>
        <v>0</v>
      </c>
      <c r="AI93" s="128"/>
      <c r="AJ93" s="6"/>
    </row>
    <row r="94" spans="1:36" s="7" customFormat="1" ht="22.5" customHeight="1">
      <c r="A94" s="129" t="s">
        <v>60</v>
      </c>
      <c r="B94" s="111" t="e">
        <f t="shared" si="4"/>
        <v>#REF!</v>
      </c>
      <c r="C94" s="112" t="s">
        <v>5</v>
      </c>
      <c r="D94" s="179" t="e">
        <f t="shared" si="5"/>
        <v>#REF!</v>
      </c>
      <c r="E94" s="111" t="e">
        <f>'(변경)집계표'!K29</f>
        <v>#REF!</v>
      </c>
      <c r="F94" s="112" t="s">
        <v>5</v>
      </c>
      <c r="G94" s="179" t="e">
        <f>'(변경)집계표'!M29</f>
        <v>#REF!</v>
      </c>
      <c r="H94" s="111" t="e">
        <f>'(변경)집계표'!K59</f>
        <v>#REF!</v>
      </c>
      <c r="I94" s="112" t="s">
        <v>5</v>
      </c>
      <c r="J94" s="179" t="e">
        <f>'(변경)집계표'!M59</f>
        <v>#REF!</v>
      </c>
      <c r="K94" s="111" t="e">
        <f>'(변경)집계표'!K89</f>
        <v>#REF!</v>
      </c>
      <c r="L94" s="112" t="s">
        <v>5</v>
      </c>
      <c r="M94" s="179" t="e">
        <f>'(변경)집계표'!M89</f>
        <v>#REF!</v>
      </c>
      <c r="N94" s="111" t="e">
        <f>'(변경)집계표'!K119</f>
        <v>#REF!</v>
      </c>
      <c r="O94" s="112" t="s">
        <v>5</v>
      </c>
      <c r="P94" s="179" t="e">
        <f>'(변경)집계표'!M119</f>
        <v>#REF!</v>
      </c>
      <c r="Q94" s="111" t="e">
        <f>'(변경)집계표'!K149</f>
        <v>#REF!</v>
      </c>
      <c r="R94" s="112" t="s">
        <v>5</v>
      </c>
      <c r="S94" s="140" t="e">
        <f>'(변경)집계표'!M149</f>
        <v>#REF!</v>
      </c>
      <c r="T94" s="111">
        <f>'(변경)집계표'!K179</f>
        <v>0</v>
      </c>
      <c r="U94" s="112" t="s">
        <v>5</v>
      </c>
      <c r="V94" s="140">
        <f>'(변경)집계표'!M179</f>
        <v>0</v>
      </c>
      <c r="W94" s="111">
        <f>'(변경)집계표'!K209</f>
        <v>0</v>
      </c>
      <c r="X94" s="112" t="s">
        <v>5</v>
      </c>
      <c r="Y94" s="140">
        <f>'(변경)집계표'!M209</f>
        <v>0</v>
      </c>
      <c r="Z94" s="111">
        <f>'(변경)집계표'!K239</f>
        <v>0</v>
      </c>
      <c r="AA94" s="112" t="s">
        <v>5</v>
      </c>
      <c r="AB94" s="140">
        <f>'(변경)집계표'!M239</f>
        <v>0</v>
      </c>
      <c r="AC94" s="111">
        <f>'(변경)집계표'!K269</f>
        <v>0</v>
      </c>
      <c r="AD94" s="112" t="s">
        <v>5</v>
      </c>
      <c r="AE94" s="140">
        <f>'(변경)집계표'!M269</f>
        <v>0</v>
      </c>
      <c r="AF94" s="111">
        <f>'(변경)집계표'!K299</f>
        <v>0</v>
      </c>
      <c r="AG94" s="112" t="s">
        <v>5</v>
      </c>
      <c r="AH94" s="140">
        <f>'(변경)집계표'!M299</f>
        <v>0</v>
      </c>
      <c r="AI94" s="128"/>
      <c r="AJ94" s="6"/>
    </row>
    <row r="95" spans="1:36" s="7" customFormat="1" ht="22.5" customHeight="1">
      <c r="A95" s="129" t="s">
        <v>70</v>
      </c>
      <c r="B95" s="111" t="e">
        <f t="shared" si="4"/>
        <v>#REF!</v>
      </c>
      <c r="C95" s="112" t="s">
        <v>5</v>
      </c>
      <c r="D95" s="179" t="e">
        <f t="shared" si="5"/>
        <v>#REF!</v>
      </c>
      <c r="E95" s="111" t="e">
        <f>'(변경)집계표'!K30</f>
        <v>#REF!</v>
      </c>
      <c r="F95" s="112" t="s">
        <v>5</v>
      </c>
      <c r="G95" s="179" t="e">
        <f>'(변경)집계표'!M30</f>
        <v>#REF!</v>
      </c>
      <c r="H95" s="111" t="e">
        <f>'(변경)집계표'!K60</f>
        <v>#REF!</v>
      </c>
      <c r="I95" s="112" t="s">
        <v>5</v>
      </c>
      <c r="J95" s="179" t="e">
        <f>'(변경)집계표'!M60</f>
        <v>#REF!</v>
      </c>
      <c r="K95" s="111" t="e">
        <f>'(변경)집계표'!K90</f>
        <v>#REF!</v>
      </c>
      <c r="L95" s="112" t="s">
        <v>5</v>
      </c>
      <c r="M95" s="179" t="e">
        <f>'(변경)집계표'!M90</f>
        <v>#REF!</v>
      </c>
      <c r="N95" s="111" t="e">
        <f>'(변경)집계표'!K120</f>
        <v>#REF!</v>
      </c>
      <c r="O95" s="112" t="s">
        <v>5</v>
      </c>
      <c r="P95" s="179" t="e">
        <f>'(변경)집계표'!M120</f>
        <v>#REF!</v>
      </c>
      <c r="Q95" s="111" t="e">
        <f>'(변경)집계표'!K150</f>
        <v>#REF!</v>
      </c>
      <c r="R95" s="112" t="s">
        <v>5</v>
      </c>
      <c r="S95" s="140" t="e">
        <f>'(변경)집계표'!M150</f>
        <v>#REF!</v>
      </c>
      <c r="T95" s="111">
        <f>'(변경)집계표'!K180</f>
        <v>0</v>
      </c>
      <c r="U95" s="112" t="s">
        <v>5</v>
      </c>
      <c r="V95" s="140">
        <f>'(변경)집계표'!M180</f>
        <v>0</v>
      </c>
      <c r="W95" s="111">
        <f>'(변경)집계표'!K210</f>
        <v>0</v>
      </c>
      <c r="X95" s="112" t="s">
        <v>5</v>
      </c>
      <c r="Y95" s="140">
        <f>'(변경)집계표'!M210</f>
        <v>0</v>
      </c>
      <c r="Z95" s="111">
        <f>'(변경)집계표'!K240</f>
        <v>0</v>
      </c>
      <c r="AA95" s="112" t="s">
        <v>5</v>
      </c>
      <c r="AB95" s="140">
        <f>'(변경)집계표'!M240</f>
        <v>0</v>
      </c>
      <c r="AC95" s="111">
        <f>'(변경)집계표'!K270</f>
        <v>0</v>
      </c>
      <c r="AD95" s="112" t="s">
        <v>5</v>
      </c>
      <c r="AE95" s="140">
        <f>'(변경)집계표'!M270</f>
        <v>0</v>
      </c>
      <c r="AF95" s="111">
        <f>'(변경)집계표'!K300</f>
        <v>0</v>
      </c>
      <c r="AG95" s="112" t="s">
        <v>5</v>
      </c>
      <c r="AH95" s="140">
        <f>'(변경)집계표'!M300</f>
        <v>0</v>
      </c>
      <c r="AI95" s="128"/>
      <c r="AJ95" s="6"/>
    </row>
    <row r="96" spans="1:36" s="7" customFormat="1" ht="22.5" customHeight="1" thickBot="1">
      <c r="A96" s="130" t="s">
        <v>62</v>
      </c>
      <c r="B96" s="131" t="e">
        <f t="shared" si="4"/>
        <v>#REF!</v>
      </c>
      <c r="C96" s="132" t="s">
        <v>5</v>
      </c>
      <c r="D96" s="180" t="e">
        <f t="shared" si="5"/>
        <v>#REF!</v>
      </c>
      <c r="E96" s="131" t="e">
        <f>'(변경)집계표'!K31</f>
        <v>#REF!</v>
      </c>
      <c r="F96" s="132" t="s">
        <v>5</v>
      </c>
      <c r="G96" s="180" t="e">
        <f>'(변경)집계표'!M31</f>
        <v>#REF!</v>
      </c>
      <c r="H96" s="131" t="e">
        <f>'(변경)집계표'!K61</f>
        <v>#REF!</v>
      </c>
      <c r="I96" s="132" t="s">
        <v>5</v>
      </c>
      <c r="J96" s="180" t="e">
        <f>'(변경)집계표'!M61</f>
        <v>#REF!</v>
      </c>
      <c r="K96" s="131" t="e">
        <f>'(변경)집계표'!K91</f>
        <v>#REF!</v>
      </c>
      <c r="L96" s="132" t="s">
        <v>5</v>
      </c>
      <c r="M96" s="180" t="e">
        <f>'(변경)집계표'!M91</f>
        <v>#REF!</v>
      </c>
      <c r="N96" s="131" t="e">
        <f>'(변경)집계표'!K121</f>
        <v>#REF!</v>
      </c>
      <c r="O96" s="132" t="s">
        <v>5</v>
      </c>
      <c r="P96" s="180" t="e">
        <f>'(변경)집계표'!M121</f>
        <v>#REF!</v>
      </c>
      <c r="Q96" s="131" t="e">
        <f>'(변경)집계표'!K151</f>
        <v>#REF!</v>
      </c>
      <c r="R96" s="132" t="s">
        <v>5</v>
      </c>
      <c r="S96" s="141" t="e">
        <f>'(변경)집계표'!M151</f>
        <v>#REF!</v>
      </c>
      <c r="T96" s="131">
        <f>'(변경)집계표'!K181</f>
        <v>0</v>
      </c>
      <c r="U96" s="132" t="s">
        <v>5</v>
      </c>
      <c r="V96" s="141">
        <f>'(변경)집계표'!M181</f>
        <v>0</v>
      </c>
      <c r="W96" s="131">
        <f>'(변경)집계표'!K211</f>
        <v>0</v>
      </c>
      <c r="X96" s="132" t="s">
        <v>5</v>
      </c>
      <c r="Y96" s="141">
        <f>'(변경)집계표'!M211</f>
        <v>0</v>
      </c>
      <c r="Z96" s="131">
        <f>'(변경)집계표'!K241</f>
        <v>0</v>
      </c>
      <c r="AA96" s="132" t="s">
        <v>5</v>
      </c>
      <c r="AB96" s="141">
        <f>'(변경)집계표'!M241</f>
        <v>0</v>
      </c>
      <c r="AC96" s="131">
        <f>'(변경)집계표'!K271</f>
        <v>0</v>
      </c>
      <c r="AD96" s="132" t="s">
        <v>5</v>
      </c>
      <c r="AE96" s="141">
        <f>'(변경)집계표'!M271</f>
        <v>0</v>
      </c>
      <c r="AF96" s="131">
        <f>'(변경)집계표'!K301</f>
        <v>0</v>
      </c>
      <c r="AG96" s="132" t="s">
        <v>5</v>
      </c>
      <c r="AH96" s="141">
        <f>'(변경)집계표'!M301</f>
        <v>0</v>
      </c>
      <c r="AI96" s="133"/>
      <c r="AJ96" s="6"/>
    </row>
    <row r="97" spans="1:36" s="5" customFormat="1" ht="27.95" customHeight="1">
      <c r="A97" s="190" t="s">
        <v>56</v>
      </c>
      <c r="B97" s="191"/>
      <c r="C97" s="192"/>
      <c r="D97" s="193"/>
      <c r="E97" s="192"/>
      <c r="F97" s="192"/>
      <c r="G97" s="193"/>
      <c r="H97" s="192"/>
      <c r="I97" s="192"/>
      <c r="J97" s="193"/>
      <c r="K97" s="192"/>
      <c r="L97" s="192"/>
      <c r="M97" s="193"/>
      <c r="N97" s="192"/>
      <c r="O97" s="192"/>
      <c r="P97" s="193"/>
      <c r="Q97" s="192"/>
      <c r="R97" s="192"/>
      <c r="S97" s="194"/>
      <c r="T97" s="192"/>
      <c r="U97" s="192"/>
      <c r="V97" s="194"/>
      <c r="W97" s="192"/>
      <c r="X97" s="192"/>
      <c r="Y97" s="194"/>
      <c r="Z97" s="192"/>
      <c r="AA97" s="192"/>
      <c r="AB97" s="194"/>
      <c r="AC97" s="192"/>
      <c r="AD97" s="192"/>
      <c r="AE97" s="194"/>
      <c r="AF97" s="192"/>
      <c r="AG97" s="192"/>
      <c r="AH97" s="194"/>
      <c r="AI97" s="198"/>
    </row>
    <row r="98" spans="1:36" s="5" customFormat="1" ht="9.9499999999999993" customHeight="1" thickBot="1">
      <c r="A98" s="196"/>
      <c r="B98" s="189"/>
      <c r="D98" s="188"/>
      <c r="E98" s="189"/>
      <c r="G98" s="188"/>
      <c r="H98" s="189"/>
      <c r="J98" s="188"/>
      <c r="K98" s="189"/>
      <c r="M98" s="188"/>
      <c r="N98" s="189"/>
      <c r="P98" s="188"/>
      <c r="Q98" s="189"/>
      <c r="S98" s="146"/>
      <c r="T98" s="189"/>
      <c r="V98" s="146"/>
      <c r="W98" s="189"/>
      <c r="Y98" s="146"/>
      <c r="Z98" s="189"/>
      <c r="AB98" s="146"/>
      <c r="AC98" s="189"/>
      <c r="AE98" s="146"/>
      <c r="AF98" s="189"/>
      <c r="AH98" s="146"/>
      <c r="AI98" s="197"/>
    </row>
    <row r="99" spans="1:36" s="7" customFormat="1" ht="30" customHeight="1">
      <c r="A99" s="119"/>
      <c r="B99" s="484" t="s">
        <v>2</v>
      </c>
      <c r="C99" s="485"/>
      <c r="D99" s="485"/>
      <c r="E99" s="120" t="s">
        <v>72</v>
      </c>
      <c r="F99" s="121"/>
      <c r="G99" s="182"/>
      <c r="H99" s="120"/>
      <c r="I99" s="121"/>
      <c r="J99" s="182"/>
      <c r="K99" s="120"/>
      <c r="L99" s="121"/>
      <c r="M99" s="182"/>
      <c r="N99" s="120"/>
      <c r="O99" s="121"/>
      <c r="P99" s="182"/>
      <c r="Q99" s="120"/>
      <c r="R99" s="121"/>
      <c r="S99" s="143"/>
      <c r="T99" s="120"/>
      <c r="U99" s="121"/>
      <c r="V99" s="143"/>
      <c r="W99" s="120"/>
      <c r="X99" s="121"/>
      <c r="Y99" s="143"/>
      <c r="Z99" s="120"/>
      <c r="AA99" s="121"/>
      <c r="AB99" s="143"/>
      <c r="AC99" s="120"/>
      <c r="AD99" s="121"/>
      <c r="AE99" s="143"/>
      <c r="AF99" s="120"/>
      <c r="AG99" s="121"/>
      <c r="AH99" s="143"/>
      <c r="AI99" s="471" t="s">
        <v>53</v>
      </c>
      <c r="AJ99" s="6"/>
    </row>
    <row r="100" spans="1:36" s="7" customFormat="1" ht="30" customHeight="1">
      <c r="A100" s="122"/>
      <c r="B100" s="486"/>
      <c r="C100" s="487"/>
      <c r="D100" s="487"/>
      <c r="E100" s="8" t="s">
        <v>73</v>
      </c>
      <c r="F100" s="9"/>
      <c r="G100" s="183"/>
      <c r="H100" s="8"/>
      <c r="I100" s="9"/>
      <c r="J100" s="183"/>
      <c r="K100" s="8"/>
      <c r="L100" s="9"/>
      <c r="M100" s="183"/>
      <c r="N100" s="8"/>
      <c r="O100" s="9"/>
      <c r="P100" s="183"/>
      <c r="Q100" s="8"/>
      <c r="R100" s="9"/>
      <c r="S100" s="144"/>
      <c r="T100" s="8"/>
      <c r="U100" s="9"/>
      <c r="V100" s="144"/>
      <c r="W100" s="8"/>
      <c r="X100" s="9"/>
      <c r="Y100" s="144"/>
      <c r="Z100" s="8"/>
      <c r="AA100" s="9"/>
      <c r="AB100" s="144"/>
      <c r="AC100" s="8"/>
      <c r="AD100" s="9"/>
      <c r="AE100" s="144"/>
      <c r="AF100" s="8"/>
      <c r="AG100" s="9"/>
      <c r="AH100" s="144"/>
      <c r="AI100" s="488"/>
      <c r="AJ100" s="6"/>
    </row>
    <row r="101" spans="1:36" s="7" customFormat="1" ht="30" customHeight="1">
      <c r="A101" s="123" t="s">
        <v>3</v>
      </c>
      <c r="B101" s="486"/>
      <c r="C101" s="487"/>
      <c r="D101" s="487"/>
      <c r="E101" s="8" t="s">
        <v>74</v>
      </c>
      <c r="F101" s="9"/>
      <c r="G101" s="183"/>
      <c r="H101" s="8" t="s">
        <v>75</v>
      </c>
      <c r="I101" s="9"/>
      <c r="J101" s="183"/>
      <c r="K101" s="8" t="s">
        <v>76</v>
      </c>
      <c r="L101" s="9"/>
      <c r="M101" s="183"/>
      <c r="N101" s="8" t="s">
        <v>77</v>
      </c>
      <c r="O101" s="9"/>
      <c r="P101" s="183"/>
      <c r="Q101" s="8" t="s">
        <v>78</v>
      </c>
      <c r="R101" s="9"/>
      <c r="S101" s="144"/>
      <c r="T101" s="8">
        <v>6</v>
      </c>
      <c r="U101" s="9"/>
      <c r="V101" s="144"/>
      <c r="W101" s="8">
        <v>7</v>
      </c>
      <c r="X101" s="9"/>
      <c r="Y101" s="144"/>
      <c r="Z101" s="8">
        <v>8</v>
      </c>
      <c r="AA101" s="9"/>
      <c r="AB101" s="144"/>
      <c r="AC101" s="8">
        <v>9</v>
      </c>
      <c r="AD101" s="9"/>
      <c r="AE101" s="144"/>
      <c r="AF101" s="8">
        <v>10</v>
      </c>
      <c r="AG101" s="9"/>
      <c r="AH101" s="144"/>
      <c r="AI101" s="488"/>
      <c r="AJ101" s="6"/>
    </row>
    <row r="102" spans="1:36" s="7" customFormat="1" ht="30" customHeight="1" thickBot="1">
      <c r="A102" s="124"/>
      <c r="B102" s="115" t="s">
        <v>4</v>
      </c>
      <c r="C102" s="116" t="s">
        <v>5</v>
      </c>
      <c r="D102" s="178" t="s">
        <v>6</v>
      </c>
      <c r="E102" s="115" t="s">
        <v>4</v>
      </c>
      <c r="F102" s="116" t="s">
        <v>5</v>
      </c>
      <c r="G102" s="178" t="s">
        <v>6</v>
      </c>
      <c r="H102" s="115" t="s">
        <v>4</v>
      </c>
      <c r="I102" s="116" t="s">
        <v>5</v>
      </c>
      <c r="J102" s="178" t="s">
        <v>6</v>
      </c>
      <c r="K102" s="115" t="s">
        <v>4</v>
      </c>
      <c r="L102" s="116" t="s">
        <v>5</v>
      </c>
      <c r="M102" s="178" t="s">
        <v>6</v>
      </c>
      <c r="N102" s="115" t="s">
        <v>4</v>
      </c>
      <c r="O102" s="116" t="s">
        <v>5</v>
      </c>
      <c r="P102" s="178" t="s">
        <v>6</v>
      </c>
      <c r="Q102" s="115" t="s">
        <v>4</v>
      </c>
      <c r="R102" s="116" t="s">
        <v>5</v>
      </c>
      <c r="S102" s="178" t="s">
        <v>6</v>
      </c>
      <c r="T102" s="117" t="s">
        <v>4</v>
      </c>
      <c r="U102" s="118" t="s">
        <v>5</v>
      </c>
      <c r="V102" s="145" t="s">
        <v>6</v>
      </c>
      <c r="W102" s="117" t="s">
        <v>4</v>
      </c>
      <c r="X102" s="118" t="s">
        <v>5</v>
      </c>
      <c r="Y102" s="145" t="s">
        <v>6</v>
      </c>
      <c r="Z102" s="117" t="s">
        <v>4</v>
      </c>
      <c r="AA102" s="118" t="s">
        <v>5</v>
      </c>
      <c r="AB102" s="145" t="s">
        <v>6</v>
      </c>
      <c r="AC102" s="117" t="s">
        <v>4</v>
      </c>
      <c r="AD102" s="118" t="s">
        <v>5</v>
      </c>
      <c r="AE102" s="145" t="s">
        <v>6</v>
      </c>
      <c r="AF102" s="117" t="s">
        <v>4</v>
      </c>
      <c r="AG102" s="118" t="s">
        <v>5</v>
      </c>
      <c r="AH102" s="145" t="s">
        <v>6</v>
      </c>
      <c r="AI102" s="472"/>
      <c r="AJ102" s="6"/>
    </row>
    <row r="103" spans="1:36" s="6" customFormat="1" ht="22.5" customHeight="1" thickTop="1">
      <c r="A103" s="134" t="s">
        <v>2</v>
      </c>
      <c r="B103" s="135" t="e">
        <f>SUM(B104:B128)</f>
        <v>#REF!</v>
      </c>
      <c r="C103" s="136" t="s">
        <v>5</v>
      </c>
      <c r="D103" s="181" t="e">
        <f>SUM(D104:D128)</f>
        <v>#REF!</v>
      </c>
      <c r="E103" s="135" t="e">
        <f>SUM(E104:E128)</f>
        <v>#REF!</v>
      </c>
      <c r="F103" s="136" t="s">
        <v>5</v>
      </c>
      <c r="G103" s="181" t="e">
        <f>SUM(G104:G128)</f>
        <v>#REF!</v>
      </c>
      <c r="H103" s="135" t="e">
        <f>SUM(H104:H128)</f>
        <v>#REF!</v>
      </c>
      <c r="I103" s="136" t="s">
        <v>5</v>
      </c>
      <c r="J103" s="181" t="e">
        <f>SUM(J104:J128)</f>
        <v>#REF!</v>
      </c>
      <c r="K103" s="135" t="e">
        <f>SUM(K104:K128)</f>
        <v>#REF!</v>
      </c>
      <c r="L103" s="136" t="s">
        <v>5</v>
      </c>
      <c r="M103" s="181" t="e">
        <f>SUM(M104:M128)</f>
        <v>#REF!</v>
      </c>
      <c r="N103" s="135" t="e">
        <f>SUM(N104:N128)</f>
        <v>#REF!</v>
      </c>
      <c r="O103" s="136" t="s">
        <v>5</v>
      </c>
      <c r="P103" s="181" t="e">
        <f>SUM(P104:P128)</f>
        <v>#REF!</v>
      </c>
      <c r="Q103" s="135" t="e">
        <f>SUM(Q104:Q128)</f>
        <v>#REF!</v>
      </c>
      <c r="R103" s="136" t="s">
        <v>5</v>
      </c>
      <c r="S103" s="181" t="e">
        <f>SUM(S104:S128)</f>
        <v>#REF!</v>
      </c>
      <c r="T103" s="135">
        <f>SUM(T104:T128)</f>
        <v>0</v>
      </c>
      <c r="U103" s="136" t="s">
        <v>5</v>
      </c>
      <c r="V103" s="181">
        <f>SUM(V104:V128)</f>
        <v>0</v>
      </c>
      <c r="W103" s="135">
        <f>SUM(W104:W128)</f>
        <v>0</v>
      </c>
      <c r="X103" s="136" t="s">
        <v>5</v>
      </c>
      <c r="Y103" s="181">
        <f>SUM(Y104:Y128)</f>
        <v>0</v>
      </c>
      <c r="Z103" s="135">
        <f>SUM(Z104:Z128)</f>
        <v>0</v>
      </c>
      <c r="AA103" s="136" t="s">
        <v>5</v>
      </c>
      <c r="AB103" s="181">
        <f>SUM(AB104:AB128)</f>
        <v>0</v>
      </c>
      <c r="AC103" s="135">
        <f>SUM(AC104:AC128)</f>
        <v>0</v>
      </c>
      <c r="AD103" s="136" t="s">
        <v>5</v>
      </c>
      <c r="AE103" s="181">
        <f>SUM(AE104:AE128)</f>
        <v>0</v>
      </c>
      <c r="AF103" s="135">
        <f>SUM(AF104:AF128)</f>
        <v>0</v>
      </c>
      <c r="AG103" s="136" t="s">
        <v>5</v>
      </c>
      <c r="AH103" s="181">
        <f>SUM(AH104:AH128)</f>
        <v>0</v>
      </c>
      <c r="AI103" s="137"/>
    </row>
    <row r="104" spans="1:36" s="6" customFormat="1" ht="22.5" customHeight="1">
      <c r="A104" s="127" t="s">
        <v>7</v>
      </c>
      <c r="B104" s="111" t="e">
        <f t="shared" ref="B104:B128" si="6">SUM(E104,H104,K104,N104,Q104,T104,W104,Z104,AC104,AF104)</f>
        <v>#REF!</v>
      </c>
      <c r="C104" s="112" t="s">
        <v>5</v>
      </c>
      <c r="D104" s="179" t="e">
        <f t="shared" ref="D104:D128" si="7">SUM(G104,J104,M104,P104,S104,V104,Y104,AB104,AE104,AH104)</f>
        <v>#REF!</v>
      </c>
      <c r="E104" s="111" t="e">
        <f>'(변경)집계표'!H7</f>
        <v>#REF!</v>
      </c>
      <c r="F104" s="112" t="s">
        <v>5</v>
      </c>
      <c r="G104" s="179" t="e">
        <f>'(변경)집계표'!J7</f>
        <v>#REF!</v>
      </c>
      <c r="H104" s="111" t="e">
        <f>'(변경)집계표'!H37</f>
        <v>#REF!</v>
      </c>
      <c r="I104" s="112" t="s">
        <v>5</v>
      </c>
      <c r="J104" s="179" t="e">
        <f>'(변경)집계표'!J37</f>
        <v>#REF!</v>
      </c>
      <c r="K104" s="111" t="e">
        <f>'(변경)집계표'!H67</f>
        <v>#REF!</v>
      </c>
      <c r="L104" s="112" t="s">
        <v>5</v>
      </c>
      <c r="M104" s="179" t="e">
        <f>'(변경)집계표'!J67</f>
        <v>#REF!</v>
      </c>
      <c r="N104" s="111" t="e">
        <f>'(변경)집계표'!H97</f>
        <v>#REF!</v>
      </c>
      <c r="O104" s="112" t="s">
        <v>5</v>
      </c>
      <c r="P104" s="179" t="e">
        <f>'(변경)집계표'!J97</f>
        <v>#REF!</v>
      </c>
      <c r="Q104" s="111" t="e">
        <f>'(변경)집계표'!H127</f>
        <v>#REF!</v>
      </c>
      <c r="R104" s="112" t="s">
        <v>5</v>
      </c>
      <c r="S104" s="140" t="e">
        <f>'(변경)집계표'!J127</f>
        <v>#REF!</v>
      </c>
      <c r="T104" s="111">
        <f>'(변경)집계표'!H157</f>
        <v>0</v>
      </c>
      <c r="U104" s="112" t="s">
        <v>5</v>
      </c>
      <c r="V104" s="140">
        <f>'(변경)집계표'!J157</f>
        <v>0</v>
      </c>
      <c r="W104" s="111">
        <f>'(변경)집계표'!H187</f>
        <v>0</v>
      </c>
      <c r="X104" s="112" t="s">
        <v>5</v>
      </c>
      <c r="Y104" s="140">
        <f>'(변경)집계표'!J187</f>
        <v>0</v>
      </c>
      <c r="Z104" s="111">
        <f>'(변경)집계표'!H217</f>
        <v>0</v>
      </c>
      <c r="AA104" s="112" t="s">
        <v>5</v>
      </c>
      <c r="AB104" s="140">
        <f>'(변경)집계표'!J217</f>
        <v>0</v>
      </c>
      <c r="AC104" s="111">
        <f>'(변경)집계표'!H247</f>
        <v>0</v>
      </c>
      <c r="AD104" s="112" t="s">
        <v>5</v>
      </c>
      <c r="AE104" s="140">
        <f>'(변경)집계표'!J247</f>
        <v>0</v>
      </c>
      <c r="AF104" s="111">
        <f>'(변경)집계표'!H277</f>
        <v>0</v>
      </c>
      <c r="AG104" s="112" t="s">
        <v>5</v>
      </c>
      <c r="AH104" s="140">
        <f>'(변경)집계표'!J277</f>
        <v>0</v>
      </c>
      <c r="AI104" s="128"/>
    </row>
    <row r="105" spans="1:36" s="6" customFormat="1" ht="22.5" customHeight="1">
      <c r="A105" s="127" t="s">
        <v>8</v>
      </c>
      <c r="B105" s="111" t="e">
        <f t="shared" si="6"/>
        <v>#REF!</v>
      </c>
      <c r="C105" s="112" t="s">
        <v>5</v>
      </c>
      <c r="D105" s="179" t="e">
        <f t="shared" si="7"/>
        <v>#REF!</v>
      </c>
      <c r="E105" s="111" t="e">
        <f>'(변경)집계표'!H8</f>
        <v>#REF!</v>
      </c>
      <c r="F105" s="112" t="s">
        <v>5</v>
      </c>
      <c r="G105" s="179" t="e">
        <f>'(변경)집계표'!J8</f>
        <v>#REF!</v>
      </c>
      <c r="H105" s="111" t="e">
        <f>'(변경)집계표'!H38</f>
        <v>#REF!</v>
      </c>
      <c r="I105" s="112" t="s">
        <v>5</v>
      </c>
      <c r="J105" s="179" t="e">
        <f>'(변경)집계표'!J38</f>
        <v>#REF!</v>
      </c>
      <c r="K105" s="111" t="e">
        <f>'(변경)집계표'!H68</f>
        <v>#REF!</v>
      </c>
      <c r="L105" s="112" t="s">
        <v>5</v>
      </c>
      <c r="M105" s="179" t="e">
        <f>'(변경)집계표'!J68</f>
        <v>#REF!</v>
      </c>
      <c r="N105" s="111" t="e">
        <f>'(변경)집계표'!H98</f>
        <v>#REF!</v>
      </c>
      <c r="O105" s="112" t="s">
        <v>5</v>
      </c>
      <c r="P105" s="179" t="e">
        <f>'(변경)집계표'!J98</f>
        <v>#REF!</v>
      </c>
      <c r="Q105" s="111" t="e">
        <f>'(변경)집계표'!H128</f>
        <v>#REF!</v>
      </c>
      <c r="R105" s="112" t="s">
        <v>5</v>
      </c>
      <c r="S105" s="140" t="e">
        <f>'(변경)집계표'!J128</f>
        <v>#REF!</v>
      </c>
      <c r="T105" s="111">
        <f>'(변경)집계표'!H158</f>
        <v>0</v>
      </c>
      <c r="U105" s="112" t="s">
        <v>5</v>
      </c>
      <c r="V105" s="140">
        <f>'(변경)집계표'!J158</f>
        <v>0</v>
      </c>
      <c r="W105" s="111">
        <f>'(변경)집계표'!H188</f>
        <v>0</v>
      </c>
      <c r="X105" s="112" t="s">
        <v>5</v>
      </c>
      <c r="Y105" s="140">
        <f>'(변경)집계표'!J188</f>
        <v>0</v>
      </c>
      <c r="Z105" s="111">
        <f>'(변경)집계표'!H218</f>
        <v>0</v>
      </c>
      <c r="AA105" s="112" t="s">
        <v>5</v>
      </c>
      <c r="AB105" s="140">
        <f>'(변경)집계표'!J218</f>
        <v>0</v>
      </c>
      <c r="AC105" s="111">
        <f>'(변경)집계표'!H248</f>
        <v>0</v>
      </c>
      <c r="AD105" s="112" t="s">
        <v>5</v>
      </c>
      <c r="AE105" s="140">
        <f>'(변경)집계표'!J248</f>
        <v>0</v>
      </c>
      <c r="AF105" s="111">
        <f>'(변경)집계표'!H278</f>
        <v>0</v>
      </c>
      <c r="AG105" s="112" t="s">
        <v>5</v>
      </c>
      <c r="AH105" s="140">
        <f>'(변경)집계표'!J278</f>
        <v>0</v>
      </c>
      <c r="AI105" s="128"/>
    </row>
    <row r="106" spans="1:36" s="6" customFormat="1" ht="22.5" customHeight="1">
      <c r="A106" s="127" t="s">
        <v>9</v>
      </c>
      <c r="B106" s="111" t="e">
        <f t="shared" si="6"/>
        <v>#REF!</v>
      </c>
      <c r="C106" s="112" t="s">
        <v>5</v>
      </c>
      <c r="D106" s="179" t="e">
        <f t="shared" si="7"/>
        <v>#REF!</v>
      </c>
      <c r="E106" s="111" t="e">
        <f>'(변경)집계표'!H9</f>
        <v>#REF!</v>
      </c>
      <c r="F106" s="112" t="s">
        <v>5</v>
      </c>
      <c r="G106" s="179" t="e">
        <f>'(변경)집계표'!J9</f>
        <v>#REF!</v>
      </c>
      <c r="H106" s="111" t="e">
        <f>'(변경)집계표'!H39</f>
        <v>#REF!</v>
      </c>
      <c r="I106" s="112" t="s">
        <v>5</v>
      </c>
      <c r="J106" s="179" t="e">
        <f>'(변경)집계표'!J39</f>
        <v>#REF!</v>
      </c>
      <c r="K106" s="111" t="e">
        <f>'(변경)집계표'!H69</f>
        <v>#REF!</v>
      </c>
      <c r="L106" s="112" t="s">
        <v>5</v>
      </c>
      <c r="M106" s="179" t="e">
        <f>'(변경)집계표'!J69</f>
        <v>#REF!</v>
      </c>
      <c r="N106" s="111" t="e">
        <f>'(변경)집계표'!H99</f>
        <v>#REF!</v>
      </c>
      <c r="O106" s="112" t="s">
        <v>5</v>
      </c>
      <c r="P106" s="179" t="e">
        <f>'(변경)집계표'!J99</f>
        <v>#REF!</v>
      </c>
      <c r="Q106" s="111" t="e">
        <f>'(변경)집계표'!H129</f>
        <v>#REF!</v>
      </c>
      <c r="R106" s="112" t="s">
        <v>5</v>
      </c>
      <c r="S106" s="140" t="e">
        <f>'(변경)집계표'!J129</f>
        <v>#REF!</v>
      </c>
      <c r="T106" s="111">
        <f>'(변경)집계표'!H159</f>
        <v>0</v>
      </c>
      <c r="U106" s="112" t="s">
        <v>5</v>
      </c>
      <c r="V106" s="140">
        <f>'(변경)집계표'!J159</f>
        <v>0</v>
      </c>
      <c r="W106" s="111">
        <f>'(변경)집계표'!H189</f>
        <v>0</v>
      </c>
      <c r="X106" s="112" t="s">
        <v>5</v>
      </c>
      <c r="Y106" s="140">
        <f>'(변경)집계표'!J189</f>
        <v>0</v>
      </c>
      <c r="Z106" s="111">
        <f>'(변경)집계표'!H219</f>
        <v>0</v>
      </c>
      <c r="AA106" s="112" t="s">
        <v>5</v>
      </c>
      <c r="AB106" s="140">
        <f>'(변경)집계표'!J219</f>
        <v>0</v>
      </c>
      <c r="AC106" s="111">
        <f>'(변경)집계표'!H249</f>
        <v>0</v>
      </c>
      <c r="AD106" s="112" t="s">
        <v>5</v>
      </c>
      <c r="AE106" s="140">
        <f>'(변경)집계표'!J249</f>
        <v>0</v>
      </c>
      <c r="AF106" s="111">
        <f>'(변경)집계표'!H279</f>
        <v>0</v>
      </c>
      <c r="AG106" s="112" t="s">
        <v>5</v>
      </c>
      <c r="AH106" s="140">
        <f>'(변경)집계표'!J279</f>
        <v>0</v>
      </c>
      <c r="AI106" s="128"/>
    </row>
    <row r="107" spans="1:36" s="6" customFormat="1" ht="22.5" customHeight="1">
      <c r="A107" s="127" t="s">
        <v>10</v>
      </c>
      <c r="B107" s="111" t="e">
        <f t="shared" si="6"/>
        <v>#REF!</v>
      </c>
      <c r="C107" s="112" t="s">
        <v>5</v>
      </c>
      <c r="D107" s="179" t="e">
        <f t="shared" si="7"/>
        <v>#REF!</v>
      </c>
      <c r="E107" s="111" t="e">
        <f>'(변경)집계표'!H10</f>
        <v>#REF!</v>
      </c>
      <c r="F107" s="112" t="s">
        <v>5</v>
      </c>
      <c r="G107" s="179" t="e">
        <f>'(변경)집계표'!J10</f>
        <v>#REF!</v>
      </c>
      <c r="H107" s="111" t="e">
        <f>'(변경)집계표'!H40</f>
        <v>#REF!</v>
      </c>
      <c r="I107" s="112" t="s">
        <v>5</v>
      </c>
      <c r="J107" s="179" t="e">
        <f>'(변경)집계표'!J40</f>
        <v>#REF!</v>
      </c>
      <c r="K107" s="111" t="e">
        <f>'(변경)집계표'!H70</f>
        <v>#REF!</v>
      </c>
      <c r="L107" s="112" t="s">
        <v>5</v>
      </c>
      <c r="M107" s="179" t="e">
        <f>'(변경)집계표'!J70</f>
        <v>#REF!</v>
      </c>
      <c r="N107" s="111" t="e">
        <f>'(변경)집계표'!H100</f>
        <v>#REF!</v>
      </c>
      <c r="O107" s="112" t="s">
        <v>5</v>
      </c>
      <c r="P107" s="179" t="e">
        <f>'(변경)집계표'!J100</f>
        <v>#REF!</v>
      </c>
      <c r="Q107" s="111" t="e">
        <f>'(변경)집계표'!H130</f>
        <v>#REF!</v>
      </c>
      <c r="R107" s="112" t="s">
        <v>5</v>
      </c>
      <c r="S107" s="140" t="e">
        <f>'(변경)집계표'!J130</f>
        <v>#REF!</v>
      </c>
      <c r="T107" s="111">
        <f>'(변경)집계표'!H160</f>
        <v>0</v>
      </c>
      <c r="U107" s="112" t="s">
        <v>5</v>
      </c>
      <c r="V107" s="140">
        <f>'(변경)집계표'!J160</f>
        <v>0</v>
      </c>
      <c r="W107" s="111">
        <f>'(변경)집계표'!H190</f>
        <v>0</v>
      </c>
      <c r="X107" s="112" t="s">
        <v>5</v>
      </c>
      <c r="Y107" s="140">
        <f>'(변경)집계표'!J190</f>
        <v>0</v>
      </c>
      <c r="Z107" s="111">
        <f>'(변경)집계표'!H220</f>
        <v>0</v>
      </c>
      <c r="AA107" s="112" t="s">
        <v>5</v>
      </c>
      <c r="AB107" s="140">
        <f>'(변경)집계표'!J220</f>
        <v>0</v>
      </c>
      <c r="AC107" s="111">
        <f>'(변경)집계표'!H250</f>
        <v>0</v>
      </c>
      <c r="AD107" s="112" t="s">
        <v>5</v>
      </c>
      <c r="AE107" s="140">
        <f>'(변경)집계표'!J250</f>
        <v>0</v>
      </c>
      <c r="AF107" s="111">
        <f>'(변경)집계표'!H280</f>
        <v>0</v>
      </c>
      <c r="AG107" s="112" t="s">
        <v>5</v>
      </c>
      <c r="AH107" s="140">
        <f>'(변경)집계표'!J280</f>
        <v>0</v>
      </c>
      <c r="AI107" s="128"/>
    </row>
    <row r="108" spans="1:36" s="6" customFormat="1" ht="22.5" customHeight="1">
      <c r="A108" s="127" t="s">
        <v>11</v>
      </c>
      <c r="B108" s="111" t="e">
        <f t="shared" si="6"/>
        <v>#REF!</v>
      </c>
      <c r="C108" s="112" t="s">
        <v>5</v>
      </c>
      <c r="D108" s="179" t="e">
        <f t="shared" si="7"/>
        <v>#REF!</v>
      </c>
      <c r="E108" s="111" t="e">
        <f>'(변경)집계표'!H11</f>
        <v>#REF!</v>
      </c>
      <c r="F108" s="112" t="s">
        <v>5</v>
      </c>
      <c r="G108" s="179" t="e">
        <f>'(변경)집계표'!J11</f>
        <v>#REF!</v>
      </c>
      <c r="H108" s="111" t="e">
        <f>'(변경)집계표'!H41</f>
        <v>#REF!</v>
      </c>
      <c r="I108" s="112" t="s">
        <v>5</v>
      </c>
      <c r="J108" s="179" t="e">
        <f>'(변경)집계표'!J41</f>
        <v>#REF!</v>
      </c>
      <c r="K108" s="111" t="e">
        <f>'(변경)집계표'!H71</f>
        <v>#REF!</v>
      </c>
      <c r="L108" s="112" t="s">
        <v>5</v>
      </c>
      <c r="M108" s="179" t="e">
        <f>'(변경)집계표'!J71</f>
        <v>#REF!</v>
      </c>
      <c r="N108" s="111" t="e">
        <f>'(변경)집계표'!H101</f>
        <v>#REF!</v>
      </c>
      <c r="O108" s="112" t="s">
        <v>5</v>
      </c>
      <c r="P108" s="179" t="e">
        <f>'(변경)집계표'!J101</f>
        <v>#REF!</v>
      </c>
      <c r="Q108" s="111" t="e">
        <f>'(변경)집계표'!H131</f>
        <v>#REF!</v>
      </c>
      <c r="R108" s="112" t="s">
        <v>5</v>
      </c>
      <c r="S108" s="140" t="e">
        <f>'(변경)집계표'!J131</f>
        <v>#REF!</v>
      </c>
      <c r="T108" s="111">
        <f>'(변경)집계표'!H161</f>
        <v>0</v>
      </c>
      <c r="U108" s="112" t="s">
        <v>5</v>
      </c>
      <c r="V108" s="140">
        <f>'(변경)집계표'!J161</f>
        <v>0</v>
      </c>
      <c r="W108" s="111">
        <f>'(변경)집계표'!H191</f>
        <v>0</v>
      </c>
      <c r="X108" s="112" t="s">
        <v>5</v>
      </c>
      <c r="Y108" s="140">
        <f>'(변경)집계표'!J191</f>
        <v>0</v>
      </c>
      <c r="Z108" s="111">
        <f>'(변경)집계표'!H221</f>
        <v>0</v>
      </c>
      <c r="AA108" s="112" t="s">
        <v>5</v>
      </c>
      <c r="AB108" s="140">
        <f>'(변경)집계표'!J221</f>
        <v>0</v>
      </c>
      <c r="AC108" s="111">
        <f>'(변경)집계표'!H251</f>
        <v>0</v>
      </c>
      <c r="AD108" s="112" t="s">
        <v>5</v>
      </c>
      <c r="AE108" s="140">
        <f>'(변경)집계표'!J251</f>
        <v>0</v>
      </c>
      <c r="AF108" s="111">
        <f>'(변경)집계표'!H281</f>
        <v>0</v>
      </c>
      <c r="AG108" s="112" t="s">
        <v>5</v>
      </c>
      <c r="AH108" s="140">
        <f>'(변경)집계표'!J281</f>
        <v>0</v>
      </c>
      <c r="AI108" s="128"/>
    </row>
    <row r="109" spans="1:36" s="6" customFormat="1" ht="22.5" customHeight="1">
      <c r="A109" s="127" t="s">
        <v>12</v>
      </c>
      <c r="B109" s="111" t="e">
        <f t="shared" si="6"/>
        <v>#REF!</v>
      </c>
      <c r="C109" s="112" t="s">
        <v>5</v>
      </c>
      <c r="D109" s="179" t="e">
        <f t="shared" si="7"/>
        <v>#REF!</v>
      </c>
      <c r="E109" s="111" t="e">
        <f>'(변경)집계표'!H12</f>
        <v>#REF!</v>
      </c>
      <c r="F109" s="112" t="s">
        <v>5</v>
      </c>
      <c r="G109" s="179" t="e">
        <f>'(변경)집계표'!J12</f>
        <v>#REF!</v>
      </c>
      <c r="H109" s="111" t="e">
        <f>'(변경)집계표'!H42</f>
        <v>#REF!</v>
      </c>
      <c r="I109" s="112" t="s">
        <v>5</v>
      </c>
      <c r="J109" s="179" t="e">
        <f>'(변경)집계표'!J42</f>
        <v>#REF!</v>
      </c>
      <c r="K109" s="111" t="e">
        <f>'(변경)집계표'!H72</f>
        <v>#REF!</v>
      </c>
      <c r="L109" s="112" t="s">
        <v>5</v>
      </c>
      <c r="M109" s="179" t="e">
        <f>'(변경)집계표'!J72</f>
        <v>#REF!</v>
      </c>
      <c r="N109" s="111" t="e">
        <f>'(변경)집계표'!H102</f>
        <v>#REF!</v>
      </c>
      <c r="O109" s="112" t="s">
        <v>5</v>
      </c>
      <c r="P109" s="179" t="e">
        <f>'(변경)집계표'!J102</f>
        <v>#REF!</v>
      </c>
      <c r="Q109" s="111" t="e">
        <f>'(변경)집계표'!H132</f>
        <v>#REF!</v>
      </c>
      <c r="R109" s="112" t="s">
        <v>5</v>
      </c>
      <c r="S109" s="140" t="e">
        <f>'(변경)집계표'!J132</f>
        <v>#REF!</v>
      </c>
      <c r="T109" s="111">
        <f>'(변경)집계표'!H162</f>
        <v>0</v>
      </c>
      <c r="U109" s="112" t="s">
        <v>5</v>
      </c>
      <c r="V109" s="140">
        <f>'(변경)집계표'!J162</f>
        <v>0</v>
      </c>
      <c r="W109" s="111">
        <f>'(변경)집계표'!H192</f>
        <v>0</v>
      </c>
      <c r="X109" s="112" t="s">
        <v>5</v>
      </c>
      <c r="Y109" s="140">
        <f>'(변경)집계표'!J192</f>
        <v>0</v>
      </c>
      <c r="Z109" s="111">
        <f>'(변경)집계표'!H222</f>
        <v>0</v>
      </c>
      <c r="AA109" s="112" t="s">
        <v>5</v>
      </c>
      <c r="AB109" s="140">
        <f>'(변경)집계표'!J222</f>
        <v>0</v>
      </c>
      <c r="AC109" s="111">
        <f>'(변경)집계표'!H252</f>
        <v>0</v>
      </c>
      <c r="AD109" s="112" t="s">
        <v>5</v>
      </c>
      <c r="AE109" s="140">
        <f>'(변경)집계표'!J252</f>
        <v>0</v>
      </c>
      <c r="AF109" s="111">
        <f>'(변경)집계표'!H282</f>
        <v>0</v>
      </c>
      <c r="AG109" s="112" t="s">
        <v>5</v>
      </c>
      <c r="AH109" s="140">
        <f>'(변경)집계표'!J282</f>
        <v>0</v>
      </c>
      <c r="AI109" s="128"/>
    </row>
    <row r="110" spans="1:36" s="6" customFormat="1" ht="22.5" customHeight="1">
      <c r="A110" s="127" t="s">
        <v>13</v>
      </c>
      <c r="B110" s="111" t="e">
        <f t="shared" si="6"/>
        <v>#REF!</v>
      </c>
      <c r="C110" s="112" t="s">
        <v>5</v>
      </c>
      <c r="D110" s="179" t="e">
        <f t="shared" si="7"/>
        <v>#REF!</v>
      </c>
      <c r="E110" s="111" t="e">
        <f>'(변경)집계표'!H13</f>
        <v>#REF!</v>
      </c>
      <c r="F110" s="112" t="s">
        <v>5</v>
      </c>
      <c r="G110" s="179" t="e">
        <f>'(변경)집계표'!J13</f>
        <v>#REF!</v>
      </c>
      <c r="H110" s="111" t="e">
        <f>'(변경)집계표'!H43</f>
        <v>#REF!</v>
      </c>
      <c r="I110" s="112" t="s">
        <v>5</v>
      </c>
      <c r="J110" s="179" t="e">
        <f>'(변경)집계표'!J43</f>
        <v>#REF!</v>
      </c>
      <c r="K110" s="111" t="e">
        <f>'(변경)집계표'!H73</f>
        <v>#REF!</v>
      </c>
      <c r="L110" s="112" t="s">
        <v>5</v>
      </c>
      <c r="M110" s="179" t="e">
        <f>'(변경)집계표'!J73</f>
        <v>#REF!</v>
      </c>
      <c r="N110" s="111" t="e">
        <f>'(변경)집계표'!H103</f>
        <v>#REF!</v>
      </c>
      <c r="O110" s="112" t="s">
        <v>5</v>
      </c>
      <c r="P110" s="179" t="e">
        <f>'(변경)집계표'!J103</f>
        <v>#REF!</v>
      </c>
      <c r="Q110" s="111" t="e">
        <f>'(변경)집계표'!H133</f>
        <v>#REF!</v>
      </c>
      <c r="R110" s="112" t="s">
        <v>5</v>
      </c>
      <c r="S110" s="140" t="e">
        <f>'(변경)집계표'!J133</f>
        <v>#REF!</v>
      </c>
      <c r="T110" s="111">
        <f>'(변경)집계표'!H163</f>
        <v>0</v>
      </c>
      <c r="U110" s="112" t="s">
        <v>5</v>
      </c>
      <c r="V110" s="140">
        <f>'(변경)집계표'!J163</f>
        <v>0</v>
      </c>
      <c r="W110" s="111">
        <f>'(변경)집계표'!H193</f>
        <v>0</v>
      </c>
      <c r="X110" s="112" t="s">
        <v>5</v>
      </c>
      <c r="Y110" s="140">
        <f>'(변경)집계표'!J193</f>
        <v>0</v>
      </c>
      <c r="Z110" s="111">
        <f>'(변경)집계표'!H223</f>
        <v>0</v>
      </c>
      <c r="AA110" s="112" t="s">
        <v>5</v>
      </c>
      <c r="AB110" s="140">
        <f>'(변경)집계표'!J223</f>
        <v>0</v>
      </c>
      <c r="AC110" s="111">
        <f>'(변경)집계표'!H253</f>
        <v>0</v>
      </c>
      <c r="AD110" s="112" t="s">
        <v>5</v>
      </c>
      <c r="AE110" s="140">
        <f>'(변경)집계표'!J253</f>
        <v>0</v>
      </c>
      <c r="AF110" s="111">
        <f>'(변경)집계표'!H283</f>
        <v>0</v>
      </c>
      <c r="AG110" s="112" t="s">
        <v>5</v>
      </c>
      <c r="AH110" s="140">
        <f>'(변경)집계표'!J283</f>
        <v>0</v>
      </c>
      <c r="AI110" s="128"/>
    </row>
    <row r="111" spans="1:36" s="6" customFormat="1" ht="22.5" customHeight="1">
      <c r="A111" s="127" t="s">
        <v>14</v>
      </c>
      <c r="B111" s="111" t="e">
        <f t="shared" si="6"/>
        <v>#REF!</v>
      </c>
      <c r="C111" s="112" t="s">
        <v>5</v>
      </c>
      <c r="D111" s="179" t="e">
        <f t="shared" si="7"/>
        <v>#REF!</v>
      </c>
      <c r="E111" s="111" t="e">
        <f>'(변경)집계표'!H14</f>
        <v>#REF!</v>
      </c>
      <c r="F111" s="112" t="s">
        <v>5</v>
      </c>
      <c r="G111" s="179" t="e">
        <f>'(변경)집계표'!J14</f>
        <v>#REF!</v>
      </c>
      <c r="H111" s="111" t="e">
        <f>'(변경)집계표'!H44</f>
        <v>#REF!</v>
      </c>
      <c r="I111" s="112" t="s">
        <v>5</v>
      </c>
      <c r="J111" s="179" t="e">
        <f>'(변경)집계표'!J44</f>
        <v>#REF!</v>
      </c>
      <c r="K111" s="111" t="e">
        <f>'(변경)집계표'!H74</f>
        <v>#REF!</v>
      </c>
      <c r="L111" s="112" t="s">
        <v>5</v>
      </c>
      <c r="M111" s="179" t="e">
        <f>'(변경)집계표'!J74</f>
        <v>#REF!</v>
      </c>
      <c r="N111" s="111" t="e">
        <f>'(변경)집계표'!H104</f>
        <v>#REF!</v>
      </c>
      <c r="O111" s="112" t="s">
        <v>5</v>
      </c>
      <c r="P111" s="179" t="e">
        <f>'(변경)집계표'!J104</f>
        <v>#REF!</v>
      </c>
      <c r="Q111" s="111" t="e">
        <f>'(변경)집계표'!H134</f>
        <v>#REF!</v>
      </c>
      <c r="R111" s="112" t="s">
        <v>5</v>
      </c>
      <c r="S111" s="140" t="e">
        <f>'(변경)집계표'!J134</f>
        <v>#REF!</v>
      </c>
      <c r="T111" s="111">
        <f>'(변경)집계표'!H164</f>
        <v>0</v>
      </c>
      <c r="U111" s="112" t="s">
        <v>5</v>
      </c>
      <c r="V111" s="140">
        <f>'(변경)집계표'!J164</f>
        <v>0</v>
      </c>
      <c r="W111" s="111">
        <f>'(변경)집계표'!H194</f>
        <v>0</v>
      </c>
      <c r="X111" s="112" t="s">
        <v>5</v>
      </c>
      <c r="Y111" s="140">
        <f>'(변경)집계표'!J194</f>
        <v>0</v>
      </c>
      <c r="Z111" s="111">
        <f>'(변경)집계표'!H224</f>
        <v>0</v>
      </c>
      <c r="AA111" s="112" t="s">
        <v>5</v>
      </c>
      <c r="AB111" s="140">
        <f>'(변경)집계표'!J224</f>
        <v>0</v>
      </c>
      <c r="AC111" s="111">
        <f>'(변경)집계표'!H254</f>
        <v>0</v>
      </c>
      <c r="AD111" s="112" t="s">
        <v>5</v>
      </c>
      <c r="AE111" s="140">
        <f>'(변경)집계표'!J254</f>
        <v>0</v>
      </c>
      <c r="AF111" s="111">
        <f>'(변경)집계표'!H284</f>
        <v>0</v>
      </c>
      <c r="AG111" s="112" t="s">
        <v>5</v>
      </c>
      <c r="AH111" s="140">
        <f>'(변경)집계표'!J284</f>
        <v>0</v>
      </c>
      <c r="AI111" s="128"/>
    </row>
    <row r="112" spans="1:36" s="6" customFormat="1" ht="22.5" customHeight="1">
      <c r="A112" s="127" t="s">
        <v>15</v>
      </c>
      <c r="B112" s="111" t="e">
        <f t="shared" si="6"/>
        <v>#REF!</v>
      </c>
      <c r="C112" s="112" t="s">
        <v>5</v>
      </c>
      <c r="D112" s="179" t="e">
        <f t="shared" si="7"/>
        <v>#REF!</v>
      </c>
      <c r="E112" s="111" t="e">
        <f>'(변경)집계표'!H15</f>
        <v>#REF!</v>
      </c>
      <c r="F112" s="112" t="s">
        <v>5</v>
      </c>
      <c r="G112" s="179" t="e">
        <f>'(변경)집계표'!J15</f>
        <v>#REF!</v>
      </c>
      <c r="H112" s="111" t="e">
        <f>'(변경)집계표'!H45</f>
        <v>#REF!</v>
      </c>
      <c r="I112" s="112" t="s">
        <v>5</v>
      </c>
      <c r="J112" s="179" t="e">
        <f>'(변경)집계표'!J45</f>
        <v>#REF!</v>
      </c>
      <c r="K112" s="111" t="e">
        <f>'(변경)집계표'!H75</f>
        <v>#REF!</v>
      </c>
      <c r="L112" s="112" t="s">
        <v>5</v>
      </c>
      <c r="M112" s="179" t="e">
        <f>'(변경)집계표'!J75</f>
        <v>#REF!</v>
      </c>
      <c r="N112" s="111" t="e">
        <f>'(변경)집계표'!H105</f>
        <v>#REF!</v>
      </c>
      <c r="O112" s="112" t="s">
        <v>5</v>
      </c>
      <c r="P112" s="179" t="e">
        <f>'(변경)집계표'!J105</f>
        <v>#REF!</v>
      </c>
      <c r="Q112" s="111" t="e">
        <f>'(변경)집계표'!H135</f>
        <v>#REF!</v>
      </c>
      <c r="R112" s="112" t="s">
        <v>5</v>
      </c>
      <c r="S112" s="140" t="e">
        <f>'(변경)집계표'!J135</f>
        <v>#REF!</v>
      </c>
      <c r="T112" s="111">
        <f>'(변경)집계표'!H165</f>
        <v>0</v>
      </c>
      <c r="U112" s="112" t="s">
        <v>5</v>
      </c>
      <c r="V112" s="140">
        <f>'(변경)집계표'!J165</f>
        <v>0</v>
      </c>
      <c r="W112" s="111">
        <f>'(변경)집계표'!H195</f>
        <v>0</v>
      </c>
      <c r="X112" s="112" t="s">
        <v>5</v>
      </c>
      <c r="Y112" s="140">
        <f>'(변경)집계표'!J195</f>
        <v>0</v>
      </c>
      <c r="Z112" s="111">
        <f>'(변경)집계표'!H225</f>
        <v>0</v>
      </c>
      <c r="AA112" s="112" t="s">
        <v>5</v>
      </c>
      <c r="AB112" s="140">
        <f>'(변경)집계표'!J225</f>
        <v>0</v>
      </c>
      <c r="AC112" s="111">
        <f>'(변경)집계표'!H255</f>
        <v>0</v>
      </c>
      <c r="AD112" s="112" t="s">
        <v>5</v>
      </c>
      <c r="AE112" s="140">
        <f>'(변경)집계표'!J255</f>
        <v>0</v>
      </c>
      <c r="AF112" s="111">
        <f>'(변경)집계표'!H285</f>
        <v>0</v>
      </c>
      <c r="AG112" s="112" t="s">
        <v>5</v>
      </c>
      <c r="AH112" s="140">
        <f>'(변경)집계표'!J285</f>
        <v>0</v>
      </c>
      <c r="AI112" s="128"/>
    </row>
    <row r="113" spans="1:36" s="6" customFormat="1" ht="22.5" customHeight="1">
      <c r="A113" s="127" t="s">
        <v>16</v>
      </c>
      <c r="B113" s="111" t="e">
        <f t="shared" si="6"/>
        <v>#REF!</v>
      </c>
      <c r="C113" s="112" t="s">
        <v>5</v>
      </c>
      <c r="D113" s="179" t="e">
        <f t="shared" si="7"/>
        <v>#REF!</v>
      </c>
      <c r="E113" s="111" t="e">
        <f>'(변경)집계표'!H16</f>
        <v>#REF!</v>
      </c>
      <c r="F113" s="112" t="s">
        <v>5</v>
      </c>
      <c r="G113" s="179" t="e">
        <f>'(변경)집계표'!J16</f>
        <v>#REF!</v>
      </c>
      <c r="H113" s="111" t="e">
        <f>'(변경)집계표'!H46</f>
        <v>#REF!</v>
      </c>
      <c r="I113" s="112" t="s">
        <v>5</v>
      </c>
      <c r="J113" s="179" t="e">
        <f>'(변경)집계표'!J46</f>
        <v>#REF!</v>
      </c>
      <c r="K113" s="111" t="e">
        <f>'(변경)집계표'!H76</f>
        <v>#REF!</v>
      </c>
      <c r="L113" s="112" t="s">
        <v>5</v>
      </c>
      <c r="M113" s="179" t="e">
        <f>'(변경)집계표'!J76</f>
        <v>#REF!</v>
      </c>
      <c r="N113" s="111" t="e">
        <f>'(변경)집계표'!H106</f>
        <v>#REF!</v>
      </c>
      <c r="O113" s="112" t="s">
        <v>5</v>
      </c>
      <c r="P113" s="179" t="e">
        <f>'(변경)집계표'!J106</f>
        <v>#REF!</v>
      </c>
      <c r="Q113" s="111" t="e">
        <f>'(변경)집계표'!H136</f>
        <v>#REF!</v>
      </c>
      <c r="R113" s="112" t="s">
        <v>5</v>
      </c>
      <c r="S113" s="140" t="e">
        <f>'(변경)집계표'!J136</f>
        <v>#REF!</v>
      </c>
      <c r="T113" s="111">
        <f>'(변경)집계표'!H166</f>
        <v>0</v>
      </c>
      <c r="U113" s="112" t="s">
        <v>5</v>
      </c>
      <c r="V113" s="140">
        <f>'(변경)집계표'!J166</f>
        <v>0</v>
      </c>
      <c r="W113" s="111">
        <f>'(변경)집계표'!H196</f>
        <v>0</v>
      </c>
      <c r="X113" s="112" t="s">
        <v>5</v>
      </c>
      <c r="Y113" s="140">
        <f>'(변경)집계표'!J196</f>
        <v>0</v>
      </c>
      <c r="Z113" s="111">
        <f>'(변경)집계표'!H226</f>
        <v>0</v>
      </c>
      <c r="AA113" s="112" t="s">
        <v>5</v>
      </c>
      <c r="AB113" s="140">
        <f>'(변경)집계표'!J226</f>
        <v>0</v>
      </c>
      <c r="AC113" s="111">
        <f>'(변경)집계표'!H256</f>
        <v>0</v>
      </c>
      <c r="AD113" s="112" t="s">
        <v>5</v>
      </c>
      <c r="AE113" s="140">
        <f>'(변경)집계표'!J256</f>
        <v>0</v>
      </c>
      <c r="AF113" s="111">
        <f>'(변경)집계표'!H286</f>
        <v>0</v>
      </c>
      <c r="AG113" s="112" t="s">
        <v>5</v>
      </c>
      <c r="AH113" s="140">
        <f>'(변경)집계표'!J286</f>
        <v>0</v>
      </c>
      <c r="AI113" s="128"/>
    </row>
    <row r="114" spans="1:36" s="6" customFormat="1" ht="22.5" customHeight="1">
      <c r="A114" s="127" t="s">
        <v>17</v>
      </c>
      <c r="B114" s="111" t="e">
        <f t="shared" si="6"/>
        <v>#REF!</v>
      </c>
      <c r="C114" s="112" t="s">
        <v>5</v>
      </c>
      <c r="D114" s="179" t="e">
        <f t="shared" si="7"/>
        <v>#REF!</v>
      </c>
      <c r="E114" s="111" t="e">
        <f>'(변경)집계표'!H17</f>
        <v>#REF!</v>
      </c>
      <c r="F114" s="112" t="s">
        <v>5</v>
      </c>
      <c r="G114" s="179" t="e">
        <f>'(변경)집계표'!J17</f>
        <v>#REF!</v>
      </c>
      <c r="H114" s="111" t="e">
        <f>'(변경)집계표'!H47</f>
        <v>#REF!</v>
      </c>
      <c r="I114" s="112" t="s">
        <v>5</v>
      </c>
      <c r="J114" s="179" t="e">
        <f>'(변경)집계표'!J47</f>
        <v>#REF!</v>
      </c>
      <c r="K114" s="111" t="e">
        <f>'(변경)집계표'!H77</f>
        <v>#REF!</v>
      </c>
      <c r="L114" s="112" t="s">
        <v>5</v>
      </c>
      <c r="M114" s="179" t="e">
        <f>'(변경)집계표'!J77</f>
        <v>#REF!</v>
      </c>
      <c r="N114" s="111" t="e">
        <f>'(변경)집계표'!H107</f>
        <v>#REF!</v>
      </c>
      <c r="O114" s="112" t="s">
        <v>5</v>
      </c>
      <c r="P114" s="179" t="e">
        <f>'(변경)집계표'!J107</f>
        <v>#REF!</v>
      </c>
      <c r="Q114" s="111" t="e">
        <f>'(변경)집계표'!H137</f>
        <v>#REF!</v>
      </c>
      <c r="R114" s="112" t="s">
        <v>5</v>
      </c>
      <c r="S114" s="140" t="e">
        <f>'(변경)집계표'!J137</f>
        <v>#REF!</v>
      </c>
      <c r="T114" s="111">
        <f>'(변경)집계표'!H167</f>
        <v>0</v>
      </c>
      <c r="U114" s="112" t="s">
        <v>5</v>
      </c>
      <c r="V114" s="140">
        <f>'(변경)집계표'!J167</f>
        <v>0</v>
      </c>
      <c r="W114" s="111">
        <f>'(변경)집계표'!H197</f>
        <v>0</v>
      </c>
      <c r="X114" s="112" t="s">
        <v>5</v>
      </c>
      <c r="Y114" s="140">
        <f>'(변경)집계표'!J197</f>
        <v>0</v>
      </c>
      <c r="Z114" s="111">
        <f>'(변경)집계표'!H227</f>
        <v>0</v>
      </c>
      <c r="AA114" s="112" t="s">
        <v>5</v>
      </c>
      <c r="AB114" s="140">
        <f>'(변경)집계표'!J227</f>
        <v>0</v>
      </c>
      <c r="AC114" s="111">
        <f>'(변경)집계표'!H257</f>
        <v>0</v>
      </c>
      <c r="AD114" s="112" t="s">
        <v>5</v>
      </c>
      <c r="AE114" s="140">
        <f>'(변경)집계표'!J257</f>
        <v>0</v>
      </c>
      <c r="AF114" s="111">
        <f>'(변경)집계표'!H287</f>
        <v>0</v>
      </c>
      <c r="AG114" s="112" t="s">
        <v>5</v>
      </c>
      <c r="AH114" s="140">
        <f>'(변경)집계표'!J287</f>
        <v>0</v>
      </c>
      <c r="AI114" s="128"/>
    </row>
    <row r="115" spans="1:36" s="7" customFormat="1" ht="22.5" customHeight="1">
      <c r="A115" s="127" t="s">
        <v>18</v>
      </c>
      <c r="B115" s="111" t="e">
        <f t="shared" si="6"/>
        <v>#REF!</v>
      </c>
      <c r="C115" s="112" t="s">
        <v>5</v>
      </c>
      <c r="D115" s="179" t="e">
        <f t="shared" si="7"/>
        <v>#REF!</v>
      </c>
      <c r="E115" s="111" t="e">
        <f>'(변경)집계표'!H18</f>
        <v>#REF!</v>
      </c>
      <c r="F115" s="112" t="s">
        <v>5</v>
      </c>
      <c r="G115" s="179" t="e">
        <f>'(변경)집계표'!J18</f>
        <v>#REF!</v>
      </c>
      <c r="H115" s="111" t="e">
        <f>'(변경)집계표'!H48</f>
        <v>#REF!</v>
      </c>
      <c r="I115" s="112" t="s">
        <v>5</v>
      </c>
      <c r="J115" s="179" t="e">
        <f>'(변경)집계표'!J48</f>
        <v>#REF!</v>
      </c>
      <c r="K115" s="111" t="e">
        <f>'(변경)집계표'!H78</f>
        <v>#REF!</v>
      </c>
      <c r="L115" s="112" t="s">
        <v>5</v>
      </c>
      <c r="M115" s="179" t="e">
        <f>'(변경)집계표'!J78</f>
        <v>#REF!</v>
      </c>
      <c r="N115" s="111" t="e">
        <f>'(변경)집계표'!H108</f>
        <v>#REF!</v>
      </c>
      <c r="O115" s="112" t="s">
        <v>5</v>
      </c>
      <c r="P115" s="179" t="e">
        <f>'(변경)집계표'!J108</f>
        <v>#REF!</v>
      </c>
      <c r="Q115" s="111" t="e">
        <f>'(변경)집계표'!H138</f>
        <v>#REF!</v>
      </c>
      <c r="R115" s="112" t="s">
        <v>5</v>
      </c>
      <c r="S115" s="140" t="e">
        <f>'(변경)집계표'!J138</f>
        <v>#REF!</v>
      </c>
      <c r="T115" s="111">
        <f>'(변경)집계표'!H168</f>
        <v>0</v>
      </c>
      <c r="U115" s="112" t="s">
        <v>5</v>
      </c>
      <c r="V115" s="140">
        <f>'(변경)집계표'!J168</f>
        <v>0</v>
      </c>
      <c r="W115" s="111">
        <f>'(변경)집계표'!H198</f>
        <v>0</v>
      </c>
      <c r="X115" s="112" t="s">
        <v>5</v>
      </c>
      <c r="Y115" s="140">
        <f>'(변경)집계표'!J198</f>
        <v>0</v>
      </c>
      <c r="Z115" s="111">
        <f>'(변경)집계표'!H228</f>
        <v>0</v>
      </c>
      <c r="AA115" s="112" t="s">
        <v>5</v>
      </c>
      <c r="AB115" s="140">
        <f>'(변경)집계표'!J228</f>
        <v>0</v>
      </c>
      <c r="AC115" s="111">
        <f>'(변경)집계표'!H258</f>
        <v>0</v>
      </c>
      <c r="AD115" s="112" t="s">
        <v>5</v>
      </c>
      <c r="AE115" s="140">
        <f>'(변경)집계표'!J258</f>
        <v>0</v>
      </c>
      <c r="AF115" s="111">
        <f>'(변경)집계표'!H288</f>
        <v>0</v>
      </c>
      <c r="AG115" s="112" t="s">
        <v>5</v>
      </c>
      <c r="AH115" s="140">
        <f>'(변경)집계표'!J288</f>
        <v>0</v>
      </c>
      <c r="AI115" s="128"/>
      <c r="AJ115" s="6"/>
    </row>
    <row r="116" spans="1:36" s="7" customFormat="1" ht="22.5" customHeight="1">
      <c r="A116" s="127" t="s">
        <v>19</v>
      </c>
      <c r="B116" s="111" t="e">
        <f t="shared" si="6"/>
        <v>#REF!</v>
      </c>
      <c r="C116" s="112" t="s">
        <v>5</v>
      </c>
      <c r="D116" s="179" t="e">
        <f t="shared" si="7"/>
        <v>#REF!</v>
      </c>
      <c r="E116" s="111" t="e">
        <f>'(변경)집계표'!H19</f>
        <v>#REF!</v>
      </c>
      <c r="F116" s="112" t="s">
        <v>5</v>
      </c>
      <c r="G116" s="179" t="e">
        <f>'(변경)집계표'!J19</f>
        <v>#REF!</v>
      </c>
      <c r="H116" s="111" t="e">
        <f>'(변경)집계표'!H49</f>
        <v>#REF!</v>
      </c>
      <c r="I116" s="112" t="s">
        <v>5</v>
      </c>
      <c r="J116" s="179" t="e">
        <f>'(변경)집계표'!J49</f>
        <v>#REF!</v>
      </c>
      <c r="K116" s="111" t="e">
        <f>'(변경)집계표'!H79</f>
        <v>#REF!</v>
      </c>
      <c r="L116" s="112" t="s">
        <v>5</v>
      </c>
      <c r="M116" s="179" t="e">
        <f>'(변경)집계표'!J79</f>
        <v>#REF!</v>
      </c>
      <c r="N116" s="111" t="e">
        <f>'(변경)집계표'!H109</f>
        <v>#REF!</v>
      </c>
      <c r="O116" s="112" t="s">
        <v>5</v>
      </c>
      <c r="P116" s="179" t="e">
        <f>'(변경)집계표'!J109</f>
        <v>#REF!</v>
      </c>
      <c r="Q116" s="111" t="e">
        <f>'(변경)집계표'!H139</f>
        <v>#REF!</v>
      </c>
      <c r="R116" s="112" t="s">
        <v>5</v>
      </c>
      <c r="S116" s="140" t="e">
        <f>'(변경)집계표'!J139</f>
        <v>#REF!</v>
      </c>
      <c r="T116" s="111">
        <f>'(변경)집계표'!H169</f>
        <v>0</v>
      </c>
      <c r="U116" s="112" t="s">
        <v>5</v>
      </c>
      <c r="V116" s="140">
        <f>'(변경)집계표'!J169</f>
        <v>0</v>
      </c>
      <c r="W116" s="111">
        <f>'(변경)집계표'!H199</f>
        <v>0</v>
      </c>
      <c r="X116" s="112" t="s">
        <v>5</v>
      </c>
      <c r="Y116" s="140">
        <f>'(변경)집계표'!J199</f>
        <v>0</v>
      </c>
      <c r="Z116" s="111">
        <f>'(변경)집계표'!H229</f>
        <v>0</v>
      </c>
      <c r="AA116" s="112" t="s">
        <v>5</v>
      </c>
      <c r="AB116" s="140">
        <f>'(변경)집계표'!J229</f>
        <v>0</v>
      </c>
      <c r="AC116" s="111">
        <f>'(변경)집계표'!H259</f>
        <v>0</v>
      </c>
      <c r="AD116" s="112" t="s">
        <v>5</v>
      </c>
      <c r="AE116" s="140">
        <f>'(변경)집계표'!J259</f>
        <v>0</v>
      </c>
      <c r="AF116" s="111">
        <f>'(변경)집계표'!H289</f>
        <v>0</v>
      </c>
      <c r="AG116" s="112" t="s">
        <v>5</v>
      </c>
      <c r="AH116" s="140">
        <f>'(변경)집계표'!J289</f>
        <v>0</v>
      </c>
      <c r="AI116" s="128"/>
      <c r="AJ116" s="6"/>
    </row>
    <row r="117" spans="1:36" s="7" customFormat="1" ht="22.5" customHeight="1">
      <c r="A117" s="127" t="s">
        <v>20</v>
      </c>
      <c r="B117" s="111" t="e">
        <f t="shared" si="6"/>
        <v>#REF!</v>
      </c>
      <c r="C117" s="112" t="s">
        <v>5</v>
      </c>
      <c r="D117" s="179" t="e">
        <f t="shared" si="7"/>
        <v>#REF!</v>
      </c>
      <c r="E117" s="111" t="e">
        <f>'(변경)집계표'!H20</f>
        <v>#REF!</v>
      </c>
      <c r="F117" s="112" t="s">
        <v>5</v>
      </c>
      <c r="G117" s="179" t="e">
        <f>'(변경)집계표'!J20</f>
        <v>#REF!</v>
      </c>
      <c r="H117" s="111" t="e">
        <f>'(변경)집계표'!H50</f>
        <v>#REF!</v>
      </c>
      <c r="I117" s="112" t="s">
        <v>5</v>
      </c>
      <c r="J117" s="179" t="e">
        <f>'(변경)집계표'!J50</f>
        <v>#REF!</v>
      </c>
      <c r="K117" s="111" t="e">
        <f>'(변경)집계표'!H80</f>
        <v>#REF!</v>
      </c>
      <c r="L117" s="112" t="s">
        <v>5</v>
      </c>
      <c r="M117" s="179" t="e">
        <f>'(변경)집계표'!J80</f>
        <v>#REF!</v>
      </c>
      <c r="N117" s="111" t="e">
        <f>'(변경)집계표'!H110</f>
        <v>#REF!</v>
      </c>
      <c r="O117" s="112" t="s">
        <v>5</v>
      </c>
      <c r="P117" s="179" t="e">
        <f>'(변경)집계표'!J110</f>
        <v>#REF!</v>
      </c>
      <c r="Q117" s="111" t="e">
        <f>'(변경)집계표'!H140</f>
        <v>#REF!</v>
      </c>
      <c r="R117" s="112" t="s">
        <v>5</v>
      </c>
      <c r="S117" s="140" t="e">
        <f>'(변경)집계표'!J140</f>
        <v>#REF!</v>
      </c>
      <c r="T117" s="111">
        <f>'(변경)집계표'!H170</f>
        <v>0</v>
      </c>
      <c r="U117" s="112" t="s">
        <v>5</v>
      </c>
      <c r="V117" s="140">
        <f>'(변경)집계표'!J170</f>
        <v>0</v>
      </c>
      <c r="W117" s="111">
        <f>'(변경)집계표'!H200</f>
        <v>0</v>
      </c>
      <c r="X117" s="112" t="s">
        <v>5</v>
      </c>
      <c r="Y117" s="140">
        <f>'(변경)집계표'!J200</f>
        <v>0</v>
      </c>
      <c r="Z117" s="111">
        <f>'(변경)집계표'!H230</f>
        <v>0</v>
      </c>
      <c r="AA117" s="112" t="s">
        <v>5</v>
      </c>
      <c r="AB117" s="140">
        <f>'(변경)집계표'!J230</f>
        <v>0</v>
      </c>
      <c r="AC117" s="111">
        <f>'(변경)집계표'!H260</f>
        <v>0</v>
      </c>
      <c r="AD117" s="112" t="s">
        <v>5</v>
      </c>
      <c r="AE117" s="140">
        <f>'(변경)집계표'!J260</f>
        <v>0</v>
      </c>
      <c r="AF117" s="111">
        <f>'(변경)집계표'!H290</f>
        <v>0</v>
      </c>
      <c r="AG117" s="112" t="s">
        <v>5</v>
      </c>
      <c r="AH117" s="140">
        <f>'(변경)집계표'!J290</f>
        <v>0</v>
      </c>
      <c r="AI117" s="128"/>
      <c r="AJ117" s="6"/>
    </row>
    <row r="118" spans="1:36" s="7" customFormat="1" ht="22.5" customHeight="1">
      <c r="A118" s="127" t="s">
        <v>21</v>
      </c>
      <c r="B118" s="111" t="e">
        <f t="shared" si="6"/>
        <v>#REF!</v>
      </c>
      <c r="C118" s="112" t="s">
        <v>5</v>
      </c>
      <c r="D118" s="179" t="e">
        <f t="shared" si="7"/>
        <v>#REF!</v>
      </c>
      <c r="E118" s="111" t="e">
        <f>'(변경)집계표'!H21</f>
        <v>#REF!</v>
      </c>
      <c r="F118" s="112" t="s">
        <v>5</v>
      </c>
      <c r="G118" s="179" t="e">
        <f>'(변경)집계표'!J21</f>
        <v>#REF!</v>
      </c>
      <c r="H118" s="111" t="e">
        <f>'(변경)집계표'!H51</f>
        <v>#REF!</v>
      </c>
      <c r="I118" s="112" t="s">
        <v>5</v>
      </c>
      <c r="J118" s="179" t="e">
        <f>'(변경)집계표'!J51</f>
        <v>#REF!</v>
      </c>
      <c r="K118" s="111" t="e">
        <f>'(변경)집계표'!H81</f>
        <v>#REF!</v>
      </c>
      <c r="L118" s="112" t="s">
        <v>5</v>
      </c>
      <c r="M118" s="179" t="e">
        <f>'(변경)집계표'!J81</f>
        <v>#REF!</v>
      </c>
      <c r="N118" s="111" t="e">
        <f>'(변경)집계표'!H111</f>
        <v>#REF!</v>
      </c>
      <c r="O118" s="112" t="s">
        <v>5</v>
      </c>
      <c r="P118" s="179" t="e">
        <f>'(변경)집계표'!J111</f>
        <v>#REF!</v>
      </c>
      <c r="Q118" s="111" t="e">
        <f>'(변경)집계표'!H141</f>
        <v>#REF!</v>
      </c>
      <c r="R118" s="112" t="s">
        <v>5</v>
      </c>
      <c r="S118" s="140" t="e">
        <f>'(변경)집계표'!J141</f>
        <v>#REF!</v>
      </c>
      <c r="T118" s="111">
        <f>'(변경)집계표'!H171</f>
        <v>0</v>
      </c>
      <c r="U118" s="112" t="s">
        <v>5</v>
      </c>
      <c r="V118" s="140">
        <f>'(변경)집계표'!J171</f>
        <v>0</v>
      </c>
      <c r="W118" s="111">
        <f>'(변경)집계표'!H201</f>
        <v>0</v>
      </c>
      <c r="X118" s="112" t="s">
        <v>5</v>
      </c>
      <c r="Y118" s="140">
        <f>'(변경)집계표'!J201</f>
        <v>0</v>
      </c>
      <c r="Z118" s="111">
        <f>'(변경)집계표'!H231</f>
        <v>0</v>
      </c>
      <c r="AA118" s="112" t="s">
        <v>5</v>
      </c>
      <c r="AB118" s="140">
        <f>'(변경)집계표'!J231</f>
        <v>0</v>
      </c>
      <c r="AC118" s="111">
        <f>'(변경)집계표'!H261</f>
        <v>0</v>
      </c>
      <c r="AD118" s="112" t="s">
        <v>5</v>
      </c>
      <c r="AE118" s="140">
        <f>'(변경)집계표'!J261</f>
        <v>0</v>
      </c>
      <c r="AF118" s="111">
        <f>'(변경)집계표'!H291</f>
        <v>0</v>
      </c>
      <c r="AG118" s="112" t="s">
        <v>5</v>
      </c>
      <c r="AH118" s="140">
        <f>'(변경)집계표'!J291</f>
        <v>0</v>
      </c>
      <c r="AI118" s="128"/>
      <c r="AJ118" s="6"/>
    </row>
    <row r="119" spans="1:36" s="7" customFormat="1" ht="22.5" customHeight="1">
      <c r="A119" s="127" t="s">
        <v>22</v>
      </c>
      <c r="B119" s="111" t="e">
        <f t="shared" si="6"/>
        <v>#REF!</v>
      </c>
      <c r="C119" s="112" t="s">
        <v>5</v>
      </c>
      <c r="D119" s="179" t="e">
        <f t="shared" si="7"/>
        <v>#REF!</v>
      </c>
      <c r="E119" s="111" t="e">
        <f>'(변경)집계표'!H22</f>
        <v>#REF!</v>
      </c>
      <c r="F119" s="112" t="s">
        <v>5</v>
      </c>
      <c r="G119" s="179" t="e">
        <f>'(변경)집계표'!J22</f>
        <v>#REF!</v>
      </c>
      <c r="H119" s="111" t="e">
        <f>'(변경)집계표'!H52</f>
        <v>#REF!</v>
      </c>
      <c r="I119" s="112" t="s">
        <v>5</v>
      </c>
      <c r="J119" s="179" t="e">
        <f>'(변경)집계표'!J52</f>
        <v>#REF!</v>
      </c>
      <c r="K119" s="111" t="e">
        <f>'(변경)집계표'!H82</f>
        <v>#REF!</v>
      </c>
      <c r="L119" s="112" t="s">
        <v>5</v>
      </c>
      <c r="M119" s="179" t="e">
        <f>'(변경)집계표'!J82</f>
        <v>#REF!</v>
      </c>
      <c r="N119" s="111" t="e">
        <f>'(변경)집계표'!H112</f>
        <v>#REF!</v>
      </c>
      <c r="O119" s="112" t="s">
        <v>5</v>
      </c>
      <c r="P119" s="179" t="e">
        <f>'(변경)집계표'!J112</f>
        <v>#REF!</v>
      </c>
      <c r="Q119" s="111" t="e">
        <f>'(변경)집계표'!H142</f>
        <v>#REF!</v>
      </c>
      <c r="R119" s="112" t="s">
        <v>5</v>
      </c>
      <c r="S119" s="140" t="e">
        <f>'(변경)집계표'!J142</f>
        <v>#REF!</v>
      </c>
      <c r="T119" s="111">
        <f>'(변경)집계표'!H172</f>
        <v>0</v>
      </c>
      <c r="U119" s="112" t="s">
        <v>5</v>
      </c>
      <c r="V119" s="140">
        <f>'(변경)집계표'!J172</f>
        <v>0</v>
      </c>
      <c r="W119" s="111">
        <f>'(변경)집계표'!H202</f>
        <v>0</v>
      </c>
      <c r="X119" s="112" t="s">
        <v>5</v>
      </c>
      <c r="Y119" s="140">
        <f>'(변경)집계표'!J202</f>
        <v>0</v>
      </c>
      <c r="Z119" s="111">
        <f>'(변경)집계표'!H232</f>
        <v>0</v>
      </c>
      <c r="AA119" s="112" t="s">
        <v>5</v>
      </c>
      <c r="AB119" s="140">
        <f>'(변경)집계표'!J232</f>
        <v>0</v>
      </c>
      <c r="AC119" s="111">
        <f>'(변경)집계표'!H262</f>
        <v>0</v>
      </c>
      <c r="AD119" s="112" t="s">
        <v>5</v>
      </c>
      <c r="AE119" s="140">
        <f>'(변경)집계표'!J262</f>
        <v>0</v>
      </c>
      <c r="AF119" s="111">
        <f>'(변경)집계표'!H292</f>
        <v>0</v>
      </c>
      <c r="AG119" s="112" t="s">
        <v>5</v>
      </c>
      <c r="AH119" s="140">
        <f>'(변경)집계표'!J292</f>
        <v>0</v>
      </c>
      <c r="AI119" s="128"/>
      <c r="AJ119" s="6"/>
    </row>
    <row r="120" spans="1:36" s="7" customFormat="1" ht="22.5" customHeight="1">
      <c r="A120" s="127" t="s">
        <v>23</v>
      </c>
      <c r="B120" s="111" t="e">
        <f t="shared" si="6"/>
        <v>#REF!</v>
      </c>
      <c r="C120" s="112" t="s">
        <v>5</v>
      </c>
      <c r="D120" s="179" t="e">
        <f t="shared" si="7"/>
        <v>#REF!</v>
      </c>
      <c r="E120" s="111" t="e">
        <f>'(변경)집계표'!H23</f>
        <v>#REF!</v>
      </c>
      <c r="F120" s="112" t="s">
        <v>5</v>
      </c>
      <c r="G120" s="179" t="e">
        <f>'(변경)집계표'!J23</f>
        <v>#REF!</v>
      </c>
      <c r="H120" s="111" t="e">
        <f>'(변경)집계표'!H53</f>
        <v>#REF!</v>
      </c>
      <c r="I120" s="112" t="s">
        <v>5</v>
      </c>
      <c r="J120" s="179" t="e">
        <f>'(변경)집계표'!J53</f>
        <v>#REF!</v>
      </c>
      <c r="K120" s="111" t="e">
        <f>'(변경)집계표'!H83</f>
        <v>#REF!</v>
      </c>
      <c r="L120" s="112" t="s">
        <v>5</v>
      </c>
      <c r="M120" s="179" t="e">
        <f>'(변경)집계표'!J83</f>
        <v>#REF!</v>
      </c>
      <c r="N120" s="111" t="e">
        <f>'(변경)집계표'!H113</f>
        <v>#REF!</v>
      </c>
      <c r="O120" s="112" t="s">
        <v>5</v>
      </c>
      <c r="P120" s="179" t="e">
        <f>'(변경)집계표'!J113</f>
        <v>#REF!</v>
      </c>
      <c r="Q120" s="111" t="e">
        <f>'(변경)집계표'!H143</f>
        <v>#REF!</v>
      </c>
      <c r="R120" s="112" t="s">
        <v>5</v>
      </c>
      <c r="S120" s="140" t="e">
        <f>'(변경)집계표'!J143</f>
        <v>#REF!</v>
      </c>
      <c r="T120" s="111">
        <f>'(변경)집계표'!H173</f>
        <v>0</v>
      </c>
      <c r="U120" s="112" t="s">
        <v>5</v>
      </c>
      <c r="V120" s="140">
        <f>'(변경)집계표'!J173</f>
        <v>0</v>
      </c>
      <c r="W120" s="111">
        <f>'(변경)집계표'!H203</f>
        <v>0</v>
      </c>
      <c r="X120" s="112" t="s">
        <v>5</v>
      </c>
      <c r="Y120" s="140">
        <f>'(변경)집계표'!J203</f>
        <v>0</v>
      </c>
      <c r="Z120" s="111">
        <f>'(변경)집계표'!H233</f>
        <v>0</v>
      </c>
      <c r="AA120" s="112" t="s">
        <v>5</v>
      </c>
      <c r="AB120" s="140">
        <f>'(변경)집계표'!J233</f>
        <v>0</v>
      </c>
      <c r="AC120" s="111">
        <f>'(변경)집계표'!H263</f>
        <v>0</v>
      </c>
      <c r="AD120" s="112" t="s">
        <v>5</v>
      </c>
      <c r="AE120" s="140">
        <f>'(변경)집계표'!J263</f>
        <v>0</v>
      </c>
      <c r="AF120" s="111">
        <f>'(변경)집계표'!H293</f>
        <v>0</v>
      </c>
      <c r="AG120" s="112" t="s">
        <v>5</v>
      </c>
      <c r="AH120" s="140">
        <f>'(변경)집계표'!J293</f>
        <v>0</v>
      </c>
      <c r="AI120" s="128"/>
      <c r="AJ120" s="6"/>
    </row>
    <row r="121" spans="1:36" s="7" customFormat="1" ht="22.5" customHeight="1">
      <c r="A121" s="129" t="s">
        <v>24</v>
      </c>
      <c r="B121" s="111" t="e">
        <f t="shared" si="6"/>
        <v>#REF!</v>
      </c>
      <c r="C121" s="112" t="s">
        <v>5</v>
      </c>
      <c r="D121" s="179" t="e">
        <f t="shared" si="7"/>
        <v>#REF!</v>
      </c>
      <c r="E121" s="111" t="e">
        <f>'(변경)집계표'!H24</f>
        <v>#REF!</v>
      </c>
      <c r="F121" s="112" t="s">
        <v>5</v>
      </c>
      <c r="G121" s="179" t="e">
        <f>'(변경)집계표'!J24</f>
        <v>#REF!</v>
      </c>
      <c r="H121" s="111" t="e">
        <f>'(변경)집계표'!H54</f>
        <v>#REF!</v>
      </c>
      <c r="I121" s="112" t="s">
        <v>5</v>
      </c>
      <c r="J121" s="179" t="e">
        <f>'(변경)집계표'!J54</f>
        <v>#REF!</v>
      </c>
      <c r="K121" s="111" t="e">
        <f>'(변경)집계표'!H84</f>
        <v>#REF!</v>
      </c>
      <c r="L121" s="112" t="s">
        <v>5</v>
      </c>
      <c r="M121" s="179" t="e">
        <f>'(변경)집계표'!J84</f>
        <v>#REF!</v>
      </c>
      <c r="N121" s="111" t="e">
        <f>'(변경)집계표'!H114</f>
        <v>#REF!</v>
      </c>
      <c r="O121" s="112" t="s">
        <v>5</v>
      </c>
      <c r="P121" s="179" t="e">
        <f>'(변경)집계표'!J114</f>
        <v>#REF!</v>
      </c>
      <c r="Q121" s="111" t="e">
        <f>'(변경)집계표'!H144</f>
        <v>#REF!</v>
      </c>
      <c r="R121" s="112" t="s">
        <v>5</v>
      </c>
      <c r="S121" s="140" t="e">
        <f>'(변경)집계표'!J144</f>
        <v>#REF!</v>
      </c>
      <c r="T121" s="111">
        <f>'(변경)집계표'!H174</f>
        <v>0</v>
      </c>
      <c r="U121" s="112" t="s">
        <v>5</v>
      </c>
      <c r="V121" s="140">
        <f>'(변경)집계표'!J174</f>
        <v>0</v>
      </c>
      <c r="W121" s="111">
        <f>'(변경)집계표'!H204</f>
        <v>0</v>
      </c>
      <c r="X121" s="112" t="s">
        <v>5</v>
      </c>
      <c r="Y121" s="140">
        <f>'(변경)집계표'!J204</f>
        <v>0</v>
      </c>
      <c r="Z121" s="111">
        <f>'(변경)집계표'!H234</f>
        <v>0</v>
      </c>
      <c r="AA121" s="112" t="s">
        <v>5</v>
      </c>
      <c r="AB121" s="140">
        <f>'(변경)집계표'!J234</f>
        <v>0</v>
      </c>
      <c r="AC121" s="111">
        <f>'(변경)집계표'!H264</f>
        <v>0</v>
      </c>
      <c r="AD121" s="112" t="s">
        <v>5</v>
      </c>
      <c r="AE121" s="140">
        <f>'(변경)집계표'!J264</f>
        <v>0</v>
      </c>
      <c r="AF121" s="111">
        <f>'(변경)집계표'!H294</f>
        <v>0</v>
      </c>
      <c r="AG121" s="112" t="s">
        <v>5</v>
      </c>
      <c r="AH121" s="140">
        <f>'(변경)집계표'!J294</f>
        <v>0</v>
      </c>
      <c r="AI121" s="128"/>
      <c r="AJ121" s="6"/>
    </row>
    <row r="122" spans="1:36" s="7" customFormat="1" ht="22.5" customHeight="1">
      <c r="A122" s="129" t="s">
        <v>25</v>
      </c>
      <c r="B122" s="111" t="e">
        <f t="shared" si="6"/>
        <v>#REF!</v>
      </c>
      <c r="C122" s="112" t="s">
        <v>5</v>
      </c>
      <c r="D122" s="179" t="e">
        <f t="shared" si="7"/>
        <v>#REF!</v>
      </c>
      <c r="E122" s="111" t="e">
        <f>'(변경)집계표'!H25</f>
        <v>#REF!</v>
      </c>
      <c r="F122" s="112" t="s">
        <v>5</v>
      </c>
      <c r="G122" s="179" t="e">
        <f>'(변경)집계표'!J25</f>
        <v>#REF!</v>
      </c>
      <c r="H122" s="111" t="e">
        <f>'(변경)집계표'!H55</f>
        <v>#REF!</v>
      </c>
      <c r="I122" s="112" t="s">
        <v>5</v>
      </c>
      <c r="J122" s="179" t="e">
        <f>'(변경)집계표'!J55</f>
        <v>#REF!</v>
      </c>
      <c r="K122" s="111" t="e">
        <f>'(변경)집계표'!H85</f>
        <v>#REF!</v>
      </c>
      <c r="L122" s="112" t="s">
        <v>5</v>
      </c>
      <c r="M122" s="179" t="e">
        <f>'(변경)집계표'!J85</f>
        <v>#REF!</v>
      </c>
      <c r="N122" s="111" t="e">
        <f>'(변경)집계표'!H115</f>
        <v>#REF!</v>
      </c>
      <c r="O122" s="112" t="s">
        <v>5</v>
      </c>
      <c r="P122" s="179" t="e">
        <f>'(변경)집계표'!J115</f>
        <v>#REF!</v>
      </c>
      <c r="Q122" s="111" t="e">
        <f>'(변경)집계표'!H145</f>
        <v>#REF!</v>
      </c>
      <c r="R122" s="112" t="s">
        <v>5</v>
      </c>
      <c r="S122" s="140" t="e">
        <f>'(변경)집계표'!J145</f>
        <v>#REF!</v>
      </c>
      <c r="T122" s="111">
        <f>'(변경)집계표'!H175</f>
        <v>0</v>
      </c>
      <c r="U122" s="112" t="s">
        <v>5</v>
      </c>
      <c r="V122" s="140">
        <f>'(변경)집계표'!J175</f>
        <v>0</v>
      </c>
      <c r="W122" s="111">
        <f>'(변경)집계표'!H205</f>
        <v>0</v>
      </c>
      <c r="X122" s="112" t="s">
        <v>5</v>
      </c>
      <c r="Y122" s="140">
        <f>'(변경)집계표'!J205</f>
        <v>0</v>
      </c>
      <c r="Z122" s="111">
        <f>'(변경)집계표'!H235</f>
        <v>0</v>
      </c>
      <c r="AA122" s="112" t="s">
        <v>5</v>
      </c>
      <c r="AB122" s="140">
        <f>'(변경)집계표'!J235</f>
        <v>0</v>
      </c>
      <c r="AC122" s="111">
        <f>'(변경)집계표'!H265</f>
        <v>0</v>
      </c>
      <c r="AD122" s="112" t="s">
        <v>5</v>
      </c>
      <c r="AE122" s="140">
        <f>'(변경)집계표'!J265</f>
        <v>0</v>
      </c>
      <c r="AF122" s="111">
        <f>'(변경)집계표'!H295</f>
        <v>0</v>
      </c>
      <c r="AG122" s="112" t="s">
        <v>5</v>
      </c>
      <c r="AH122" s="140">
        <f>'(변경)집계표'!J295</f>
        <v>0</v>
      </c>
      <c r="AI122" s="128"/>
      <c r="AJ122" s="6"/>
    </row>
    <row r="123" spans="1:36" s="7" customFormat="1" ht="22.5" customHeight="1">
      <c r="A123" s="129" t="s">
        <v>26</v>
      </c>
      <c r="B123" s="111" t="e">
        <f t="shared" si="6"/>
        <v>#REF!</v>
      </c>
      <c r="C123" s="112" t="s">
        <v>5</v>
      </c>
      <c r="D123" s="179" t="e">
        <f t="shared" si="7"/>
        <v>#REF!</v>
      </c>
      <c r="E123" s="111" t="e">
        <f>'(변경)집계표'!H26</f>
        <v>#REF!</v>
      </c>
      <c r="F123" s="112" t="s">
        <v>5</v>
      </c>
      <c r="G123" s="179" t="e">
        <f>'(변경)집계표'!J26</f>
        <v>#REF!</v>
      </c>
      <c r="H123" s="111" t="e">
        <f>'(변경)집계표'!H56</f>
        <v>#REF!</v>
      </c>
      <c r="I123" s="112" t="s">
        <v>5</v>
      </c>
      <c r="J123" s="179" t="e">
        <f>'(변경)집계표'!J56</f>
        <v>#REF!</v>
      </c>
      <c r="K123" s="111" t="e">
        <f>'(변경)집계표'!H86</f>
        <v>#REF!</v>
      </c>
      <c r="L123" s="112" t="s">
        <v>5</v>
      </c>
      <c r="M123" s="179" t="e">
        <f>'(변경)집계표'!J86</f>
        <v>#REF!</v>
      </c>
      <c r="N123" s="111" t="e">
        <f>'(변경)집계표'!H116</f>
        <v>#REF!</v>
      </c>
      <c r="O123" s="112" t="s">
        <v>5</v>
      </c>
      <c r="P123" s="179" t="e">
        <f>'(변경)집계표'!J116</f>
        <v>#REF!</v>
      </c>
      <c r="Q123" s="111" t="e">
        <f>'(변경)집계표'!H146</f>
        <v>#REF!</v>
      </c>
      <c r="R123" s="112" t="s">
        <v>5</v>
      </c>
      <c r="S123" s="140" t="e">
        <f>'(변경)집계표'!J146</f>
        <v>#REF!</v>
      </c>
      <c r="T123" s="111">
        <f>'(변경)집계표'!H176</f>
        <v>0</v>
      </c>
      <c r="U123" s="112" t="s">
        <v>5</v>
      </c>
      <c r="V123" s="140">
        <f>'(변경)집계표'!J176</f>
        <v>0</v>
      </c>
      <c r="W123" s="111">
        <f>'(변경)집계표'!H206</f>
        <v>0</v>
      </c>
      <c r="X123" s="112" t="s">
        <v>5</v>
      </c>
      <c r="Y123" s="140">
        <f>'(변경)집계표'!J206</f>
        <v>0</v>
      </c>
      <c r="Z123" s="111">
        <f>'(변경)집계표'!H236</f>
        <v>0</v>
      </c>
      <c r="AA123" s="112" t="s">
        <v>5</v>
      </c>
      <c r="AB123" s="140">
        <f>'(변경)집계표'!J236</f>
        <v>0</v>
      </c>
      <c r="AC123" s="111">
        <f>'(변경)집계표'!H266</f>
        <v>0</v>
      </c>
      <c r="AD123" s="112" t="s">
        <v>5</v>
      </c>
      <c r="AE123" s="140">
        <f>'(변경)집계표'!J266</f>
        <v>0</v>
      </c>
      <c r="AF123" s="111">
        <f>'(변경)집계표'!H296</f>
        <v>0</v>
      </c>
      <c r="AG123" s="112" t="s">
        <v>5</v>
      </c>
      <c r="AH123" s="140">
        <f>'(변경)집계표'!J296</f>
        <v>0</v>
      </c>
      <c r="AI123" s="128"/>
      <c r="AJ123" s="6"/>
    </row>
    <row r="124" spans="1:36" s="7" customFormat="1" ht="22.5" customHeight="1">
      <c r="A124" s="129" t="s">
        <v>27</v>
      </c>
      <c r="B124" s="111" t="e">
        <f t="shared" si="6"/>
        <v>#REF!</v>
      </c>
      <c r="C124" s="112" t="s">
        <v>5</v>
      </c>
      <c r="D124" s="179" t="e">
        <f t="shared" si="7"/>
        <v>#REF!</v>
      </c>
      <c r="E124" s="111" t="e">
        <f>'(변경)집계표'!H27</f>
        <v>#REF!</v>
      </c>
      <c r="F124" s="112" t="s">
        <v>5</v>
      </c>
      <c r="G124" s="179" t="e">
        <f>'(변경)집계표'!J27</f>
        <v>#REF!</v>
      </c>
      <c r="H124" s="111" t="e">
        <f>'(변경)집계표'!H57</f>
        <v>#REF!</v>
      </c>
      <c r="I124" s="112" t="s">
        <v>5</v>
      </c>
      <c r="J124" s="179" t="e">
        <f>'(변경)집계표'!J57</f>
        <v>#REF!</v>
      </c>
      <c r="K124" s="111" t="e">
        <f>'(변경)집계표'!H87</f>
        <v>#REF!</v>
      </c>
      <c r="L124" s="112" t="s">
        <v>5</v>
      </c>
      <c r="M124" s="179" t="e">
        <f>'(변경)집계표'!J87</f>
        <v>#REF!</v>
      </c>
      <c r="N124" s="111" t="e">
        <f>'(변경)집계표'!H117</f>
        <v>#REF!</v>
      </c>
      <c r="O124" s="112" t="s">
        <v>5</v>
      </c>
      <c r="P124" s="179" t="e">
        <f>'(변경)집계표'!J117</f>
        <v>#REF!</v>
      </c>
      <c r="Q124" s="111" t="e">
        <f>'(변경)집계표'!H147</f>
        <v>#REF!</v>
      </c>
      <c r="R124" s="112" t="s">
        <v>5</v>
      </c>
      <c r="S124" s="140" t="e">
        <f>'(변경)집계표'!J147</f>
        <v>#REF!</v>
      </c>
      <c r="T124" s="111">
        <f>'(변경)집계표'!H177</f>
        <v>0</v>
      </c>
      <c r="U124" s="112" t="s">
        <v>5</v>
      </c>
      <c r="V124" s="140">
        <f>'(변경)집계표'!J177</f>
        <v>0</v>
      </c>
      <c r="W124" s="111">
        <f>'(변경)집계표'!H207</f>
        <v>0</v>
      </c>
      <c r="X124" s="112" t="s">
        <v>5</v>
      </c>
      <c r="Y124" s="140">
        <f>'(변경)집계표'!J207</f>
        <v>0</v>
      </c>
      <c r="Z124" s="111">
        <f>'(변경)집계표'!H237</f>
        <v>0</v>
      </c>
      <c r="AA124" s="112" t="s">
        <v>5</v>
      </c>
      <c r="AB124" s="140">
        <f>'(변경)집계표'!J237</f>
        <v>0</v>
      </c>
      <c r="AC124" s="111">
        <f>'(변경)집계표'!H267</f>
        <v>0</v>
      </c>
      <c r="AD124" s="112" t="s">
        <v>5</v>
      </c>
      <c r="AE124" s="140">
        <f>'(변경)집계표'!J267</f>
        <v>0</v>
      </c>
      <c r="AF124" s="111">
        <f>'(변경)집계표'!H297</f>
        <v>0</v>
      </c>
      <c r="AG124" s="112" t="s">
        <v>5</v>
      </c>
      <c r="AH124" s="140">
        <f>'(변경)집계표'!J297</f>
        <v>0</v>
      </c>
      <c r="AI124" s="128"/>
      <c r="AJ124" s="6"/>
    </row>
    <row r="125" spans="1:36" s="7" customFormat="1" ht="22.5" customHeight="1">
      <c r="A125" s="129" t="s">
        <v>28</v>
      </c>
      <c r="B125" s="111" t="e">
        <f t="shared" si="6"/>
        <v>#REF!</v>
      </c>
      <c r="C125" s="112" t="s">
        <v>5</v>
      </c>
      <c r="D125" s="179" t="e">
        <f t="shared" si="7"/>
        <v>#REF!</v>
      </c>
      <c r="E125" s="111" t="e">
        <f>'(변경)집계표'!H28</f>
        <v>#REF!</v>
      </c>
      <c r="F125" s="112" t="s">
        <v>5</v>
      </c>
      <c r="G125" s="179" t="e">
        <f>'(변경)집계표'!J28</f>
        <v>#REF!</v>
      </c>
      <c r="H125" s="111" t="e">
        <f>'(변경)집계표'!H58</f>
        <v>#REF!</v>
      </c>
      <c r="I125" s="112" t="s">
        <v>5</v>
      </c>
      <c r="J125" s="179" t="e">
        <f>'(변경)집계표'!J58</f>
        <v>#REF!</v>
      </c>
      <c r="K125" s="111" t="e">
        <f>'(변경)집계표'!H88</f>
        <v>#REF!</v>
      </c>
      <c r="L125" s="112" t="s">
        <v>5</v>
      </c>
      <c r="M125" s="179" t="e">
        <f>'(변경)집계표'!J88</f>
        <v>#REF!</v>
      </c>
      <c r="N125" s="111" t="e">
        <f>'(변경)집계표'!H118</f>
        <v>#REF!</v>
      </c>
      <c r="O125" s="112" t="s">
        <v>5</v>
      </c>
      <c r="P125" s="179" t="e">
        <f>'(변경)집계표'!J118</f>
        <v>#REF!</v>
      </c>
      <c r="Q125" s="111" t="e">
        <f>'(변경)집계표'!H148</f>
        <v>#REF!</v>
      </c>
      <c r="R125" s="112" t="s">
        <v>5</v>
      </c>
      <c r="S125" s="140" t="e">
        <f>'(변경)집계표'!J148</f>
        <v>#REF!</v>
      </c>
      <c r="T125" s="111">
        <f>'(변경)집계표'!H178</f>
        <v>0</v>
      </c>
      <c r="U125" s="112" t="s">
        <v>5</v>
      </c>
      <c r="V125" s="140">
        <f>'(변경)집계표'!J178</f>
        <v>0</v>
      </c>
      <c r="W125" s="111">
        <f>'(변경)집계표'!H208</f>
        <v>0</v>
      </c>
      <c r="X125" s="112" t="s">
        <v>5</v>
      </c>
      <c r="Y125" s="140">
        <f>'(변경)집계표'!J208</f>
        <v>0</v>
      </c>
      <c r="Z125" s="111">
        <f>'(변경)집계표'!H238</f>
        <v>0</v>
      </c>
      <c r="AA125" s="112" t="s">
        <v>5</v>
      </c>
      <c r="AB125" s="140">
        <f>'(변경)집계표'!J238</f>
        <v>0</v>
      </c>
      <c r="AC125" s="111">
        <f>'(변경)집계표'!H268</f>
        <v>0</v>
      </c>
      <c r="AD125" s="112" t="s">
        <v>5</v>
      </c>
      <c r="AE125" s="140">
        <f>'(변경)집계표'!J268</f>
        <v>0</v>
      </c>
      <c r="AF125" s="111">
        <f>'(변경)집계표'!H298</f>
        <v>0</v>
      </c>
      <c r="AG125" s="112" t="s">
        <v>5</v>
      </c>
      <c r="AH125" s="140">
        <f>'(변경)집계표'!J298</f>
        <v>0</v>
      </c>
      <c r="AI125" s="128"/>
      <c r="AJ125" s="6"/>
    </row>
    <row r="126" spans="1:36" s="7" customFormat="1" ht="22.5" customHeight="1">
      <c r="A126" s="129" t="s">
        <v>60</v>
      </c>
      <c r="B126" s="111" t="e">
        <f t="shared" si="6"/>
        <v>#REF!</v>
      </c>
      <c r="C126" s="112" t="s">
        <v>5</v>
      </c>
      <c r="D126" s="179" t="e">
        <f t="shared" si="7"/>
        <v>#REF!</v>
      </c>
      <c r="E126" s="111" t="e">
        <f>'(변경)집계표'!H29</f>
        <v>#REF!</v>
      </c>
      <c r="F126" s="112" t="s">
        <v>5</v>
      </c>
      <c r="G126" s="179" t="e">
        <f>'(변경)집계표'!J29</f>
        <v>#REF!</v>
      </c>
      <c r="H126" s="111" t="e">
        <f>'(변경)집계표'!H59</f>
        <v>#REF!</v>
      </c>
      <c r="I126" s="112" t="s">
        <v>5</v>
      </c>
      <c r="J126" s="179" t="e">
        <f>'(변경)집계표'!J59</f>
        <v>#REF!</v>
      </c>
      <c r="K126" s="111" t="e">
        <f>'(변경)집계표'!H89</f>
        <v>#REF!</v>
      </c>
      <c r="L126" s="112" t="s">
        <v>5</v>
      </c>
      <c r="M126" s="179" t="e">
        <f>'(변경)집계표'!J89</f>
        <v>#REF!</v>
      </c>
      <c r="N126" s="111" t="e">
        <f>'(변경)집계표'!H119</f>
        <v>#REF!</v>
      </c>
      <c r="O126" s="112" t="s">
        <v>5</v>
      </c>
      <c r="P126" s="179" t="e">
        <f>'(변경)집계표'!J119</f>
        <v>#REF!</v>
      </c>
      <c r="Q126" s="111" t="e">
        <f>'(변경)집계표'!H149</f>
        <v>#REF!</v>
      </c>
      <c r="R126" s="112" t="s">
        <v>5</v>
      </c>
      <c r="S126" s="140" t="e">
        <f>'(변경)집계표'!J149</f>
        <v>#REF!</v>
      </c>
      <c r="T126" s="111">
        <f>'(변경)집계표'!H179</f>
        <v>0</v>
      </c>
      <c r="U126" s="112" t="s">
        <v>5</v>
      </c>
      <c r="V126" s="140">
        <f>'(변경)집계표'!J179</f>
        <v>0</v>
      </c>
      <c r="W126" s="111">
        <f>'(변경)집계표'!H209</f>
        <v>0</v>
      </c>
      <c r="X126" s="112" t="s">
        <v>5</v>
      </c>
      <c r="Y126" s="140">
        <f>'(변경)집계표'!J209</f>
        <v>0</v>
      </c>
      <c r="Z126" s="111">
        <f>'(변경)집계표'!H239</f>
        <v>0</v>
      </c>
      <c r="AA126" s="112" t="s">
        <v>5</v>
      </c>
      <c r="AB126" s="140">
        <f>'(변경)집계표'!J239</f>
        <v>0</v>
      </c>
      <c r="AC126" s="111">
        <f>'(변경)집계표'!H269</f>
        <v>0</v>
      </c>
      <c r="AD126" s="112" t="s">
        <v>5</v>
      </c>
      <c r="AE126" s="140">
        <f>'(변경)집계표'!J269</f>
        <v>0</v>
      </c>
      <c r="AF126" s="111">
        <f>'(변경)집계표'!H299</f>
        <v>0</v>
      </c>
      <c r="AG126" s="112" t="s">
        <v>5</v>
      </c>
      <c r="AH126" s="140">
        <f>'(변경)집계표'!J299</f>
        <v>0</v>
      </c>
      <c r="AI126" s="128"/>
      <c r="AJ126" s="6"/>
    </row>
    <row r="127" spans="1:36" s="7" customFormat="1" ht="22.5" customHeight="1">
      <c r="A127" s="129" t="s">
        <v>70</v>
      </c>
      <c r="B127" s="111" t="e">
        <f t="shared" si="6"/>
        <v>#REF!</v>
      </c>
      <c r="C127" s="112" t="s">
        <v>5</v>
      </c>
      <c r="D127" s="179" t="e">
        <f t="shared" si="7"/>
        <v>#REF!</v>
      </c>
      <c r="E127" s="111" t="e">
        <f>'(변경)집계표'!H30</f>
        <v>#REF!</v>
      </c>
      <c r="F127" s="112" t="s">
        <v>5</v>
      </c>
      <c r="G127" s="179" t="e">
        <f>'(변경)집계표'!J30</f>
        <v>#REF!</v>
      </c>
      <c r="H127" s="111" t="e">
        <f>'(변경)집계표'!H60</f>
        <v>#REF!</v>
      </c>
      <c r="I127" s="112" t="s">
        <v>5</v>
      </c>
      <c r="J127" s="179" t="e">
        <f>'(변경)집계표'!J60</f>
        <v>#REF!</v>
      </c>
      <c r="K127" s="111" t="e">
        <f>'(변경)집계표'!H90</f>
        <v>#REF!</v>
      </c>
      <c r="L127" s="112" t="s">
        <v>5</v>
      </c>
      <c r="M127" s="179" t="e">
        <f>'(변경)집계표'!J90</f>
        <v>#REF!</v>
      </c>
      <c r="N127" s="111" t="e">
        <f>'(변경)집계표'!H120</f>
        <v>#REF!</v>
      </c>
      <c r="O127" s="112" t="s">
        <v>5</v>
      </c>
      <c r="P127" s="179" t="e">
        <f>'(변경)집계표'!J120</f>
        <v>#REF!</v>
      </c>
      <c r="Q127" s="111" t="e">
        <f>'(변경)집계표'!H150</f>
        <v>#REF!</v>
      </c>
      <c r="R127" s="112" t="s">
        <v>5</v>
      </c>
      <c r="S127" s="140" t="e">
        <f>'(변경)집계표'!J150</f>
        <v>#REF!</v>
      </c>
      <c r="T127" s="111">
        <f>'(변경)집계표'!H180</f>
        <v>0</v>
      </c>
      <c r="U127" s="112" t="s">
        <v>5</v>
      </c>
      <c r="V127" s="140">
        <f>'(변경)집계표'!J180</f>
        <v>0</v>
      </c>
      <c r="W127" s="111">
        <f>'(변경)집계표'!H210</f>
        <v>0</v>
      </c>
      <c r="X127" s="112" t="s">
        <v>5</v>
      </c>
      <c r="Y127" s="140">
        <f>'(변경)집계표'!J210</f>
        <v>0</v>
      </c>
      <c r="Z127" s="111">
        <f>'(변경)집계표'!H240</f>
        <v>0</v>
      </c>
      <c r="AA127" s="112" t="s">
        <v>5</v>
      </c>
      <c r="AB127" s="140">
        <f>'(변경)집계표'!J240</f>
        <v>0</v>
      </c>
      <c r="AC127" s="111">
        <f>'(변경)집계표'!H270</f>
        <v>0</v>
      </c>
      <c r="AD127" s="112" t="s">
        <v>5</v>
      </c>
      <c r="AE127" s="140">
        <f>'(변경)집계표'!J270</f>
        <v>0</v>
      </c>
      <c r="AF127" s="111">
        <f>'(변경)집계표'!H300</f>
        <v>0</v>
      </c>
      <c r="AG127" s="112" t="s">
        <v>5</v>
      </c>
      <c r="AH127" s="140">
        <f>'(변경)집계표'!J300</f>
        <v>0</v>
      </c>
      <c r="AI127" s="128"/>
      <c r="AJ127" s="6"/>
    </row>
    <row r="128" spans="1:36" s="7" customFormat="1" ht="22.5" customHeight="1" thickBot="1">
      <c r="A128" s="130" t="s">
        <v>62</v>
      </c>
      <c r="B128" s="131" t="e">
        <f t="shared" si="6"/>
        <v>#REF!</v>
      </c>
      <c r="C128" s="132" t="s">
        <v>5</v>
      </c>
      <c r="D128" s="180" t="e">
        <f t="shared" si="7"/>
        <v>#REF!</v>
      </c>
      <c r="E128" s="131" t="e">
        <f>'(변경)집계표'!H31</f>
        <v>#REF!</v>
      </c>
      <c r="F128" s="132" t="s">
        <v>5</v>
      </c>
      <c r="G128" s="180" t="e">
        <f>'(변경)집계표'!J31</f>
        <v>#REF!</v>
      </c>
      <c r="H128" s="131" t="e">
        <f>'(변경)집계표'!H61</f>
        <v>#REF!</v>
      </c>
      <c r="I128" s="132" t="s">
        <v>5</v>
      </c>
      <c r="J128" s="180" t="e">
        <f>'(변경)집계표'!J61</f>
        <v>#REF!</v>
      </c>
      <c r="K128" s="131" t="e">
        <f>'(변경)집계표'!H91</f>
        <v>#REF!</v>
      </c>
      <c r="L128" s="132" t="s">
        <v>5</v>
      </c>
      <c r="M128" s="180" t="e">
        <f>'(변경)집계표'!J91</f>
        <v>#REF!</v>
      </c>
      <c r="N128" s="131" t="e">
        <f>'(변경)집계표'!H121</f>
        <v>#REF!</v>
      </c>
      <c r="O128" s="132" t="s">
        <v>5</v>
      </c>
      <c r="P128" s="180" t="e">
        <f>'(변경)집계표'!J121</f>
        <v>#REF!</v>
      </c>
      <c r="Q128" s="131" t="e">
        <f>'(변경)집계표'!H151</f>
        <v>#REF!</v>
      </c>
      <c r="R128" s="132" t="s">
        <v>5</v>
      </c>
      <c r="S128" s="141" t="e">
        <f>'(변경)집계표'!J151</f>
        <v>#REF!</v>
      </c>
      <c r="T128" s="131">
        <f>'(변경)집계표'!H181</f>
        <v>0</v>
      </c>
      <c r="U128" s="132" t="s">
        <v>5</v>
      </c>
      <c r="V128" s="141">
        <f>'(변경)집계표'!J181</f>
        <v>0</v>
      </c>
      <c r="W128" s="131">
        <f>'(변경)집계표'!H211</f>
        <v>0</v>
      </c>
      <c r="X128" s="132" t="s">
        <v>5</v>
      </c>
      <c r="Y128" s="141">
        <f>'(변경)집계표'!J211</f>
        <v>0</v>
      </c>
      <c r="Z128" s="131">
        <f>'(변경)집계표'!H241</f>
        <v>0</v>
      </c>
      <c r="AA128" s="132" t="s">
        <v>5</v>
      </c>
      <c r="AB128" s="141">
        <f>'(변경)집계표'!J241</f>
        <v>0</v>
      </c>
      <c r="AC128" s="131">
        <f>'(변경)집계표'!H271</f>
        <v>0</v>
      </c>
      <c r="AD128" s="132" t="s">
        <v>5</v>
      </c>
      <c r="AE128" s="141">
        <f>'(변경)집계표'!J271</f>
        <v>0</v>
      </c>
      <c r="AF128" s="131">
        <f>'(변경)집계표'!H301</f>
        <v>0</v>
      </c>
      <c r="AG128" s="132" t="s">
        <v>5</v>
      </c>
      <c r="AH128" s="141">
        <f>'(변경)집계표'!J301</f>
        <v>0</v>
      </c>
      <c r="AI128" s="133"/>
      <c r="AJ128" s="6"/>
    </row>
    <row r="129" spans="35:36" ht="18" customHeight="1">
      <c r="AI129" s="5"/>
      <c r="AJ129" s="5"/>
    </row>
    <row r="130" spans="35:36" ht="18" customHeight="1">
      <c r="AI130" s="5"/>
      <c r="AJ130" s="5"/>
    </row>
    <row r="131" spans="35:36" ht="18" customHeight="1">
      <c r="AI131" s="5"/>
      <c r="AJ131" s="5"/>
    </row>
    <row r="132" spans="35:36" ht="18" customHeight="1">
      <c r="AI132" s="5"/>
      <c r="AJ132" s="5"/>
    </row>
    <row r="133" spans="35:36" ht="18" customHeight="1">
      <c r="AI133" s="5"/>
      <c r="AJ133" s="5"/>
    </row>
    <row r="134" spans="35:36" ht="18" customHeight="1">
      <c r="AI134" s="5"/>
      <c r="AJ134" s="5"/>
    </row>
    <row r="135" spans="35:36" ht="18" customHeight="1">
      <c r="AI135" s="5"/>
      <c r="AJ135" s="5"/>
    </row>
    <row r="136" spans="35:36" ht="18" customHeight="1">
      <c r="AI136" s="5"/>
      <c r="AJ136" s="5"/>
    </row>
    <row r="137" spans="35:36" ht="18" customHeight="1">
      <c r="AI137" s="5"/>
      <c r="AJ137" s="5"/>
    </row>
    <row r="138" spans="35:36" ht="18" customHeight="1">
      <c r="AI138" s="5"/>
      <c r="AJ138" s="5"/>
    </row>
    <row r="139" spans="35:36" ht="18" customHeight="1">
      <c r="AI139" s="5"/>
      <c r="AJ139" s="5"/>
    </row>
    <row r="140" spans="35:36" ht="18" customHeight="1">
      <c r="AI140" s="5"/>
      <c r="AJ140" s="5"/>
    </row>
    <row r="141" spans="35:36" ht="18" customHeight="1">
      <c r="AI141" s="5"/>
      <c r="AJ141" s="5"/>
    </row>
    <row r="142" spans="35:36" ht="18" customHeight="1">
      <c r="AI142" s="5"/>
      <c r="AJ142" s="5"/>
    </row>
    <row r="143" spans="35:36" ht="18" customHeight="1">
      <c r="AI143" s="5"/>
      <c r="AJ143" s="5"/>
    </row>
    <row r="144" spans="35:36" ht="18" customHeight="1">
      <c r="AI144" s="5"/>
      <c r="AJ144" s="5"/>
    </row>
    <row r="145" spans="35:36" ht="18" customHeight="1">
      <c r="AI145" s="5"/>
      <c r="AJ145" s="5"/>
    </row>
    <row r="146" spans="35:36" ht="18" customHeight="1">
      <c r="AI146" s="5"/>
      <c r="AJ146" s="5"/>
    </row>
    <row r="147" spans="35:36" ht="18" customHeight="1">
      <c r="AI147" s="5"/>
      <c r="AJ147" s="5"/>
    </row>
    <row r="148" spans="35:36" ht="18" customHeight="1">
      <c r="AI148" s="5"/>
      <c r="AJ148" s="5"/>
    </row>
    <row r="149" spans="35:36" ht="18" customHeight="1">
      <c r="AI149" s="5"/>
      <c r="AJ149" s="5"/>
    </row>
    <row r="150" spans="35:36" ht="18" customHeight="1">
      <c r="AI150" s="5"/>
      <c r="AJ150" s="5"/>
    </row>
    <row r="151" spans="35:36" ht="18" customHeight="1">
      <c r="AI151" s="5"/>
      <c r="AJ151" s="5"/>
    </row>
    <row r="152" spans="35:36" ht="18" customHeight="1">
      <c r="AI152" s="5"/>
      <c r="AJ152" s="5"/>
    </row>
    <row r="153" spans="35:36" ht="18" customHeight="1">
      <c r="AI153" s="5"/>
      <c r="AJ153" s="5"/>
    </row>
    <row r="154" spans="35:36" ht="18" customHeight="1">
      <c r="AI154" s="5"/>
      <c r="AJ154" s="5"/>
    </row>
    <row r="155" spans="35:36" ht="18" customHeight="1">
      <c r="AI155" s="5"/>
      <c r="AJ155" s="5"/>
    </row>
    <row r="156" spans="35:36" ht="18" customHeight="1">
      <c r="AI156" s="5"/>
      <c r="AJ156" s="5"/>
    </row>
    <row r="157" spans="35:36" ht="18" customHeight="1">
      <c r="AI157" s="5"/>
      <c r="AJ157" s="5"/>
    </row>
  </sheetData>
  <mergeCells count="8">
    <mergeCell ref="B3:D5"/>
    <mergeCell ref="B35:D37"/>
    <mergeCell ref="AI3:AI6"/>
    <mergeCell ref="B67:D69"/>
    <mergeCell ref="B99:D101"/>
    <mergeCell ref="AI35:AI38"/>
    <mergeCell ref="AI67:AI70"/>
    <mergeCell ref="AI99:AI102"/>
  </mergeCells>
  <phoneticPr fontId="5" type="noConversion"/>
  <printOptions horizontalCentered="1" verticalCentered="1"/>
  <pageMargins left="0.19685039370078741" right="0.19685039370078741" top="0.55118110236220474" bottom="0.27559055118110237" header="0.27559055118110237" footer="0.19685039370078741"/>
  <pageSetup paperSize="9" scale="85" orientation="portrait" r:id="rId1"/>
  <headerFooter alignWithMargins="0"/>
  <rowBreaks count="3" manualBreakCount="3">
    <brk id="32" max="16383" man="1"/>
    <brk id="64" max="16383" man="1"/>
    <brk id="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9"/>
  <sheetViews>
    <sheetView showGridLines="0" showZeros="0" view="pageBreakPreview" topLeftCell="A16" zoomScale="85" zoomScaleSheetLayoutView="85" workbookViewId="0">
      <selection activeCell="G37" sqref="G37"/>
    </sheetView>
  </sheetViews>
  <sheetFormatPr defaultRowHeight="13.5"/>
  <cols>
    <col min="1" max="1" width="11" style="11" customWidth="1"/>
    <col min="2" max="2" width="5.109375" style="12" customWidth="1"/>
    <col min="3" max="3" width="1.33203125" style="12" customWidth="1"/>
    <col min="4" max="4" width="9.77734375" style="12" customWidth="1"/>
    <col min="5" max="5" width="5.109375" style="12" customWidth="1"/>
    <col min="6" max="6" width="1.33203125" style="12" customWidth="1"/>
    <col min="7" max="7" width="9.77734375" style="12" customWidth="1"/>
    <col min="8" max="8" width="5.109375" style="12" customWidth="1"/>
    <col min="9" max="9" width="1.33203125" style="12" customWidth="1"/>
    <col min="10" max="10" width="9.77734375" style="12" customWidth="1"/>
    <col min="11" max="11" width="5.109375" style="12" customWidth="1"/>
    <col min="12" max="12" width="1.33203125" style="12" customWidth="1"/>
    <col min="13" max="13" width="9.77734375" style="12" customWidth="1"/>
    <col min="14" max="14" width="6.77734375" style="12" customWidth="1"/>
    <col min="15" max="20" width="12.21875" style="44" hidden="1" customWidth="1"/>
    <col min="21" max="22" width="8.33203125" style="44" customWidth="1"/>
    <col min="23" max="16384" width="8.88671875" style="44"/>
  </cols>
  <sheetData>
    <row r="1" spans="1:23" s="10" customFormat="1" ht="60" customHeight="1">
      <c r="A1" s="227" t="s">
        <v>607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3" s="17" customFormat="1" ht="20.100000000000001" customHeight="1">
      <c r="A2" s="11">
        <f ca="1">IF(EXACT(O6,O7),,"검산확인요!!!")</f>
        <v>0</v>
      </c>
      <c r="B2" s="12"/>
      <c r="C2" s="12"/>
      <c r="D2" s="12"/>
      <c r="E2" s="12"/>
      <c r="F2" s="12"/>
      <c r="G2" s="12"/>
      <c r="H2" s="12"/>
      <c r="I2" s="12"/>
      <c r="J2" s="12"/>
      <c r="K2" s="13" t="str">
        <f>IF(ISBLANK('대두리(출력3)'!M2),,'대두리(출력3)'!M2)</f>
        <v>서산시 부석면 대두리</v>
      </c>
      <c r="L2" s="187"/>
      <c r="M2" s="16"/>
      <c r="N2" s="16"/>
    </row>
    <row r="3" spans="1:23" s="17" customFormat="1" ht="9.9499999999999993" customHeight="1">
      <c r="A3" s="228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</row>
    <row r="4" spans="1:23" s="24" customFormat="1" ht="27.95" customHeight="1">
      <c r="A4" s="199" t="s">
        <v>3</v>
      </c>
      <c r="B4" s="489" t="s">
        <v>2</v>
      </c>
      <c r="C4" s="490"/>
      <c r="D4" s="490"/>
      <c r="E4" s="214" t="s">
        <v>29</v>
      </c>
      <c r="F4" s="215"/>
      <c r="G4" s="216"/>
      <c r="H4" s="214" t="s">
        <v>57</v>
      </c>
      <c r="I4" s="215"/>
      <c r="J4" s="216"/>
      <c r="K4" s="214" t="s">
        <v>30</v>
      </c>
      <c r="L4" s="215"/>
      <c r="M4" s="216"/>
      <c r="N4" s="22" t="s">
        <v>31</v>
      </c>
      <c r="O4" s="23"/>
      <c r="S4" s="23"/>
      <c r="T4" s="23"/>
      <c r="U4" s="23"/>
      <c r="V4" s="23"/>
    </row>
    <row r="5" spans="1:23" s="24" customFormat="1" ht="27.95" customHeight="1">
      <c r="A5" s="25"/>
      <c r="B5" s="26" t="s">
        <v>4</v>
      </c>
      <c r="C5" s="27" t="s">
        <v>5</v>
      </c>
      <c r="D5" s="28" t="s">
        <v>32</v>
      </c>
      <c r="E5" s="185" t="s">
        <v>4</v>
      </c>
      <c r="F5" s="186" t="s">
        <v>5</v>
      </c>
      <c r="G5" s="184" t="s">
        <v>32</v>
      </c>
      <c r="H5" s="185" t="s">
        <v>4</v>
      </c>
      <c r="I5" s="186" t="s">
        <v>5</v>
      </c>
      <c r="J5" s="184" t="s">
        <v>32</v>
      </c>
      <c r="K5" s="185" t="s">
        <v>4</v>
      </c>
      <c r="L5" s="186" t="s">
        <v>5</v>
      </c>
      <c r="M5" s="184" t="s">
        <v>32</v>
      </c>
      <c r="N5" s="29"/>
      <c r="P5" s="23"/>
      <c r="Q5" s="30" t="s">
        <v>33</v>
      </c>
      <c r="R5" s="30" t="s">
        <v>34</v>
      </c>
      <c r="S5" s="30" t="s">
        <v>35</v>
      </c>
      <c r="T5" s="30" t="s">
        <v>36</v>
      </c>
      <c r="U5" s="23"/>
      <c r="V5" s="23"/>
    </row>
    <row r="6" spans="1:23" s="24" customFormat="1" ht="23.1" customHeight="1">
      <c r="A6" s="103" t="s">
        <v>2</v>
      </c>
      <c r="B6" s="31">
        <f>SUM(B7:B31)</f>
        <v>148</v>
      </c>
      <c r="C6" s="32" t="s">
        <v>5</v>
      </c>
      <c r="D6" s="211">
        <f ca="1">SUM(D7:D31)</f>
        <v>39475.4</v>
      </c>
      <c r="E6" s="31">
        <f>SUM(E7:E31)</f>
        <v>36</v>
      </c>
      <c r="F6" s="32" t="s">
        <v>5</v>
      </c>
      <c r="G6" s="211">
        <f>SUM(G7:G31)</f>
        <v>7546.7</v>
      </c>
      <c r="H6" s="31">
        <f>SUM(H7:H31)</f>
        <v>74</v>
      </c>
      <c r="I6" s="32" t="s">
        <v>5</v>
      </c>
      <c r="J6" s="211">
        <f>SUM(J7:J31)</f>
        <v>27483.700000000004</v>
      </c>
      <c r="K6" s="31">
        <f>SUM(K7:K31)</f>
        <v>38</v>
      </c>
      <c r="L6" s="32" t="s">
        <v>5</v>
      </c>
      <c r="M6" s="211">
        <f ca="1">SUM(M7:M31)</f>
        <v>4445.0000000000009</v>
      </c>
      <c r="N6" s="34"/>
      <c r="O6" s="23" t="str">
        <f>IF(EXACT(Q6,T6),"맞음","틀림")</f>
        <v>틀림</v>
      </c>
      <c r="P6" s="23" t="s">
        <v>4</v>
      </c>
      <c r="Q6" s="35">
        <f>SUM(B7:B31)</f>
        <v>148</v>
      </c>
      <c r="R6" s="35">
        <f>SUM(E7:E31)</f>
        <v>36</v>
      </c>
      <c r="S6" s="35">
        <f>SUM(K7:K31)</f>
        <v>38</v>
      </c>
      <c r="T6" s="35">
        <f>K6+E6</f>
        <v>74</v>
      </c>
      <c r="U6" s="23"/>
      <c r="V6" s="23"/>
    </row>
    <row r="7" spans="1:23" s="24" customFormat="1" ht="23.1" customHeight="1">
      <c r="A7" s="104" t="s">
        <v>7</v>
      </c>
      <c r="B7" s="36">
        <f>COUNTIF('(당초)대두리'!$D$6:$D$154,'(당초)집계표'!U7)</f>
        <v>12</v>
      </c>
      <c r="C7" s="37" t="s">
        <v>5</v>
      </c>
      <c r="D7" s="212">
        <f ca="1">SUMIF('(당초)대두리'!$D$6:$D$208,'(당초)집계표'!U7,'(당초)대두리'!$F$6:$F$154)</f>
        <v>3869</v>
      </c>
      <c r="E7" s="36">
        <f>COUNTIF('(당초)대두리'!$M$6:$M$154,'(당초)집계표'!V7)</f>
        <v>0</v>
      </c>
      <c r="F7" s="37" t="s">
        <v>5</v>
      </c>
      <c r="G7" s="212">
        <f>SUMIF('(당초)대두리'!$M$6:$M$154,'(당초)집계표'!V7,'(당초)대두리'!$F$6:$F$154)</f>
        <v>0</v>
      </c>
      <c r="H7" s="36">
        <f>COUNTIF('(당초)대두리'!$M$6:$M$154,'(당초)집계표'!W7)</f>
        <v>5</v>
      </c>
      <c r="I7" s="37" t="s">
        <v>5</v>
      </c>
      <c r="J7" s="212">
        <f>SUMIF('(당초)대두리'!$M$6:$M$154,'(당초)집계표'!W7,'(당초)대두리'!$F$6:$F$154)</f>
        <v>3511</v>
      </c>
      <c r="K7" s="36">
        <f t="shared" ref="K7:K31" si="0">SUM(B7-E7-H7)</f>
        <v>7</v>
      </c>
      <c r="L7" s="37" t="s">
        <v>5</v>
      </c>
      <c r="M7" s="212">
        <f t="shared" ref="M7:M31" ca="1" si="1">SUM(D7-G7-J7)</f>
        <v>358</v>
      </c>
      <c r="N7" s="39"/>
      <c r="O7" s="23" t="str">
        <f ca="1">IF(EXACT(Q7,T7),"맞음","틀림")</f>
        <v>틀림</v>
      </c>
      <c r="P7" s="23" t="s">
        <v>37</v>
      </c>
      <c r="Q7" s="35">
        <f ca="1">SUM(D7:D31)</f>
        <v>39475.4</v>
      </c>
      <c r="R7" s="35">
        <f>SUM(G7:G31)</f>
        <v>7546.7</v>
      </c>
      <c r="S7" s="35">
        <f ca="1">SUM(M7:M31)</f>
        <v>4445.0000000000009</v>
      </c>
      <c r="T7" s="35">
        <f ca="1">G6+M6</f>
        <v>11991.7</v>
      </c>
      <c r="U7" s="24" t="s">
        <v>7</v>
      </c>
      <c r="V7" s="23" t="s">
        <v>539</v>
      </c>
      <c r="W7" s="334" t="s">
        <v>578</v>
      </c>
    </row>
    <row r="8" spans="1:23" s="24" customFormat="1" ht="23.1" customHeight="1">
      <c r="A8" s="104" t="s">
        <v>8</v>
      </c>
      <c r="B8" s="36">
        <f>COUNTIF('(당초)대두리'!$D$6:$D$154,'(당초)집계표'!U8)</f>
        <v>48</v>
      </c>
      <c r="C8" s="37" t="s">
        <v>5</v>
      </c>
      <c r="D8" s="212">
        <f ca="1">SUMIF('(당초)대두리'!$D$6:$D$208,'(당초)집계표'!U8,'(당초)대두리'!$F$6:$F$154)</f>
        <v>16314.100000000002</v>
      </c>
      <c r="E8" s="36">
        <f>COUNTIF('(당초)대두리'!$M$6:$M$154,'(당초)집계표'!V8)</f>
        <v>0</v>
      </c>
      <c r="F8" s="37" t="s">
        <v>5</v>
      </c>
      <c r="G8" s="212">
        <f>SUMIF('(당초)대두리'!$M$6:$M$154,'(당초)집계표'!V8,'(당초)대두리'!$F$6:$F$154)</f>
        <v>0</v>
      </c>
      <c r="H8" s="36">
        <f>COUNTIF('(당초)대두리'!$M$6:$M$154,'(당초)집계표'!W8)</f>
        <v>30</v>
      </c>
      <c r="I8" s="37" t="s">
        <v>5</v>
      </c>
      <c r="J8" s="212">
        <f>SUMIF('(당초)대두리'!$M$6:$M$154,'(당초)집계표'!W8,'(당초)대두리'!$F$6:$F$154)</f>
        <v>13378.100000000002</v>
      </c>
      <c r="K8" s="36">
        <f t="shared" si="0"/>
        <v>18</v>
      </c>
      <c r="L8" s="37" t="s">
        <v>5</v>
      </c>
      <c r="M8" s="212">
        <f t="shared" ca="1" si="1"/>
        <v>2936</v>
      </c>
      <c r="N8" s="39"/>
      <c r="Q8" s="23"/>
      <c r="S8" s="23"/>
      <c r="U8" s="24" t="s">
        <v>8</v>
      </c>
      <c r="V8" s="23" t="s">
        <v>540</v>
      </c>
      <c r="W8" s="334" t="s">
        <v>579</v>
      </c>
    </row>
    <row r="9" spans="1:23" s="24" customFormat="1" ht="23.1" customHeight="1">
      <c r="A9" s="104" t="s">
        <v>9</v>
      </c>
      <c r="B9" s="36">
        <f>COUNTIF('(당초)대두리'!$D$6:$D$154,'(당초)집계표'!U9)</f>
        <v>8</v>
      </c>
      <c r="C9" s="37" t="s">
        <v>5</v>
      </c>
      <c r="D9" s="212">
        <f ca="1">SUMIF('(당초)대두리'!$D$6:$D$208,'(당초)집계표'!U9,'(당초)대두리'!$F$6:$F$154)</f>
        <v>3542</v>
      </c>
      <c r="E9" s="36">
        <f>COUNTIF('(당초)대두리'!$M$6:$M$154,'(당초)집계표'!V9)</f>
        <v>0</v>
      </c>
      <c r="F9" s="37" t="s">
        <v>5</v>
      </c>
      <c r="G9" s="212">
        <f>SUMIF('(당초)대두리'!$M$6:$M$154,'(당초)집계표'!V9,'(당초)대두리'!$F$6:$F$154)</f>
        <v>0</v>
      </c>
      <c r="H9" s="36">
        <f>COUNTIF('(당초)대두리'!$M$6:$M$154,'(당초)집계표'!W9)</f>
        <v>5</v>
      </c>
      <c r="I9" s="37" t="s">
        <v>5</v>
      </c>
      <c r="J9" s="212">
        <f>SUMIF('(당초)대두리'!$M$6:$M$154,'(당초)집계표'!W9,'(당초)대두리'!$F$6:$F$154)</f>
        <v>3394</v>
      </c>
      <c r="K9" s="36">
        <f t="shared" si="0"/>
        <v>3</v>
      </c>
      <c r="L9" s="37" t="s">
        <v>5</v>
      </c>
      <c r="M9" s="212">
        <f t="shared" ca="1" si="1"/>
        <v>148</v>
      </c>
      <c r="N9" s="39"/>
      <c r="Q9" s="23"/>
      <c r="S9" s="23"/>
      <c r="U9" s="24" t="s">
        <v>93</v>
      </c>
      <c r="V9" s="23" t="s">
        <v>541</v>
      </c>
      <c r="W9" s="334" t="s">
        <v>580</v>
      </c>
    </row>
    <row r="10" spans="1:23" s="24" customFormat="1" ht="23.1" customHeight="1">
      <c r="A10" s="104" t="s">
        <v>10</v>
      </c>
      <c r="B10" s="36">
        <f>COUNTIF('(당초)대두리'!$D$6:$D$154,'(당초)집계표'!U10)</f>
        <v>6</v>
      </c>
      <c r="C10" s="37" t="s">
        <v>5</v>
      </c>
      <c r="D10" s="212">
        <f ca="1">SUMIF('(당초)대두리'!$D$6:$D$208,'(당초)집계표'!U10,'(당초)대두리'!$F$6:$F$154)</f>
        <v>563</v>
      </c>
      <c r="E10" s="36">
        <f>COUNTIF('(당초)대두리'!$M$6:$M$154,'(당초)집계표'!V10)</f>
        <v>0</v>
      </c>
      <c r="F10" s="37" t="s">
        <v>5</v>
      </c>
      <c r="G10" s="212">
        <f>SUMIF('(당초)대두리'!$M$6:$M$154,'(당초)집계표'!V10,'(당초)대두리'!$F$6:$F$154)</f>
        <v>0</v>
      </c>
      <c r="H10" s="36">
        <f>COUNTIF('(당초)대두리'!$M$6:$M$154,'(당초)집계표'!W10)</f>
        <v>1</v>
      </c>
      <c r="I10" s="37" t="s">
        <v>5</v>
      </c>
      <c r="J10" s="212">
        <f>SUMIF('(당초)대두리'!$M$6:$M$154,'(당초)집계표'!W10,'(당초)대두리'!$F$6:$F$154)</f>
        <v>296</v>
      </c>
      <c r="K10" s="36">
        <f t="shared" si="0"/>
        <v>5</v>
      </c>
      <c r="L10" s="37" t="s">
        <v>5</v>
      </c>
      <c r="M10" s="212">
        <f t="shared" ca="1" si="1"/>
        <v>267</v>
      </c>
      <c r="N10" s="39"/>
      <c r="O10" s="23"/>
      <c r="P10" s="23"/>
      <c r="Q10" s="23"/>
      <c r="R10" s="23"/>
      <c r="S10" s="23"/>
      <c r="T10" s="23"/>
      <c r="U10" s="24" t="s">
        <v>459</v>
      </c>
      <c r="V10" s="23" t="s">
        <v>542</v>
      </c>
      <c r="W10" s="334" t="s">
        <v>581</v>
      </c>
    </row>
    <row r="11" spans="1:23" s="24" customFormat="1" ht="23.1" customHeight="1">
      <c r="A11" s="104" t="s">
        <v>11</v>
      </c>
      <c r="B11" s="36">
        <f>COUNTIF('(당초)대두리'!$D$6:$D$154,'(당초)집계표'!U11)</f>
        <v>55</v>
      </c>
      <c r="C11" s="37" t="s">
        <v>5</v>
      </c>
      <c r="D11" s="212">
        <f ca="1">SUMIF('(당초)대두리'!$D$6:$D$208,'(당초)집계표'!U11,'(당초)대두리'!$F$6:$F$154)</f>
        <v>11417.800000000001</v>
      </c>
      <c r="E11" s="36">
        <f>COUNTIF('(당초)대두리'!$M$6:$M$154,'(당초)집계표'!V11)</f>
        <v>22</v>
      </c>
      <c r="F11" s="37" t="s">
        <v>5</v>
      </c>
      <c r="G11" s="212">
        <f>SUMIF('(당초)대두리'!$M$6:$M$154,'(당초)집계표'!V11,'(당초)대두리'!$F$6:$F$154)</f>
        <v>5337.2</v>
      </c>
      <c r="H11" s="36">
        <f>COUNTIF('(당초)대두리'!$M$6:$M$154,'(당초)집계표'!W11)</f>
        <v>31</v>
      </c>
      <c r="I11" s="37" t="s">
        <v>5</v>
      </c>
      <c r="J11" s="212">
        <f>SUMIF('(당초)대두리'!$M$6:$M$154,'(당초)집계표'!W11,'(당초)대두리'!$F$6:$F$154)</f>
        <v>5763.6</v>
      </c>
      <c r="K11" s="36">
        <f t="shared" si="0"/>
        <v>2</v>
      </c>
      <c r="L11" s="37" t="s">
        <v>5</v>
      </c>
      <c r="M11" s="212">
        <f t="shared" ca="1" si="1"/>
        <v>317.00000000000091</v>
      </c>
      <c r="N11" s="39"/>
      <c r="O11" s="23"/>
      <c r="P11" s="23"/>
      <c r="Q11" s="23"/>
      <c r="R11" s="23"/>
      <c r="S11" s="23"/>
      <c r="T11" s="23"/>
      <c r="U11" s="24" t="s">
        <v>455</v>
      </c>
      <c r="V11" s="23" t="s">
        <v>543</v>
      </c>
      <c r="W11" s="334" t="s">
        <v>582</v>
      </c>
    </row>
    <row r="12" spans="1:23" s="24" customFormat="1" ht="23.1" customHeight="1">
      <c r="A12" s="104" t="s">
        <v>12</v>
      </c>
      <c r="B12" s="36">
        <f>COUNTIF('(당초)대두리'!$D$6:$D$154,'(당초)집계표'!U12)</f>
        <v>13</v>
      </c>
      <c r="C12" s="37" t="s">
        <v>5</v>
      </c>
      <c r="D12" s="212">
        <f ca="1">SUMIF('(당초)대두리'!$D$6:$D$208,'(당초)집계표'!U12,'(당초)대두리'!$F$6:$F$154)</f>
        <v>1615.5</v>
      </c>
      <c r="E12" s="36">
        <f>COUNTIF('(당초)대두리'!$M$6:$M$154,'(당초)집계표'!V12)</f>
        <v>13</v>
      </c>
      <c r="F12" s="37" t="s">
        <v>5</v>
      </c>
      <c r="G12" s="212">
        <f>SUMIF('(당초)대두리'!$M$6:$M$154,'(당초)집계표'!V12,'(당초)대두리'!$F$6:$F$154)</f>
        <v>1615.5</v>
      </c>
      <c r="H12" s="36">
        <f>COUNTIF('(당초)대두리'!$M$6:$M$154,'(당초)집계표'!W12)</f>
        <v>0</v>
      </c>
      <c r="I12" s="37" t="s">
        <v>5</v>
      </c>
      <c r="J12" s="212">
        <f>SUMIF('(당초)대두리'!$M$6:$M$154,'(당초)집계표'!W12,'(당초)대두리'!$F$6:$F$154)</f>
        <v>0</v>
      </c>
      <c r="K12" s="36">
        <f t="shared" si="0"/>
        <v>0</v>
      </c>
      <c r="L12" s="37" t="s">
        <v>5</v>
      </c>
      <c r="M12" s="212">
        <f t="shared" ca="1" si="1"/>
        <v>0</v>
      </c>
      <c r="N12" s="39"/>
      <c r="O12" s="23"/>
      <c r="P12" s="23"/>
      <c r="Q12" s="23"/>
      <c r="R12" s="23"/>
      <c r="S12" s="23"/>
      <c r="T12" s="23"/>
      <c r="U12" s="24" t="s">
        <v>462</v>
      </c>
      <c r="V12" s="23" t="s">
        <v>544</v>
      </c>
      <c r="W12" s="334" t="s">
        <v>583</v>
      </c>
    </row>
    <row r="13" spans="1:23" s="24" customFormat="1" ht="23.1" customHeight="1">
      <c r="A13" s="104" t="s">
        <v>13</v>
      </c>
      <c r="B13" s="36">
        <f>COUNTIF('(당초)대두리'!$D$6:$D$154,'(당초)집계표'!U13)</f>
        <v>0</v>
      </c>
      <c r="C13" s="37" t="s">
        <v>5</v>
      </c>
      <c r="D13" s="212">
        <f ca="1">SUMIF('(당초)대두리'!$D$6:$D$208,'(당초)집계표'!U13,'(당초)대두리'!$F$6:$F$154)</f>
        <v>0</v>
      </c>
      <c r="E13" s="36">
        <f>COUNTIF('(당초)대두리'!$M$6:$M$154,'(당초)집계표'!V13)</f>
        <v>0</v>
      </c>
      <c r="F13" s="37" t="s">
        <v>5</v>
      </c>
      <c r="G13" s="212">
        <f>SUMIF('(당초)대두리'!$M$6:$M$154,'(당초)집계표'!V13,'(당초)대두리'!$F$6:$F$154)</f>
        <v>0</v>
      </c>
      <c r="H13" s="36">
        <f>COUNTIF('(당초)대두리'!$M$6:$M$154,'(당초)집계표'!W13)</f>
        <v>0</v>
      </c>
      <c r="I13" s="37" t="s">
        <v>5</v>
      </c>
      <c r="J13" s="212">
        <f>SUMIF('(당초)대두리'!$M$6:$M$154,'(당초)집계표'!W13,'(당초)대두리'!$F$6:$F$154)</f>
        <v>0</v>
      </c>
      <c r="K13" s="36">
        <f t="shared" si="0"/>
        <v>0</v>
      </c>
      <c r="L13" s="37" t="s">
        <v>5</v>
      </c>
      <c r="M13" s="212">
        <f t="shared" ca="1" si="1"/>
        <v>0</v>
      </c>
      <c r="N13" s="39"/>
      <c r="O13" s="23"/>
      <c r="P13" s="23"/>
      <c r="Q13" s="23"/>
      <c r="R13" s="23"/>
      <c r="S13" s="23"/>
      <c r="T13" s="23"/>
      <c r="U13" s="24" t="s">
        <v>563</v>
      </c>
      <c r="V13" s="23" t="s">
        <v>545</v>
      </c>
      <c r="W13" s="334" t="s">
        <v>584</v>
      </c>
    </row>
    <row r="14" spans="1:23" s="24" customFormat="1" ht="23.1" customHeight="1">
      <c r="A14" s="104" t="s">
        <v>14</v>
      </c>
      <c r="B14" s="36">
        <f>COUNTIF('(당초)대두리'!$D$6:$D$154,'(당초)집계표'!U14)</f>
        <v>6</v>
      </c>
      <c r="C14" s="37" t="s">
        <v>5</v>
      </c>
      <c r="D14" s="212">
        <f ca="1">SUMIF('(당초)대두리'!$D$6:$D$208,'(당초)집계표'!U14,'(당초)대두리'!$F$6:$F$154)</f>
        <v>2154</v>
      </c>
      <c r="E14" s="36">
        <f>COUNTIF('(당초)대두리'!$M$6:$M$154,'(당초)집계표'!V14)</f>
        <v>1</v>
      </c>
      <c r="F14" s="37" t="s">
        <v>5</v>
      </c>
      <c r="G14" s="212">
        <f>SUMIF('(당초)대두리'!$M$6:$M$154,'(당초)집계표'!V14,'(당초)대두리'!$F$6:$F$154)</f>
        <v>594</v>
      </c>
      <c r="H14" s="36">
        <f>COUNTIF('(당초)대두리'!$M$6:$M$154,'(당초)집계표'!W14)</f>
        <v>2</v>
      </c>
      <c r="I14" s="37" t="s">
        <v>5</v>
      </c>
      <c r="J14" s="212">
        <f>SUMIF('(당초)대두리'!$M$6:$M$154,'(당초)집계표'!W14,'(당초)대두리'!$F$6:$F$154)</f>
        <v>1141</v>
      </c>
      <c r="K14" s="36">
        <f t="shared" si="0"/>
        <v>3</v>
      </c>
      <c r="L14" s="37" t="s">
        <v>5</v>
      </c>
      <c r="M14" s="212">
        <f t="shared" ca="1" si="1"/>
        <v>419</v>
      </c>
      <c r="N14" s="39"/>
      <c r="O14" s="23"/>
      <c r="P14" s="23"/>
      <c r="Q14" s="23"/>
      <c r="R14" s="23"/>
      <c r="S14" s="23"/>
      <c r="T14" s="23"/>
      <c r="U14" s="24" t="s">
        <v>484</v>
      </c>
      <c r="V14" s="23" t="s">
        <v>546</v>
      </c>
      <c r="W14" s="334" t="s">
        <v>585</v>
      </c>
    </row>
    <row r="15" spans="1:23" s="24" customFormat="1" ht="23.1" customHeight="1">
      <c r="A15" s="104" t="s">
        <v>15</v>
      </c>
      <c r="B15" s="36">
        <f>COUNTIF('(당초)대두리'!$D$6:$D$154,'(당초)집계표'!U15)</f>
        <v>0</v>
      </c>
      <c r="C15" s="37" t="s">
        <v>5</v>
      </c>
      <c r="D15" s="212">
        <f ca="1">SUMIF('(당초)대두리'!$D$6:$D$208,'(당초)집계표'!U15,'(당초)대두리'!$F$6:$F$154)</f>
        <v>0</v>
      </c>
      <c r="E15" s="36">
        <f>COUNTIF('(당초)대두리'!$M$6:$M$154,'(당초)집계표'!V15)</f>
        <v>0</v>
      </c>
      <c r="F15" s="37" t="s">
        <v>5</v>
      </c>
      <c r="G15" s="212">
        <f>SUMIF('(당초)대두리'!$M$6:$M$154,'(당초)집계표'!V15,'(당초)대두리'!$F$6:$F$154)</f>
        <v>0</v>
      </c>
      <c r="H15" s="36">
        <f>COUNTIF('(당초)대두리'!$M$6:$M$154,'(당초)집계표'!W15)</f>
        <v>0</v>
      </c>
      <c r="I15" s="37" t="s">
        <v>5</v>
      </c>
      <c r="J15" s="212">
        <f>SUMIF('(당초)대두리'!$M$6:$M$154,'(당초)집계표'!W15,'(당초)대두리'!$F$6:$F$154)</f>
        <v>0</v>
      </c>
      <c r="K15" s="36">
        <f t="shared" si="0"/>
        <v>0</v>
      </c>
      <c r="L15" s="37" t="s">
        <v>5</v>
      </c>
      <c r="M15" s="212">
        <f t="shared" ca="1" si="1"/>
        <v>0</v>
      </c>
      <c r="N15" s="39"/>
      <c r="O15" s="23"/>
      <c r="P15" s="23"/>
      <c r="Q15" s="23"/>
      <c r="R15" s="23"/>
      <c r="S15" s="23"/>
      <c r="T15" s="23"/>
      <c r="U15" s="24" t="s">
        <v>564</v>
      </c>
      <c r="V15" s="23" t="s">
        <v>547</v>
      </c>
      <c r="W15" s="334" t="s">
        <v>586</v>
      </c>
    </row>
    <row r="16" spans="1:23" s="24" customFormat="1" ht="23.1" customHeight="1">
      <c r="A16" s="104" t="s">
        <v>16</v>
      </c>
      <c r="B16" s="36">
        <f>COUNTIF('(당초)대두리'!$D$6:$D$154,'(당초)집계표'!U16)</f>
        <v>0</v>
      </c>
      <c r="C16" s="37" t="s">
        <v>5</v>
      </c>
      <c r="D16" s="212">
        <f ca="1">SUMIF('(당초)대두리'!$D$6:$D$208,'(당초)집계표'!U16,'(당초)대두리'!$F$6:$F$154)</f>
        <v>0</v>
      </c>
      <c r="E16" s="36">
        <f>COUNTIF('(당초)대두리'!$M$6:$M$154,'(당초)집계표'!V16)</f>
        <v>0</v>
      </c>
      <c r="F16" s="37" t="s">
        <v>5</v>
      </c>
      <c r="G16" s="212">
        <f>SUMIF('(당초)대두리'!$M$6:$M$154,'(당초)집계표'!V16,'(당초)대두리'!$F$6:$F$154)</f>
        <v>0</v>
      </c>
      <c r="H16" s="36">
        <f>COUNTIF('(당초)대두리'!$M$6:$M$154,'(당초)집계표'!W16)</f>
        <v>0</v>
      </c>
      <c r="I16" s="37" t="s">
        <v>5</v>
      </c>
      <c r="J16" s="212">
        <f>SUMIF('(당초)대두리'!$M$6:$M$154,'(당초)집계표'!W16,'(당초)대두리'!$F$6:$F$154)</f>
        <v>0</v>
      </c>
      <c r="K16" s="36">
        <f t="shared" si="0"/>
        <v>0</v>
      </c>
      <c r="L16" s="37" t="s">
        <v>5</v>
      </c>
      <c r="M16" s="212">
        <f t="shared" ca="1" si="1"/>
        <v>0</v>
      </c>
      <c r="N16" s="39"/>
      <c r="O16" s="23"/>
      <c r="P16" s="23"/>
      <c r="Q16" s="23"/>
      <c r="R16" s="23"/>
      <c r="S16" s="23"/>
      <c r="T16" s="23"/>
      <c r="U16" s="24" t="s">
        <v>565</v>
      </c>
      <c r="V16" s="23" t="s">
        <v>548</v>
      </c>
      <c r="W16" s="334" t="s">
        <v>587</v>
      </c>
    </row>
    <row r="17" spans="1:23" s="24" customFormat="1" ht="23.1" customHeight="1">
      <c r="A17" s="104" t="s">
        <v>17</v>
      </c>
      <c r="B17" s="36">
        <f>COUNTIF('(당초)대두리'!$D$6:$D$154,'(당초)집계표'!U17)</f>
        <v>0</v>
      </c>
      <c r="C17" s="37" t="s">
        <v>5</v>
      </c>
      <c r="D17" s="212">
        <f ca="1">SUMIF('(당초)대두리'!$D$6:$D$208,'(당초)집계표'!U17,'(당초)대두리'!$F$6:$F$154)</f>
        <v>0</v>
      </c>
      <c r="E17" s="36">
        <f>COUNTIF('(당초)대두리'!$M$6:$M$154,'(당초)집계표'!V17)</f>
        <v>0</v>
      </c>
      <c r="F17" s="37" t="s">
        <v>5</v>
      </c>
      <c r="G17" s="212">
        <f>SUMIF('(당초)대두리'!$M$6:$M$154,'(당초)집계표'!V17,'(당초)대두리'!$F$6:$F$154)</f>
        <v>0</v>
      </c>
      <c r="H17" s="36">
        <f>COUNTIF('(당초)대두리'!$M$6:$M$154,'(당초)집계표'!W17)</f>
        <v>0</v>
      </c>
      <c r="I17" s="37" t="s">
        <v>5</v>
      </c>
      <c r="J17" s="212">
        <f>SUMIF('(당초)대두리'!$M$6:$M$154,'(당초)집계표'!W17,'(당초)대두리'!$F$6:$F$154)</f>
        <v>0</v>
      </c>
      <c r="K17" s="36">
        <f t="shared" si="0"/>
        <v>0</v>
      </c>
      <c r="L17" s="37" t="s">
        <v>5</v>
      </c>
      <c r="M17" s="212">
        <f t="shared" ca="1" si="1"/>
        <v>0</v>
      </c>
      <c r="N17" s="39"/>
      <c r="O17" s="23"/>
      <c r="P17" s="23"/>
      <c r="Q17" s="23"/>
      <c r="R17" s="23"/>
      <c r="S17" s="23"/>
      <c r="T17" s="23"/>
      <c r="U17" s="24" t="s">
        <v>451</v>
      </c>
      <c r="V17" s="23" t="s">
        <v>549</v>
      </c>
      <c r="W17" s="334" t="s">
        <v>588</v>
      </c>
    </row>
    <row r="18" spans="1:23" s="24" customFormat="1" ht="23.1" customHeight="1">
      <c r="A18" s="104" t="s">
        <v>18</v>
      </c>
      <c r="B18" s="36">
        <f>COUNTIF('(당초)대두리'!$D$6:$D$154,'(당초)집계표'!U18)</f>
        <v>0</v>
      </c>
      <c r="C18" s="37" t="s">
        <v>5</v>
      </c>
      <c r="D18" s="212">
        <f ca="1">SUMIF('(당초)대두리'!$D$6:$D$208,'(당초)집계표'!U18,'(당초)대두리'!$F$6:$F$154)</f>
        <v>0</v>
      </c>
      <c r="E18" s="36">
        <f>COUNTIF('(당초)대두리'!$M$6:$M$154,'(당초)집계표'!V18)</f>
        <v>0</v>
      </c>
      <c r="F18" s="37" t="s">
        <v>5</v>
      </c>
      <c r="G18" s="212">
        <f>SUMIF('(당초)대두리'!$M$6:$M$154,'(당초)집계표'!V18,'(당초)대두리'!$F$6:$F$154)</f>
        <v>0</v>
      </c>
      <c r="H18" s="36">
        <f>COUNTIF('(당초)대두리'!$M$6:$M$154,'(당초)집계표'!W18)</f>
        <v>0</v>
      </c>
      <c r="I18" s="37" t="s">
        <v>5</v>
      </c>
      <c r="J18" s="212">
        <f>SUMIF('(당초)대두리'!$M$6:$M$154,'(당초)집계표'!W18,'(당초)대두리'!$F$6:$F$154)</f>
        <v>0</v>
      </c>
      <c r="K18" s="36">
        <f t="shared" si="0"/>
        <v>0</v>
      </c>
      <c r="L18" s="37" t="s">
        <v>5</v>
      </c>
      <c r="M18" s="212">
        <f t="shared" ca="1" si="1"/>
        <v>0</v>
      </c>
      <c r="N18" s="39"/>
      <c r="O18" s="23"/>
      <c r="P18" s="23"/>
      <c r="Q18" s="23"/>
      <c r="R18" s="23"/>
      <c r="S18" s="23"/>
      <c r="T18" s="23"/>
      <c r="U18" s="24" t="s">
        <v>566</v>
      </c>
      <c r="V18" s="23" t="s">
        <v>550</v>
      </c>
      <c r="W18" s="334" t="s">
        <v>589</v>
      </c>
    </row>
    <row r="19" spans="1:23" s="24" customFormat="1" ht="23.1" customHeight="1">
      <c r="A19" s="104" t="s">
        <v>19</v>
      </c>
      <c r="B19" s="36">
        <f>COUNTIF('(당초)대두리'!$D$6:$D$154,'(당초)집계표'!U19)</f>
        <v>0</v>
      </c>
      <c r="C19" s="37" t="s">
        <v>5</v>
      </c>
      <c r="D19" s="212">
        <f ca="1">SUMIF('(당초)대두리'!$D$6:$D$208,'(당초)집계표'!U19,'(당초)대두리'!$F$6:$F$154)</f>
        <v>0</v>
      </c>
      <c r="E19" s="36">
        <f>COUNTIF('(당초)대두리'!$M$6:$M$154,'(당초)집계표'!V19)</f>
        <v>0</v>
      </c>
      <c r="F19" s="37" t="s">
        <v>5</v>
      </c>
      <c r="G19" s="212">
        <f>SUMIF('(당초)대두리'!$M$6:$M$154,'(당초)집계표'!V19,'(당초)대두리'!$F$6:$F$154)</f>
        <v>0</v>
      </c>
      <c r="H19" s="36">
        <f>COUNTIF('(당초)대두리'!$M$6:$M$154,'(당초)집계표'!W19)</f>
        <v>0</v>
      </c>
      <c r="I19" s="37" t="s">
        <v>5</v>
      </c>
      <c r="J19" s="212">
        <f>SUMIF('(당초)대두리'!$M$6:$M$154,'(당초)집계표'!W19,'(당초)대두리'!$F$6:$F$154)</f>
        <v>0</v>
      </c>
      <c r="K19" s="36">
        <f t="shared" si="0"/>
        <v>0</v>
      </c>
      <c r="L19" s="37" t="s">
        <v>5</v>
      </c>
      <c r="M19" s="212">
        <f t="shared" ca="1" si="1"/>
        <v>0</v>
      </c>
      <c r="N19" s="39"/>
      <c r="O19" s="23"/>
      <c r="P19" s="23"/>
      <c r="Q19" s="23"/>
      <c r="R19" s="23"/>
      <c r="S19" s="23"/>
      <c r="T19" s="23"/>
      <c r="U19" s="24" t="s">
        <v>567</v>
      </c>
      <c r="V19" s="23" t="s">
        <v>551</v>
      </c>
      <c r="W19" s="334" t="s">
        <v>590</v>
      </c>
    </row>
    <row r="20" spans="1:23" s="24" customFormat="1" ht="23.1" customHeight="1">
      <c r="A20" s="104" t="s">
        <v>20</v>
      </c>
      <c r="B20" s="36">
        <f>COUNTIF('(당초)대두리'!$D$6:$D$154,'(당초)집계표'!U20)</f>
        <v>0</v>
      </c>
      <c r="C20" s="37" t="s">
        <v>5</v>
      </c>
      <c r="D20" s="212">
        <f ca="1">SUMIF('(당초)대두리'!$D$6:$D$208,'(당초)집계표'!U20,'(당초)대두리'!$F$6:$F$154)</f>
        <v>0</v>
      </c>
      <c r="E20" s="36">
        <f>COUNTIF('(당초)대두리'!$M$6:$M$154,'(당초)집계표'!V20)</f>
        <v>0</v>
      </c>
      <c r="F20" s="37" t="s">
        <v>5</v>
      </c>
      <c r="G20" s="212">
        <f>SUMIF('(당초)대두리'!$M$6:$M$154,'(당초)집계표'!V20,'(당초)대두리'!$F$6:$F$154)</f>
        <v>0</v>
      </c>
      <c r="H20" s="36">
        <f>COUNTIF('(당초)대두리'!$M$6:$M$154,'(당초)집계표'!W20)</f>
        <v>0</v>
      </c>
      <c r="I20" s="37" t="s">
        <v>5</v>
      </c>
      <c r="J20" s="212">
        <f>SUMIF('(당초)대두리'!$M$6:$M$154,'(당초)집계표'!W20,'(당초)대두리'!$F$6:$F$154)</f>
        <v>0</v>
      </c>
      <c r="K20" s="36">
        <f t="shared" si="0"/>
        <v>0</v>
      </c>
      <c r="L20" s="37" t="s">
        <v>5</v>
      </c>
      <c r="M20" s="212">
        <f t="shared" ca="1" si="1"/>
        <v>0</v>
      </c>
      <c r="N20" s="39"/>
      <c r="O20" s="23"/>
      <c r="P20" s="23"/>
      <c r="Q20" s="23"/>
      <c r="R20" s="23"/>
      <c r="S20" s="23"/>
      <c r="T20" s="23"/>
      <c r="U20" s="24" t="s">
        <v>568</v>
      </c>
      <c r="V20" s="23" t="s">
        <v>552</v>
      </c>
      <c r="W20" s="334" t="s">
        <v>591</v>
      </c>
    </row>
    <row r="21" spans="1:23" s="24" customFormat="1" ht="23.1" customHeight="1">
      <c r="A21" s="104" t="s">
        <v>21</v>
      </c>
      <c r="B21" s="36">
        <f>COUNTIF('(당초)대두리'!$D$6:$D$154,'(당초)집계표'!U21)</f>
        <v>0</v>
      </c>
      <c r="C21" s="37" t="s">
        <v>5</v>
      </c>
      <c r="D21" s="212">
        <f ca="1">SUMIF('(당초)대두리'!$D$6:$D$208,'(당초)집계표'!U21,'(당초)대두리'!$F$6:$F$154)</f>
        <v>0</v>
      </c>
      <c r="E21" s="36">
        <f>COUNTIF('(당초)대두리'!$M$6:$M$154,'(당초)집계표'!V21)</f>
        <v>0</v>
      </c>
      <c r="F21" s="37" t="s">
        <v>5</v>
      </c>
      <c r="G21" s="212">
        <f>SUMIF('(당초)대두리'!$M$6:$M$154,'(당초)집계표'!V21,'(당초)대두리'!$F$6:$F$154)</f>
        <v>0</v>
      </c>
      <c r="H21" s="36">
        <f>COUNTIF('(당초)대두리'!$M$6:$M$154,'(당초)집계표'!W21)</f>
        <v>0</v>
      </c>
      <c r="I21" s="37" t="s">
        <v>5</v>
      </c>
      <c r="J21" s="212">
        <f>SUMIF('(당초)대두리'!$M$6:$M$154,'(당초)집계표'!W21,'(당초)대두리'!$F$6:$F$154)</f>
        <v>0</v>
      </c>
      <c r="K21" s="36">
        <f t="shared" si="0"/>
        <v>0</v>
      </c>
      <c r="L21" s="37" t="s">
        <v>5</v>
      </c>
      <c r="M21" s="212">
        <f t="shared" ca="1" si="1"/>
        <v>0</v>
      </c>
      <c r="N21" s="39"/>
      <c r="O21" s="23"/>
      <c r="P21" s="23"/>
      <c r="Q21" s="23"/>
      <c r="R21" s="23"/>
      <c r="S21" s="23"/>
      <c r="T21" s="23"/>
      <c r="U21" s="24" t="s">
        <v>569</v>
      </c>
      <c r="V21" s="23" t="s">
        <v>553</v>
      </c>
      <c r="W21" s="334" t="s">
        <v>592</v>
      </c>
    </row>
    <row r="22" spans="1:23" s="24" customFormat="1" ht="23.1" customHeight="1">
      <c r="A22" s="104" t="s">
        <v>22</v>
      </c>
      <c r="B22" s="36">
        <f>COUNTIF('(당초)대두리'!$D$6:$D$154,'(당초)집계표'!U22)</f>
        <v>0</v>
      </c>
      <c r="C22" s="37" t="s">
        <v>5</v>
      </c>
      <c r="D22" s="212">
        <f ca="1">SUMIF('(당초)대두리'!$D$6:$D$208,'(당초)집계표'!U22,'(당초)대두리'!$F$6:$F$154)</f>
        <v>0</v>
      </c>
      <c r="E22" s="36">
        <f>COUNTIF('(당초)대두리'!$M$6:$M$154,'(당초)집계표'!V22)</f>
        <v>0</v>
      </c>
      <c r="F22" s="37" t="s">
        <v>5</v>
      </c>
      <c r="G22" s="212">
        <f>SUMIF('(당초)대두리'!$M$6:$M$154,'(당초)집계표'!V22,'(당초)대두리'!$F$6:$F$154)</f>
        <v>0</v>
      </c>
      <c r="H22" s="36">
        <f>COUNTIF('(당초)대두리'!$M$6:$M$154,'(당초)집계표'!W22)</f>
        <v>0</v>
      </c>
      <c r="I22" s="37" t="s">
        <v>5</v>
      </c>
      <c r="J22" s="212">
        <f>SUMIF('(당초)대두리'!$M$6:$M$154,'(당초)집계표'!W22,'(당초)대두리'!$F$6:$F$154)</f>
        <v>0</v>
      </c>
      <c r="K22" s="36">
        <f t="shared" si="0"/>
        <v>0</v>
      </c>
      <c r="L22" s="37" t="s">
        <v>5</v>
      </c>
      <c r="M22" s="212">
        <f t="shared" ca="1" si="1"/>
        <v>0</v>
      </c>
      <c r="N22" s="39"/>
      <c r="O22" s="23"/>
      <c r="P22" s="23"/>
      <c r="Q22" s="23"/>
      <c r="R22" s="23"/>
      <c r="S22" s="23"/>
      <c r="T22" s="23"/>
      <c r="U22" s="24" t="s">
        <v>570</v>
      </c>
      <c r="V22" s="23" t="s">
        <v>554</v>
      </c>
      <c r="W22" s="334" t="s">
        <v>593</v>
      </c>
    </row>
    <row r="23" spans="1:23" s="24" customFormat="1" ht="23.1" customHeight="1">
      <c r="A23" s="104" t="s">
        <v>23</v>
      </c>
      <c r="B23" s="36">
        <f>COUNTIF('(당초)대두리'!$D$6:$D$154,'(당초)집계표'!U23)</f>
        <v>0</v>
      </c>
      <c r="C23" s="37" t="s">
        <v>5</v>
      </c>
      <c r="D23" s="212">
        <f ca="1">SUMIF('(당초)대두리'!$D$6:$D$208,'(당초)집계표'!U23,'(당초)대두리'!$F$6:$F$154)</f>
        <v>0</v>
      </c>
      <c r="E23" s="36">
        <f>COUNTIF('(당초)대두리'!$M$6:$M$154,'(당초)집계표'!V23)</f>
        <v>0</v>
      </c>
      <c r="F23" s="37" t="s">
        <v>5</v>
      </c>
      <c r="G23" s="212">
        <f>SUMIF('(당초)대두리'!$M$6:$M$154,'(당초)집계표'!V23,'(당초)대두리'!$F$6:$F$154)</f>
        <v>0</v>
      </c>
      <c r="H23" s="36">
        <f>COUNTIF('(당초)대두리'!$M$6:$M$154,'(당초)집계표'!W23)</f>
        <v>0</v>
      </c>
      <c r="I23" s="37" t="s">
        <v>5</v>
      </c>
      <c r="J23" s="212">
        <f>SUMIF('(당초)대두리'!$M$6:$M$154,'(당초)집계표'!W23,'(당초)대두리'!$F$6:$F$154)</f>
        <v>0</v>
      </c>
      <c r="K23" s="36">
        <f t="shared" si="0"/>
        <v>0</v>
      </c>
      <c r="L23" s="37" t="s">
        <v>5</v>
      </c>
      <c r="M23" s="212">
        <f t="shared" ca="1" si="1"/>
        <v>0</v>
      </c>
      <c r="N23" s="39"/>
      <c r="O23" s="23"/>
      <c r="P23" s="23"/>
      <c r="Q23" s="23"/>
      <c r="R23" s="23"/>
      <c r="S23" s="23"/>
      <c r="T23" s="23"/>
      <c r="U23" s="24" t="s">
        <v>571</v>
      </c>
      <c r="V23" s="23" t="s">
        <v>555</v>
      </c>
      <c r="W23" s="334" t="s">
        <v>594</v>
      </c>
    </row>
    <row r="24" spans="1:23" s="24" customFormat="1" ht="23.1" customHeight="1">
      <c r="A24" s="105" t="s">
        <v>24</v>
      </c>
      <c r="B24" s="36">
        <f>COUNTIF('(당초)대두리'!$D$6:$D$154,'(당초)집계표'!U24)</f>
        <v>0</v>
      </c>
      <c r="C24" s="37" t="s">
        <v>5</v>
      </c>
      <c r="D24" s="212">
        <f ca="1">SUMIF('(당초)대두리'!$D$6:$D$208,'(당초)집계표'!U24,'(당초)대두리'!$F$6:$F$154)</f>
        <v>0</v>
      </c>
      <c r="E24" s="36">
        <f>COUNTIF('(당초)대두리'!$M$6:$M$154,'(당초)집계표'!V24)</f>
        <v>0</v>
      </c>
      <c r="F24" s="37" t="s">
        <v>5</v>
      </c>
      <c r="G24" s="212">
        <f>SUMIF('(당초)대두리'!$M$6:$M$154,'(당초)집계표'!V24,'(당초)대두리'!$F$6:$F$154)</f>
        <v>0</v>
      </c>
      <c r="H24" s="36">
        <f>COUNTIF('(당초)대두리'!$M$6:$M$154,'(당초)집계표'!W24)</f>
        <v>0</v>
      </c>
      <c r="I24" s="37" t="s">
        <v>5</v>
      </c>
      <c r="J24" s="212">
        <f>SUMIF('(당초)대두리'!$M$6:$M$154,'(당초)집계표'!W24,'(당초)대두리'!$F$6:$F$154)</f>
        <v>0</v>
      </c>
      <c r="K24" s="36">
        <f t="shared" si="0"/>
        <v>0</v>
      </c>
      <c r="L24" s="37" t="s">
        <v>5</v>
      </c>
      <c r="M24" s="212">
        <f t="shared" ca="1" si="1"/>
        <v>0</v>
      </c>
      <c r="N24" s="39"/>
      <c r="O24" s="23"/>
      <c r="P24" s="23"/>
      <c r="Q24" s="23"/>
      <c r="R24" s="23"/>
      <c r="S24" s="23"/>
      <c r="T24" s="23"/>
      <c r="U24" s="24" t="s">
        <v>572</v>
      </c>
      <c r="V24" s="23" t="s">
        <v>556</v>
      </c>
      <c r="W24" s="334" t="s">
        <v>595</v>
      </c>
    </row>
    <row r="25" spans="1:23" s="24" customFormat="1" ht="23.1" customHeight="1">
      <c r="A25" s="105" t="s">
        <v>25</v>
      </c>
      <c r="B25" s="36">
        <f>COUNTIF('(당초)대두리'!$D$6:$D$154,'(당초)집계표'!U25)</f>
        <v>0</v>
      </c>
      <c r="C25" s="37" t="s">
        <v>5</v>
      </c>
      <c r="D25" s="212">
        <f ca="1">SUMIF('(당초)대두리'!$D$6:$D$208,'(당초)집계표'!U25,'(당초)대두리'!$F$6:$F$154)</f>
        <v>0</v>
      </c>
      <c r="E25" s="36">
        <f>COUNTIF('(당초)대두리'!$M$6:$M$154,'(당초)집계표'!V25)</f>
        <v>0</v>
      </c>
      <c r="F25" s="37" t="s">
        <v>5</v>
      </c>
      <c r="G25" s="212">
        <f>SUMIF('(당초)대두리'!$M$6:$M$154,'(당초)집계표'!V25,'(당초)대두리'!$F$6:$F$154)</f>
        <v>0</v>
      </c>
      <c r="H25" s="36">
        <f>COUNTIF('(당초)대두리'!$M$6:$M$154,'(당초)집계표'!W25)</f>
        <v>0</v>
      </c>
      <c r="I25" s="37" t="s">
        <v>5</v>
      </c>
      <c r="J25" s="212">
        <f>SUMIF('(당초)대두리'!$M$6:$M$154,'(당초)집계표'!W25,'(당초)대두리'!$F$6:$F$154)</f>
        <v>0</v>
      </c>
      <c r="K25" s="36">
        <f t="shared" si="0"/>
        <v>0</v>
      </c>
      <c r="L25" s="37" t="s">
        <v>5</v>
      </c>
      <c r="M25" s="212">
        <f t="shared" ca="1" si="1"/>
        <v>0</v>
      </c>
      <c r="N25" s="39"/>
      <c r="O25" s="23"/>
      <c r="P25" s="23"/>
      <c r="Q25" s="23"/>
      <c r="R25" s="23"/>
      <c r="S25" s="23"/>
      <c r="T25" s="23"/>
      <c r="U25" s="24" t="s">
        <v>573</v>
      </c>
      <c r="V25" s="23" t="s">
        <v>557</v>
      </c>
      <c r="W25" s="334" t="s">
        <v>596</v>
      </c>
    </row>
    <row r="26" spans="1:23" s="24" customFormat="1" ht="23.1" customHeight="1">
      <c r="A26" s="105" t="s">
        <v>26</v>
      </c>
      <c r="B26" s="36">
        <f>COUNTIF('(당초)대두리'!$D$6:$D$154,'(당초)집계표'!U26)</f>
        <v>0</v>
      </c>
      <c r="C26" s="37" t="s">
        <v>5</v>
      </c>
      <c r="D26" s="212">
        <f ca="1">SUMIF('(당초)대두리'!$D$6:$D$208,'(당초)집계표'!U26,'(당초)대두리'!$F$6:$F$154)</f>
        <v>0</v>
      </c>
      <c r="E26" s="36">
        <f>COUNTIF('(당초)대두리'!$M$6:$M$154,'(당초)집계표'!V26)</f>
        <v>0</v>
      </c>
      <c r="F26" s="37" t="s">
        <v>5</v>
      </c>
      <c r="G26" s="212">
        <f>SUMIF('(당초)대두리'!$M$6:$M$154,'(당초)집계표'!V26,'(당초)대두리'!$F$6:$F$154)</f>
        <v>0</v>
      </c>
      <c r="H26" s="36">
        <f>COUNTIF('(당초)대두리'!$M$6:$M$154,'(당초)집계표'!W26)</f>
        <v>0</v>
      </c>
      <c r="I26" s="37" t="s">
        <v>5</v>
      </c>
      <c r="J26" s="212">
        <f>SUMIF('(당초)대두리'!$M$6:$M$154,'(당초)집계표'!W26,'(당초)대두리'!$F$6:$F$154)</f>
        <v>0</v>
      </c>
      <c r="K26" s="36">
        <f t="shared" si="0"/>
        <v>0</v>
      </c>
      <c r="L26" s="37" t="s">
        <v>5</v>
      </c>
      <c r="M26" s="212">
        <f t="shared" ca="1" si="1"/>
        <v>0</v>
      </c>
      <c r="N26" s="39"/>
      <c r="O26" s="23"/>
      <c r="P26" s="23"/>
      <c r="Q26" s="23"/>
      <c r="R26" s="23"/>
      <c r="S26" s="23"/>
      <c r="T26" s="23"/>
      <c r="U26" s="24" t="s">
        <v>451</v>
      </c>
      <c r="V26" s="23" t="s">
        <v>549</v>
      </c>
      <c r="W26" s="334" t="s">
        <v>588</v>
      </c>
    </row>
    <row r="27" spans="1:23" s="24" customFormat="1" ht="23.1" customHeight="1">
      <c r="A27" s="105" t="s">
        <v>27</v>
      </c>
      <c r="B27" s="36">
        <f>COUNTIF('(당초)대두리'!$D$6:$D$154,'(당초)집계표'!U27)</f>
        <v>0</v>
      </c>
      <c r="C27" s="37" t="s">
        <v>5</v>
      </c>
      <c r="D27" s="212">
        <f ca="1">SUMIF('(당초)대두리'!$D$6:$D$208,'(당초)집계표'!U27,'(당초)대두리'!$F$6:$F$154)</f>
        <v>0</v>
      </c>
      <c r="E27" s="36">
        <f>COUNTIF('(당초)대두리'!$M$6:$M$154,'(당초)집계표'!V27)</f>
        <v>0</v>
      </c>
      <c r="F27" s="37" t="s">
        <v>5</v>
      </c>
      <c r="G27" s="212">
        <f>SUMIF('(당초)대두리'!$M$6:$M$154,'(당초)집계표'!V27,'(당초)대두리'!$F$6:$F$154)</f>
        <v>0</v>
      </c>
      <c r="H27" s="36">
        <f>COUNTIF('(당초)대두리'!$M$6:$M$154,'(당초)집계표'!W27)</f>
        <v>0</v>
      </c>
      <c r="I27" s="37" t="s">
        <v>5</v>
      </c>
      <c r="J27" s="212">
        <f>SUMIF('(당초)대두리'!$M$6:$M$154,'(당초)집계표'!W27,'(당초)대두리'!$F$6:$F$154)</f>
        <v>0</v>
      </c>
      <c r="K27" s="36">
        <f t="shared" si="0"/>
        <v>0</v>
      </c>
      <c r="L27" s="37" t="s">
        <v>5</v>
      </c>
      <c r="M27" s="212">
        <f t="shared" ca="1" si="1"/>
        <v>0</v>
      </c>
      <c r="N27" s="39"/>
      <c r="O27" s="23"/>
      <c r="P27" s="23"/>
      <c r="Q27" s="23"/>
      <c r="R27" s="23"/>
      <c r="S27" s="23"/>
      <c r="T27" s="23"/>
      <c r="U27" s="24" t="s">
        <v>574</v>
      </c>
      <c r="V27" s="23" t="s">
        <v>558</v>
      </c>
      <c r="W27" s="334" t="s">
        <v>597</v>
      </c>
    </row>
    <row r="28" spans="1:23" s="24" customFormat="1" ht="23.1" customHeight="1">
      <c r="A28" s="105" t="s">
        <v>28</v>
      </c>
      <c r="B28" s="36">
        <f>COUNTIF('(당초)대두리'!$D$6:$D$154,'(당초)집계표'!U28)</f>
        <v>0</v>
      </c>
      <c r="C28" s="37" t="s">
        <v>5</v>
      </c>
      <c r="D28" s="212">
        <f ca="1">SUMIF('(당초)대두리'!$D$6:$D$208,'(당초)집계표'!U28,'(당초)대두리'!$F$6:$F$154)</f>
        <v>0</v>
      </c>
      <c r="E28" s="36">
        <f>COUNTIF('(당초)대두리'!$M$6:$M$154,'(당초)집계표'!V28)</f>
        <v>0</v>
      </c>
      <c r="F28" s="37" t="s">
        <v>5</v>
      </c>
      <c r="G28" s="212">
        <f>SUMIF('(당초)대두리'!$M$6:$M$154,'(당초)집계표'!V28,'(당초)대두리'!$F$6:$F$154)</f>
        <v>0</v>
      </c>
      <c r="H28" s="36">
        <f>COUNTIF('(당초)대두리'!$M$6:$M$154,'(당초)집계표'!W28)</f>
        <v>0</v>
      </c>
      <c r="I28" s="37" t="s">
        <v>5</v>
      </c>
      <c r="J28" s="212">
        <f>SUMIF('(당초)대두리'!$M$6:$M$154,'(당초)집계표'!W28,'(당초)대두리'!$F$6:$F$154)</f>
        <v>0</v>
      </c>
      <c r="K28" s="36">
        <f t="shared" si="0"/>
        <v>0</v>
      </c>
      <c r="L28" s="37" t="s">
        <v>5</v>
      </c>
      <c r="M28" s="212">
        <f t="shared" ca="1" si="1"/>
        <v>0</v>
      </c>
      <c r="N28" s="39"/>
      <c r="O28" s="23"/>
      <c r="P28" s="23"/>
      <c r="Q28" s="23"/>
      <c r="R28" s="23"/>
      <c r="S28" s="23"/>
      <c r="T28" s="23"/>
      <c r="U28" s="24" t="s">
        <v>575</v>
      </c>
      <c r="V28" s="23" t="s">
        <v>559</v>
      </c>
      <c r="W28" s="334" t="s">
        <v>598</v>
      </c>
    </row>
    <row r="29" spans="1:23" s="24" customFormat="1" ht="23.1" customHeight="1">
      <c r="A29" s="105" t="s">
        <v>60</v>
      </c>
      <c r="B29" s="36">
        <f>COUNTIF('(당초)대두리'!$D$6:$D$154,'(당초)집계표'!U29)</f>
        <v>0</v>
      </c>
      <c r="C29" s="37" t="s">
        <v>5</v>
      </c>
      <c r="D29" s="212">
        <f ca="1">SUMIF('(당초)대두리'!$D$6:$D$208,'(당초)집계표'!U29,'(당초)대두리'!$F$6:$F$154)</f>
        <v>0</v>
      </c>
      <c r="E29" s="36">
        <f>COUNTIF('(당초)대두리'!$M$6:$M$154,'(당초)집계표'!V29)</f>
        <v>0</v>
      </c>
      <c r="F29" s="37" t="s">
        <v>5</v>
      </c>
      <c r="G29" s="212">
        <f>SUMIF('(당초)대두리'!$M$6:$M$154,'(당초)집계표'!V29,'(당초)대두리'!$F$6:$F$154)</f>
        <v>0</v>
      </c>
      <c r="H29" s="36">
        <f>COUNTIF('(당초)대두리'!$M$6:$M$154,'(당초)집계표'!W29)</f>
        <v>0</v>
      </c>
      <c r="I29" s="37" t="s">
        <v>5</v>
      </c>
      <c r="J29" s="212">
        <f>SUMIF('(당초)대두리'!$M$6:$M$154,'(당초)집계표'!W29,'(당초)대두리'!$F$6:$F$154)</f>
        <v>0</v>
      </c>
      <c r="K29" s="36">
        <f t="shared" si="0"/>
        <v>0</v>
      </c>
      <c r="L29" s="37" t="s">
        <v>5</v>
      </c>
      <c r="M29" s="212">
        <f t="shared" ca="1" si="1"/>
        <v>0</v>
      </c>
      <c r="N29" s="39"/>
      <c r="O29" s="23"/>
      <c r="P29" s="23"/>
      <c r="Q29" s="23"/>
      <c r="R29" s="23"/>
      <c r="S29" s="23"/>
      <c r="T29" s="23"/>
      <c r="U29" s="24" t="s">
        <v>576</v>
      </c>
      <c r="V29" s="23" t="s">
        <v>560</v>
      </c>
      <c r="W29" s="334" t="s">
        <v>599</v>
      </c>
    </row>
    <row r="30" spans="1:23" s="24" customFormat="1" ht="23.1" customHeight="1">
      <c r="A30" s="105" t="s">
        <v>70</v>
      </c>
      <c r="B30" s="36">
        <f>COUNTIF('(당초)대두리'!$D$6:$D$154,'(당초)집계표'!U30)</f>
        <v>0</v>
      </c>
      <c r="C30" s="37" t="s">
        <v>5</v>
      </c>
      <c r="D30" s="212">
        <f ca="1">SUMIF('(당초)대두리'!$D$6:$D$208,'(당초)집계표'!U30,'(당초)대두리'!$F$6:$F$154)</f>
        <v>0</v>
      </c>
      <c r="E30" s="36">
        <f>COUNTIF('(당초)대두리'!$M$6:$M$154,'(당초)집계표'!V30)</f>
        <v>0</v>
      </c>
      <c r="F30" s="37" t="s">
        <v>5</v>
      </c>
      <c r="G30" s="212">
        <f>SUMIF('(당초)대두리'!$M$6:$M$154,'(당초)집계표'!V30,'(당초)대두리'!$F$6:$F$154)</f>
        <v>0</v>
      </c>
      <c r="H30" s="36">
        <f>COUNTIF('(당초)대두리'!$M$6:$M$154,'(당초)집계표'!W30)</f>
        <v>0</v>
      </c>
      <c r="I30" s="37" t="s">
        <v>5</v>
      </c>
      <c r="J30" s="212">
        <f>SUMIF('(당초)대두리'!$M$6:$M$154,'(당초)집계표'!W30,'(당초)대두리'!$F$6:$F$154)</f>
        <v>0</v>
      </c>
      <c r="K30" s="36">
        <f t="shared" si="0"/>
        <v>0</v>
      </c>
      <c r="L30" s="37" t="s">
        <v>5</v>
      </c>
      <c r="M30" s="212">
        <f t="shared" ca="1" si="1"/>
        <v>0</v>
      </c>
      <c r="N30" s="39"/>
      <c r="O30" s="23"/>
      <c r="P30" s="23"/>
      <c r="Q30" s="23"/>
      <c r="R30" s="23"/>
      <c r="S30" s="23"/>
      <c r="T30" s="23"/>
      <c r="U30" s="24" t="s">
        <v>608</v>
      </c>
      <c r="V30" s="23" t="s">
        <v>609</v>
      </c>
      <c r="W30" s="334" t="s">
        <v>610</v>
      </c>
    </row>
    <row r="31" spans="1:23" s="24" customFormat="1" ht="23.1" customHeight="1">
      <c r="A31" s="106" t="s">
        <v>62</v>
      </c>
      <c r="B31" s="40">
        <f>COUNTIF('(당초)대두리'!$D$6:$D$154,'(당초)집계표'!U31)</f>
        <v>0</v>
      </c>
      <c r="C31" s="41" t="s">
        <v>5</v>
      </c>
      <c r="D31" s="213">
        <f ca="1">SUMIF('(당초)대두리'!$D$6:$D$208,'(당초)집계표'!U31,'(당초)대두리'!$F$6:$F$154)</f>
        <v>0</v>
      </c>
      <c r="E31" s="40">
        <f>COUNTIF('(당초)대두리'!$M$6:$M$154,'(당초)집계표'!V31)</f>
        <v>0</v>
      </c>
      <c r="F31" s="41" t="s">
        <v>5</v>
      </c>
      <c r="G31" s="213">
        <f>SUMIF('(당초)대두리'!$M$6:$M$154,'(당초)집계표'!V31,'(당초)대두리'!$F$6:$F$154)</f>
        <v>0</v>
      </c>
      <c r="H31" s="40">
        <f>COUNTIF('(당초)대두리'!$M$6:$M$154,'(당초)집계표'!W31)</f>
        <v>0</v>
      </c>
      <c r="I31" s="41" t="s">
        <v>5</v>
      </c>
      <c r="J31" s="213">
        <f>SUMIF('(당초)대두리'!$M$6:$M$154,'(당초)집계표'!W31,'(당초)대두리'!$F$6:$F$154)</f>
        <v>0</v>
      </c>
      <c r="K31" s="40">
        <f t="shared" si="0"/>
        <v>0</v>
      </c>
      <c r="L31" s="41" t="s">
        <v>5</v>
      </c>
      <c r="M31" s="213">
        <f t="shared" ca="1" si="1"/>
        <v>0</v>
      </c>
      <c r="N31" s="43"/>
      <c r="O31" s="23"/>
      <c r="P31" s="23"/>
      <c r="Q31" s="23"/>
      <c r="R31" s="23"/>
      <c r="S31" s="23"/>
      <c r="T31" s="23"/>
      <c r="U31" s="24" t="s">
        <v>602</v>
      </c>
      <c r="V31" s="23" t="s">
        <v>605</v>
      </c>
      <c r="W31" s="334" t="s">
        <v>606</v>
      </c>
    </row>
    <row r="32" spans="1:23" s="17" customFormat="1" ht="20.100000000000001" customHeight="1">
      <c r="A32" s="11">
        <f>IF(EXACT(O36,O37),,"검산확인요!!!")</f>
        <v>0</v>
      </c>
      <c r="B32" s="12"/>
      <c r="C32" s="12"/>
      <c r="D32" s="12"/>
      <c r="E32" s="12"/>
      <c r="F32" s="12"/>
      <c r="G32" s="12"/>
      <c r="H32" s="12"/>
      <c r="I32" s="12"/>
      <c r="J32" s="12"/>
      <c r="K32" s="13" t="str">
        <f>IF(ISBLANK('봉락리(출력4)'!M2),,'봉락리(출력4)'!M2)</f>
        <v>서산시 부석면 봉락리</v>
      </c>
      <c r="L32" s="187"/>
      <c r="M32" s="16"/>
      <c r="N32" s="16"/>
    </row>
    <row r="33" spans="1:23" s="17" customFormat="1" ht="9.9499999999999993" customHeight="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</row>
    <row r="34" spans="1:23" s="24" customFormat="1" ht="27.95" customHeight="1">
      <c r="A34" s="199" t="s">
        <v>3</v>
      </c>
      <c r="B34" s="489" t="s">
        <v>2</v>
      </c>
      <c r="C34" s="490"/>
      <c r="D34" s="490"/>
      <c r="E34" s="214" t="s">
        <v>29</v>
      </c>
      <c r="F34" s="215"/>
      <c r="G34" s="216"/>
      <c r="H34" s="214" t="s">
        <v>57</v>
      </c>
      <c r="I34" s="215"/>
      <c r="J34" s="216"/>
      <c r="K34" s="214" t="s">
        <v>30</v>
      </c>
      <c r="L34" s="215"/>
      <c r="M34" s="216"/>
      <c r="N34" s="22" t="s">
        <v>31</v>
      </c>
      <c r="O34" s="23"/>
      <c r="S34" s="23"/>
      <c r="T34" s="23"/>
      <c r="U34" s="23"/>
      <c r="V34" s="23"/>
    </row>
    <row r="35" spans="1:23" s="24" customFormat="1" ht="27.95" customHeight="1">
      <c r="A35" s="25"/>
      <c r="B35" s="26" t="s">
        <v>4</v>
      </c>
      <c r="C35" s="27" t="s">
        <v>5</v>
      </c>
      <c r="D35" s="28" t="s">
        <v>32</v>
      </c>
      <c r="E35" s="185" t="s">
        <v>4</v>
      </c>
      <c r="F35" s="186" t="s">
        <v>5</v>
      </c>
      <c r="G35" s="184" t="s">
        <v>32</v>
      </c>
      <c r="H35" s="185" t="s">
        <v>4</v>
      </c>
      <c r="I35" s="186" t="s">
        <v>5</v>
      </c>
      <c r="J35" s="184" t="s">
        <v>32</v>
      </c>
      <c r="K35" s="185" t="s">
        <v>4</v>
      </c>
      <c r="L35" s="186" t="s">
        <v>5</v>
      </c>
      <c r="M35" s="184" t="s">
        <v>32</v>
      </c>
      <c r="N35" s="29"/>
      <c r="P35" s="23"/>
      <c r="Q35" s="30" t="s">
        <v>33</v>
      </c>
      <c r="R35" s="30" t="s">
        <v>34</v>
      </c>
      <c r="S35" s="30" t="s">
        <v>35</v>
      </c>
      <c r="T35" s="30" t="s">
        <v>36</v>
      </c>
      <c r="U35" s="23"/>
      <c r="V35" s="23"/>
    </row>
    <row r="36" spans="1:23" s="24" customFormat="1" ht="23.1" customHeight="1">
      <c r="A36" s="103" t="s">
        <v>2</v>
      </c>
      <c r="B36" s="31">
        <f>SUM(B37:B61)</f>
        <v>150</v>
      </c>
      <c r="C36" s="32" t="s">
        <v>5</v>
      </c>
      <c r="D36" s="211">
        <f>SUM(D37:D61)</f>
        <v>57534.399999999994</v>
      </c>
      <c r="E36" s="31">
        <f>SUM(E37:E61)</f>
        <v>34</v>
      </c>
      <c r="F36" s="32" t="s">
        <v>5</v>
      </c>
      <c r="G36" s="211">
        <f>SUM(G37:G61)</f>
        <v>9205.5</v>
      </c>
      <c r="H36" s="31">
        <f>SUM(H37:H61)</f>
        <v>114</v>
      </c>
      <c r="I36" s="32" t="s">
        <v>5</v>
      </c>
      <c r="J36" s="211">
        <f>SUM(J37:J61)</f>
        <v>47268.899999999994</v>
      </c>
      <c r="K36" s="31">
        <f>SUM(K37:K61)</f>
        <v>2</v>
      </c>
      <c r="L36" s="32" t="s">
        <v>5</v>
      </c>
      <c r="M36" s="211">
        <f>SUM(M37:M61)</f>
        <v>1060.0000000000009</v>
      </c>
      <c r="N36" s="34"/>
      <c r="O36" s="23" t="str">
        <f>IF(EXACT(Q36,T36),"맞음","틀림")</f>
        <v>틀림</v>
      </c>
      <c r="P36" s="23" t="s">
        <v>4</v>
      </c>
      <c r="Q36" s="35">
        <f>SUM(B37:B61)</f>
        <v>150</v>
      </c>
      <c r="R36" s="35">
        <f>SUM(E37:E61)</f>
        <v>34</v>
      </c>
      <c r="S36" s="35">
        <f>SUM(K37:K61)</f>
        <v>2</v>
      </c>
      <c r="T36" s="35">
        <f>K36+E36</f>
        <v>36</v>
      </c>
      <c r="U36" s="23"/>
      <c r="V36" s="23"/>
    </row>
    <row r="37" spans="1:23" s="24" customFormat="1" ht="23.1" customHeight="1">
      <c r="A37" s="104" t="s">
        <v>7</v>
      </c>
      <c r="B37" s="36">
        <f>COUNTIF('(당초)봉락리'!$D$6:$D$155,'(당초)집계표'!U37)</f>
        <v>30</v>
      </c>
      <c r="C37" s="37" t="s">
        <v>5</v>
      </c>
      <c r="D37" s="212">
        <f>SUMIF('(당초)봉락리'!$D$6:$D$155,'(당초)집계표'!U37,'(당초)봉락리'!$F$6:$F$155)</f>
        <v>10337</v>
      </c>
      <c r="E37" s="36">
        <f>COUNTIF('(당초)봉락리'!$J$6:$J$155,'(당초)집계표'!V37)</f>
        <v>0</v>
      </c>
      <c r="F37" s="37" t="s">
        <v>5</v>
      </c>
      <c r="G37" s="212">
        <f>SUMIF('(당초)봉락리'!$J$6:$J$155,'(당초)집계표'!V37,'(당초)봉락리'!$F$6:$F$155)</f>
        <v>0</v>
      </c>
      <c r="H37" s="36">
        <f>COUNTIF('(당초)봉락리'!$J$6:$J$155,'(당초)집계표'!W37)</f>
        <v>30</v>
      </c>
      <c r="I37" s="37" t="s">
        <v>5</v>
      </c>
      <c r="J37" s="212">
        <f>SUMIF('(당초)봉락리'!$J$6:$J$155,'(당초)집계표'!W37,'(당초)봉락리'!$F$6:$F$155)</f>
        <v>10337</v>
      </c>
      <c r="K37" s="36">
        <f t="shared" ref="K37:K61" si="2">SUM(B37-E37-H37)</f>
        <v>0</v>
      </c>
      <c r="L37" s="37" t="s">
        <v>5</v>
      </c>
      <c r="M37" s="212">
        <f t="shared" ref="M37:M61" si="3">SUM(D37-G37-J37)</f>
        <v>0</v>
      </c>
      <c r="N37" s="39"/>
      <c r="O37" s="23" t="str">
        <f>IF(EXACT(Q37,T37),"맞음","틀림")</f>
        <v>틀림</v>
      </c>
      <c r="P37" s="23" t="s">
        <v>37</v>
      </c>
      <c r="Q37" s="35">
        <f>SUM(D37:D61)</f>
        <v>57534.399999999994</v>
      </c>
      <c r="R37" s="35">
        <f>SUM(G37:G61)</f>
        <v>9205.5</v>
      </c>
      <c r="S37" s="35">
        <f>SUM(M37:M61)</f>
        <v>1060.0000000000009</v>
      </c>
      <c r="T37" s="35">
        <f>G36+M36</f>
        <v>10265.5</v>
      </c>
      <c r="U37" s="24" t="s">
        <v>7</v>
      </c>
      <c r="V37" s="23" t="s">
        <v>539</v>
      </c>
      <c r="W37" s="334" t="s">
        <v>578</v>
      </c>
    </row>
    <row r="38" spans="1:23" s="24" customFormat="1" ht="23.1" customHeight="1">
      <c r="A38" s="104" t="s">
        <v>8</v>
      </c>
      <c r="B38" s="36">
        <f>COUNTIF('(당초)봉락리'!$D$6:$D$155,'(당초)집계표'!U38)</f>
        <v>17</v>
      </c>
      <c r="C38" s="37" t="s">
        <v>5</v>
      </c>
      <c r="D38" s="212">
        <f>SUMIF('(당초)봉락리'!$D$6:$D$155,'(당초)집계표'!U38,'(당초)봉락리'!$F$6:$F$155)</f>
        <v>16153.899999999998</v>
      </c>
      <c r="E38" s="36">
        <f>COUNTIF('(당초)봉락리'!$J$6:$J$155,'(당초)집계표'!V38)</f>
        <v>0</v>
      </c>
      <c r="F38" s="37" t="s">
        <v>5</v>
      </c>
      <c r="G38" s="212">
        <f>SUMIF('(당초)봉락리'!$J$6:$J$155,'(당초)집계표'!V38,'(당초)봉락리'!$F$6:$F$155)</f>
        <v>0</v>
      </c>
      <c r="H38" s="36">
        <f>COUNTIF('(당초)봉락리'!$J$6:$J$155,'(당초)집계표'!W38)</f>
        <v>17</v>
      </c>
      <c r="I38" s="37" t="s">
        <v>5</v>
      </c>
      <c r="J38" s="212">
        <f>SUMIF('(당초)봉락리'!$J$6:$J$155,'(당초)집계표'!W38,'(당초)봉락리'!$F$6:$F$155)</f>
        <v>16153.899999999998</v>
      </c>
      <c r="K38" s="36">
        <f t="shared" si="2"/>
        <v>0</v>
      </c>
      <c r="L38" s="37" t="s">
        <v>5</v>
      </c>
      <c r="M38" s="212">
        <f t="shared" si="3"/>
        <v>0</v>
      </c>
      <c r="N38" s="39"/>
      <c r="Q38" s="23"/>
      <c r="S38" s="23"/>
      <c r="U38" s="24" t="s">
        <v>8</v>
      </c>
      <c r="V38" s="23" t="s">
        <v>540</v>
      </c>
      <c r="W38" s="334" t="s">
        <v>579</v>
      </c>
    </row>
    <row r="39" spans="1:23" s="24" customFormat="1" ht="23.1" customHeight="1">
      <c r="A39" s="104" t="s">
        <v>9</v>
      </c>
      <c r="B39" s="36">
        <f>COUNTIF('(당초)봉락리'!$D$6:$D$155,'(당초)집계표'!U39)</f>
        <v>17</v>
      </c>
      <c r="C39" s="37" t="s">
        <v>5</v>
      </c>
      <c r="D39" s="212">
        <f>SUMIF('(당초)봉락리'!$D$6:$D$155,'(당초)집계표'!U39,'(당초)봉락리'!$F$6:$F$155)</f>
        <v>13328</v>
      </c>
      <c r="E39" s="36">
        <f>COUNTIF('(당초)봉락리'!$J$6:$J$155,'(당초)집계표'!V39)</f>
        <v>0</v>
      </c>
      <c r="F39" s="37" t="s">
        <v>5</v>
      </c>
      <c r="G39" s="212">
        <f>SUMIF('(당초)봉락리'!$J$6:$J$155,'(당초)집계표'!V39,'(당초)봉락리'!$F$6:$F$155)</f>
        <v>0</v>
      </c>
      <c r="H39" s="36">
        <f>COUNTIF('(당초)봉락리'!$J$6:$J$155,'(당초)집계표'!W39)</f>
        <v>16</v>
      </c>
      <c r="I39" s="37" t="s">
        <v>5</v>
      </c>
      <c r="J39" s="212">
        <f>SUMIF('(당초)봉락리'!$J$6:$J$155,'(당초)집계표'!W39,'(당초)봉락리'!$F$6:$F$155)</f>
        <v>12344</v>
      </c>
      <c r="K39" s="36">
        <f t="shared" si="2"/>
        <v>1</v>
      </c>
      <c r="L39" s="37" t="s">
        <v>5</v>
      </c>
      <c r="M39" s="212">
        <f t="shared" si="3"/>
        <v>984</v>
      </c>
      <c r="N39" s="39"/>
      <c r="Q39" s="23"/>
      <c r="S39" s="23"/>
      <c r="U39" s="24" t="s">
        <v>93</v>
      </c>
      <c r="V39" s="23" t="s">
        <v>541</v>
      </c>
      <c r="W39" s="334" t="s">
        <v>580</v>
      </c>
    </row>
    <row r="40" spans="1:23" s="24" customFormat="1" ht="23.1" customHeight="1">
      <c r="A40" s="104" t="s">
        <v>10</v>
      </c>
      <c r="B40" s="36">
        <f>COUNTIF('(당초)봉락리'!$D$6:$D$155,'(당초)집계표'!U40)</f>
        <v>8</v>
      </c>
      <c r="C40" s="37" t="s">
        <v>5</v>
      </c>
      <c r="D40" s="212">
        <f>SUMIF('(당초)봉락리'!$D$6:$D$155,'(당초)집계표'!U40,'(당초)봉락리'!$F$6:$F$155)</f>
        <v>664</v>
      </c>
      <c r="E40" s="36">
        <f>COUNTIF('(당초)봉락리'!$J$6:$J$155,'(당초)집계표'!V40)</f>
        <v>1</v>
      </c>
      <c r="F40" s="37" t="s">
        <v>5</v>
      </c>
      <c r="G40" s="212">
        <f>SUMIF('(당초)봉락리'!$J$6:$J$155,'(당초)집계표'!V40,'(당초)봉락리'!$F$6:$F$155)</f>
        <v>95</v>
      </c>
      <c r="H40" s="36">
        <f>COUNTIF('(당초)봉락리'!$J$6:$J$155,'(당초)집계표'!W40)</f>
        <v>7</v>
      </c>
      <c r="I40" s="37" t="s">
        <v>5</v>
      </c>
      <c r="J40" s="212">
        <f>SUMIF('(당초)봉락리'!$J$6:$J$155,'(당초)집계표'!W40,'(당초)봉락리'!$F$6:$F$155)</f>
        <v>569</v>
      </c>
      <c r="K40" s="36">
        <f t="shared" si="2"/>
        <v>0</v>
      </c>
      <c r="L40" s="37" t="s">
        <v>5</v>
      </c>
      <c r="M40" s="212">
        <f t="shared" si="3"/>
        <v>0</v>
      </c>
      <c r="N40" s="39"/>
      <c r="O40" s="23"/>
      <c r="P40" s="23"/>
      <c r="Q40" s="23"/>
      <c r="R40" s="23"/>
      <c r="S40" s="23"/>
      <c r="T40" s="23"/>
      <c r="U40" s="24" t="s">
        <v>459</v>
      </c>
      <c r="V40" s="23" t="s">
        <v>542</v>
      </c>
      <c r="W40" s="334" t="s">
        <v>581</v>
      </c>
    </row>
    <row r="41" spans="1:23" s="24" customFormat="1" ht="23.1" customHeight="1">
      <c r="A41" s="104" t="s">
        <v>11</v>
      </c>
      <c r="B41" s="36">
        <f>COUNTIF('(당초)봉락리'!$D$6:$D$155,'(당초)집계표'!U41)</f>
        <v>58</v>
      </c>
      <c r="C41" s="37" t="s">
        <v>5</v>
      </c>
      <c r="D41" s="212">
        <f>SUMIF('(당초)봉락리'!$D$6:$D$155,'(당초)집계표'!U41,'(당초)봉락리'!$F$6:$F$155)</f>
        <v>12321.7</v>
      </c>
      <c r="E41" s="36">
        <f>COUNTIF('(당초)봉락리'!$J$6:$J$155,'(당초)집계표'!V41)</f>
        <v>17</v>
      </c>
      <c r="F41" s="37" t="s">
        <v>5</v>
      </c>
      <c r="G41" s="212">
        <f>SUMIF('(당초)봉락리'!$J$6:$J$155,'(당초)집계표'!V41,'(당초)봉락리'!$F$6:$F$155)</f>
        <v>5299.7</v>
      </c>
      <c r="H41" s="36">
        <f>COUNTIF('(당초)봉락리'!$J$6:$J$155,'(당초)집계표'!W41)</f>
        <v>40</v>
      </c>
      <c r="I41" s="37" t="s">
        <v>5</v>
      </c>
      <c r="J41" s="212">
        <f>SUMIF('(당초)봉락리'!$J$6:$J$155,'(당초)집계표'!W41,'(당초)봉락리'!$F$6:$F$155)</f>
        <v>6946</v>
      </c>
      <c r="K41" s="36">
        <f t="shared" si="2"/>
        <v>1</v>
      </c>
      <c r="L41" s="37" t="s">
        <v>5</v>
      </c>
      <c r="M41" s="212">
        <f t="shared" si="3"/>
        <v>76.000000000000909</v>
      </c>
      <c r="N41" s="39"/>
      <c r="O41" s="23"/>
      <c r="P41" s="23"/>
      <c r="Q41" s="23"/>
      <c r="R41" s="23"/>
      <c r="S41" s="23"/>
      <c r="T41" s="23"/>
      <c r="U41" s="24" t="s">
        <v>455</v>
      </c>
      <c r="V41" s="23" t="s">
        <v>543</v>
      </c>
      <c r="W41" s="334" t="s">
        <v>582</v>
      </c>
    </row>
    <row r="42" spans="1:23" s="24" customFormat="1" ht="23.1" customHeight="1">
      <c r="A42" s="104" t="s">
        <v>12</v>
      </c>
      <c r="B42" s="36">
        <f>COUNTIF('(당초)봉락리'!$D$6:$D$155,'(당초)집계표'!U42)</f>
        <v>13</v>
      </c>
      <c r="C42" s="37" t="s">
        <v>5</v>
      </c>
      <c r="D42" s="212">
        <f>SUMIF('(당초)봉락리'!$D$6:$D$155,'(당초)집계표'!U42,'(당초)봉락리'!$F$6:$F$155)</f>
        <v>2402.7999999999997</v>
      </c>
      <c r="E42" s="36">
        <f>COUNTIF('(당초)봉락리'!$J$6:$J$155,'(당초)집계표'!V42)</f>
        <v>13</v>
      </c>
      <c r="F42" s="37" t="s">
        <v>5</v>
      </c>
      <c r="G42" s="212">
        <f>SUMIF('(당초)봉락리'!$J$6:$J$155,'(당초)집계표'!V42,'(당초)봉락리'!$F$6:$F$155)</f>
        <v>2402.7999999999997</v>
      </c>
      <c r="H42" s="36">
        <f>COUNTIF('(당초)봉락리'!$J$6:$J$155,'(당초)집계표'!W42)</f>
        <v>0</v>
      </c>
      <c r="I42" s="37" t="s">
        <v>5</v>
      </c>
      <c r="J42" s="212">
        <f>SUMIF('(당초)봉락리'!$J$6:$J$155,'(당초)집계표'!W42,'(당초)봉락리'!$F$6:$F$155)</f>
        <v>0</v>
      </c>
      <c r="K42" s="36">
        <f t="shared" si="2"/>
        <v>0</v>
      </c>
      <c r="L42" s="37" t="s">
        <v>5</v>
      </c>
      <c r="M42" s="212">
        <f t="shared" si="3"/>
        <v>0</v>
      </c>
      <c r="N42" s="39"/>
      <c r="O42" s="23"/>
      <c r="P42" s="23"/>
      <c r="Q42" s="23"/>
      <c r="R42" s="23"/>
      <c r="S42" s="23"/>
      <c r="T42" s="23"/>
      <c r="U42" s="24" t="s">
        <v>462</v>
      </c>
      <c r="V42" s="23" t="s">
        <v>544</v>
      </c>
      <c r="W42" s="334" t="s">
        <v>583</v>
      </c>
    </row>
    <row r="43" spans="1:23" s="24" customFormat="1" ht="23.1" customHeight="1">
      <c r="A43" s="104" t="s">
        <v>13</v>
      </c>
      <c r="B43" s="36">
        <f>COUNTIF('(당초)봉락리'!$D$6:$D$155,'(당초)집계표'!U43)</f>
        <v>0</v>
      </c>
      <c r="C43" s="37" t="s">
        <v>5</v>
      </c>
      <c r="D43" s="212">
        <f>SUMIF('(당초)봉락리'!$D$6:$D$155,'(당초)집계표'!U43,'(당초)봉락리'!$F$6:$F$155)</f>
        <v>0</v>
      </c>
      <c r="E43" s="36">
        <f>COUNTIF('(당초)봉락리'!$J$6:$J$155,'(당초)집계표'!V43)</f>
        <v>0</v>
      </c>
      <c r="F43" s="37" t="s">
        <v>5</v>
      </c>
      <c r="G43" s="212">
        <f>SUMIF('(당초)봉락리'!$J$6:$J$155,'(당초)집계표'!V43,'(당초)봉락리'!$F$6:$F$155)</f>
        <v>0</v>
      </c>
      <c r="H43" s="36">
        <f>COUNTIF('(당초)봉락리'!$J$6:$J$155,'(당초)집계표'!W43)</f>
        <v>0</v>
      </c>
      <c r="I43" s="37" t="s">
        <v>5</v>
      </c>
      <c r="J43" s="212">
        <f>SUMIF('(당초)봉락리'!$J$6:$J$155,'(당초)집계표'!W43,'(당초)봉락리'!$F$6:$F$155)</f>
        <v>0</v>
      </c>
      <c r="K43" s="36">
        <f t="shared" si="2"/>
        <v>0</v>
      </c>
      <c r="L43" s="37" t="s">
        <v>5</v>
      </c>
      <c r="M43" s="212">
        <f t="shared" si="3"/>
        <v>0</v>
      </c>
      <c r="N43" s="39"/>
      <c r="O43" s="23"/>
      <c r="P43" s="23"/>
      <c r="Q43" s="23"/>
      <c r="R43" s="23"/>
      <c r="S43" s="23"/>
      <c r="T43" s="23"/>
      <c r="U43" s="24" t="s">
        <v>563</v>
      </c>
      <c r="V43" s="23" t="s">
        <v>545</v>
      </c>
      <c r="W43" s="334" t="s">
        <v>584</v>
      </c>
    </row>
    <row r="44" spans="1:23" s="24" customFormat="1" ht="23.1" customHeight="1">
      <c r="A44" s="104" t="s">
        <v>14</v>
      </c>
      <c r="B44" s="36">
        <f>COUNTIF('(당초)봉락리'!$D$6:$D$155,'(당초)집계표'!U44)</f>
        <v>0</v>
      </c>
      <c r="C44" s="37" t="s">
        <v>5</v>
      </c>
      <c r="D44" s="212">
        <f>SUMIF('(당초)봉락리'!$D$6:$D$155,'(당초)집계표'!U44,'(당초)봉락리'!$F$6:$F$155)</f>
        <v>0</v>
      </c>
      <c r="E44" s="36">
        <f>COUNTIF('(당초)봉락리'!$J$6:$J$155,'(당초)집계표'!V44)</f>
        <v>0</v>
      </c>
      <c r="F44" s="37" t="s">
        <v>5</v>
      </c>
      <c r="G44" s="212">
        <f>SUMIF('(당초)봉락리'!$J$6:$J$155,'(당초)집계표'!V44,'(당초)봉락리'!$F$6:$F$155)</f>
        <v>0</v>
      </c>
      <c r="H44" s="36">
        <f>COUNTIF('(당초)봉락리'!$J$6:$J$155,'(당초)집계표'!W44)</f>
        <v>0</v>
      </c>
      <c r="I44" s="37" t="s">
        <v>5</v>
      </c>
      <c r="J44" s="212">
        <f>SUMIF('(당초)봉락리'!$J$6:$J$155,'(당초)집계표'!W44,'(당초)봉락리'!$F$6:$F$155)</f>
        <v>0</v>
      </c>
      <c r="K44" s="36">
        <f t="shared" si="2"/>
        <v>0</v>
      </c>
      <c r="L44" s="37" t="s">
        <v>5</v>
      </c>
      <c r="M44" s="212">
        <f t="shared" si="3"/>
        <v>0</v>
      </c>
      <c r="N44" s="39"/>
      <c r="O44" s="23"/>
      <c r="P44" s="23"/>
      <c r="Q44" s="23"/>
      <c r="R44" s="23"/>
      <c r="S44" s="23"/>
      <c r="T44" s="23"/>
      <c r="U44" s="24" t="s">
        <v>484</v>
      </c>
      <c r="V44" s="23" t="s">
        <v>546</v>
      </c>
      <c r="W44" s="334" t="s">
        <v>585</v>
      </c>
    </row>
    <row r="45" spans="1:23" s="24" customFormat="1" ht="23.1" customHeight="1">
      <c r="A45" s="104" t="s">
        <v>15</v>
      </c>
      <c r="B45" s="36">
        <f>COUNTIF('(당초)봉락리'!$D$6:$D$155,'(당초)집계표'!U45)</f>
        <v>0</v>
      </c>
      <c r="C45" s="37" t="s">
        <v>5</v>
      </c>
      <c r="D45" s="212">
        <f>SUMIF('(당초)봉락리'!$D$6:$D$155,'(당초)집계표'!U45,'(당초)봉락리'!$F$6:$F$155)</f>
        <v>0</v>
      </c>
      <c r="E45" s="36">
        <f>COUNTIF('(당초)봉락리'!$J$6:$J$155,'(당초)집계표'!V45)</f>
        <v>0</v>
      </c>
      <c r="F45" s="37" t="s">
        <v>5</v>
      </c>
      <c r="G45" s="212">
        <f>SUMIF('(당초)봉락리'!$J$6:$J$155,'(당초)집계표'!V45,'(당초)봉락리'!$F$6:$F$155)</f>
        <v>0</v>
      </c>
      <c r="H45" s="36">
        <f>COUNTIF('(당초)봉락리'!$J$6:$J$155,'(당초)집계표'!W45)</f>
        <v>0</v>
      </c>
      <c r="I45" s="37" t="s">
        <v>5</v>
      </c>
      <c r="J45" s="212">
        <f>SUMIF('(당초)봉락리'!$J$6:$J$155,'(당초)집계표'!W45,'(당초)봉락리'!$F$6:$F$155)</f>
        <v>0</v>
      </c>
      <c r="K45" s="36">
        <f t="shared" si="2"/>
        <v>0</v>
      </c>
      <c r="L45" s="37" t="s">
        <v>5</v>
      </c>
      <c r="M45" s="212">
        <f t="shared" si="3"/>
        <v>0</v>
      </c>
      <c r="N45" s="39"/>
      <c r="O45" s="23"/>
      <c r="P45" s="23"/>
      <c r="Q45" s="23"/>
      <c r="R45" s="23"/>
      <c r="S45" s="23"/>
      <c r="T45" s="23"/>
      <c r="U45" s="24" t="s">
        <v>564</v>
      </c>
      <c r="V45" s="23" t="s">
        <v>547</v>
      </c>
      <c r="W45" s="334" t="s">
        <v>586</v>
      </c>
    </row>
    <row r="46" spans="1:23" s="24" customFormat="1" ht="23.1" customHeight="1">
      <c r="A46" s="104" t="s">
        <v>16</v>
      </c>
      <c r="B46" s="36">
        <f>COUNTIF('(당초)봉락리'!$D$6:$D$155,'(당초)집계표'!U46)</f>
        <v>0</v>
      </c>
      <c r="C46" s="37" t="s">
        <v>5</v>
      </c>
      <c r="D46" s="212">
        <f>SUMIF('(당초)봉락리'!$D$6:$D$155,'(당초)집계표'!U46,'(당초)봉락리'!$F$6:$F$155)</f>
        <v>0</v>
      </c>
      <c r="E46" s="36">
        <f>COUNTIF('(당초)봉락리'!$J$6:$J$155,'(당초)집계표'!V46)</f>
        <v>0</v>
      </c>
      <c r="F46" s="37" t="s">
        <v>5</v>
      </c>
      <c r="G46" s="212">
        <f>SUMIF('(당초)봉락리'!$J$6:$J$155,'(당초)집계표'!V46,'(당초)봉락리'!$F$6:$F$155)</f>
        <v>0</v>
      </c>
      <c r="H46" s="36">
        <f>COUNTIF('(당초)봉락리'!$J$6:$J$155,'(당초)집계표'!W46)</f>
        <v>0</v>
      </c>
      <c r="I46" s="37" t="s">
        <v>5</v>
      </c>
      <c r="J46" s="212">
        <f>SUMIF('(당초)봉락리'!$J$6:$J$155,'(당초)집계표'!W46,'(당초)봉락리'!$F$6:$F$155)</f>
        <v>0</v>
      </c>
      <c r="K46" s="36">
        <f t="shared" si="2"/>
        <v>0</v>
      </c>
      <c r="L46" s="37" t="s">
        <v>5</v>
      </c>
      <c r="M46" s="212">
        <f t="shared" si="3"/>
        <v>0</v>
      </c>
      <c r="N46" s="39"/>
      <c r="O46" s="23"/>
      <c r="P46" s="23"/>
      <c r="Q46" s="23"/>
      <c r="R46" s="23"/>
      <c r="S46" s="23"/>
      <c r="T46" s="23"/>
      <c r="U46" s="24" t="s">
        <v>565</v>
      </c>
      <c r="V46" s="23" t="s">
        <v>548</v>
      </c>
      <c r="W46" s="334" t="s">
        <v>587</v>
      </c>
    </row>
    <row r="47" spans="1:23" s="24" customFormat="1" ht="23.1" customHeight="1">
      <c r="A47" s="104" t="s">
        <v>17</v>
      </c>
      <c r="B47" s="36">
        <f>COUNTIF('(당초)봉락리'!$D$6:$D$155,'(당초)집계표'!U47)</f>
        <v>0</v>
      </c>
      <c r="C47" s="37" t="s">
        <v>5</v>
      </c>
      <c r="D47" s="212">
        <f>SUMIF('(당초)봉락리'!$D$6:$D$155,'(당초)집계표'!U47,'(당초)봉락리'!$F$6:$F$155)</f>
        <v>0</v>
      </c>
      <c r="E47" s="36">
        <f>COUNTIF('(당초)봉락리'!$J$6:$J$155,'(당초)집계표'!V47)</f>
        <v>0</v>
      </c>
      <c r="F47" s="37" t="s">
        <v>5</v>
      </c>
      <c r="G47" s="212">
        <f>SUMIF('(당초)봉락리'!$J$6:$J$155,'(당초)집계표'!V47,'(당초)봉락리'!$F$6:$F$155)</f>
        <v>0</v>
      </c>
      <c r="H47" s="36">
        <f>COUNTIF('(당초)봉락리'!$J$6:$J$155,'(당초)집계표'!W47)</f>
        <v>0</v>
      </c>
      <c r="I47" s="37" t="s">
        <v>5</v>
      </c>
      <c r="J47" s="212">
        <f>SUMIF('(당초)봉락리'!$J$6:$J$155,'(당초)집계표'!W47,'(당초)봉락리'!$F$6:$F$155)</f>
        <v>0</v>
      </c>
      <c r="K47" s="36">
        <f t="shared" si="2"/>
        <v>0</v>
      </c>
      <c r="L47" s="37" t="s">
        <v>5</v>
      </c>
      <c r="M47" s="212">
        <f t="shared" si="3"/>
        <v>0</v>
      </c>
      <c r="N47" s="39"/>
      <c r="O47" s="23"/>
      <c r="P47" s="23"/>
      <c r="Q47" s="23"/>
      <c r="R47" s="23"/>
      <c r="S47" s="23"/>
      <c r="T47" s="23"/>
      <c r="U47" s="24" t="s">
        <v>451</v>
      </c>
      <c r="V47" s="23" t="s">
        <v>549</v>
      </c>
      <c r="W47" s="334" t="s">
        <v>588</v>
      </c>
    </row>
    <row r="48" spans="1:23" s="24" customFormat="1" ht="23.1" customHeight="1">
      <c r="A48" s="104" t="s">
        <v>18</v>
      </c>
      <c r="B48" s="36">
        <f>COUNTIF('(당초)봉락리'!$D$6:$D$155,'(당초)집계표'!U48)</f>
        <v>0</v>
      </c>
      <c r="C48" s="37" t="s">
        <v>5</v>
      </c>
      <c r="D48" s="212">
        <f>SUMIF('(당초)봉락리'!$D$6:$D$155,'(당초)집계표'!U48,'(당초)봉락리'!$F$6:$F$155)</f>
        <v>0</v>
      </c>
      <c r="E48" s="36">
        <f>COUNTIF('(당초)봉락리'!$J$6:$J$155,'(당초)집계표'!V48)</f>
        <v>0</v>
      </c>
      <c r="F48" s="37" t="s">
        <v>5</v>
      </c>
      <c r="G48" s="212">
        <f>SUMIF('(당초)봉락리'!$J$6:$J$155,'(당초)집계표'!V48,'(당초)봉락리'!$F$6:$F$155)</f>
        <v>0</v>
      </c>
      <c r="H48" s="36">
        <f>COUNTIF('(당초)봉락리'!$J$6:$J$155,'(당초)집계표'!W48)</f>
        <v>0</v>
      </c>
      <c r="I48" s="37" t="s">
        <v>5</v>
      </c>
      <c r="J48" s="212">
        <f>SUMIF('(당초)봉락리'!$J$6:$J$155,'(당초)집계표'!W48,'(당초)봉락리'!$F$6:$F$155)</f>
        <v>0</v>
      </c>
      <c r="K48" s="36">
        <f t="shared" si="2"/>
        <v>0</v>
      </c>
      <c r="L48" s="37" t="s">
        <v>5</v>
      </c>
      <c r="M48" s="212">
        <f t="shared" si="3"/>
        <v>0</v>
      </c>
      <c r="N48" s="39"/>
      <c r="O48" s="23"/>
      <c r="P48" s="23"/>
      <c r="Q48" s="23"/>
      <c r="R48" s="23"/>
      <c r="S48" s="23"/>
      <c r="T48" s="23"/>
      <c r="U48" s="24" t="s">
        <v>566</v>
      </c>
      <c r="V48" s="23" t="s">
        <v>550</v>
      </c>
      <c r="W48" s="334" t="s">
        <v>589</v>
      </c>
    </row>
    <row r="49" spans="1:23" s="24" customFormat="1" ht="23.1" customHeight="1">
      <c r="A49" s="104" t="s">
        <v>19</v>
      </c>
      <c r="B49" s="36">
        <f>COUNTIF('(당초)봉락리'!$D$6:$D$155,'(당초)집계표'!U49)</f>
        <v>0</v>
      </c>
      <c r="C49" s="37" t="s">
        <v>5</v>
      </c>
      <c r="D49" s="212">
        <f>SUMIF('(당초)봉락리'!$D$6:$D$155,'(당초)집계표'!U49,'(당초)봉락리'!$F$6:$F$155)</f>
        <v>0</v>
      </c>
      <c r="E49" s="36">
        <f>COUNTIF('(당초)봉락리'!$J$6:$J$155,'(당초)집계표'!V49)</f>
        <v>0</v>
      </c>
      <c r="F49" s="37" t="s">
        <v>5</v>
      </c>
      <c r="G49" s="212">
        <f>SUMIF('(당초)봉락리'!$J$6:$J$155,'(당초)집계표'!V49,'(당초)봉락리'!$F$6:$F$155)</f>
        <v>0</v>
      </c>
      <c r="H49" s="36">
        <f>COUNTIF('(당초)봉락리'!$J$6:$J$155,'(당초)집계표'!W49)</f>
        <v>0</v>
      </c>
      <c r="I49" s="37" t="s">
        <v>5</v>
      </c>
      <c r="J49" s="212">
        <f>SUMIF('(당초)봉락리'!$J$6:$J$155,'(당초)집계표'!W49,'(당초)봉락리'!$F$6:$F$155)</f>
        <v>0</v>
      </c>
      <c r="K49" s="36">
        <f t="shared" si="2"/>
        <v>0</v>
      </c>
      <c r="L49" s="37" t="s">
        <v>5</v>
      </c>
      <c r="M49" s="212">
        <f t="shared" si="3"/>
        <v>0</v>
      </c>
      <c r="N49" s="39"/>
      <c r="O49" s="23"/>
      <c r="P49" s="23"/>
      <c r="Q49" s="23"/>
      <c r="R49" s="23"/>
      <c r="S49" s="23"/>
      <c r="T49" s="23"/>
      <c r="U49" s="24" t="s">
        <v>567</v>
      </c>
      <c r="V49" s="23" t="s">
        <v>551</v>
      </c>
      <c r="W49" s="334" t="s">
        <v>590</v>
      </c>
    </row>
    <row r="50" spans="1:23" s="24" customFormat="1" ht="23.1" customHeight="1">
      <c r="A50" s="104" t="s">
        <v>20</v>
      </c>
      <c r="B50" s="36">
        <f>COUNTIF('(당초)봉락리'!$D$6:$D$155,'(당초)집계표'!U50)</f>
        <v>0</v>
      </c>
      <c r="C50" s="37" t="s">
        <v>5</v>
      </c>
      <c r="D50" s="212">
        <f>SUMIF('(당초)봉락리'!$D$6:$D$155,'(당초)집계표'!U50,'(당초)봉락리'!$F$6:$F$155)</f>
        <v>0</v>
      </c>
      <c r="E50" s="36">
        <f>COUNTIF('(당초)봉락리'!$J$6:$J$155,'(당초)집계표'!V50)</f>
        <v>0</v>
      </c>
      <c r="F50" s="37" t="s">
        <v>5</v>
      </c>
      <c r="G50" s="212">
        <f>SUMIF('(당초)봉락리'!$J$6:$J$155,'(당초)집계표'!V50,'(당초)봉락리'!$F$6:$F$155)</f>
        <v>0</v>
      </c>
      <c r="H50" s="36">
        <f>COUNTIF('(당초)봉락리'!$J$6:$J$155,'(당초)집계표'!W50)</f>
        <v>0</v>
      </c>
      <c r="I50" s="37" t="s">
        <v>5</v>
      </c>
      <c r="J50" s="212">
        <f>SUMIF('(당초)봉락리'!$J$6:$J$155,'(당초)집계표'!W50,'(당초)봉락리'!$F$6:$F$155)</f>
        <v>0</v>
      </c>
      <c r="K50" s="36">
        <f t="shared" si="2"/>
        <v>0</v>
      </c>
      <c r="L50" s="37" t="s">
        <v>5</v>
      </c>
      <c r="M50" s="212">
        <f t="shared" si="3"/>
        <v>0</v>
      </c>
      <c r="N50" s="39"/>
      <c r="O50" s="23"/>
      <c r="P50" s="23"/>
      <c r="Q50" s="23"/>
      <c r="R50" s="23"/>
      <c r="S50" s="23"/>
      <c r="T50" s="23"/>
      <c r="U50" s="24" t="s">
        <v>568</v>
      </c>
      <c r="V50" s="23" t="s">
        <v>552</v>
      </c>
      <c r="W50" s="334" t="s">
        <v>591</v>
      </c>
    </row>
    <row r="51" spans="1:23" s="24" customFormat="1" ht="23.1" customHeight="1">
      <c r="A51" s="104" t="s">
        <v>21</v>
      </c>
      <c r="B51" s="36">
        <f>COUNTIF('(당초)봉락리'!$D$6:$D$155,'(당초)집계표'!U51)</f>
        <v>0</v>
      </c>
      <c r="C51" s="37" t="s">
        <v>5</v>
      </c>
      <c r="D51" s="212">
        <f>SUMIF('(당초)봉락리'!$D$6:$D$155,'(당초)집계표'!U51,'(당초)봉락리'!$F$6:$F$155)</f>
        <v>0</v>
      </c>
      <c r="E51" s="36">
        <f>COUNTIF('(당초)봉락리'!$J$6:$J$155,'(당초)집계표'!V51)</f>
        <v>0</v>
      </c>
      <c r="F51" s="37" t="s">
        <v>5</v>
      </c>
      <c r="G51" s="212">
        <f>SUMIF('(당초)봉락리'!$J$6:$J$155,'(당초)집계표'!V51,'(당초)봉락리'!$F$6:$F$155)</f>
        <v>0</v>
      </c>
      <c r="H51" s="36">
        <f>COUNTIF('(당초)봉락리'!$J$6:$J$155,'(당초)집계표'!W51)</f>
        <v>0</v>
      </c>
      <c r="I51" s="37" t="s">
        <v>5</v>
      </c>
      <c r="J51" s="212">
        <f>SUMIF('(당초)봉락리'!$J$6:$J$155,'(당초)집계표'!W51,'(당초)봉락리'!$F$6:$F$155)</f>
        <v>0</v>
      </c>
      <c r="K51" s="36">
        <f t="shared" si="2"/>
        <v>0</v>
      </c>
      <c r="L51" s="37" t="s">
        <v>5</v>
      </c>
      <c r="M51" s="212">
        <f t="shared" si="3"/>
        <v>0</v>
      </c>
      <c r="N51" s="39"/>
      <c r="O51" s="23"/>
      <c r="P51" s="23"/>
      <c r="Q51" s="23"/>
      <c r="R51" s="23"/>
      <c r="S51" s="23"/>
      <c r="T51" s="23"/>
      <c r="U51" s="24" t="s">
        <v>569</v>
      </c>
      <c r="V51" s="23" t="s">
        <v>553</v>
      </c>
      <c r="W51" s="334" t="s">
        <v>592</v>
      </c>
    </row>
    <row r="52" spans="1:23" s="24" customFormat="1" ht="23.1" customHeight="1">
      <c r="A52" s="104" t="s">
        <v>22</v>
      </c>
      <c r="B52" s="36">
        <f>COUNTIF('(당초)봉락리'!$D$6:$D$155,'(당초)집계표'!U52)</f>
        <v>0</v>
      </c>
      <c r="C52" s="37" t="s">
        <v>5</v>
      </c>
      <c r="D52" s="212">
        <f>SUMIF('(당초)봉락리'!$D$6:$D$155,'(당초)집계표'!U52,'(당초)봉락리'!$F$6:$F$155)</f>
        <v>0</v>
      </c>
      <c r="E52" s="36">
        <f>COUNTIF('(당초)봉락리'!$J$6:$J$155,'(당초)집계표'!V52)</f>
        <v>0</v>
      </c>
      <c r="F52" s="37" t="s">
        <v>5</v>
      </c>
      <c r="G52" s="212">
        <f>SUMIF('(당초)봉락리'!$J$6:$J$155,'(당초)집계표'!V52,'(당초)봉락리'!$F$6:$F$155)</f>
        <v>0</v>
      </c>
      <c r="H52" s="36">
        <f>COUNTIF('(당초)봉락리'!$J$6:$J$155,'(당초)집계표'!W52)</f>
        <v>0</v>
      </c>
      <c r="I52" s="37" t="s">
        <v>5</v>
      </c>
      <c r="J52" s="212">
        <f>SUMIF('(당초)봉락리'!$J$6:$J$155,'(당초)집계표'!W52,'(당초)봉락리'!$F$6:$F$155)</f>
        <v>0</v>
      </c>
      <c r="K52" s="36">
        <f t="shared" si="2"/>
        <v>0</v>
      </c>
      <c r="L52" s="37" t="s">
        <v>5</v>
      </c>
      <c r="M52" s="212">
        <f t="shared" si="3"/>
        <v>0</v>
      </c>
      <c r="N52" s="39"/>
      <c r="O52" s="23"/>
      <c r="P52" s="23"/>
      <c r="Q52" s="23"/>
      <c r="R52" s="23"/>
      <c r="S52" s="23"/>
      <c r="T52" s="23"/>
      <c r="U52" s="24" t="s">
        <v>570</v>
      </c>
      <c r="V52" s="23" t="s">
        <v>554</v>
      </c>
      <c r="W52" s="334" t="s">
        <v>593</v>
      </c>
    </row>
    <row r="53" spans="1:23" s="24" customFormat="1" ht="23.1" customHeight="1">
      <c r="A53" s="104" t="s">
        <v>23</v>
      </c>
      <c r="B53" s="36">
        <f>COUNTIF('(당초)봉락리'!$D$6:$D$155,'(당초)집계표'!U53)</f>
        <v>3</v>
      </c>
      <c r="C53" s="37" t="s">
        <v>5</v>
      </c>
      <c r="D53" s="212">
        <f>SUMIF('(당초)봉락리'!$D$6:$D$155,'(당초)집계표'!U53,'(당초)봉락리'!$F$6:$F$155)</f>
        <v>483</v>
      </c>
      <c r="E53" s="36">
        <f>COUNTIF('(당초)봉락리'!$J$6:$J$155,'(당초)집계표'!V53)</f>
        <v>0</v>
      </c>
      <c r="F53" s="37" t="s">
        <v>5</v>
      </c>
      <c r="G53" s="212">
        <f>SUMIF('(당초)봉락리'!$J$6:$J$155,'(당초)집계표'!V53,'(당초)봉락리'!$F$6:$F$155)</f>
        <v>0</v>
      </c>
      <c r="H53" s="36">
        <f>COUNTIF('(당초)봉락리'!$J$6:$J$155,'(당초)집계표'!W53)</f>
        <v>3</v>
      </c>
      <c r="I53" s="37" t="s">
        <v>5</v>
      </c>
      <c r="J53" s="212">
        <f>SUMIF('(당초)봉락리'!$J$6:$J$155,'(당초)집계표'!W53,'(당초)봉락리'!$F$6:$F$155)</f>
        <v>483</v>
      </c>
      <c r="K53" s="36">
        <f t="shared" si="2"/>
        <v>0</v>
      </c>
      <c r="L53" s="37" t="s">
        <v>5</v>
      </c>
      <c r="M53" s="212">
        <f t="shared" si="3"/>
        <v>0</v>
      </c>
      <c r="N53" s="39"/>
      <c r="O53" s="23"/>
      <c r="P53" s="23"/>
      <c r="Q53" s="23"/>
      <c r="R53" s="23"/>
      <c r="S53" s="23"/>
      <c r="T53" s="23"/>
      <c r="U53" s="24" t="s">
        <v>571</v>
      </c>
      <c r="V53" s="23" t="s">
        <v>555</v>
      </c>
      <c r="W53" s="334" t="s">
        <v>594</v>
      </c>
    </row>
    <row r="54" spans="1:23" s="24" customFormat="1" ht="23.1" customHeight="1">
      <c r="A54" s="105" t="s">
        <v>24</v>
      </c>
      <c r="B54" s="36">
        <f>COUNTIF('(당초)봉락리'!$D$6:$D$155,'(당초)집계표'!U54)</f>
        <v>0</v>
      </c>
      <c r="C54" s="37" t="s">
        <v>5</v>
      </c>
      <c r="D54" s="212">
        <f>SUMIF('(당초)봉락리'!$D$6:$D$155,'(당초)집계표'!U54,'(당초)봉락리'!$F$6:$F$155)</f>
        <v>0</v>
      </c>
      <c r="E54" s="36">
        <f>COUNTIF('(당초)봉락리'!$J$6:$J$155,'(당초)집계표'!V54)</f>
        <v>0</v>
      </c>
      <c r="F54" s="37" t="s">
        <v>5</v>
      </c>
      <c r="G54" s="212">
        <f>SUMIF('(당초)봉락리'!$J$6:$J$155,'(당초)집계표'!V54,'(당초)봉락리'!$F$6:$F$155)</f>
        <v>0</v>
      </c>
      <c r="H54" s="36">
        <f>COUNTIF('(당초)봉락리'!$J$6:$J$155,'(당초)집계표'!W54)</f>
        <v>0</v>
      </c>
      <c r="I54" s="37" t="s">
        <v>5</v>
      </c>
      <c r="J54" s="212">
        <f>SUMIF('(당초)봉락리'!$J$6:$J$155,'(당초)집계표'!W54,'(당초)봉락리'!$F$6:$F$155)</f>
        <v>0</v>
      </c>
      <c r="K54" s="36">
        <f t="shared" si="2"/>
        <v>0</v>
      </c>
      <c r="L54" s="37" t="s">
        <v>5</v>
      </c>
      <c r="M54" s="212">
        <f t="shared" si="3"/>
        <v>0</v>
      </c>
      <c r="N54" s="39"/>
      <c r="O54" s="23"/>
      <c r="P54" s="23"/>
      <c r="Q54" s="23"/>
      <c r="R54" s="23"/>
      <c r="S54" s="23"/>
      <c r="T54" s="23"/>
      <c r="U54" s="24" t="s">
        <v>572</v>
      </c>
      <c r="V54" s="23" t="s">
        <v>556</v>
      </c>
      <c r="W54" s="334" t="s">
        <v>595</v>
      </c>
    </row>
    <row r="55" spans="1:23" s="24" customFormat="1" ht="23.1" customHeight="1">
      <c r="A55" s="105" t="s">
        <v>25</v>
      </c>
      <c r="B55" s="36">
        <f>COUNTIF('(당초)봉락리'!$D$6:$D$155,'(당초)집계표'!U55)</f>
        <v>0</v>
      </c>
      <c r="C55" s="37" t="s">
        <v>5</v>
      </c>
      <c r="D55" s="212">
        <f>SUMIF('(당초)봉락리'!$D$6:$D$155,'(당초)집계표'!U55,'(당초)봉락리'!$F$6:$F$155)</f>
        <v>0</v>
      </c>
      <c r="E55" s="36">
        <f>COUNTIF('(당초)봉락리'!$J$6:$J$155,'(당초)집계표'!V55)</f>
        <v>0</v>
      </c>
      <c r="F55" s="37" t="s">
        <v>5</v>
      </c>
      <c r="G55" s="212">
        <f>SUMIF('(당초)봉락리'!$J$6:$J$155,'(당초)집계표'!V55,'(당초)봉락리'!$F$6:$F$155)</f>
        <v>0</v>
      </c>
      <c r="H55" s="36">
        <f>COUNTIF('(당초)봉락리'!$J$6:$J$155,'(당초)집계표'!W55)</f>
        <v>0</v>
      </c>
      <c r="I55" s="37" t="s">
        <v>5</v>
      </c>
      <c r="J55" s="212">
        <f>SUMIF('(당초)봉락리'!$J$6:$J$155,'(당초)집계표'!W55,'(당초)봉락리'!$F$6:$F$155)</f>
        <v>0</v>
      </c>
      <c r="K55" s="36">
        <f t="shared" si="2"/>
        <v>0</v>
      </c>
      <c r="L55" s="37" t="s">
        <v>5</v>
      </c>
      <c r="M55" s="212">
        <f t="shared" si="3"/>
        <v>0</v>
      </c>
      <c r="N55" s="39"/>
      <c r="O55" s="23"/>
      <c r="P55" s="23"/>
      <c r="Q55" s="23"/>
      <c r="R55" s="23"/>
      <c r="S55" s="23"/>
      <c r="T55" s="23"/>
      <c r="U55" s="24" t="s">
        <v>573</v>
      </c>
      <c r="V55" s="23" t="s">
        <v>557</v>
      </c>
      <c r="W55" s="334" t="s">
        <v>596</v>
      </c>
    </row>
    <row r="56" spans="1:23" s="24" customFormat="1" ht="23.1" customHeight="1">
      <c r="A56" s="105" t="s">
        <v>26</v>
      </c>
      <c r="B56" s="36">
        <f>COUNTIF('(당초)봉락리'!$D$6:$D$155,'(당초)집계표'!U56)</f>
        <v>0</v>
      </c>
      <c r="C56" s="37" t="s">
        <v>5</v>
      </c>
      <c r="D56" s="212">
        <f>SUMIF('(당초)봉락리'!$D$6:$D$155,'(당초)집계표'!U56,'(당초)봉락리'!$F$6:$F$155)</f>
        <v>0</v>
      </c>
      <c r="E56" s="36">
        <f>COUNTIF('(당초)봉락리'!$J$6:$J$155,'(당초)집계표'!V56)</f>
        <v>0</v>
      </c>
      <c r="F56" s="37" t="s">
        <v>5</v>
      </c>
      <c r="G56" s="212">
        <f>SUMIF('(당초)봉락리'!$J$6:$J$155,'(당초)집계표'!V56,'(당초)봉락리'!$F$6:$F$155)</f>
        <v>0</v>
      </c>
      <c r="H56" s="36">
        <f>COUNTIF('(당초)봉락리'!$J$6:$J$155,'(당초)집계표'!W56)</f>
        <v>0</v>
      </c>
      <c r="I56" s="37" t="s">
        <v>5</v>
      </c>
      <c r="J56" s="212">
        <f>SUMIF('(당초)봉락리'!$J$6:$J$155,'(당초)집계표'!W56,'(당초)봉락리'!$F$6:$F$155)</f>
        <v>0</v>
      </c>
      <c r="K56" s="36">
        <f t="shared" si="2"/>
        <v>0</v>
      </c>
      <c r="L56" s="37" t="s">
        <v>5</v>
      </c>
      <c r="M56" s="212">
        <f t="shared" si="3"/>
        <v>0</v>
      </c>
      <c r="N56" s="39"/>
      <c r="O56" s="23"/>
      <c r="P56" s="23"/>
      <c r="Q56" s="23"/>
      <c r="R56" s="23"/>
      <c r="S56" s="23"/>
      <c r="T56" s="23"/>
      <c r="U56" s="24" t="s">
        <v>451</v>
      </c>
      <c r="V56" s="23" t="s">
        <v>549</v>
      </c>
      <c r="W56" s="334" t="s">
        <v>588</v>
      </c>
    </row>
    <row r="57" spans="1:23" s="24" customFormat="1" ht="23.1" customHeight="1">
      <c r="A57" s="105" t="s">
        <v>27</v>
      </c>
      <c r="B57" s="36">
        <f>COUNTIF('(당초)봉락리'!$D$6:$D$155,'(당초)집계표'!U57)</f>
        <v>0</v>
      </c>
      <c r="C57" s="37" t="s">
        <v>5</v>
      </c>
      <c r="D57" s="212">
        <f>SUMIF('(당초)봉락리'!$D$6:$D$155,'(당초)집계표'!U57,'(당초)봉락리'!$F$6:$F$155)</f>
        <v>0</v>
      </c>
      <c r="E57" s="36">
        <f>COUNTIF('(당초)봉락리'!$J$6:$J$155,'(당초)집계표'!V57)</f>
        <v>0</v>
      </c>
      <c r="F57" s="37" t="s">
        <v>5</v>
      </c>
      <c r="G57" s="212">
        <f>SUMIF('(당초)봉락리'!$J$6:$J$155,'(당초)집계표'!V57,'(당초)봉락리'!$F$6:$F$155)</f>
        <v>0</v>
      </c>
      <c r="H57" s="36">
        <f>COUNTIF('(당초)봉락리'!$J$6:$J$155,'(당초)집계표'!W57)</f>
        <v>0</v>
      </c>
      <c r="I57" s="37" t="s">
        <v>5</v>
      </c>
      <c r="J57" s="212">
        <f>SUMIF('(당초)봉락리'!$J$6:$J$155,'(당초)집계표'!W57,'(당초)봉락리'!$F$6:$F$155)</f>
        <v>0</v>
      </c>
      <c r="K57" s="36">
        <f t="shared" si="2"/>
        <v>0</v>
      </c>
      <c r="L57" s="37" t="s">
        <v>5</v>
      </c>
      <c r="M57" s="212">
        <f t="shared" si="3"/>
        <v>0</v>
      </c>
      <c r="N57" s="39"/>
      <c r="O57" s="23"/>
      <c r="P57" s="23"/>
      <c r="Q57" s="23"/>
      <c r="R57" s="23"/>
      <c r="S57" s="23"/>
      <c r="T57" s="23"/>
      <c r="U57" s="24" t="s">
        <v>574</v>
      </c>
      <c r="V57" s="23" t="s">
        <v>558</v>
      </c>
      <c r="W57" s="334" t="s">
        <v>597</v>
      </c>
    </row>
    <row r="58" spans="1:23" s="24" customFormat="1" ht="23.1" customHeight="1">
      <c r="A58" s="105" t="s">
        <v>28</v>
      </c>
      <c r="B58" s="36">
        <f>COUNTIF('(당초)봉락리'!$D$6:$D$155,'(당초)집계표'!U58)</f>
        <v>0</v>
      </c>
      <c r="C58" s="37" t="s">
        <v>5</v>
      </c>
      <c r="D58" s="212">
        <f>SUMIF('(당초)봉락리'!$D$6:$D$155,'(당초)집계표'!U58,'(당초)봉락리'!$F$6:$F$155)</f>
        <v>0</v>
      </c>
      <c r="E58" s="36">
        <f>COUNTIF('(당초)봉락리'!$J$6:$J$155,'(당초)집계표'!V58)</f>
        <v>0</v>
      </c>
      <c r="F58" s="37" t="s">
        <v>5</v>
      </c>
      <c r="G58" s="212">
        <f>SUMIF('(당초)봉락리'!$J$6:$J$155,'(당초)집계표'!V58,'(당초)봉락리'!$F$6:$F$155)</f>
        <v>0</v>
      </c>
      <c r="H58" s="36">
        <f>COUNTIF('(당초)봉락리'!$J$6:$J$155,'(당초)집계표'!W58)</f>
        <v>0</v>
      </c>
      <c r="I58" s="37" t="s">
        <v>5</v>
      </c>
      <c r="J58" s="212">
        <f>SUMIF('(당초)봉락리'!$J$6:$J$155,'(당초)집계표'!W58,'(당초)봉락리'!$F$6:$F$155)</f>
        <v>0</v>
      </c>
      <c r="K58" s="36">
        <f t="shared" si="2"/>
        <v>0</v>
      </c>
      <c r="L58" s="37" t="s">
        <v>5</v>
      </c>
      <c r="M58" s="212">
        <f t="shared" si="3"/>
        <v>0</v>
      </c>
      <c r="N58" s="39"/>
      <c r="O58" s="23"/>
      <c r="P58" s="23"/>
      <c r="Q58" s="23"/>
      <c r="R58" s="23"/>
      <c r="S58" s="23"/>
      <c r="T58" s="23"/>
      <c r="U58" s="24" t="s">
        <v>575</v>
      </c>
      <c r="V58" s="23" t="s">
        <v>559</v>
      </c>
      <c r="W58" s="334" t="s">
        <v>598</v>
      </c>
    </row>
    <row r="59" spans="1:23" s="24" customFormat="1" ht="23.1" customHeight="1">
      <c r="A59" s="105" t="s">
        <v>60</v>
      </c>
      <c r="B59" s="36">
        <f>COUNTIF('(당초)봉락리'!$D$6:$D$155,'(당초)집계표'!U59)</f>
        <v>0</v>
      </c>
      <c r="C59" s="37" t="s">
        <v>5</v>
      </c>
      <c r="D59" s="212">
        <f>SUMIF('(당초)봉락리'!$D$6:$D$155,'(당초)집계표'!U59,'(당초)봉락리'!$F$6:$F$155)</f>
        <v>0</v>
      </c>
      <c r="E59" s="36">
        <f>COUNTIF('(당초)봉락리'!$J$6:$J$155,'(당초)집계표'!V59)</f>
        <v>0</v>
      </c>
      <c r="F59" s="37" t="s">
        <v>5</v>
      </c>
      <c r="G59" s="212">
        <f>SUMIF('(당초)봉락리'!$J$6:$J$155,'(당초)집계표'!V59,'(당초)봉락리'!$F$6:$F$155)</f>
        <v>0</v>
      </c>
      <c r="H59" s="36">
        <f>COUNTIF('(당초)봉락리'!$J$6:$J$155,'(당초)집계표'!W59)</f>
        <v>0</v>
      </c>
      <c r="I59" s="37" t="s">
        <v>5</v>
      </c>
      <c r="J59" s="212">
        <f>SUMIF('(당초)봉락리'!$J$6:$J$155,'(당초)집계표'!W59,'(당초)봉락리'!$F$6:$F$155)</f>
        <v>0</v>
      </c>
      <c r="K59" s="36">
        <f t="shared" si="2"/>
        <v>0</v>
      </c>
      <c r="L59" s="37" t="s">
        <v>5</v>
      </c>
      <c r="M59" s="212">
        <f t="shared" si="3"/>
        <v>0</v>
      </c>
      <c r="N59" s="39"/>
      <c r="O59" s="23"/>
      <c r="P59" s="23"/>
      <c r="Q59" s="23"/>
      <c r="R59" s="23"/>
      <c r="S59" s="23"/>
      <c r="T59" s="23"/>
      <c r="U59" s="24" t="s">
        <v>576</v>
      </c>
      <c r="V59" s="23" t="s">
        <v>560</v>
      </c>
      <c r="W59" s="334" t="s">
        <v>599</v>
      </c>
    </row>
    <row r="60" spans="1:23" s="24" customFormat="1" ht="23.1" customHeight="1">
      <c r="A60" s="105" t="s">
        <v>70</v>
      </c>
      <c r="B60" s="36">
        <f>COUNTIF('(당초)봉락리'!$D$6:$D$155,'(당초)집계표'!U60)</f>
        <v>1</v>
      </c>
      <c r="C60" s="37" t="s">
        <v>5</v>
      </c>
      <c r="D60" s="212">
        <f>SUMIF('(당초)봉락리'!$D$6:$D$155,'(당초)집계표'!U60,'(당초)봉락리'!$F$6:$F$155)</f>
        <v>436</v>
      </c>
      <c r="E60" s="36">
        <f>COUNTIF('(당초)봉락리'!$J$6:$J$155,'(당초)집계표'!V60)</f>
        <v>0</v>
      </c>
      <c r="F60" s="37" t="s">
        <v>5</v>
      </c>
      <c r="G60" s="212">
        <f>SUMIF('(당초)봉락리'!$J$6:$J$155,'(당초)집계표'!V60,'(당초)봉락리'!$F$6:$F$155)</f>
        <v>0</v>
      </c>
      <c r="H60" s="36">
        <f>COUNTIF('(당초)봉락리'!$J$6:$J$155,'(당초)집계표'!W60)</f>
        <v>1</v>
      </c>
      <c r="I60" s="37" t="s">
        <v>5</v>
      </c>
      <c r="J60" s="212">
        <f>SUMIF('(당초)봉락리'!$J$6:$J$155,'(당초)집계표'!W60,'(당초)봉락리'!$F$6:$F$155)</f>
        <v>436</v>
      </c>
      <c r="K60" s="36">
        <f t="shared" si="2"/>
        <v>0</v>
      </c>
      <c r="L60" s="37" t="s">
        <v>5</v>
      </c>
      <c r="M60" s="212">
        <f t="shared" si="3"/>
        <v>0</v>
      </c>
      <c r="N60" s="39"/>
      <c r="O60" s="23"/>
      <c r="P60" s="23"/>
      <c r="Q60" s="23"/>
      <c r="R60" s="23"/>
      <c r="S60" s="23"/>
      <c r="T60" s="23"/>
      <c r="U60" s="24" t="s">
        <v>608</v>
      </c>
      <c r="V60" s="23" t="s">
        <v>609</v>
      </c>
      <c r="W60" s="334" t="s">
        <v>610</v>
      </c>
    </row>
    <row r="61" spans="1:23" s="24" customFormat="1" ht="23.1" customHeight="1">
      <c r="A61" s="106" t="s">
        <v>62</v>
      </c>
      <c r="B61" s="40">
        <f>COUNTIF('(당초)봉락리'!$D$6:$D$155,'(당초)집계표'!U61)</f>
        <v>3</v>
      </c>
      <c r="C61" s="41" t="s">
        <v>5</v>
      </c>
      <c r="D61" s="213">
        <f>SUMIF('(당초)봉락리'!$D$6:$D$155,'(당초)집계표'!U61,'(당초)봉락리'!$F$6:$F$155)</f>
        <v>1408</v>
      </c>
      <c r="E61" s="40">
        <f>COUNTIF('(당초)봉락리'!$J$6:$J$155,'(당초)집계표'!V61)</f>
        <v>3</v>
      </c>
      <c r="F61" s="41" t="s">
        <v>5</v>
      </c>
      <c r="G61" s="213">
        <f>SUMIF('(당초)봉락리'!$J$6:$J$155,'(당초)집계표'!V61,'(당초)봉락리'!$F$6:$F$155)</f>
        <v>1408</v>
      </c>
      <c r="H61" s="40">
        <f>COUNTIF('(당초)봉락리'!$J$6:$J$155,'(당초)집계표'!W61)</f>
        <v>0</v>
      </c>
      <c r="I61" s="41" t="s">
        <v>5</v>
      </c>
      <c r="J61" s="213">
        <f>SUMIF('(당초)봉락리'!$J$6:$J$155,'(당초)집계표'!W61,'(당초)봉락리'!$F$6:$F$155)</f>
        <v>0</v>
      </c>
      <c r="K61" s="40">
        <f t="shared" si="2"/>
        <v>0</v>
      </c>
      <c r="L61" s="41" t="s">
        <v>5</v>
      </c>
      <c r="M61" s="213">
        <f t="shared" si="3"/>
        <v>0</v>
      </c>
      <c r="N61" s="43"/>
      <c r="O61" s="23"/>
      <c r="P61" s="23"/>
      <c r="Q61" s="23"/>
      <c r="R61" s="23"/>
      <c r="S61" s="23"/>
      <c r="T61" s="23"/>
      <c r="U61" s="24" t="s">
        <v>602</v>
      </c>
      <c r="V61" s="23" t="s">
        <v>605</v>
      </c>
      <c r="W61" s="334" t="s">
        <v>606</v>
      </c>
    </row>
    <row r="62" spans="1:23" s="17" customFormat="1" ht="20.100000000000001" customHeight="1">
      <c r="A62" s="11">
        <f>IF(EXACT(O66,O67),,"검산확인요!!!")</f>
        <v>0</v>
      </c>
      <c r="B62" s="12"/>
      <c r="C62" s="12"/>
      <c r="D62" s="12"/>
      <c r="E62" s="12"/>
      <c r="F62" s="12"/>
      <c r="G62" s="12"/>
      <c r="H62" s="12"/>
      <c r="I62" s="12"/>
      <c r="J62" s="12"/>
      <c r="K62" s="13" t="str">
        <f>IF(ISBLANK('칠전리(출력5)'!M2),,'칠전리(출력5)'!M2)</f>
        <v>서산시 부석면 칠전리</v>
      </c>
      <c r="L62" s="14"/>
      <c r="M62" s="15"/>
      <c r="N62" s="16"/>
    </row>
    <row r="63" spans="1:23" s="17" customFormat="1" ht="9.9499999999999993" customHeight="1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spans="1:23" s="24" customFormat="1" ht="27.95" customHeight="1">
      <c r="A64" s="199" t="s">
        <v>3</v>
      </c>
      <c r="B64" s="489" t="s">
        <v>2</v>
      </c>
      <c r="C64" s="490"/>
      <c r="D64" s="490"/>
      <c r="E64" s="214" t="s">
        <v>29</v>
      </c>
      <c r="F64" s="215"/>
      <c r="G64" s="216"/>
      <c r="H64" s="214" t="s">
        <v>57</v>
      </c>
      <c r="I64" s="215"/>
      <c r="J64" s="216"/>
      <c r="K64" s="214" t="s">
        <v>30</v>
      </c>
      <c r="L64" s="215"/>
      <c r="M64" s="216"/>
      <c r="N64" s="22" t="s">
        <v>31</v>
      </c>
      <c r="O64" s="23"/>
      <c r="S64" s="23"/>
      <c r="T64" s="23"/>
      <c r="U64" s="23"/>
      <c r="V64" s="23"/>
    </row>
    <row r="65" spans="1:23" s="24" customFormat="1" ht="27.95" customHeight="1">
      <c r="A65" s="25"/>
      <c r="B65" s="26" t="s">
        <v>4</v>
      </c>
      <c r="C65" s="27" t="s">
        <v>5</v>
      </c>
      <c r="D65" s="28" t="s">
        <v>32</v>
      </c>
      <c r="E65" s="185" t="s">
        <v>4</v>
      </c>
      <c r="F65" s="186" t="s">
        <v>5</v>
      </c>
      <c r="G65" s="184" t="s">
        <v>32</v>
      </c>
      <c r="H65" s="185" t="s">
        <v>4</v>
      </c>
      <c r="I65" s="186" t="s">
        <v>5</v>
      </c>
      <c r="J65" s="184" t="s">
        <v>32</v>
      </c>
      <c r="K65" s="185" t="s">
        <v>4</v>
      </c>
      <c r="L65" s="186" t="s">
        <v>5</v>
      </c>
      <c r="M65" s="184" t="s">
        <v>32</v>
      </c>
      <c r="N65" s="29"/>
      <c r="P65" s="23"/>
      <c r="Q65" s="30" t="s">
        <v>33</v>
      </c>
      <c r="R65" s="30" t="s">
        <v>34</v>
      </c>
      <c r="S65" s="30" t="s">
        <v>35</v>
      </c>
      <c r="T65" s="30" t="s">
        <v>36</v>
      </c>
      <c r="U65" s="23"/>
      <c r="V65" s="23"/>
    </row>
    <row r="66" spans="1:23" s="24" customFormat="1" ht="23.1" customHeight="1">
      <c r="A66" s="103" t="s">
        <v>2</v>
      </c>
      <c r="B66" s="31">
        <f>SUM(B67:B91)</f>
        <v>228</v>
      </c>
      <c r="C66" s="32" t="s">
        <v>5</v>
      </c>
      <c r="D66" s="211">
        <f>SUM(D67:D91)</f>
        <v>92654.5</v>
      </c>
      <c r="E66" s="31">
        <f>SUM(E67:E91)</f>
        <v>43</v>
      </c>
      <c r="F66" s="32" t="s">
        <v>5</v>
      </c>
      <c r="G66" s="211">
        <f>SUM(G67:G91)</f>
        <v>13662.099999999999</v>
      </c>
      <c r="H66" s="31">
        <f>SUM(H67:H91)</f>
        <v>178</v>
      </c>
      <c r="I66" s="32" t="s">
        <v>5</v>
      </c>
      <c r="J66" s="211">
        <f>SUM(J67:J91)</f>
        <v>74749.399999999994</v>
      </c>
      <c r="K66" s="31">
        <f>SUM(K67:K91)</f>
        <v>7</v>
      </c>
      <c r="L66" s="32" t="s">
        <v>5</v>
      </c>
      <c r="M66" s="211">
        <f>SUM(M67:M91)</f>
        <v>4243.0000000000055</v>
      </c>
      <c r="N66" s="34"/>
      <c r="O66" s="23" t="str">
        <f>IF(EXACT(Q66,T66),"맞음","틀림")</f>
        <v>틀림</v>
      </c>
      <c r="P66" s="23" t="s">
        <v>4</v>
      </c>
      <c r="Q66" s="35">
        <f>SUM(B67:B91)</f>
        <v>228</v>
      </c>
      <c r="R66" s="35">
        <f>SUM(E67:E91)</f>
        <v>43</v>
      </c>
      <c r="S66" s="35">
        <f>SUM(K67:K91)</f>
        <v>7</v>
      </c>
      <c r="T66" s="35">
        <f>K66+E66</f>
        <v>50</v>
      </c>
      <c r="U66" s="23"/>
      <c r="V66" s="23"/>
    </row>
    <row r="67" spans="1:23" s="24" customFormat="1" ht="23.1" customHeight="1">
      <c r="A67" s="104" t="s">
        <v>7</v>
      </c>
      <c r="B67" s="36">
        <f>COUNTIF('(당초)칠전리'!$D$6:$D$235,'(당초)집계표'!U67)</f>
        <v>43</v>
      </c>
      <c r="C67" s="37" t="s">
        <v>5</v>
      </c>
      <c r="D67" s="212">
        <f>SUMIF('(당초)칠전리'!$D$6:$D$235,'(당초)집계표'!U67,'(당초)칠전리'!$F$6:$F$235)</f>
        <v>13678</v>
      </c>
      <c r="E67" s="36">
        <f>COUNTIF('(당초)칠전리'!$J$6:$J$235,'(당초)집계표'!V67)</f>
        <v>0</v>
      </c>
      <c r="F67" s="37" t="s">
        <v>5</v>
      </c>
      <c r="G67" s="212">
        <f>SUMIF('(당초)칠전리'!$J$6:$J$235,'(당초)집계표'!V67,'(당초)칠전리'!$F$6:$F$235)</f>
        <v>0</v>
      </c>
      <c r="H67" s="36">
        <f>COUNTIF('(당초)칠전리'!$J$6:$J$235,'(당초)집계표'!W67)</f>
        <v>42</v>
      </c>
      <c r="I67" s="37" t="s">
        <v>5</v>
      </c>
      <c r="J67" s="212">
        <f>SUMIF('(당초)칠전리'!$J$6:$J$235,'(당초)집계표'!W67,'(당초)칠전리'!$F$6:$F$235)</f>
        <v>12204</v>
      </c>
      <c r="K67" s="36">
        <f t="shared" ref="K67:K91" si="4">SUM(B67-E67-H67)</f>
        <v>1</v>
      </c>
      <c r="L67" s="37" t="s">
        <v>5</v>
      </c>
      <c r="M67" s="212">
        <f t="shared" ref="M67:M91" si="5">SUM(D67-G67-J67)</f>
        <v>1474</v>
      </c>
      <c r="N67" s="39"/>
      <c r="O67" s="23" t="str">
        <f>IF(EXACT(Q67,T67),"맞음","틀림")</f>
        <v>틀림</v>
      </c>
      <c r="P67" s="23" t="s">
        <v>37</v>
      </c>
      <c r="Q67" s="35">
        <f>SUM(D67:D91)</f>
        <v>92654.5</v>
      </c>
      <c r="R67" s="35">
        <f>SUM(G67:G91)</f>
        <v>13662.099999999999</v>
      </c>
      <c r="S67" s="35">
        <f>SUM(M67:M91)</f>
        <v>4243.0000000000055</v>
      </c>
      <c r="T67" s="35">
        <f>G66+M66</f>
        <v>17905.100000000006</v>
      </c>
      <c r="U67" s="24" t="s">
        <v>7</v>
      </c>
      <c r="V67" s="23" t="s">
        <v>539</v>
      </c>
      <c r="W67" s="334" t="s">
        <v>578</v>
      </c>
    </row>
    <row r="68" spans="1:23" s="24" customFormat="1" ht="23.1" customHeight="1">
      <c r="A68" s="104" t="s">
        <v>8</v>
      </c>
      <c r="B68" s="36">
        <f>COUNTIF('(당초)칠전리'!$D$6:$D$235,'(당초)집계표'!U68)</f>
        <v>33</v>
      </c>
      <c r="C68" s="37" t="s">
        <v>5</v>
      </c>
      <c r="D68" s="212">
        <f>SUMIF('(당초)칠전리'!$D$6:$D$235,'(당초)집계표'!U68,'(당초)칠전리'!$F$6:$F$235)</f>
        <v>19354.400000000001</v>
      </c>
      <c r="E68" s="36">
        <f>COUNTIF('(당초)칠전리'!$J$6:$J$235,'(당초)집계표'!V68)</f>
        <v>0</v>
      </c>
      <c r="F68" s="37" t="s">
        <v>5</v>
      </c>
      <c r="G68" s="212">
        <f>SUMIF('(당초)칠전리'!$J$6:$J$235,'(당초)집계표'!V68,'(당초)칠전리'!$F$6:$F$235)</f>
        <v>0</v>
      </c>
      <c r="H68" s="36">
        <f>COUNTIF('(당초)칠전리'!$J$6:$J$235,'(당초)집계표'!W68)</f>
        <v>32</v>
      </c>
      <c r="I68" s="37" t="s">
        <v>5</v>
      </c>
      <c r="J68" s="212">
        <f>SUMIF('(당초)칠전리'!$J$6:$J$235,'(당초)집계표'!W68,'(당초)칠전리'!$F$6:$F$235)</f>
        <v>19311.399999999998</v>
      </c>
      <c r="K68" s="36">
        <f t="shared" si="4"/>
        <v>1</v>
      </c>
      <c r="L68" s="37" t="s">
        <v>5</v>
      </c>
      <c r="M68" s="212">
        <f t="shared" si="5"/>
        <v>43.000000000003638</v>
      </c>
      <c r="N68" s="39"/>
      <c r="Q68" s="23"/>
      <c r="S68" s="23"/>
      <c r="U68" s="24" t="s">
        <v>8</v>
      </c>
      <c r="V68" s="23" t="s">
        <v>540</v>
      </c>
      <c r="W68" s="334" t="s">
        <v>579</v>
      </c>
    </row>
    <row r="69" spans="1:23" s="24" customFormat="1" ht="23.1" customHeight="1">
      <c r="A69" s="104" t="s">
        <v>9</v>
      </c>
      <c r="B69" s="36">
        <f>COUNTIF('(당초)칠전리'!$D$6:$D$235,'(당초)집계표'!U69)</f>
        <v>46</v>
      </c>
      <c r="C69" s="37" t="s">
        <v>5</v>
      </c>
      <c r="D69" s="212">
        <f>SUMIF('(당초)칠전리'!$D$6:$D$235,'(당초)집계표'!U69,'(당초)칠전리'!$F$6:$F$235)</f>
        <v>30895</v>
      </c>
      <c r="E69" s="36">
        <f>COUNTIF('(당초)칠전리'!$J$6:$J$235,'(당초)집계표'!V69)</f>
        <v>0</v>
      </c>
      <c r="F69" s="37" t="s">
        <v>5</v>
      </c>
      <c r="G69" s="212">
        <f>SUMIF('(당초)칠전리'!$J$6:$J$235,'(당초)집계표'!V69,'(당초)칠전리'!$F$6:$F$235)</f>
        <v>0</v>
      </c>
      <c r="H69" s="36">
        <f>COUNTIF('(당초)칠전리'!$J$6:$J$235,'(당초)집계표'!W69)</f>
        <v>44</v>
      </c>
      <c r="I69" s="37" t="s">
        <v>5</v>
      </c>
      <c r="J69" s="212">
        <f>SUMIF('(당초)칠전리'!$J$6:$J$235,'(당초)집계표'!W69,'(당초)칠전리'!$F$6:$F$235)</f>
        <v>29455</v>
      </c>
      <c r="K69" s="36">
        <f t="shared" si="4"/>
        <v>2</v>
      </c>
      <c r="L69" s="37" t="s">
        <v>5</v>
      </c>
      <c r="M69" s="212">
        <f t="shared" si="5"/>
        <v>1440</v>
      </c>
      <c r="N69" s="39"/>
      <c r="Q69" s="23"/>
      <c r="S69" s="23"/>
      <c r="U69" s="24" t="s">
        <v>93</v>
      </c>
      <c r="V69" s="23" t="s">
        <v>541</v>
      </c>
      <c r="W69" s="334" t="s">
        <v>580</v>
      </c>
    </row>
    <row r="70" spans="1:23" s="24" customFormat="1" ht="23.1" customHeight="1">
      <c r="A70" s="104" t="s">
        <v>10</v>
      </c>
      <c r="B70" s="36">
        <f>COUNTIF('(당초)칠전리'!$D$6:$D$235,'(당초)집계표'!U70)</f>
        <v>9</v>
      </c>
      <c r="C70" s="37" t="s">
        <v>5</v>
      </c>
      <c r="D70" s="212">
        <f>SUMIF('(당초)칠전리'!$D$6:$D$235,'(당초)집계표'!U70,'(당초)칠전리'!$F$6:$F$235)</f>
        <v>1449</v>
      </c>
      <c r="E70" s="36">
        <f>COUNTIF('(당초)칠전리'!$J$6:$J$235,'(당초)집계표'!V70)</f>
        <v>0</v>
      </c>
      <c r="F70" s="37" t="s">
        <v>5</v>
      </c>
      <c r="G70" s="212">
        <f>SUMIF('(당초)칠전리'!$J$6:$J$235,'(당초)집계표'!V70,'(당초)칠전리'!$F$6:$F$235)</f>
        <v>0</v>
      </c>
      <c r="H70" s="36">
        <f>COUNTIF('(당초)칠전리'!$J$6:$J$235,'(당초)집계표'!W70)</f>
        <v>9</v>
      </c>
      <c r="I70" s="37" t="s">
        <v>5</v>
      </c>
      <c r="J70" s="212">
        <f>SUMIF('(당초)칠전리'!$J$6:$J$235,'(당초)집계표'!W70,'(당초)칠전리'!$F$6:$F$235)</f>
        <v>1449</v>
      </c>
      <c r="K70" s="36">
        <f t="shared" si="4"/>
        <v>0</v>
      </c>
      <c r="L70" s="37" t="s">
        <v>5</v>
      </c>
      <c r="M70" s="212">
        <f t="shared" si="5"/>
        <v>0</v>
      </c>
      <c r="N70" s="39"/>
      <c r="O70" s="23"/>
      <c r="P70" s="23"/>
      <c r="Q70" s="23"/>
      <c r="R70" s="23"/>
      <c r="S70" s="23"/>
      <c r="T70" s="23"/>
      <c r="U70" s="24" t="s">
        <v>459</v>
      </c>
      <c r="V70" s="23" t="s">
        <v>542</v>
      </c>
      <c r="W70" s="334" t="s">
        <v>581</v>
      </c>
    </row>
    <row r="71" spans="1:23" s="24" customFormat="1" ht="23.1" customHeight="1">
      <c r="A71" s="104" t="s">
        <v>11</v>
      </c>
      <c r="B71" s="36">
        <f>COUNTIF('(당초)칠전리'!$D$6:$D$235,'(당초)집계표'!U71)</f>
        <v>80</v>
      </c>
      <c r="C71" s="37" t="s">
        <v>5</v>
      </c>
      <c r="D71" s="212">
        <f>SUMIF('(당초)칠전리'!$D$6:$D$235,'(당초)집계표'!U71,'(당초)칠전리'!$F$6:$F$235)</f>
        <v>22240.9</v>
      </c>
      <c r="E71" s="36">
        <f>COUNTIF('(당초)칠전리'!$J$6:$J$235,'(당초)집계표'!V71)</f>
        <v>28</v>
      </c>
      <c r="F71" s="37" t="s">
        <v>5</v>
      </c>
      <c r="G71" s="212">
        <f>SUMIF('(당초)칠전리'!$J$6:$J$235,'(당초)집계표'!V71,'(당초)칠전리'!$F$6:$F$235)</f>
        <v>8739.9</v>
      </c>
      <c r="H71" s="36">
        <f>COUNTIF('(당초)칠전리'!$J$6:$J$235,'(당초)집계표'!W71)</f>
        <v>50</v>
      </c>
      <c r="I71" s="37" t="s">
        <v>5</v>
      </c>
      <c r="J71" s="212">
        <f>SUMIF('(당초)칠전리'!$J$6:$J$235,'(당초)집계표'!W71,'(당초)칠전리'!$F$6:$F$235)</f>
        <v>12314</v>
      </c>
      <c r="K71" s="36">
        <f t="shared" si="4"/>
        <v>2</v>
      </c>
      <c r="L71" s="37" t="s">
        <v>5</v>
      </c>
      <c r="M71" s="212">
        <f t="shared" si="5"/>
        <v>1187.0000000000018</v>
      </c>
      <c r="N71" s="39"/>
      <c r="O71" s="23"/>
      <c r="P71" s="23"/>
      <c r="Q71" s="23"/>
      <c r="R71" s="23"/>
      <c r="S71" s="23"/>
      <c r="T71" s="23"/>
      <c r="U71" s="24" t="s">
        <v>455</v>
      </c>
      <c r="V71" s="23" t="s">
        <v>543</v>
      </c>
      <c r="W71" s="334" t="s">
        <v>582</v>
      </c>
    </row>
    <row r="72" spans="1:23" s="24" customFormat="1" ht="23.1" customHeight="1">
      <c r="A72" s="104" t="s">
        <v>12</v>
      </c>
      <c r="B72" s="36">
        <f>COUNTIF('(당초)칠전리'!$D$6:$D$235,'(당초)집계표'!U72)</f>
        <v>12</v>
      </c>
      <c r="C72" s="37" t="s">
        <v>5</v>
      </c>
      <c r="D72" s="212">
        <f>SUMIF('(당초)칠전리'!$D$6:$D$235,'(당초)집계표'!U72,'(당초)칠전리'!$F$6:$F$235)</f>
        <v>4652.2</v>
      </c>
      <c r="E72" s="36">
        <f>COUNTIF('(당초)칠전리'!$J$6:$J$235,'(당초)집계표'!V72)</f>
        <v>12</v>
      </c>
      <c r="F72" s="37" t="s">
        <v>5</v>
      </c>
      <c r="G72" s="212">
        <f>SUMIF('(당초)칠전리'!$J$6:$J$235,'(당초)집계표'!V72,'(당초)칠전리'!$F$6:$F$235)</f>
        <v>4652.2</v>
      </c>
      <c r="H72" s="36">
        <f>COUNTIF('(당초)칠전리'!$J$6:$J$235,'(당초)집계표'!W72)</f>
        <v>0</v>
      </c>
      <c r="I72" s="37" t="s">
        <v>5</v>
      </c>
      <c r="J72" s="212">
        <f>SUMIF('(당초)칠전리'!$J$6:$J$235,'(당초)집계표'!W72,'(당초)칠전리'!$F$6:$F$235)</f>
        <v>0</v>
      </c>
      <c r="K72" s="36">
        <f t="shared" si="4"/>
        <v>0</v>
      </c>
      <c r="L72" s="37" t="s">
        <v>5</v>
      </c>
      <c r="M72" s="212">
        <f t="shared" si="5"/>
        <v>0</v>
      </c>
      <c r="N72" s="39"/>
      <c r="O72" s="23"/>
      <c r="P72" s="23"/>
      <c r="Q72" s="23"/>
      <c r="R72" s="23"/>
      <c r="S72" s="23"/>
      <c r="T72" s="23"/>
      <c r="U72" s="24" t="s">
        <v>462</v>
      </c>
      <c r="V72" s="23" t="s">
        <v>544</v>
      </c>
      <c r="W72" s="334" t="s">
        <v>583</v>
      </c>
    </row>
    <row r="73" spans="1:23" s="24" customFormat="1" ht="23.1" customHeight="1">
      <c r="A73" s="104" t="s">
        <v>13</v>
      </c>
      <c r="B73" s="36">
        <f>COUNTIF('(당초)칠전리'!$D$6:$D$235,'(당초)집계표'!U73)</f>
        <v>0</v>
      </c>
      <c r="C73" s="37" t="s">
        <v>5</v>
      </c>
      <c r="D73" s="212">
        <f>SUMIF('(당초)칠전리'!$D$6:$D$235,'(당초)집계표'!U73,'(당초)칠전리'!$F$6:$F$235)</f>
        <v>0</v>
      </c>
      <c r="E73" s="36">
        <f>COUNTIF('(당초)칠전리'!$J$6:$J$235,'(당초)집계표'!V73)</f>
        <v>0</v>
      </c>
      <c r="F73" s="37" t="s">
        <v>5</v>
      </c>
      <c r="G73" s="212">
        <f>SUMIF('(당초)칠전리'!$J$6:$J$235,'(당초)집계표'!V73,'(당초)칠전리'!$F$6:$F$235)</f>
        <v>0</v>
      </c>
      <c r="H73" s="36">
        <f>COUNTIF('(당초)칠전리'!$J$6:$J$235,'(당초)집계표'!W73)</f>
        <v>0</v>
      </c>
      <c r="I73" s="37" t="s">
        <v>5</v>
      </c>
      <c r="J73" s="212">
        <f>SUMIF('(당초)칠전리'!$J$6:$J$235,'(당초)집계표'!W73,'(당초)칠전리'!$F$6:$F$235)</f>
        <v>0</v>
      </c>
      <c r="K73" s="36">
        <f t="shared" si="4"/>
        <v>0</v>
      </c>
      <c r="L73" s="37" t="s">
        <v>5</v>
      </c>
      <c r="M73" s="212">
        <f t="shared" si="5"/>
        <v>0</v>
      </c>
      <c r="N73" s="39"/>
      <c r="O73" s="23"/>
      <c r="P73" s="23"/>
      <c r="Q73" s="23"/>
      <c r="R73" s="23"/>
      <c r="S73" s="23"/>
      <c r="T73" s="23"/>
      <c r="U73" s="24" t="s">
        <v>563</v>
      </c>
      <c r="V73" s="23" t="s">
        <v>545</v>
      </c>
      <c r="W73" s="334" t="s">
        <v>584</v>
      </c>
    </row>
    <row r="74" spans="1:23" s="24" customFormat="1" ht="23.1" customHeight="1">
      <c r="A74" s="104" t="s">
        <v>14</v>
      </c>
      <c r="B74" s="36">
        <f>COUNTIF('(당초)칠전리'!$D$6:$D$235,'(당초)집계표'!U74)</f>
        <v>2</v>
      </c>
      <c r="C74" s="37" t="s">
        <v>5</v>
      </c>
      <c r="D74" s="212">
        <f>SUMIF('(당초)칠전리'!$D$6:$D$235,'(당초)집계표'!U74,'(당초)칠전리'!$F$6:$F$235)</f>
        <v>252</v>
      </c>
      <c r="E74" s="36">
        <f>COUNTIF('(당초)칠전리'!$J$6:$J$235,'(당초)집계표'!V74)</f>
        <v>2</v>
      </c>
      <c r="F74" s="37" t="s">
        <v>5</v>
      </c>
      <c r="G74" s="212">
        <f>SUMIF('(당초)칠전리'!$J$6:$J$235,'(당초)집계표'!V74,'(당초)칠전리'!$F$6:$F$235)</f>
        <v>252</v>
      </c>
      <c r="H74" s="36">
        <f>COUNTIF('(당초)칠전리'!$J$6:$J$235,'(당초)집계표'!W74)</f>
        <v>0</v>
      </c>
      <c r="I74" s="37" t="s">
        <v>5</v>
      </c>
      <c r="J74" s="212">
        <f>SUMIF('(당초)칠전리'!$J$6:$J$235,'(당초)집계표'!W74,'(당초)칠전리'!$F$6:$F$235)</f>
        <v>0</v>
      </c>
      <c r="K74" s="36">
        <f t="shared" si="4"/>
        <v>0</v>
      </c>
      <c r="L74" s="37" t="s">
        <v>5</v>
      </c>
      <c r="M74" s="212">
        <f t="shared" si="5"/>
        <v>0</v>
      </c>
      <c r="N74" s="39"/>
      <c r="O74" s="23"/>
      <c r="P74" s="23"/>
      <c r="Q74" s="23"/>
      <c r="R74" s="23"/>
      <c r="S74" s="23"/>
      <c r="T74" s="23"/>
      <c r="U74" s="24" t="s">
        <v>484</v>
      </c>
      <c r="V74" s="23" t="s">
        <v>546</v>
      </c>
      <c r="W74" s="334" t="s">
        <v>585</v>
      </c>
    </row>
    <row r="75" spans="1:23" s="24" customFormat="1" ht="23.1" customHeight="1">
      <c r="A75" s="104" t="s">
        <v>15</v>
      </c>
      <c r="B75" s="36">
        <f>COUNTIF('(당초)칠전리'!$D$6:$D$235,'(당초)집계표'!U75)</f>
        <v>2</v>
      </c>
      <c r="C75" s="37" t="s">
        <v>5</v>
      </c>
      <c r="D75" s="212">
        <f>SUMIF('(당초)칠전리'!$D$6:$D$235,'(당초)집계표'!U75,'(당초)칠전리'!$F$6:$F$235)</f>
        <v>117</v>
      </c>
      <c r="E75" s="36">
        <f>COUNTIF('(당초)칠전리'!$J$6:$J$235,'(당초)집계표'!V75)</f>
        <v>1</v>
      </c>
      <c r="F75" s="37" t="s">
        <v>5</v>
      </c>
      <c r="G75" s="212">
        <f>SUMIF('(당초)칠전리'!$J$6:$J$235,'(당초)집계표'!V75,'(당초)칠전리'!$F$6:$F$235)</f>
        <v>18</v>
      </c>
      <c r="H75" s="36">
        <f>COUNTIF('(당초)칠전리'!$J$6:$J$235,'(당초)집계표'!W75)</f>
        <v>0</v>
      </c>
      <c r="I75" s="37" t="s">
        <v>5</v>
      </c>
      <c r="J75" s="212">
        <f>SUMIF('(당초)칠전리'!$J$6:$J$235,'(당초)집계표'!W75,'(당초)칠전리'!$F$6:$F$235)</f>
        <v>0</v>
      </c>
      <c r="K75" s="36">
        <f t="shared" si="4"/>
        <v>1</v>
      </c>
      <c r="L75" s="37" t="s">
        <v>5</v>
      </c>
      <c r="M75" s="212">
        <f t="shared" si="5"/>
        <v>99</v>
      </c>
      <c r="N75" s="39"/>
      <c r="O75" s="23"/>
      <c r="P75" s="23"/>
      <c r="Q75" s="23"/>
      <c r="R75" s="23"/>
      <c r="S75" s="23"/>
      <c r="T75" s="23"/>
      <c r="U75" s="24" t="s">
        <v>564</v>
      </c>
      <c r="V75" s="23" t="s">
        <v>547</v>
      </c>
      <c r="W75" s="334" t="s">
        <v>586</v>
      </c>
    </row>
    <row r="76" spans="1:23" s="24" customFormat="1" ht="23.1" customHeight="1">
      <c r="A76" s="104" t="s">
        <v>16</v>
      </c>
      <c r="B76" s="36">
        <f>COUNTIF('(당초)칠전리'!$D$6:$D$235,'(당초)집계표'!U76)</f>
        <v>0</v>
      </c>
      <c r="C76" s="37" t="s">
        <v>5</v>
      </c>
      <c r="D76" s="212">
        <f>SUMIF('(당초)칠전리'!$D$6:$D$235,'(당초)집계표'!U76,'(당초)칠전리'!$F$6:$F$235)</f>
        <v>0</v>
      </c>
      <c r="E76" s="36">
        <f>COUNTIF('(당초)칠전리'!$J$6:$J$235,'(당초)집계표'!V76)</f>
        <v>0</v>
      </c>
      <c r="F76" s="37" t="s">
        <v>5</v>
      </c>
      <c r="G76" s="212">
        <f>SUMIF('(당초)칠전리'!$J$6:$J$235,'(당초)집계표'!V76,'(당초)칠전리'!$F$6:$F$235)</f>
        <v>0</v>
      </c>
      <c r="H76" s="36">
        <f>COUNTIF('(당초)칠전리'!$J$6:$J$235,'(당초)집계표'!W76)</f>
        <v>0</v>
      </c>
      <c r="I76" s="37" t="s">
        <v>5</v>
      </c>
      <c r="J76" s="212">
        <f>SUMIF('(당초)칠전리'!$J$6:$J$235,'(당초)집계표'!W76,'(당초)칠전리'!$F$6:$F$235)</f>
        <v>0</v>
      </c>
      <c r="K76" s="36">
        <f t="shared" si="4"/>
        <v>0</v>
      </c>
      <c r="L76" s="37" t="s">
        <v>5</v>
      </c>
      <c r="M76" s="212">
        <f t="shared" si="5"/>
        <v>0</v>
      </c>
      <c r="N76" s="39"/>
      <c r="O76" s="23"/>
      <c r="P76" s="23"/>
      <c r="Q76" s="23"/>
      <c r="R76" s="23"/>
      <c r="S76" s="23"/>
      <c r="T76" s="23"/>
      <c r="U76" s="24" t="s">
        <v>565</v>
      </c>
      <c r="V76" s="23" t="s">
        <v>548</v>
      </c>
      <c r="W76" s="334" t="s">
        <v>587</v>
      </c>
    </row>
    <row r="77" spans="1:23" s="24" customFormat="1" ht="23.1" customHeight="1">
      <c r="A77" s="104" t="s">
        <v>17</v>
      </c>
      <c r="B77" s="36">
        <f>COUNTIF('(당초)칠전리'!$D$6:$D$235,'(당초)집계표'!U77)</f>
        <v>0</v>
      </c>
      <c r="C77" s="37" t="s">
        <v>5</v>
      </c>
      <c r="D77" s="212">
        <f>SUMIF('(당초)칠전리'!$D$6:$D$235,'(당초)집계표'!U77,'(당초)칠전리'!$F$6:$F$235)</f>
        <v>0</v>
      </c>
      <c r="E77" s="36">
        <f>COUNTIF('(당초)칠전리'!$J$6:$J$235,'(당초)집계표'!V77)</f>
        <v>0</v>
      </c>
      <c r="F77" s="37" t="s">
        <v>5</v>
      </c>
      <c r="G77" s="212">
        <f>SUMIF('(당초)칠전리'!$J$6:$J$235,'(당초)집계표'!V77,'(당초)칠전리'!$F$6:$F$235)</f>
        <v>0</v>
      </c>
      <c r="H77" s="36">
        <f>COUNTIF('(당초)칠전리'!$J$6:$J$235,'(당초)집계표'!W77)</f>
        <v>0</v>
      </c>
      <c r="I77" s="37" t="s">
        <v>5</v>
      </c>
      <c r="J77" s="212">
        <f>SUMIF('(당초)칠전리'!$J$6:$J$235,'(당초)집계표'!W77,'(당초)칠전리'!$F$6:$F$235)</f>
        <v>0</v>
      </c>
      <c r="K77" s="36">
        <f t="shared" si="4"/>
        <v>0</v>
      </c>
      <c r="L77" s="37" t="s">
        <v>5</v>
      </c>
      <c r="M77" s="212">
        <f t="shared" si="5"/>
        <v>0</v>
      </c>
      <c r="N77" s="39"/>
      <c r="O77" s="23"/>
      <c r="P77" s="23"/>
      <c r="Q77" s="23"/>
      <c r="R77" s="23"/>
      <c r="S77" s="23"/>
      <c r="T77" s="23"/>
      <c r="U77" s="24" t="s">
        <v>451</v>
      </c>
      <c r="V77" s="23" t="s">
        <v>549</v>
      </c>
      <c r="W77" s="334" t="s">
        <v>588</v>
      </c>
    </row>
    <row r="78" spans="1:23" s="24" customFormat="1" ht="23.1" customHeight="1">
      <c r="A78" s="104" t="s">
        <v>18</v>
      </c>
      <c r="B78" s="36">
        <f>COUNTIF('(당초)칠전리'!$D$6:$D$235,'(당초)집계표'!U78)</f>
        <v>0</v>
      </c>
      <c r="C78" s="37" t="s">
        <v>5</v>
      </c>
      <c r="D78" s="212">
        <f>SUMIF('(당초)칠전리'!$D$6:$D$235,'(당초)집계표'!U78,'(당초)칠전리'!$F$6:$F$235)</f>
        <v>0</v>
      </c>
      <c r="E78" s="36">
        <f>COUNTIF('(당초)칠전리'!$J$6:$J$235,'(당초)집계표'!V78)</f>
        <v>0</v>
      </c>
      <c r="F78" s="37" t="s">
        <v>5</v>
      </c>
      <c r="G78" s="212">
        <f>SUMIF('(당초)칠전리'!$J$6:$J$235,'(당초)집계표'!V78,'(당초)칠전리'!$F$6:$F$235)</f>
        <v>0</v>
      </c>
      <c r="H78" s="36">
        <f>COUNTIF('(당초)칠전리'!$J$6:$J$235,'(당초)집계표'!W78)</f>
        <v>0</v>
      </c>
      <c r="I78" s="37" t="s">
        <v>5</v>
      </c>
      <c r="J78" s="212">
        <f>SUMIF('(당초)칠전리'!$J$6:$J$235,'(당초)집계표'!W78,'(당초)칠전리'!$F$6:$F$235)</f>
        <v>0</v>
      </c>
      <c r="K78" s="36">
        <f t="shared" si="4"/>
        <v>0</v>
      </c>
      <c r="L78" s="37" t="s">
        <v>5</v>
      </c>
      <c r="M78" s="212">
        <f t="shared" si="5"/>
        <v>0</v>
      </c>
      <c r="N78" s="39"/>
      <c r="O78" s="23"/>
      <c r="P78" s="23"/>
      <c r="Q78" s="23"/>
      <c r="R78" s="23"/>
      <c r="S78" s="23"/>
      <c r="T78" s="23"/>
      <c r="U78" s="24" t="s">
        <v>566</v>
      </c>
      <c r="V78" s="23" t="s">
        <v>550</v>
      </c>
      <c r="W78" s="334" t="s">
        <v>589</v>
      </c>
    </row>
    <row r="79" spans="1:23" s="24" customFormat="1" ht="23.1" customHeight="1">
      <c r="A79" s="104" t="s">
        <v>19</v>
      </c>
      <c r="B79" s="36">
        <f>COUNTIF('(당초)칠전리'!$D$6:$D$235,'(당초)집계표'!U79)</f>
        <v>0</v>
      </c>
      <c r="C79" s="37" t="s">
        <v>5</v>
      </c>
      <c r="D79" s="212">
        <f>SUMIF('(당초)칠전리'!$D$6:$D$235,'(당초)집계표'!U79,'(당초)칠전리'!$F$6:$F$235)</f>
        <v>0</v>
      </c>
      <c r="E79" s="36">
        <f>COUNTIF('(당초)칠전리'!$J$6:$J$235,'(당초)집계표'!V79)</f>
        <v>0</v>
      </c>
      <c r="F79" s="37" t="s">
        <v>5</v>
      </c>
      <c r="G79" s="212">
        <f>SUMIF('(당초)칠전리'!$J$6:$J$235,'(당초)집계표'!V79,'(당초)칠전리'!$F$6:$F$235)</f>
        <v>0</v>
      </c>
      <c r="H79" s="36">
        <f>COUNTIF('(당초)칠전리'!$J$6:$J$235,'(당초)집계표'!W79)</f>
        <v>0</v>
      </c>
      <c r="I79" s="37" t="s">
        <v>5</v>
      </c>
      <c r="J79" s="212">
        <f>SUMIF('(당초)칠전리'!$J$6:$J$235,'(당초)집계표'!W79,'(당초)칠전리'!$F$6:$F$235)</f>
        <v>0</v>
      </c>
      <c r="K79" s="36">
        <f t="shared" si="4"/>
        <v>0</v>
      </c>
      <c r="L79" s="37" t="s">
        <v>5</v>
      </c>
      <c r="M79" s="212">
        <f t="shared" si="5"/>
        <v>0</v>
      </c>
      <c r="N79" s="39"/>
      <c r="O79" s="23"/>
      <c r="P79" s="23"/>
      <c r="Q79" s="23"/>
      <c r="R79" s="23"/>
      <c r="S79" s="23"/>
      <c r="T79" s="23"/>
      <c r="U79" s="24" t="s">
        <v>567</v>
      </c>
      <c r="V79" s="23" t="s">
        <v>551</v>
      </c>
      <c r="W79" s="334" t="s">
        <v>590</v>
      </c>
    </row>
    <row r="80" spans="1:23" s="24" customFormat="1" ht="23.1" customHeight="1">
      <c r="A80" s="104" t="s">
        <v>20</v>
      </c>
      <c r="B80" s="36">
        <f>COUNTIF('(당초)칠전리'!$D$6:$D$235,'(당초)집계표'!U80)</f>
        <v>0</v>
      </c>
      <c r="C80" s="37" t="s">
        <v>5</v>
      </c>
      <c r="D80" s="212">
        <f>SUMIF('(당초)칠전리'!$D$6:$D$235,'(당초)집계표'!U80,'(당초)칠전리'!$F$6:$F$235)</f>
        <v>0</v>
      </c>
      <c r="E80" s="36">
        <f>COUNTIF('(당초)칠전리'!$J$6:$J$235,'(당초)집계표'!V80)</f>
        <v>0</v>
      </c>
      <c r="F80" s="37" t="s">
        <v>5</v>
      </c>
      <c r="G80" s="212">
        <f>SUMIF('(당초)칠전리'!$J$6:$J$235,'(당초)집계표'!V80,'(당초)칠전리'!$F$6:$F$235)</f>
        <v>0</v>
      </c>
      <c r="H80" s="36">
        <f>COUNTIF('(당초)칠전리'!$J$6:$J$235,'(당초)집계표'!W80)</f>
        <v>0</v>
      </c>
      <c r="I80" s="37" t="s">
        <v>5</v>
      </c>
      <c r="J80" s="212">
        <f>SUMIF('(당초)칠전리'!$J$6:$J$235,'(당초)집계표'!W80,'(당초)칠전리'!$F$6:$F$235)</f>
        <v>0</v>
      </c>
      <c r="K80" s="36">
        <f t="shared" si="4"/>
        <v>0</v>
      </c>
      <c r="L80" s="37" t="s">
        <v>5</v>
      </c>
      <c r="M80" s="212">
        <f t="shared" si="5"/>
        <v>0</v>
      </c>
      <c r="N80" s="39"/>
      <c r="O80" s="23"/>
      <c r="P80" s="23"/>
      <c r="Q80" s="23"/>
      <c r="R80" s="23"/>
      <c r="S80" s="23"/>
      <c r="T80" s="23"/>
      <c r="U80" s="24" t="s">
        <v>568</v>
      </c>
      <c r="V80" s="23" t="s">
        <v>552</v>
      </c>
      <c r="W80" s="334" t="s">
        <v>591</v>
      </c>
    </row>
    <row r="81" spans="1:23" s="24" customFormat="1" ht="23.1" customHeight="1">
      <c r="A81" s="104" t="s">
        <v>21</v>
      </c>
      <c r="B81" s="36">
        <f>COUNTIF('(당초)칠전리'!$D$6:$D$235,'(당초)집계표'!U81)</f>
        <v>0</v>
      </c>
      <c r="C81" s="37" t="s">
        <v>5</v>
      </c>
      <c r="D81" s="212">
        <f>SUMIF('(당초)칠전리'!$D$6:$D$235,'(당초)집계표'!U81,'(당초)칠전리'!$F$6:$F$235)</f>
        <v>0</v>
      </c>
      <c r="E81" s="36">
        <f>COUNTIF('(당초)칠전리'!$J$6:$J$235,'(당초)집계표'!V81)</f>
        <v>0</v>
      </c>
      <c r="F81" s="37" t="s">
        <v>5</v>
      </c>
      <c r="G81" s="212">
        <f>SUMIF('(당초)칠전리'!$J$6:$J$235,'(당초)집계표'!V81,'(당초)칠전리'!$F$6:$F$235)</f>
        <v>0</v>
      </c>
      <c r="H81" s="36">
        <f>COUNTIF('(당초)칠전리'!$J$6:$J$235,'(당초)집계표'!W81)</f>
        <v>0</v>
      </c>
      <c r="I81" s="37" t="s">
        <v>5</v>
      </c>
      <c r="J81" s="212">
        <f>SUMIF('(당초)칠전리'!$J$6:$J$235,'(당초)집계표'!W81,'(당초)칠전리'!$F$6:$F$235)</f>
        <v>0</v>
      </c>
      <c r="K81" s="36">
        <f t="shared" si="4"/>
        <v>0</v>
      </c>
      <c r="L81" s="37" t="s">
        <v>5</v>
      </c>
      <c r="M81" s="212">
        <f t="shared" si="5"/>
        <v>0</v>
      </c>
      <c r="N81" s="39"/>
      <c r="O81" s="23"/>
      <c r="P81" s="23"/>
      <c r="Q81" s="23"/>
      <c r="R81" s="23"/>
      <c r="S81" s="23"/>
      <c r="T81" s="23"/>
      <c r="U81" s="24" t="s">
        <v>569</v>
      </c>
      <c r="V81" s="23" t="s">
        <v>553</v>
      </c>
      <c r="W81" s="334" t="s">
        <v>592</v>
      </c>
    </row>
    <row r="82" spans="1:23" s="24" customFormat="1" ht="23.1" customHeight="1">
      <c r="A82" s="104" t="s">
        <v>22</v>
      </c>
      <c r="B82" s="36">
        <f>COUNTIF('(당초)칠전리'!$D$6:$D$235,'(당초)집계표'!U82)</f>
        <v>0</v>
      </c>
      <c r="C82" s="37" t="s">
        <v>5</v>
      </c>
      <c r="D82" s="212">
        <f>SUMIF('(당초)칠전리'!$D$6:$D$235,'(당초)집계표'!U82,'(당초)칠전리'!$F$6:$F$235)</f>
        <v>0</v>
      </c>
      <c r="E82" s="36">
        <f>COUNTIF('(당초)칠전리'!$J$6:$J$235,'(당초)집계표'!V82)</f>
        <v>0</v>
      </c>
      <c r="F82" s="37" t="s">
        <v>5</v>
      </c>
      <c r="G82" s="212">
        <f>SUMIF('(당초)칠전리'!$J$6:$J$235,'(당초)집계표'!V82,'(당초)칠전리'!$F$6:$F$235)</f>
        <v>0</v>
      </c>
      <c r="H82" s="36">
        <f>COUNTIF('(당초)칠전리'!$J$6:$J$235,'(당초)집계표'!W82)</f>
        <v>0</v>
      </c>
      <c r="I82" s="37" t="s">
        <v>5</v>
      </c>
      <c r="J82" s="212">
        <f>SUMIF('(당초)칠전리'!$J$6:$J$235,'(당초)집계표'!W82,'(당초)칠전리'!$F$6:$F$235)</f>
        <v>0</v>
      </c>
      <c r="K82" s="36">
        <f t="shared" si="4"/>
        <v>0</v>
      </c>
      <c r="L82" s="37" t="s">
        <v>5</v>
      </c>
      <c r="M82" s="212">
        <f t="shared" si="5"/>
        <v>0</v>
      </c>
      <c r="N82" s="39"/>
      <c r="O82" s="23"/>
      <c r="P82" s="23"/>
      <c r="Q82" s="23"/>
      <c r="R82" s="23"/>
      <c r="S82" s="23"/>
      <c r="T82" s="23"/>
      <c r="U82" s="24" t="s">
        <v>570</v>
      </c>
      <c r="V82" s="23" t="s">
        <v>554</v>
      </c>
      <c r="W82" s="334" t="s">
        <v>593</v>
      </c>
    </row>
    <row r="83" spans="1:23" s="24" customFormat="1" ht="23.1" customHeight="1">
      <c r="A83" s="104" t="s">
        <v>23</v>
      </c>
      <c r="B83" s="36">
        <f>COUNTIF('(당초)칠전리'!$D$6:$D$235,'(당초)집계표'!U83)</f>
        <v>0</v>
      </c>
      <c r="C83" s="37" t="s">
        <v>5</v>
      </c>
      <c r="D83" s="212">
        <f>SUMIF('(당초)칠전리'!$D$6:$D$235,'(당초)집계표'!U83,'(당초)칠전리'!$F$6:$F$235)</f>
        <v>0</v>
      </c>
      <c r="E83" s="36">
        <f>COUNTIF('(당초)칠전리'!$J$6:$J$235,'(당초)집계표'!V83)</f>
        <v>0</v>
      </c>
      <c r="F83" s="37" t="s">
        <v>5</v>
      </c>
      <c r="G83" s="212">
        <f>SUMIF('(당초)칠전리'!$J$6:$J$235,'(당초)집계표'!V83,'(당초)칠전리'!$F$6:$F$235)</f>
        <v>0</v>
      </c>
      <c r="H83" s="36">
        <f>COUNTIF('(당초)칠전리'!$J$6:$J$235,'(당초)집계표'!W83)</f>
        <v>0</v>
      </c>
      <c r="I83" s="37" t="s">
        <v>5</v>
      </c>
      <c r="J83" s="212">
        <f>SUMIF('(당초)칠전리'!$J$6:$J$235,'(당초)집계표'!W83,'(당초)칠전리'!$F$6:$F$235)</f>
        <v>0</v>
      </c>
      <c r="K83" s="36">
        <f t="shared" si="4"/>
        <v>0</v>
      </c>
      <c r="L83" s="37" t="s">
        <v>5</v>
      </c>
      <c r="M83" s="212">
        <f t="shared" si="5"/>
        <v>0</v>
      </c>
      <c r="N83" s="39"/>
      <c r="O83" s="23"/>
      <c r="P83" s="23"/>
      <c r="Q83" s="23"/>
      <c r="R83" s="23"/>
      <c r="S83" s="23"/>
      <c r="T83" s="23"/>
      <c r="U83" s="24" t="s">
        <v>571</v>
      </c>
      <c r="V83" s="23" t="s">
        <v>555</v>
      </c>
      <c r="W83" s="334" t="s">
        <v>594</v>
      </c>
    </row>
    <row r="84" spans="1:23" s="24" customFormat="1" ht="23.1" customHeight="1">
      <c r="A84" s="105" t="s">
        <v>24</v>
      </c>
      <c r="B84" s="36">
        <f>COUNTIF('(당초)칠전리'!$D$6:$D$235,'(당초)집계표'!U84)</f>
        <v>0</v>
      </c>
      <c r="C84" s="37" t="s">
        <v>5</v>
      </c>
      <c r="D84" s="212">
        <f>SUMIF('(당초)칠전리'!$D$6:$D$235,'(당초)집계표'!U84,'(당초)칠전리'!$F$6:$F$235)</f>
        <v>0</v>
      </c>
      <c r="E84" s="36">
        <f>COUNTIF('(당초)칠전리'!$J$6:$J$235,'(당초)집계표'!V84)</f>
        <v>0</v>
      </c>
      <c r="F84" s="37" t="s">
        <v>5</v>
      </c>
      <c r="G84" s="212">
        <f>SUMIF('(당초)칠전리'!$J$6:$J$235,'(당초)집계표'!V84,'(당초)칠전리'!$F$6:$F$235)</f>
        <v>0</v>
      </c>
      <c r="H84" s="36">
        <f>COUNTIF('(당초)칠전리'!$J$6:$J$235,'(당초)집계표'!W84)</f>
        <v>0</v>
      </c>
      <c r="I84" s="37" t="s">
        <v>5</v>
      </c>
      <c r="J84" s="212">
        <f>SUMIF('(당초)칠전리'!$J$6:$J$235,'(당초)집계표'!W84,'(당초)칠전리'!$F$6:$F$235)</f>
        <v>0</v>
      </c>
      <c r="K84" s="36">
        <f t="shared" si="4"/>
        <v>0</v>
      </c>
      <c r="L84" s="37" t="s">
        <v>5</v>
      </c>
      <c r="M84" s="212">
        <f t="shared" si="5"/>
        <v>0</v>
      </c>
      <c r="N84" s="39"/>
      <c r="O84" s="23"/>
      <c r="P84" s="23"/>
      <c r="Q84" s="23"/>
      <c r="R84" s="23"/>
      <c r="S84" s="23"/>
      <c r="T84" s="23"/>
      <c r="U84" s="24" t="s">
        <v>572</v>
      </c>
      <c r="V84" s="23" t="s">
        <v>556</v>
      </c>
      <c r="W84" s="334" t="s">
        <v>595</v>
      </c>
    </row>
    <row r="85" spans="1:23" s="24" customFormat="1" ht="23.1" customHeight="1">
      <c r="A85" s="105" t="s">
        <v>614</v>
      </c>
      <c r="B85" s="36">
        <f>COUNTIF('(당초)칠전리'!$D$6:$D$235,'(당초)집계표'!U85)</f>
        <v>0</v>
      </c>
      <c r="C85" s="37" t="s">
        <v>5</v>
      </c>
      <c r="D85" s="212">
        <f>SUMIF('(당초)칠전리'!$D$6:$D$235,'(당초)집계표'!U85,'(당초)칠전리'!$F$6:$F$235)</f>
        <v>0</v>
      </c>
      <c r="E85" s="36">
        <f>COUNTIF('(당초)칠전리'!$J$6:$J$235,'(당초)집계표'!V85)</f>
        <v>0</v>
      </c>
      <c r="F85" s="37" t="s">
        <v>5</v>
      </c>
      <c r="G85" s="212">
        <f>SUMIF('(당초)칠전리'!$J$6:$J$235,'(당초)집계표'!V85,'(당초)칠전리'!$F$6:$F$235)</f>
        <v>0</v>
      </c>
      <c r="H85" s="36">
        <f>COUNTIF('(당초)칠전리'!$J$6:$J$235,'(당초)집계표'!W85)</f>
        <v>0</v>
      </c>
      <c r="I85" s="37" t="s">
        <v>5</v>
      </c>
      <c r="J85" s="212">
        <f>SUMIF('(당초)칠전리'!$J$6:$J$235,'(당초)집계표'!W85,'(당초)칠전리'!$F$6:$F$235)</f>
        <v>0</v>
      </c>
      <c r="K85" s="36">
        <f t="shared" si="4"/>
        <v>0</v>
      </c>
      <c r="L85" s="37" t="s">
        <v>5</v>
      </c>
      <c r="M85" s="212">
        <f t="shared" si="5"/>
        <v>0</v>
      </c>
      <c r="N85" s="39"/>
      <c r="O85" s="23"/>
      <c r="P85" s="23"/>
      <c r="Q85" s="23"/>
      <c r="R85" s="23"/>
      <c r="S85" s="23"/>
      <c r="T85" s="23"/>
      <c r="U85" s="24" t="s">
        <v>615</v>
      </c>
      <c r="V85" s="23" t="s">
        <v>557</v>
      </c>
      <c r="W85" s="334" t="s">
        <v>596</v>
      </c>
    </row>
    <row r="86" spans="1:23" s="24" customFormat="1" ht="23.1" customHeight="1">
      <c r="A86" s="105" t="s">
        <v>26</v>
      </c>
      <c r="B86" s="36">
        <f>COUNTIF('(당초)칠전리'!$D$6:$D$235,'(당초)집계표'!U86)</f>
        <v>0</v>
      </c>
      <c r="C86" s="37" t="s">
        <v>5</v>
      </c>
      <c r="D86" s="212">
        <f>SUMIF('(당초)칠전리'!$D$6:$D$235,'(당초)집계표'!U86,'(당초)칠전리'!$F$6:$F$235)</f>
        <v>0</v>
      </c>
      <c r="E86" s="36">
        <f>COUNTIF('(당초)칠전리'!$J$6:$J$235,'(당초)집계표'!V86)</f>
        <v>0</v>
      </c>
      <c r="F86" s="37" t="s">
        <v>5</v>
      </c>
      <c r="G86" s="212">
        <f>SUMIF('(당초)칠전리'!$J$6:$J$235,'(당초)집계표'!V86,'(당초)칠전리'!$F$6:$F$235)</f>
        <v>0</v>
      </c>
      <c r="H86" s="36">
        <f>COUNTIF('(당초)칠전리'!$J$6:$J$235,'(당초)집계표'!W86)</f>
        <v>0</v>
      </c>
      <c r="I86" s="37" t="s">
        <v>5</v>
      </c>
      <c r="J86" s="212">
        <f>SUMIF('(당초)칠전리'!$J$6:$J$235,'(당초)집계표'!W86,'(당초)칠전리'!$F$6:$F$235)</f>
        <v>0</v>
      </c>
      <c r="K86" s="36">
        <f t="shared" si="4"/>
        <v>0</v>
      </c>
      <c r="L86" s="37" t="s">
        <v>5</v>
      </c>
      <c r="M86" s="212">
        <f t="shared" si="5"/>
        <v>0</v>
      </c>
      <c r="N86" s="39"/>
      <c r="O86" s="23"/>
      <c r="P86" s="23"/>
      <c r="Q86" s="23"/>
      <c r="R86" s="23"/>
      <c r="S86" s="23"/>
      <c r="T86" s="23"/>
      <c r="U86" s="24" t="s">
        <v>451</v>
      </c>
      <c r="V86" s="23" t="s">
        <v>549</v>
      </c>
      <c r="W86" s="334" t="s">
        <v>588</v>
      </c>
    </row>
    <row r="87" spans="1:23" s="24" customFormat="1" ht="23.1" customHeight="1">
      <c r="A87" s="105" t="s">
        <v>27</v>
      </c>
      <c r="B87" s="36">
        <f>COUNTIF('(당초)칠전리'!$D$6:$D$235,'(당초)집계표'!U87)</f>
        <v>0</v>
      </c>
      <c r="C87" s="37" t="s">
        <v>5</v>
      </c>
      <c r="D87" s="212">
        <f>SUMIF('(당초)칠전리'!$D$6:$D$235,'(당초)집계표'!U87,'(당초)칠전리'!$F$6:$F$235)</f>
        <v>0</v>
      </c>
      <c r="E87" s="36">
        <f>COUNTIF('(당초)칠전리'!$J$6:$J$235,'(당초)집계표'!V87)</f>
        <v>0</v>
      </c>
      <c r="F87" s="37" t="s">
        <v>5</v>
      </c>
      <c r="G87" s="212">
        <f>SUMIF('(당초)칠전리'!$J$6:$J$235,'(당초)집계표'!V87,'(당초)칠전리'!$F$6:$F$235)</f>
        <v>0</v>
      </c>
      <c r="H87" s="36">
        <f>COUNTIF('(당초)칠전리'!$J$6:$J$235,'(당초)집계표'!W87)</f>
        <v>0</v>
      </c>
      <c r="I87" s="37" t="s">
        <v>5</v>
      </c>
      <c r="J87" s="212">
        <f>SUMIF('(당초)칠전리'!$J$6:$J$235,'(당초)집계표'!W87,'(당초)칠전리'!$F$6:$F$235)</f>
        <v>0</v>
      </c>
      <c r="K87" s="36">
        <f t="shared" si="4"/>
        <v>0</v>
      </c>
      <c r="L87" s="37" t="s">
        <v>5</v>
      </c>
      <c r="M87" s="212">
        <f t="shared" si="5"/>
        <v>0</v>
      </c>
      <c r="N87" s="39"/>
      <c r="O87" s="23"/>
      <c r="P87" s="23"/>
      <c r="Q87" s="23"/>
      <c r="R87" s="23"/>
      <c r="S87" s="23"/>
      <c r="T87" s="23"/>
      <c r="U87" s="24" t="s">
        <v>574</v>
      </c>
      <c r="V87" s="23" t="s">
        <v>558</v>
      </c>
      <c r="W87" s="334" t="s">
        <v>597</v>
      </c>
    </row>
    <row r="88" spans="1:23" s="24" customFormat="1" ht="23.1" customHeight="1">
      <c r="A88" s="105" t="s">
        <v>28</v>
      </c>
      <c r="B88" s="36">
        <f>COUNTIF('(당초)칠전리'!$D$6:$D$235,'(당초)집계표'!U88)</f>
        <v>0</v>
      </c>
      <c r="C88" s="37" t="s">
        <v>5</v>
      </c>
      <c r="D88" s="212">
        <f>SUMIF('(당초)칠전리'!$D$6:$D$235,'(당초)집계표'!U88,'(당초)칠전리'!$F$6:$F$235)</f>
        <v>0</v>
      </c>
      <c r="E88" s="36">
        <f>COUNTIF('(당초)칠전리'!$J$6:$J$235,'(당초)집계표'!V88)</f>
        <v>0</v>
      </c>
      <c r="F88" s="37" t="s">
        <v>5</v>
      </c>
      <c r="G88" s="212">
        <f>SUMIF('(당초)칠전리'!$J$6:$J$235,'(당초)집계표'!V88,'(당초)칠전리'!$F$6:$F$235)</f>
        <v>0</v>
      </c>
      <c r="H88" s="36">
        <f>COUNTIF('(당초)칠전리'!$J$6:$J$235,'(당초)집계표'!W88)</f>
        <v>0</v>
      </c>
      <c r="I88" s="37" t="s">
        <v>5</v>
      </c>
      <c r="J88" s="212">
        <f>SUMIF('(당초)칠전리'!$J$6:$J$235,'(당초)집계표'!W88,'(당초)칠전리'!$F$6:$F$235)</f>
        <v>0</v>
      </c>
      <c r="K88" s="36">
        <f t="shared" si="4"/>
        <v>0</v>
      </c>
      <c r="L88" s="37" t="s">
        <v>5</v>
      </c>
      <c r="M88" s="212">
        <f t="shared" si="5"/>
        <v>0</v>
      </c>
      <c r="N88" s="39"/>
      <c r="O88" s="23"/>
      <c r="P88" s="23"/>
      <c r="Q88" s="23"/>
      <c r="R88" s="23"/>
      <c r="S88" s="23"/>
      <c r="T88" s="23"/>
      <c r="U88" s="24" t="s">
        <v>575</v>
      </c>
      <c r="V88" s="23" t="s">
        <v>559</v>
      </c>
      <c r="W88" s="334" t="s">
        <v>598</v>
      </c>
    </row>
    <row r="89" spans="1:23" s="24" customFormat="1" ht="23.1" customHeight="1">
      <c r="A89" s="105" t="s">
        <v>65</v>
      </c>
      <c r="B89" s="36">
        <f>COUNTIF('(당초)칠전리'!$D$6:$D$235,'(당초)집계표'!U89)</f>
        <v>0</v>
      </c>
      <c r="C89" s="37" t="s">
        <v>5</v>
      </c>
      <c r="D89" s="212">
        <f>SUMIF('(당초)칠전리'!$D$6:$D$235,'(당초)집계표'!U89,'(당초)칠전리'!$F$6:$F$235)</f>
        <v>0</v>
      </c>
      <c r="E89" s="36">
        <f>COUNTIF('(당초)칠전리'!$J$6:$J$235,'(당초)집계표'!V89)</f>
        <v>0</v>
      </c>
      <c r="F89" s="37" t="s">
        <v>5</v>
      </c>
      <c r="G89" s="212">
        <f>SUMIF('(당초)칠전리'!$J$6:$J$235,'(당초)집계표'!V89,'(당초)칠전리'!$F$6:$F$235)</f>
        <v>0</v>
      </c>
      <c r="H89" s="36">
        <f>COUNTIF('(당초)칠전리'!$J$6:$J$235,'(당초)집계표'!W89)</f>
        <v>0</v>
      </c>
      <c r="I89" s="37" t="s">
        <v>5</v>
      </c>
      <c r="J89" s="212">
        <f>SUMIF('(당초)칠전리'!$J$6:$J$235,'(당초)집계표'!W89,'(당초)칠전리'!$F$6:$F$235)</f>
        <v>0</v>
      </c>
      <c r="K89" s="36">
        <f t="shared" si="4"/>
        <v>0</v>
      </c>
      <c r="L89" s="37" t="s">
        <v>5</v>
      </c>
      <c r="M89" s="212">
        <f t="shared" si="5"/>
        <v>0</v>
      </c>
      <c r="N89" s="39"/>
      <c r="O89" s="23"/>
      <c r="P89" s="23"/>
      <c r="Q89" s="23"/>
      <c r="R89" s="23"/>
      <c r="S89" s="23"/>
      <c r="T89" s="23"/>
      <c r="U89" s="24" t="s">
        <v>576</v>
      </c>
      <c r="V89" s="23" t="s">
        <v>560</v>
      </c>
      <c r="W89" s="334" t="s">
        <v>599</v>
      </c>
    </row>
    <row r="90" spans="1:23" s="24" customFormat="1" ht="23.1" customHeight="1">
      <c r="A90" s="105" t="s">
        <v>70</v>
      </c>
      <c r="B90" s="36">
        <f>COUNTIF('(당초)칠전리'!$D$6:$D$235,'(당초)집계표'!U90)</f>
        <v>1</v>
      </c>
      <c r="C90" s="37" t="s">
        <v>5</v>
      </c>
      <c r="D90" s="212">
        <f>SUMIF('(당초)칠전리'!$D$6:$D$235,'(당초)집계표'!U90,'(당초)칠전리'!$F$6:$F$235)</f>
        <v>16</v>
      </c>
      <c r="E90" s="36">
        <f>COUNTIF('(당초)칠전리'!$J$6:$J$235,'(당초)집계표'!V90)</f>
        <v>0</v>
      </c>
      <c r="F90" s="37" t="s">
        <v>5</v>
      </c>
      <c r="G90" s="212">
        <f>SUMIF('(당초)칠전리'!$J$6:$J$235,'(당초)집계표'!V90,'(당초)칠전리'!$F$6:$F$235)</f>
        <v>0</v>
      </c>
      <c r="H90" s="36">
        <f>COUNTIF('(당초)칠전리'!$J$6:$J$235,'(당초)집계표'!W90)</f>
        <v>1</v>
      </c>
      <c r="I90" s="37" t="s">
        <v>5</v>
      </c>
      <c r="J90" s="212">
        <f>SUMIF('(당초)칠전리'!$J$6:$J$235,'(당초)집계표'!W90,'(당초)칠전리'!$F$6:$F$235)</f>
        <v>16</v>
      </c>
      <c r="K90" s="36">
        <f t="shared" si="4"/>
        <v>0</v>
      </c>
      <c r="L90" s="37" t="s">
        <v>5</v>
      </c>
      <c r="M90" s="212">
        <f t="shared" si="5"/>
        <v>0</v>
      </c>
      <c r="N90" s="39"/>
      <c r="O90" s="23"/>
      <c r="P90" s="23"/>
      <c r="Q90" s="23"/>
      <c r="R90" s="23"/>
      <c r="S90" s="23"/>
      <c r="T90" s="23"/>
      <c r="U90" s="24" t="s">
        <v>608</v>
      </c>
      <c r="V90" s="23" t="s">
        <v>609</v>
      </c>
      <c r="W90" s="334" t="s">
        <v>610</v>
      </c>
    </row>
    <row r="91" spans="1:23" s="24" customFormat="1" ht="23.1" customHeight="1">
      <c r="A91" s="106" t="s">
        <v>62</v>
      </c>
      <c r="B91" s="40">
        <f>COUNTIF('(당초)칠전리'!$D$6:$D$235,'(당초)집계표'!U91)</f>
        <v>0</v>
      </c>
      <c r="C91" s="41" t="s">
        <v>5</v>
      </c>
      <c r="D91" s="213">
        <f>SUMIF('(당초)칠전리'!$D$6:$D$235,'(당초)집계표'!U91,'(당초)칠전리'!$F$6:$F$235)</f>
        <v>0</v>
      </c>
      <c r="E91" s="40">
        <f>COUNTIF('(당초)칠전리'!$J$6:$J$235,'(당초)집계표'!V91)</f>
        <v>0</v>
      </c>
      <c r="F91" s="41" t="s">
        <v>5</v>
      </c>
      <c r="G91" s="213">
        <f>SUMIF('(당초)칠전리'!$J$6:$J$235,'(당초)집계표'!V91,'(당초)칠전리'!$F$6:$F$235)</f>
        <v>0</v>
      </c>
      <c r="H91" s="40">
        <f>COUNTIF('(당초)칠전리'!$J$6:$J$235,'(당초)집계표'!W91)</f>
        <v>0</v>
      </c>
      <c r="I91" s="41" t="s">
        <v>5</v>
      </c>
      <c r="J91" s="213">
        <f>SUMIF('(당초)칠전리'!$J$6:$J$235,'(당초)집계표'!W91,'(당초)칠전리'!$F$6:$F$235)</f>
        <v>0</v>
      </c>
      <c r="K91" s="40">
        <f t="shared" si="4"/>
        <v>0</v>
      </c>
      <c r="L91" s="41" t="s">
        <v>5</v>
      </c>
      <c r="M91" s="213">
        <f t="shared" si="5"/>
        <v>0</v>
      </c>
      <c r="N91" s="43"/>
      <c r="O91" s="23"/>
      <c r="P91" s="23"/>
      <c r="Q91" s="23"/>
      <c r="R91" s="23"/>
      <c r="S91" s="23"/>
      <c r="T91" s="23"/>
      <c r="U91" s="24" t="s">
        <v>602</v>
      </c>
      <c r="V91" s="23" t="s">
        <v>605</v>
      </c>
      <c r="W91" s="334" t="s">
        <v>606</v>
      </c>
    </row>
    <row r="92" spans="1:23" s="17" customFormat="1" ht="20.100000000000001" customHeight="1">
      <c r="A92" s="11">
        <f>IF(EXACT(O96,O97),,"검산확인요!!!")</f>
        <v>0</v>
      </c>
      <c r="B92" s="12"/>
      <c r="C92" s="12"/>
      <c r="D92" s="12"/>
      <c r="E92" s="12"/>
      <c r="F92" s="12"/>
      <c r="G92" s="12"/>
      <c r="H92" s="12"/>
      <c r="I92" s="12"/>
      <c r="J92" s="12"/>
      <c r="K92" s="13" t="str">
        <f>IF(ISBLANK('마룡리(출력6)'!M2),,'마룡리(출력6)'!M2)</f>
        <v>서산시 부석면 마룡리</v>
      </c>
      <c r="L92" s="14"/>
      <c r="M92" s="15"/>
      <c r="N92" s="16"/>
    </row>
    <row r="93" spans="1:23" s="17" customFormat="1" ht="9.75" customHeight="1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1:23" s="24" customFormat="1" ht="27.95" customHeight="1">
      <c r="A94" s="199" t="s">
        <v>3</v>
      </c>
      <c r="B94" s="489" t="s">
        <v>2</v>
      </c>
      <c r="C94" s="490"/>
      <c r="D94" s="490"/>
      <c r="E94" s="214" t="s">
        <v>29</v>
      </c>
      <c r="F94" s="215"/>
      <c r="G94" s="216"/>
      <c r="H94" s="214" t="s">
        <v>57</v>
      </c>
      <c r="I94" s="215"/>
      <c r="J94" s="216"/>
      <c r="K94" s="214" t="s">
        <v>30</v>
      </c>
      <c r="L94" s="215"/>
      <c r="M94" s="216"/>
      <c r="N94" s="22" t="s">
        <v>31</v>
      </c>
      <c r="O94" s="23"/>
      <c r="S94" s="23"/>
      <c r="T94" s="23"/>
      <c r="U94" s="23"/>
      <c r="V94" s="23"/>
    </row>
    <row r="95" spans="1:23" s="24" customFormat="1" ht="27.95" customHeight="1">
      <c r="A95" s="25"/>
      <c r="B95" s="26" t="s">
        <v>4</v>
      </c>
      <c r="C95" s="27" t="s">
        <v>5</v>
      </c>
      <c r="D95" s="28" t="s">
        <v>32</v>
      </c>
      <c r="E95" s="185" t="s">
        <v>4</v>
      </c>
      <c r="F95" s="186" t="s">
        <v>5</v>
      </c>
      <c r="G95" s="184" t="s">
        <v>32</v>
      </c>
      <c r="H95" s="185" t="s">
        <v>4</v>
      </c>
      <c r="I95" s="186" t="s">
        <v>5</v>
      </c>
      <c r="J95" s="184" t="s">
        <v>32</v>
      </c>
      <c r="K95" s="185" t="s">
        <v>4</v>
      </c>
      <c r="L95" s="186" t="s">
        <v>5</v>
      </c>
      <c r="M95" s="184" t="s">
        <v>32</v>
      </c>
      <c r="N95" s="29"/>
      <c r="P95" s="23"/>
      <c r="Q95" s="30" t="s">
        <v>33</v>
      </c>
      <c r="R95" s="30" t="s">
        <v>34</v>
      </c>
      <c r="S95" s="30" t="s">
        <v>35</v>
      </c>
      <c r="T95" s="30" t="s">
        <v>36</v>
      </c>
      <c r="U95" s="23"/>
      <c r="V95" s="23"/>
    </row>
    <row r="96" spans="1:23" s="24" customFormat="1" ht="23.1" customHeight="1">
      <c r="A96" s="103" t="s">
        <v>2</v>
      </c>
      <c r="B96" s="31">
        <f>SUM(B97:B121)</f>
        <v>123</v>
      </c>
      <c r="C96" s="32" t="s">
        <v>5</v>
      </c>
      <c r="D96" s="211">
        <f>SUM(D97:D121)</f>
        <v>124209.39999999997</v>
      </c>
      <c r="E96" s="31">
        <f>SUM(E97:E121)</f>
        <v>15</v>
      </c>
      <c r="F96" s="32" t="s">
        <v>5</v>
      </c>
      <c r="G96" s="211">
        <f>SUM(G97:G121)</f>
        <v>9891.7999999999993</v>
      </c>
      <c r="H96" s="31">
        <f>SUM(H97:H121)</f>
        <v>104</v>
      </c>
      <c r="I96" s="32" t="s">
        <v>5</v>
      </c>
      <c r="J96" s="211">
        <f>SUM(J97:J121)</f>
        <v>113742.59999999998</v>
      </c>
      <c r="K96" s="31">
        <f>SUM(K97:K121)</f>
        <v>4</v>
      </c>
      <c r="L96" s="32" t="s">
        <v>5</v>
      </c>
      <c r="M96" s="211">
        <f>SUM(M97:M121)</f>
        <v>575.00000000000182</v>
      </c>
      <c r="N96" s="34"/>
      <c r="O96" s="23" t="str">
        <f>IF(EXACT(Q96,T96),"맞음","틀림")</f>
        <v>틀림</v>
      </c>
      <c r="P96" s="23" t="s">
        <v>4</v>
      </c>
      <c r="Q96" s="35">
        <f>SUM(B97:B121)</f>
        <v>123</v>
      </c>
      <c r="R96" s="35">
        <f>SUM(E97:E121)</f>
        <v>15</v>
      </c>
      <c r="S96" s="35">
        <f>SUM(K97:K121)</f>
        <v>4</v>
      </c>
      <c r="T96" s="35">
        <f>K96+E96</f>
        <v>19</v>
      </c>
      <c r="U96" s="23"/>
      <c r="V96" s="23"/>
    </row>
    <row r="97" spans="1:23" s="24" customFormat="1" ht="23.1" customHeight="1">
      <c r="A97" s="104" t="s">
        <v>7</v>
      </c>
      <c r="B97" s="36">
        <f>COUNTIF('(당초)마룡리'!$D$6:$D$130,'(당초)집계표'!U97)</f>
        <v>7</v>
      </c>
      <c r="C97" s="37" t="s">
        <v>5</v>
      </c>
      <c r="D97" s="212">
        <f>SUMIF('(당초)마룡리'!$D$6:$D$130,'(당초)집계표'!U97,'(당초)마룡리'!$F$6:$F$130)</f>
        <v>3505</v>
      </c>
      <c r="E97" s="36">
        <f>COUNTIF('(당초)마룡리'!$J$6:$J$130,'(당초)집계표'!V97)</f>
        <v>0</v>
      </c>
      <c r="F97" s="37" t="s">
        <v>5</v>
      </c>
      <c r="G97" s="212">
        <f>SUMIF('(당초)마룡리'!$J$6:$J$130,'(당초)집계표'!V97,'(당초)마룡리'!$F$6:$F$130)</f>
        <v>0</v>
      </c>
      <c r="H97" s="36">
        <f>COUNTIF('(당초)마룡리'!$J$6:$J$130,'(당초)집계표'!W97)</f>
        <v>6</v>
      </c>
      <c r="I97" s="37" t="s">
        <v>5</v>
      </c>
      <c r="J97" s="212">
        <f>SUMIF('(당초)마룡리'!$J$6:$J$130,'(당초)집계표'!W97,'(당초)마룡리'!$F$6:$F$130)</f>
        <v>3462</v>
      </c>
      <c r="K97" s="36">
        <f t="shared" ref="K97:K121" si="6">SUM(B97-E97-H97)</f>
        <v>1</v>
      </c>
      <c r="L97" s="37" t="s">
        <v>5</v>
      </c>
      <c r="M97" s="212">
        <f t="shared" ref="M97:M121" si="7">SUM(D97-G97-J97)</f>
        <v>43</v>
      </c>
      <c r="N97" s="39"/>
      <c r="O97" s="23" t="str">
        <f>IF(EXACT(Q97,T97),"맞음","틀림")</f>
        <v>틀림</v>
      </c>
      <c r="P97" s="23" t="s">
        <v>37</v>
      </c>
      <c r="Q97" s="35">
        <f>SUM(D97:D121)</f>
        <v>124209.39999999997</v>
      </c>
      <c r="R97" s="35">
        <f>SUM(G97:G121)</f>
        <v>9891.7999999999993</v>
      </c>
      <c r="S97" s="35">
        <f>SUM(M97:M121)</f>
        <v>575.00000000000182</v>
      </c>
      <c r="T97" s="35">
        <f>G96+M96</f>
        <v>10466.800000000001</v>
      </c>
      <c r="U97" s="24" t="s">
        <v>7</v>
      </c>
      <c r="V97" s="23" t="s">
        <v>539</v>
      </c>
      <c r="W97" s="334" t="s">
        <v>578</v>
      </c>
    </row>
    <row r="98" spans="1:23" s="24" customFormat="1" ht="23.1" customHeight="1">
      <c r="A98" s="104" t="s">
        <v>8</v>
      </c>
      <c r="B98" s="36">
        <f>COUNTIF('(당초)마룡리'!$D$6:$D$130,'(당초)집계표'!U98)</f>
        <v>44</v>
      </c>
      <c r="C98" s="37" t="s">
        <v>5</v>
      </c>
      <c r="D98" s="212">
        <f>SUMIF('(당초)마룡리'!$D$6:$D$130,'(당초)집계표'!U98,'(당초)마룡리'!$F$6:$F$130)</f>
        <v>46694.599999999984</v>
      </c>
      <c r="E98" s="36">
        <f>COUNTIF('(당초)마룡리'!$J$6:$J$130,'(당초)집계표'!V98)</f>
        <v>0</v>
      </c>
      <c r="F98" s="37" t="s">
        <v>5</v>
      </c>
      <c r="G98" s="212">
        <f>SUMIF('(당초)마룡리'!$J$6:$J$130,'(당초)집계표'!V98,'(당초)마룡리'!$F$6:$F$130)</f>
        <v>0</v>
      </c>
      <c r="H98" s="36">
        <f>COUNTIF('(당초)마룡리'!$J$6:$J$130,'(당초)집계표'!W98)</f>
        <v>44</v>
      </c>
      <c r="I98" s="37" t="s">
        <v>5</v>
      </c>
      <c r="J98" s="212">
        <f>SUMIF('(당초)마룡리'!$J$6:$J$130,'(당초)집계표'!W98,'(당초)마룡리'!$F$6:$F$130)</f>
        <v>46694.599999999984</v>
      </c>
      <c r="K98" s="36">
        <f t="shared" si="6"/>
        <v>0</v>
      </c>
      <c r="L98" s="37" t="s">
        <v>5</v>
      </c>
      <c r="M98" s="212">
        <f t="shared" si="7"/>
        <v>0</v>
      </c>
      <c r="N98" s="39"/>
      <c r="Q98" s="23"/>
      <c r="S98" s="23"/>
      <c r="U98" s="24" t="s">
        <v>8</v>
      </c>
      <c r="V98" s="23" t="s">
        <v>540</v>
      </c>
      <c r="W98" s="334" t="s">
        <v>579</v>
      </c>
    </row>
    <row r="99" spans="1:23" s="24" customFormat="1" ht="23.1" customHeight="1">
      <c r="A99" s="104" t="s">
        <v>9</v>
      </c>
      <c r="B99" s="36">
        <f>COUNTIF('(당초)마룡리'!$D$6:$D$130,'(당초)집계표'!U99)</f>
        <v>41</v>
      </c>
      <c r="C99" s="37" t="s">
        <v>5</v>
      </c>
      <c r="D99" s="212">
        <f>SUMIF('(당초)마룡리'!$D$6:$D$130,'(당초)집계표'!U99,'(당초)마룡리'!$F$6:$F$130)</f>
        <v>49066</v>
      </c>
      <c r="E99" s="36">
        <f>COUNTIF('(당초)마룡리'!$J$6:$J$130,'(당초)집계표'!V99)</f>
        <v>0</v>
      </c>
      <c r="F99" s="37" t="s">
        <v>5</v>
      </c>
      <c r="G99" s="212">
        <f>SUMIF('(당초)마룡리'!$J$6:$J$130,'(당초)집계표'!V99,'(당초)마룡리'!$F$6:$F$130)</f>
        <v>0</v>
      </c>
      <c r="H99" s="36">
        <f>COUNTIF('(당초)마룡리'!$J$6:$J$130,'(당초)집계표'!W99)</f>
        <v>38</v>
      </c>
      <c r="I99" s="37" t="s">
        <v>5</v>
      </c>
      <c r="J99" s="212">
        <f>SUMIF('(당초)마룡리'!$J$6:$J$130,'(당초)집계표'!W99,'(당초)마룡리'!$F$6:$F$130)</f>
        <v>48534</v>
      </c>
      <c r="K99" s="36">
        <f t="shared" si="6"/>
        <v>3</v>
      </c>
      <c r="L99" s="37" t="s">
        <v>5</v>
      </c>
      <c r="M99" s="212">
        <f t="shared" si="7"/>
        <v>532</v>
      </c>
      <c r="N99" s="39"/>
      <c r="Q99" s="23"/>
      <c r="S99" s="23"/>
      <c r="U99" s="24" t="s">
        <v>93</v>
      </c>
      <c r="V99" s="23" t="s">
        <v>541</v>
      </c>
      <c r="W99" s="334" t="s">
        <v>580</v>
      </c>
    </row>
    <row r="100" spans="1:23" s="24" customFormat="1" ht="23.1" customHeight="1">
      <c r="A100" s="104" t="s">
        <v>10</v>
      </c>
      <c r="B100" s="36">
        <f>COUNTIF('(당초)마룡리'!$D$6:$D$130,'(당초)집계표'!U100)</f>
        <v>1</v>
      </c>
      <c r="C100" s="37" t="s">
        <v>5</v>
      </c>
      <c r="D100" s="212">
        <f>SUMIF('(당초)마룡리'!$D$6:$D$130,'(당초)집계표'!U100,'(당초)마룡리'!$F$6:$F$130)</f>
        <v>61</v>
      </c>
      <c r="E100" s="36">
        <f>COUNTIF('(당초)마룡리'!$J$6:$J$130,'(당초)집계표'!V100)</f>
        <v>0</v>
      </c>
      <c r="F100" s="37" t="s">
        <v>5</v>
      </c>
      <c r="G100" s="212">
        <f>SUMIF('(당초)마룡리'!$J$6:$J$130,'(당초)집계표'!V100,'(당초)마룡리'!$F$6:$F$130)</f>
        <v>0</v>
      </c>
      <c r="H100" s="36">
        <f>COUNTIF('(당초)마룡리'!$J$6:$J$130,'(당초)집계표'!W100)</f>
        <v>1</v>
      </c>
      <c r="I100" s="37" t="s">
        <v>5</v>
      </c>
      <c r="J100" s="212">
        <f>SUMIF('(당초)마룡리'!$J$6:$J$130,'(당초)집계표'!W100,'(당초)마룡리'!$F$6:$F$130)</f>
        <v>61</v>
      </c>
      <c r="K100" s="36">
        <f t="shared" si="6"/>
        <v>0</v>
      </c>
      <c r="L100" s="37" t="s">
        <v>5</v>
      </c>
      <c r="M100" s="212">
        <f t="shared" si="7"/>
        <v>0</v>
      </c>
      <c r="N100" s="39"/>
      <c r="O100" s="23"/>
      <c r="P100" s="23"/>
      <c r="Q100" s="23"/>
      <c r="R100" s="23"/>
      <c r="S100" s="23"/>
      <c r="T100" s="23"/>
      <c r="U100" s="24" t="s">
        <v>459</v>
      </c>
      <c r="V100" s="23" t="s">
        <v>542</v>
      </c>
      <c r="W100" s="334" t="s">
        <v>581</v>
      </c>
    </row>
    <row r="101" spans="1:23" s="24" customFormat="1" ht="23.1" customHeight="1">
      <c r="A101" s="104" t="s">
        <v>11</v>
      </c>
      <c r="B101" s="36">
        <f>COUNTIF('(당초)마룡리'!$D$6:$D$130,'(당초)집계표'!U101)</f>
        <v>20</v>
      </c>
      <c r="C101" s="37" t="s">
        <v>5</v>
      </c>
      <c r="D101" s="212">
        <f>SUMIF('(당초)마룡리'!$D$6:$D$130,'(당초)집계표'!U101,'(당초)마룡리'!$F$6:$F$130)</f>
        <v>21503.9</v>
      </c>
      <c r="E101" s="36">
        <f>COUNTIF('(당초)마룡리'!$J$6:$J$130,'(당초)집계표'!V101)</f>
        <v>6</v>
      </c>
      <c r="F101" s="37" t="s">
        <v>5</v>
      </c>
      <c r="G101" s="212">
        <f>SUMIF('(당초)마룡리'!$J$6:$J$130,'(당초)집계표'!V101,'(당초)마룡리'!$F$6:$F$130)</f>
        <v>6683.9</v>
      </c>
      <c r="H101" s="36">
        <f>COUNTIF('(당초)마룡리'!$J$6:$J$130,'(당초)집계표'!W101)</f>
        <v>14</v>
      </c>
      <c r="I101" s="37" t="s">
        <v>5</v>
      </c>
      <c r="J101" s="212">
        <f>SUMIF('(당초)마룡리'!$J$6:$J$130,'(당초)집계표'!W101,'(당초)마룡리'!$F$6:$F$130)</f>
        <v>14820</v>
      </c>
      <c r="K101" s="36">
        <f t="shared" si="6"/>
        <v>0</v>
      </c>
      <c r="L101" s="37" t="s">
        <v>5</v>
      </c>
      <c r="M101" s="212">
        <f t="shared" si="7"/>
        <v>1.8189894035458565E-12</v>
      </c>
      <c r="N101" s="39"/>
      <c r="O101" s="23"/>
      <c r="P101" s="23"/>
      <c r="Q101" s="23"/>
      <c r="R101" s="23"/>
      <c r="S101" s="23"/>
      <c r="T101" s="23"/>
      <c r="U101" s="24" t="s">
        <v>455</v>
      </c>
      <c r="V101" s="23" t="s">
        <v>543</v>
      </c>
      <c r="W101" s="334" t="s">
        <v>582</v>
      </c>
    </row>
    <row r="102" spans="1:23" s="24" customFormat="1" ht="23.1" customHeight="1">
      <c r="A102" s="104" t="s">
        <v>12</v>
      </c>
      <c r="B102" s="36">
        <f>COUNTIF('(당초)마룡리'!$D$6:$D$130,'(당초)집계표'!U102)</f>
        <v>7</v>
      </c>
      <c r="C102" s="37" t="s">
        <v>5</v>
      </c>
      <c r="D102" s="212">
        <f>SUMIF('(당초)마룡리'!$D$6:$D$130,'(당초)집계표'!U102,'(당초)마룡리'!$F$6:$F$130)</f>
        <v>2679</v>
      </c>
      <c r="E102" s="36">
        <f>COUNTIF('(당초)마룡리'!$J$6:$J$130,'(당초)집계표'!V102)</f>
        <v>6</v>
      </c>
      <c r="F102" s="37" t="s">
        <v>5</v>
      </c>
      <c r="G102" s="212">
        <f>SUMIF('(당초)마룡리'!$J$6:$J$130,'(당초)집계표'!V102,'(당초)마룡리'!$F$6:$F$130)</f>
        <v>2508</v>
      </c>
      <c r="H102" s="36">
        <f>COUNTIF('(당초)마룡리'!$J$6:$J$130,'(당초)집계표'!W102)</f>
        <v>1</v>
      </c>
      <c r="I102" s="37" t="s">
        <v>5</v>
      </c>
      <c r="J102" s="212">
        <f>SUMIF('(당초)마룡리'!$J$6:$J$130,'(당초)집계표'!W102,'(당초)마룡리'!$F$6:$F$130)</f>
        <v>171</v>
      </c>
      <c r="K102" s="36">
        <f t="shared" si="6"/>
        <v>0</v>
      </c>
      <c r="L102" s="37" t="s">
        <v>5</v>
      </c>
      <c r="M102" s="212">
        <f t="shared" si="7"/>
        <v>0</v>
      </c>
      <c r="N102" s="39"/>
      <c r="O102" s="23"/>
      <c r="P102" s="23"/>
      <c r="Q102" s="23"/>
      <c r="R102" s="23"/>
      <c r="S102" s="23"/>
      <c r="T102" s="23"/>
      <c r="U102" s="24" t="s">
        <v>462</v>
      </c>
      <c r="V102" s="23" t="s">
        <v>544</v>
      </c>
      <c r="W102" s="334" t="s">
        <v>583</v>
      </c>
    </row>
    <row r="103" spans="1:23" s="24" customFormat="1" ht="23.1" customHeight="1">
      <c r="A103" s="104" t="s">
        <v>13</v>
      </c>
      <c r="B103" s="36">
        <f>COUNTIF('(당초)마룡리'!$D$6:$D$130,'(당초)집계표'!U103)</f>
        <v>1</v>
      </c>
      <c r="C103" s="37" t="s">
        <v>5</v>
      </c>
      <c r="D103" s="212">
        <f>SUMIF('(당초)마룡리'!$D$6:$D$130,'(당초)집계표'!U103,'(당초)마룡리'!$F$6:$F$130)</f>
        <v>597.9</v>
      </c>
      <c r="E103" s="36">
        <f>COUNTIF('(당초)마룡리'!$J$6:$J$130,'(당초)집계표'!V103)</f>
        <v>1</v>
      </c>
      <c r="F103" s="37" t="s">
        <v>5</v>
      </c>
      <c r="G103" s="212">
        <f>SUMIF('(당초)마룡리'!$J$6:$J$130,'(당초)집계표'!V103,'(당초)마룡리'!$F$6:$F$130)</f>
        <v>597.9</v>
      </c>
      <c r="H103" s="36">
        <f>COUNTIF('(당초)마룡리'!$J$6:$J$130,'(당초)집계표'!W103)</f>
        <v>0</v>
      </c>
      <c r="I103" s="37" t="s">
        <v>5</v>
      </c>
      <c r="J103" s="212">
        <f>SUMIF('(당초)마룡리'!$J$6:$J$130,'(당초)집계표'!W103,'(당초)마룡리'!$F$6:$F$130)</f>
        <v>0</v>
      </c>
      <c r="K103" s="36">
        <f t="shared" si="6"/>
        <v>0</v>
      </c>
      <c r="L103" s="37" t="s">
        <v>5</v>
      </c>
      <c r="M103" s="212">
        <f t="shared" si="7"/>
        <v>0</v>
      </c>
      <c r="N103" s="39"/>
      <c r="O103" s="23"/>
      <c r="P103" s="23"/>
      <c r="Q103" s="23"/>
      <c r="R103" s="23"/>
      <c r="S103" s="23"/>
      <c r="T103" s="23"/>
      <c r="U103" s="24" t="s">
        <v>611</v>
      </c>
      <c r="V103" s="23" t="s">
        <v>612</v>
      </c>
      <c r="W103" s="334" t="s">
        <v>613</v>
      </c>
    </row>
    <row r="104" spans="1:23" s="24" customFormat="1" ht="23.1" customHeight="1">
      <c r="A104" s="104" t="s">
        <v>14</v>
      </c>
      <c r="B104" s="36">
        <f>COUNTIF('(당초)마룡리'!$D$6:$D$130,'(당초)집계표'!U104)</f>
        <v>0</v>
      </c>
      <c r="C104" s="37" t="s">
        <v>5</v>
      </c>
      <c r="D104" s="212">
        <f>SUMIF('(당초)마룡리'!$D$6:$D$130,'(당초)집계표'!U104,'(당초)마룡리'!$F$6:$F$130)</f>
        <v>0</v>
      </c>
      <c r="E104" s="36">
        <f>COUNTIF('(당초)마룡리'!$J$6:$J$130,'(당초)집계표'!V104)</f>
        <v>0</v>
      </c>
      <c r="F104" s="37" t="s">
        <v>5</v>
      </c>
      <c r="G104" s="212">
        <f>SUMIF('(당초)마룡리'!$J$6:$J$130,'(당초)집계표'!V104,'(당초)마룡리'!$F$6:$F$130)</f>
        <v>0</v>
      </c>
      <c r="H104" s="36">
        <f>COUNTIF('(당초)마룡리'!$J$6:$J$130,'(당초)집계표'!W104)</f>
        <v>0</v>
      </c>
      <c r="I104" s="37" t="s">
        <v>5</v>
      </c>
      <c r="J104" s="212">
        <f>SUMIF('(당초)마룡리'!$J$6:$J$130,'(당초)집계표'!W104,'(당초)마룡리'!$F$6:$F$130)</f>
        <v>0</v>
      </c>
      <c r="K104" s="36">
        <f t="shared" si="6"/>
        <v>0</v>
      </c>
      <c r="L104" s="37" t="s">
        <v>5</v>
      </c>
      <c r="M104" s="212">
        <f t="shared" si="7"/>
        <v>0</v>
      </c>
      <c r="N104" s="39"/>
      <c r="O104" s="23"/>
      <c r="P104" s="23"/>
      <c r="Q104" s="23"/>
      <c r="R104" s="23"/>
      <c r="S104" s="23"/>
      <c r="T104" s="23"/>
      <c r="U104" s="24" t="s">
        <v>484</v>
      </c>
      <c r="V104" s="23" t="s">
        <v>546</v>
      </c>
      <c r="W104" s="334" t="s">
        <v>585</v>
      </c>
    </row>
    <row r="105" spans="1:23" s="24" customFormat="1" ht="23.1" customHeight="1">
      <c r="A105" s="104" t="s">
        <v>15</v>
      </c>
      <c r="B105" s="36">
        <f>COUNTIF('(당초)마룡리'!$D$6:$D$130,'(당초)집계표'!U105)</f>
        <v>0</v>
      </c>
      <c r="C105" s="37" t="s">
        <v>5</v>
      </c>
      <c r="D105" s="212">
        <f>SUMIF('(당초)마룡리'!$D$6:$D$130,'(당초)집계표'!U105,'(당초)마룡리'!$F$6:$F$130)</f>
        <v>0</v>
      </c>
      <c r="E105" s="36">
        <f>COUNTIF('(당초)마룡리'!$J$6:$J$130,'(당초)집계표'!V105)</f>
        <v>0</v>
      </c>
      <c r="F105" s="37" t="s">
        <v>5</v>
      </c>
      <c r="G105" s="212">
        <f>SUMIF('(당초)마룡리'!$J$6:$J$130,'(당초)집계표'!V105,'(당초)마룡리'!$F$6:$F$130)</f>
        <v>0</v>
      </c>
      <c r="H105" s="36">
        <f>COUNTIF('(당초)마룡리'!$J$6:$J$130,'(당초)집계표'!W105)</f>
        <v>0</v>
      </c>
      <c r="I105" s="37" t="s">
        <v>5</v>
      </c>
      <c r="J105" s="212">
        <f>SUMIF('(당초)마룡리'!$J$6:$J$130,'(당초)집계표'!W105,'(당초)마룡리'!$F$6:$F$130)</f>
        <v>0</v>
      </c>
      <c r="K105" s="36">
        <f t="shared" si="6"/>
        <v>0</v>
      </c>
      <c r="L105" s="37" t="s">
        <v>5</v>
      </c>
      <c r="M105" s="212">
        <f t="shared" si="7"/>
        <v>0</v>
      </c>
      <c r="N105" s="39"/>
      <c r="O105" s="23"/>
      <c r="P105" s="23"/>
      <c r="Q105" s="23"/>
      <c r="R105" s="23"/>
      <c r="S105" s="23"/>
      <c r="T105" s="23"/>
      <c r="U105" s="24" t="s">
        <v>564</v>
      </c>
      <c r="V105" s="23" t="s">
        <v>547</v>
      </c>
      <c r="W105" s="334" t="s">
        <v>586</v>
      </c>
    </row>
    <row r="106" spans="1:23" s="24" customFormat="1" ht="23.1" customHeight="1">
      <c r="A106" s="104" t="s">
        <v>16</v>
      </c>
      <c r="B106" s="36">
        <f>COUNTIF('(당초)마룡리'!$D$6:$D$130,'(당초)집계표'!U106)</f>
        <v>0</v>
      </c>
      <c r="C106" s="37" t="s">
        <v>5</v>
      </c>
      <c r="D106" s="212">
        <f>SUMIF('(당초)마룡리'!$D$6:$D$130,'(당초)집계표'!U106,'(당초)마룡리'!$F$6:$F$130)</f>
        <v>0</v>
      </c>
      <c r="E106" s="36">
        <f>COUNTIF('(당초)마룡리'!$J$6:$J$130,'(당초)집계표'!V106)</f>
        <v>0</v>
      </c>
      <c r="F106" s="37" t="s">
        <v>5</v>
      </c>
      <c r="G106" s="212">
        <f>SUMIF('(당초)마룡리'!$J$6:$J$130,'(당초)집계표'!V106,'(당초)마룡리'!$F$6:$F$130)</f>
        <v>0</v>
      </c>
      <c r="H106" s="36">
        <f>COUNTIF('(당초)마룡리'!$J$6:$J$130,'(당초)집계표'!W106)</f>
        <v>0</v>
      </c>
      <c r="I106" s="37" t="s">
        <v>5</v>
      </c>
      <c r="J106" s="212">
        <f>SUMIF('(당초)마룡리'!$J$6:$J$130,'(당초)집계표'!W106,'(당초)마룡리'!$F$6:$F$130)</f>
        <v>0</v>
      </c>
      <c r="K106" s="36">
        <f t="shared" si="6"/>
        <v>0</v>
      </c>
      <c r="L106" s="37" t="s">
        <v>5</v>
      </c>
      <c r="M106" s="212">
        <f t="shared" si="7"/>
        <v>0</v>
      </c>
      <c r="N106" s="39"/>
      <c r="O106" s="23"/>
      <c r="P106" s="23"/>
      <c r="Q106" s="23"/>
      <c r="R106" s="23"/>
      <c r="S106" s="23"/>
      <c r="T106" s="23"/>
      <c r="U106" s="24" t="s">
        <v>565</v>
      </c>
      <c r="V106" s="23" t="s">
        <v>548</v>
      </c>
      <c r="W106" s="334" t="s">
        <v>587</v>
      </c>
    </row>
    <row r="107" spans="1:23" s="24" customFormat="1" ht="23.1" customHeight="1">
      <c r="A107" s="104" t="s">
        <v>17</v>
      </c>
      <c r="B107" s="36">
        <f>COUNTIF('(당초)마룡리'!$D$6:$D$130,'(당초)집계표'!U107)</f>
        <v>0</v>
      </c>
      <c r="C107" s="37" t="s">
        <v>5</v>
      </c>
      <c r="D107" s="212">
        <f>SUMIF('(당초)마룡리'!$D$6:$D$130,'(당초)집계표'!U107,'(당초)마룡리'!$F$6:$F$130)</f>
        <v>0</v>
      </c>
      <c r="E107" s="36">
        <f>COUNTIF('(당초)마룡리'!$J$6:$J$130,'(당초)집계표'!V107)</f>
        <v>0</v>
      </c>
      <c r="F107" s="37" t="s">
        <v>5</v>
      </c>
      <c r="G107" s="212">
        <f>SUMIF('(당초)마룡리'!$J$6:$J$130,'(당초)집계표'!V107,'(당초)마룡리'!$F$6:$F$130)</f>
        <v>0</v>
      </c>
      <c r="H107" s="36">
        <f>COUNTIF('(당초)마룡리'!$J$6:$J$130,'(당초)집계표'!W107)</f>
        <v>0</v>
      </c>
      <c r="I107" s="37" t="s">
        <v>5</v>
      </c>
      <c r="J107" s="212">
        <f>SUMIF('(당초)마룡리'!$J$6:$J$130,'(당초)집계표'!W107,'(당초)마룡리'!$F$6:$F$130)</f>
        <v>0</v>
      </c>
      <c r="K107" s="36">
        <f t="shared" si="6"/>
        <v>0</v>
      </c>
      <c r="L107" s="37" t="s">
        <v>5</v>
      </c>
      <c r="M107" s="212">
        <f t="shared" si="7"/>
        <v>0</v>
      </c>
      <c r="N107" s="39"/>
      <c r="O107" s="23"/>
      <c r="P107" s="23"/>
      <c r="Q107" s="23"/>
      <c r="R107" s="23"/>
      <c r="S107" s="23"/>
      <c r="T107" s="23"/>
      <c r="U107" s="24" t="s">
        <v>451</v>
      </c>
      <c r="V107" s="23" t="s">
        <v>549</v>
      </c>
      <c r="W107" s="334" t="s">
        <v>588</v>
      </c>
    </row>
    <row r="108" spans="1:23" s="24" customFormat="1" ht="23.1" customHeight="1">
      <c r="A108" s="104" t="s">
        <v>18</v>
      </c>
      <c r="B108" s="36">
        <f>COUNTIF('(당초)마룡리'!$D$6:$D$130,'(당초)집계표'!U108)</f>
        <v>0</v>
      </c>
      <c r="C108" s="37" t="s">
        <v>5</v>
      </c>
      <c r="D108" s="212">
        <f>SUMIF('(당초)마룡리'!$D$6:$D$130,'(당초)집계표'!U108,'(당초)마룡리'!$F$6:$F$130)</f>
        <v>0</v>
      </c>
      <c r="E108" s="36">
        <f>COUNTIF('(당초)마룡리'!$J$6:$J$130,'(당초)집계표'!V108)</f>
        <v>0</v>
      </c>
      <c r="F108" s="37" t="s">
        <v>5</v>
      </c>
      <c r="G108" s="212">
        <f>SUMIF('(당초)마룡리'!$J$6:$J$130,'(당초)집계표'!V108,'(당초)마룡리'!$F$6:$F$130)</f>
        <v>0</v>
      </c>
      <c r="H108" s="36">
        <f>COUNTIF('(당초)마룡리'!$J$6:$J$130,'(당초)집계표'!W108)</f>
        <v>0</v>
      </c>
      <c r="I108" s="37" t="s">
        <v>5</v>
      </c>
      <c r="J108" s="212">
        <f>SUMIF('(당초)마룡리'!$J$6:$J$130,'(당초)집계표'!W108,'(당초)마룡리'!$F$6:$F$130)</f>
        <v>0</v>
      </c>
      <c r="K108" s="36">
        <f t="shared" si="6"/>
        <v>0</v>
      </c>
      <c r="L108" s="37" t="s">
        <v>5</v>
      </c>
      <c r="M108" s="212">
        <f t="shared" si="7"/>
        <v>0</v>
      </c>
      <c r="N108" s="39"/>
      <c r="O108" s="23"/>
      <c r="P108" s="23"/>
      <c r="Q108" s="23"/>
      <c r="R108" s="23"/>
      <c r="S108" s="23"/>
      <c r="T108" s="23"/>
      <c r="U108" s="24" t="s">
        <v>566</v>
      </c>
      <c r="V108" s="23" t="s">
        <v>550</v>
      </c>
      <c r="W108" s="334" t="s">
        <v>589</v>
      </c>
    </row>
    <row r="109" spans="1:23" s="24" customFormat="1" ht="23.1" customHeight="1">
      <c r="A109" s="104" t="s">
        <v>19</v>
      </c>
      <c r="B109" s="36">
        <f>COUNTIF('(당초)마룡리'!$D$6:$D$130,'(당초)집계표'!U109)</f>
        <v>0</v>
      </c>
      <c r="C109" s="37" t="s">
        <v>5</v>
      </c>
      <c r="D109" s="212">
        <f>SUMIF('(당초)마룡리'!$D$6:$D$130,'(당초)집계표'!U109,'(당초)마룡리'!$F$6:$F$130)</f>
        <v>0</v>
      </c>
      <c r="E109" s="36">
        <f>COUNTIF('(당초)마룡리'!$J$6:$J$130,'(당초)집계표'!V109)</f>
        <v>0</v>
      </c>
      <c r="F109" s="37" t="s">
        <v>5</v>
      </c>
      <c r="G109" s="212">
        <f>SUMIF('(당초)마룡리'!$J$6:$J$130,'(당초)집계표'!V109,'(당초)마룡리'!$F$6:$F$130)</f>
        <v>0</v>
      </c>
      <c r="H109" s="36">
        <f>COUNTIF('(당초)마룡리'!$J$6:$J$130,'(당초)집계표'!W109)</f>
        <v>0</v>
      </c>
      <c r="I109" s="37" t="s">
        <v>5</v>
      </c>
      <c r="J109" s="212">
        <f>SUMIF('(당초)마룡리'!$J$6:$J$130,'(당초)집계표'!W109,'(당초)마룡리'!$F$6:$F$130)</f>
        <v>0</v>
      </c>
      <c r="K109" s="36">
        <f t="shared" si="6"/>
        <v>0</v>
      </c>
      <c r="L109" s="37" t="s">
        <v>5</v>
      </c>
      <c r="M109" s="212">
        <f t="shared" si="7"/>
        <v>0</v>
      </c>
      <c r="N109" s="39"/>
      <c r="O109" s="23"/>
      <c r="P109" s="23"/>
      <c r="Q109" s="23"/>
      <c r="R109" s="23"/>
      <c r="S109" s="23"/>
      <c r="T109" s="23"/>
      <c r="U109" s="24" t="s">
        <v>567</v>
      </c>
      <c r="V109" s="23" t="s">
        <v>551</v>
      </c>
      <c r="W109" s="334" t="s">
        <v>590</v>
      </c>
    </row>
    <row r="110" spans="1:23" s="24" customFormat="1" ht="23.1" customHeight="1">
      <c r="A110" s="104" t="s">
        <v>20</v>
      </c>
      <c r="B110" s="36">
        <f>COUNTIF('(당초)마룡리'!$D$6:$D$130,'(당초)집계표'!U110)</f>
        <v>0</v>
      </c>
      <c r="C110" s="37" t="s">
        <v>5</v>
      </c>
      <c r="D110" s="212">
        <f>SUMIF('(당초)마룡리'!$D$6:$D$130,'(당초)집계표'!U110,'(당초)마룡리'!$F$6:$F$130)</f>
        <v>0</v>
      </c>
      <c r="E110" s="36">
        <f>COUNTIF('(당초)마룡리'!$J$6:$J$130,'(당초)집계표'!V110)</f>
        <v>0</v>
      </c>
      <c r="F110" s="37" t="s">
        <v>5</v>
      </c>
      <c r="G110" s="212">
        <f>SUMIF('(당초)마룡리'!$J$6:$J$130,'(당초)집계표'!V110,'(당초)마룡리'!$F$6:$F$130)</f>
        <v>0</v>
      </c>
      <c r="H110" s="36">
        <f>COUNTIF('(당초)마룡리'!$J$6:$J$130,'(당초)집계표'!W110)</f>
        <v>0</v>
      </c>
      <c r="I110" s="37" t="s">
        <v>5</v>
      </c>
      <c r="J110" s="212">
        <f>SUMIF('(당초)마룡리'!$J$6:$J$130,'(당초)집계표'!W110,'(당초)마룡리'!$F$6:$F$130)</f>
        <v>0</v>
      </c>
      <c r="K110" s="36">
        <f t="shared" si="6"/>
        <v>0</v>
      </c>
      <c r="L110" s="37" t="s">
        <v>5</v>
      </c>
      <c r="M110" s="212">
        <f t="shared" si="7"/>
        <v>0</v>
      </c>
      <c r="N110" s="39"/>
      <c r="O110" s="23"/>
      <c r="P110" s="23"/>
      <c r="Q110" s="23"/>
      <c r="R110" s="23"/>
      <c r="S110" s="23"/>
      <c r="T110" s="23"/>
      <c r="U110" s="24" t="s">
        <v>568</v>
      </c>
      <c r="V110" s="23" t="s">
        <v>552</v>
      </c>
      <c r="W110" s="334" t="s">
        <v>591</v>
      </c>
    </row>
    <row r="111" spans="1:23" s="24" customFormat="1" ht="23.1" customHeight="1">
      <c r="A111" s="104" t="s">
        <v>21</v>
      </c>
      <c r="B111" s="36">
        <f>COUNTIF('(당초)마룡리'!$D$6:$D$130,'(당초)집계표'!U111)</f>
        <v>0</v>
      </c>
      <c r="C111" s="37" t="s">
        <v>5</v>
      </c>
      <c r="D111" s="212">
        <f>SUMIF('(당초)마룡리'!$D$6:$D$130,'(당초)집계표'!U111,'(당초)마룡리'!$F$6:$F$130)</f>
        <v>0</v>
      </c>
      <c r="E111" s="36">
        <f>COUNTIF('(당초)마룡리'!$J$6:$J$130,'(당초)집계표'!V111)</f>
        <v>0</v>
      </c>
      <c r="F111" s="37" t="s">
        <v>5</v>
      </c>
      <c r="G111" s="212">
        <f>SUMIF('(당초)마룡리'!$J$6:$J$130,'(당초)집계표'!V111,'(당초)마룡리'!$F$6:$F$130)</f>
        <v>0</v>
      </c>
      <c r="H111" s="36">
        <f>COUNTIF('(당초)마룡리'!$J$6:$J$130,'(당초)집계표'!W111)</f>
        <v>0</v>
      </c>
      <c r="I111" s="37" t="s">
        <v>5</v>
      </c>
      <c r="J111" s="212">
        <f>SUMIF('(당초)마룡리'!$J$6:$J$130,'(당초)집계표'!W111,'(당초)마룡리'!$F$6:$F$130)</f>
        <v>0</v>
      </c>
      <c r="K111" s="36">
        <f t="shared" si="6"/>
        <v>0</v>
      </c>
      <c r="L111" s="37" t="s">
        <v>5</v>
      </c>
      <c r="M111" s="212">
        <f t="shared" si="7"/>
        <v>0</v>
      </c>
      <c r="N111" s="39"/>
      <c r="O111" s="23"/>
      <c r="P111" s="23"/>
      <c r="Q111" s="23"/>
      <c r="R111" s="23"/>
      <c r="S111" s="23"/>
      <c r="T111" s="23"/>
      <c r="U111" s="24" t="s">
        <v>569</v>
      </c>
      <c r="V111" s="23" t="s">
        <v>553</v>
      </c>
      <c r="W111" s="334" t="s">
        <v>592</v>
      </c>
    </row>
    <row r="112" spans="1:23" s="24" customFormat="1" ht="23.1" customHeight="1">
      <c r="A112" s="104" t="s">
        <v>22</v>
      </c>
      <c r="B112" s="36">
        <f>COUNTIF('(당초)마룡리'!$D$6:$D$130,'(당초)집계표'!U112)</f>
        <v>0</v>
      </c>
      <c r="C112" s="37" t="s">
        <v>5</v>
      </c>
      <c r="D112" s="212">
        <f>SUMIF('(당초)마룡리'!$D$6:$D$130,'(당초)집계표'!U112,'(당초)마룡리'!$F$6:$F$130)</f>
        <v>0</v>
      </c>
      <c r="E112" s="36">
        <f>COUNTIF('(당초)마룡리'!$J$6:$J$130,'(당초)집계표'!V112)</f>
        <v>0</v>
      </c>
      <c r="F112" s="37" t="s">
        <v>5</v>
      </c>
      <c r="G112" s="212">
        <f>SUMIF('(당초)마룡리'!$J$6:$J$130,'(당초)집계표'!V112,'(당초)마룡리'!$F$6:$F$130)</f>
        <v>0</v>
      </c>
      <c r="H112" s="36">
        <f>COUNTIF('(당초)마룡리'!$J$6:$J$130,'(당초)집계표'!W112)</f>
        <v>0</v>
      </c>
      <c r="I112" s="37" t="s">
        <v>5</v>
      </c>
      <c r="J112" s="212">
        <f>SUMIF('(당초)마룡리'!$J$6:$J$130,'(당초)집계표'!W112,'(당초)마룡리'!$F$6:$F$130)</f>
        <v>0</v>
      </c>
      <c r="K112" s="36">
        <f t="shared" si="6"/>
        <v>0</v>
      </c>
      <c r="L112" s="37" t="s">
        <v>5</v>
      </c>
      <c r="M112" s="212">
        <f t="shared" si="7"/>
        <v>0</v>
      </c>
      <c r="N112" s="39"/>
      <c r="O112" s="23"/>
      <c r="P112" s="23"/>
      <c r="Q112" s="23"/>
      <c r="R112" s="23"/>
      <c r="S112" s="23"/>
      <c r="T112" s="23"/>
      <c r="U112" s="24" t="s">
        <v>570</v>
      </c>
      <c r="V112" s="23" t="s">
        <v>554</v>
      </c>
      <c r="W112" s="334" t="s">
        <v>593</v>
      </c>
    </row>
    <row r="113" spans="1:23" s="24" customFormat="1" ht="23.1" customHeight="1">
      <c r="A113" s="104" t="s">
        <v>23</v>
      </c>
      <c r="B113" s="36">
        <f>COUNTIF('(당초)마룡리'!$D$6:$D$130,'(당초)집계표'!U113)</f>
        <v>0</v>
      </c>
      <c r="C113" s="37" t="s">
        <v>5</v>
      </c>
      <c r="D113" s="212">
        <f>SUMIF('(당초)마룡리'!$D$6:$D$130,'(당초)집계표'!U113,'(당초)마룡리'!$F$6:$F$130)</f>
        <v>0</v>
      </c>
      <c r="E113" s="36">
        <f>COUNTIF('(당초)마룡리'!$J$6:$J$130,'(당초)집계표'!V113)</f>
        <v>0</v>
      </c>
      <c r="F113" s="37" t="s">
        <v>5</v>
      </c>
      <c r="G113" s="212">
        <f>SUMIF('(당초)마룡리'!$J$6:$J$130,'(당초)집계표'!V113,'(당초)마룡리'!$F$6:$F$130)</f>
        <v>0</v>
      </c>
      <c r="H113" s="36">
        <f>COUNTIF('(당초)마룡리'!$J$6:$J$130,'(당초)집계표'!W113)</f>
        <v>0</v>
      </c>
      <c r="I113" s="37" t="s">
        <v>5</v>
      </c>
      <c r="J113" s="212">
        <f>SUMIF('(당초)마룡리'!$J$6:$J$130,'(당초)집계표'!W113,'(당초)마룡리'!$F$6:$F$130)</f>
        <v>0</v>
      </c>
      <c r="K113" s="36">
        <f t="shared" si="6"/>
        <v>0</v>
      </c>
      <c r="L113" s="37" t="s">
        <v>5</v>
      </c>
      <c r="M113" s="212">
        <f t="shared" si="7"/>
        <v>0</v>
      </c>
      <c r="N113" s="39"/>
      <c r="O113" s="23"/>
      <c r="P113" s="23"/>
      <c r="Q113" s="23"/>
      <c r="R113" s="23"/>
      <c r="S113" s="23"/>
      <c r="T113" s="23"/>
      <c r="U113" s="24" t="s">
        <v>571</v>
      </c>
      <c r="V113" s="23" t="s">
        <v>555</v>
      </c>
      <c r="W113" s="334" t="s">
        <v>594</v>
      </c>
    </row>
    <row r="114" spans="1:23" s="24" customFormat="1" ht="23.1" customHeight="1">
      <c r="A114" s="105" t="s">
        <v>24</v>
      </c>
      <c r="B114" s="36">
        <f>COUNTIF('(당초)마룡리'!$D$6:$D$130,'(당초)집계표'!U114)</f>
        <v>0</v>
      </c>
      <c r="C114" s="37" t="s">
        <v>5</v>
      </c>
      <c r="D114" s="212">
        <f>SUMIF('(당초)마룡리'!$D$6:$D$130,'(당초)집계표'!U114,'(당초)마룡리'!$F$6:$F$130)</f>
        <v>0</v>
      </c>
      <c r="E114" s="36">
        <f>COUNTIF('(당초)마룡리'!$J$6:$J$130,'(당초)집계표'!V114)</f>
        <v>0</v>
      </c>
      <c r="F114" s="37" t="s">
        <v>5</v>
      </c>
      <c r="G114" s="212">
        <f>SUMIF('(당초)마룡리'!$J$6:$J$130,'(당초)집계표'!V114,'(당초)마룡리'!$F$6:$F$130)</f>
        <v>0</v>
      </c>
      <c r="H114" s="36">
        <f>COUNTIF('(당초)마룡리'!$J$6:$J$130,'(당초)집계표'!W114)</f>
        <v>0</v>
      </c>
      <c r="I114" s="37" t="s">
        <v>5</v>
      </c>
      <c r="J114" s="212">
        <f>SUMIF('(당초)마룡리'!$J$6:$J$130,'(당초)집계표'!W114,'(당초)마룡리'!$F$6:$F$130)</f>
        <v>0</v>
      </c>
      <c r="K114" s="36">
        <f t="shared" si="6"/>
        <v>0</v>
      </c>
      <c r="L114" s="37" t="s">
        <v>5</v>
      </c>
      <c r="M114" s="212">
        <f t="shared" si="7"/>
        <v>0</v>
      </c>
      <c r="N114" s="39"/>
      <c r="O114" s="23"/>
      <c r="P114" s="23"/>
      <c r="Q114" s="23"/>
      <c r="R114" s="23"/>
      <c r="S114" s="23"/>
      <c r="T114" s="23"/>
      <c r="U114" s="24" t="s">
        <v>572</v>
      </c>
      <c r="V114" s="23" t="s">
        <v>556</v>
      </c>
      <c r="W114" s="334" t="s">
        <v>595</v>
      </c>
    </row>
    <row r="115" spans="1:23" s="24" customFormat="1" ht="23.1" customHeight="1">
      <c r="A115" s="105" t="s">
        <v>614</v>
      </c>
      <c r="B115" s="36">
        <f>COUNTIF('(당초)마룡리'!$D$6:$D$130,'(당초)집계표'!U115)</f>
        <v>0</v>
      </c>
      <c r="C115" s="37" t="s">
        <v>5</v>
      </c>
      <c r="D115" s="212">
        <f>SUMIF('(당초)마룡리'!$D$6:$D$130,'(당초)집계표'!U115,'(당초)마룡리'!$F$6:$F$130)</f>
        <v>0</v>
      </c>
      <c r="E115" s="36">
        <f>COUNTIF('(당초)마룡리'!$J$6:$J$130,'(당초)집계표'!V115)</f>
        <v>0</v>
      </c>
      <c r="F115" s="37" t="s">
        <v>5</v>
      </c>
      <c r="G115" s="212">
        <f>SUMIF('(당초)마룡리'!$J$6:$J$130,'(당초)집계표'!V115,'(당초)마룡리'!$F$6:$F$130)</f>
        <v>0</v>
      </c>
      <c r="H115" s="36">
        <f>COUNTIF('(당초)마룡리'!$J$6:$J$130,'(당초)집계표'!W115)</f>
        <v>0</v>
      </c>
      <c r="I115" s="37" t="s">
        <v>5</v>
      </c>
      <c r="J115" s="212">
        <f>SUMIF('(당초)마룡리'!$J$6:$J$130,'(당초)집계표'!W115,'(당초)마룡리'!$F$6:$F$130)</f>
        <v>0</v>
      </c>
      <c r="K115" s="36">
        <f t="shared" si="6"/>
        <v>0</v>
      </c>
      <c r="L115" s="37" t="s">
        <v>5</v>
      </c>
      <c r="M115" s="212">
        <f t="shared" si="7"/>
        <v>0</v>
      </c>
      <c r="N115" s="39"/>
      <c r="O115" s="23"/>
      <c r="P115" s="23"/>
      <c r="Q115" s="23"/>
      <c r="R115" s="23"/>
      <c r="S115" s="23"/>
      <c r="T115" s="23"/>
      <c r="U115" s="24" t="s">
        <v>615</v>
      </c>
      <c r="V115" s="23" t="s">
        <v>557</v>
      </c>
      <c r="W115" s="334" t="s">
        <v>596</v>
      </c>
    </row>
    <row r="116" spans="1:23" s="24" customFormat="1" ht="23.1" customHeight="1">
      <c r="A116" s="105" t="s">
        <v>26</v>
      </c>
      <c r="B116" s="36">
        <f>COUNTIF('(당초)마룡리'!$D$6:$D$130,'(당초)집계표'!U116)</f>
        <v>0</v>
      </c>
      <c r="C116" s="37" t="s">
        <v>5</v>
      </c>
      <c r="D116" s="212">
        <f>SUMIF('(당초)마룡리'!$D$6:$D$130,'(당초)집계표'!U116,'(당초)마룡리'!$F$6:$F$130)</f>
        <v>0</v>
      </c>
      <c r="E116" s="36">
        <f>COUNTIF('(당초)마룡리'!$J$6:$J$130,'(당초)집계표'!V116)</f>
        <v>0</v>
      </c>
      <c r="F116" s="37" t="s">
        <v>5</v>
      </c>
      <c r="G116" s="212">
        <f>SUMIF('(당초)마룡리'!$J$6:$J$130,'(당초)집계표'!V116,'(당초)마룡리'!$F$6:$F$130)</f>
        <v>0</v>
      </c>
      <c r="H116" s="36">
        <f>COUNTIF('(당초)마룡리'!$J$6:$J$130,'(당초)집계표'!W116)</f>
        <v>0</v>
      </c>
      <c r="I116" s="37" t="s">
        <v>5</v>
      </c>
      <c r="J116" s="212">
        <f>SUMIF('(당초)마룡리'!$J$6:$J$130,'(당초)집계표'!W116,'(당초)마룡리'!$F$6:$F$130)</f>
        <v>0</v>
      </c>
      <c r="K116" s="36">
        <f t="shared" si="6"/>
        <v>0</v>
      </c>
      <c r="L116" s="37" t="s">
        <v>5</v>
      </c>
      <c r="M116" s="212">
        <f t="shared" si="7"/>
        <v>0</v>
      </c>
      <c r="N116" s="39"/>
      <c r="O116" s="23"/>
      <c r="P116" s="23"/>
      <c r="Q116" s="23"/>
      <c r="R116" s="23"/>
      <c r="S116" s="23"/>
      <c r="T116" s="23"/>
      <c r="U116" s="24" t="s">
        <v>451</v>
      </c>
      <c r="V116" s="23" t="s">
        <v>549</v>
      </c>
      <c r="W116" s="334" t="s">
        <v>588</v>
      </c>
    </row>
    <row r="117" spans="1:23" s="24" customFormat="1" ht="23.1" customHeight="1">
      <c r="A117" s="105" t="s">
        <v>27</v>
      </c>
      <c r="B117" s="36">
        <f>COUNTIF('(당초)마룡리'!$D$6:$D$130,'(당초)집계표'!U117)</f>
        <v>0</v>
      </c>
      <c r="C117" s="37" t="s">
        <v>5</v>
      </c>
      <c r="D117" s="212">
        <f>SUMIF('(당초)마룡리'!$D$6:$D$130,'(당초)집계표'!U117,'(당초)마룡리'!$F$6:$F$130)</f>
        <v>0</v>
      </c>
      <c r="E117" s="36">
        <f>COUNTIF('(당초)마룡리'!$J$6:$J$130,'(당초)집계표'!V117)</f>
        <v>0</v>
      </c>
      <c r="F117" s="37" t="s">
        <v>5</v>
      </c>
      <c r="G117" s="212">
        <f>SUMIF('(당초)마룡리'!$J$6:$J$130,'(당초)집계표'!V117,'(당초)마룡리'!$F$6:$F$130)</f>
        <v>0</v>
      </c>
      <c r="H117" s="36">
        <f>COUNTIF('(당초)마룡리'!$J$6:$J$130,'(당초)집계표'!W117)</f>
        <v>0</v>
      </c>
      <c r="I117" s="37" t="s">
        <v>5</v>
      </c>
      <c r="J117" s="212">
        <f>SUMIF('(당초)마룡리'!$J$6:$J$130,'(당초)집계표'!W117,'(당초)마룡리'!$F$6:$F$130)</f>
        <v>0</v>
      </c>
      <c r="K117" s="36">
        <f t="shared" si="6"/>
        <v>0</v>
      </c>
      <c r="L117" s="37" t="s">
        <v>5</v>
      </c>
      <c r="M117" s="212">
        <f t="shared" si="7"/>
        <v>0</v>
      </c>
      <c r="N117" s="39"/>
      <c r="O117" s="23"/>
      <c r="P117" s="23"/>
      <c r="Q117" s="23"/>
      <c r="R117" s="23"/>
      <c r="S117" s="23"/>
      <c r="T117" s="23"/>
      <c r="U117" s="24" t="s">
        <v>574</v>
      </c>
      <c r="V117" s="23" t="s">
        <v>558</v>
      </c>
      <c r="W117" s="334" t="s">
        <v>597</v>
      </c>
    </row>
    <row r="118" spans="1:23" s="24" customFormat="1" ht="23.1" customHeight="1">
      <c r="A118" s="105" t="s">
        <v>28</v>
      </c>
      <c r="B118" s="36">
        <f>COUNTIF('(당초)마룡리'!$D$6:$D$130,'(당초)집계표'!U118)</f>
        <v>0</v>
      </c>
      <c r="C118" s="37" t="s">
        <v>5</v>
      </c>
      <c r="D118" s="212">
        <f>SUMIF('(당초)마룡리'!$D$6:$D$130,'(당초)집계표'!U118,'(당초)마룡리'!$F$6:$F$130)</f>
        <v>0</v>
      </c>
      <c r="E118" s="36">
        <f>COUNTIF('(당초)마룡리'!$J$6:$J$130,'(당초)집계표'!V118)</f>
        <v>0</v>
      </c>
      <c r="F118" s="37" t="s">
        <v>5</v>
      </c>
      <c r="G118" s="212">
        <f>SUMIF('(당초)마룡리'!$J$6:$J$130,'(당초)집계표'!V118,'(당초)마룡리'!$F$6:$F$130)</f>
        <v>0</v>
      </c>
      <c r="H118" s="36">
        <f>COUNTIF('(당초)마룡리'!$J$6:$J$130,'(당초)집계표'!W118)</f>
        <v>0</v>
      </c>
      <c r="I118" s="37" t="s">
        <v>5</v>
      </c>
      <c r="J118" s="212">
        <f>SUMIF('(당초)마룡리'!$J$6:$J$130,'(당초)집계표'!W118,'(당초)마룡리'!$F$6:$F$130)</f>
        <v>0</v>
      </c>
      <c r="K118" s="36">
        <f t="shared" si="6"/>
        <v>0</v>
      </c>
      <c r="L118" s="37" t="s">
        <v>5</v>
      </c>
      <c r="M118" s="212">
        <f t="shared" si="7"/>
        <v>0</v>
      </c>
      <c r="N118" s="39"/>
      <c r="O118" s="23"/>
      <c r="P118" s="23"/>
      <c r="Q118" s="23"/>
      <c r="R118" s="23"/>
      <c r="S118" s="23"/>
      <c r="T118" s="23"/>
      <c r="U118" s="24" t="s">
        <v>575</v>
      </c>
      <c r="V118" s="23" t="s">
        <v>559</v>
      </c>
      <c r="W118" s="334" t="s">
        <v>598</v>
      </c>
    </row>
    <row r="119" spans="1:23" s="24" customFormat="1" ht="23.1" customHeight="1">
      <c r="A119" s="105" t="s">
        <v>60</v>
      </c>
      <c r="B119" s="36">
        <f>COUNTIF('(당초)마룡리'!$D$6:$D$130,'(당초)집계표'!U119)</f>
        <v>0</v>
      </c>
      <c r="C119" s="37" t="s">
        <v>5</v>
      </c>
      <c r="D119" s="212">
        <f>SUMIF('(당초)마룡리'!$D$6:$D$130,'(당초)집계표'!U119,'(당초)마룡리'!$F$6:$F$130)</f>
        <v>0</v>
      </c>
      <c r="E119" s="36">
        <f>COUNTIF('(당초)마룡리'!$J$6:$J$130,'(당초)집계표'!V119)</f>
        <v>0</v>
      </c>
      <c r="F119" s="37" t="s">
        <v>5</v>
      </c>
      <c r="G119" s="212">
        <f>SUMIF('(당초)마룡리'!$J$6:$J$130,'(당초)집계표'!V119,'(당초)마룡리'!$F$6:$F$130)</f>
        <v>0</v>
      </c>
      <c r="H119" s="36">
        <f>COUNTIF('(당초)마룡리'!$J$6:$J$130,'(당초)집계표'!W119)</f>
        <v>0</v>
      </c>
      <c r="I119" s="37" t="s">
        <v>5</v>
      </c>
      <c r="J119" s="212">
        <f>SUMIF('(당초)마룡리'!$J$6:$J$130,'(당초)집계표'!W119,'(당초)마룡리'!$F$6:$F$130)</f>
        <v>0</v>
      </c>
      <c r="K119" s="36">
        <f t="shared" si="6"/>
        <v>0</v>
      </c>
      <c r="L119" s="37" t="s">
        <v>5</v>
      </c>
      <c r="M119" s="212">
        <f t="shared" si="7"/>
        <v>0</v>
      </c>
      <c r="N119" s="39"/>
      <c r="O119" s="23"/>
      <c r="P119" s="23"/>
      <c r="Q119" s="23"/>
      <c r="R119" s="23"/>
      <c r="S119" s="23"/>
      <c r="T119" s="23"/>
      <c r="U119" s="24" t="s">
        <v>576</v>
      </c>
      <c r="V119" s="23" t="s">
        <v>560</v>
      </c>
      <c r="W119" s="334" t="s">
        <v>599</v>
      </c>
    </row>
    <row r="120" spans="1:23" s="24" customFormat="1" ht="23.1" customHeight="1">
      <c r="A120" s="105" t="s">
        <v>70</v>
      </c>
      <c r="B120" s="36">
        <f>COUNTIF('(당초)마룡리'!$D$6:$D$130,'(당초)집계표'!U120)</f>
        <v>0</v>
      </c>
      <c r="C120" s="37" t="s">
        <v>5</v>
      </c>
      <c r="D120" s="212">
        <f>SUMIF('(당초)마룡리'!$D$6:$D$130,'(당초)집계표'!U120,'(당초)마룡리'!$F$6:$F$130)</f>
        <v>0</v>
      </c>
      <c r="E120" s="36">
        <f>COUNTIF('(당초)마룡리'!$J$6:$J$130,'(당초)집계표'!V120)</f>
        <v>0</v>
      </c>
      <c r="F120" s="37" t="s">
        <v>5</v>
      </c>
      <c r="G120" s="212">
        <f>SUMIF('(당초)마룡리'!$J$6:$J$130,'(당초)집계표'!V120,'(당초)마룡리'!$F$6:$F$130)</f>
        <v>0</v>
      </c>
      <c r="H120" s="36">
        <f>COUNTIF('(당초)마룡리'!$J$6:$J$130,'(당초)집계표'!W120)</f>
        <v>0</v>
      </c>
      <c r="I120" s="37" t="s">
        <v>5</v>
      </c>
      <c r="J120" s="212">
        <f>SUMIF('(당초)마룡리'!$J$6:$J$130,'(당초)집계표'!W120,'(당초)마룡리'!$F$6:$F$130)</f>
        <v>0</v>
      </c>
      <c r="K120" s="36">
        <f t="shared" si="6"/>
        <v>0</v>
      </c>
      <c r="L120" s="37" t="s">
        <v>5</v>
      </c>
      <c r="M120" s="212">
        <f t="shared" si="7"/>
        <v>0</v>
      </c>
      <c r="N120" s="39"/>
      <c r="O120" s="23"/>
      <c r="P120" s="23"/>
      <c r="Q120" s="23"/>
      <c r="R120" s="23"/>
      <c r="S120" s="23"/>
      <c r="T120" s="23"/>
      <c r="U120" s="24" t="s">
        <v>608</v>
      </c>
      <c r="V120" s="23" t="s">
        <v>609</v>
      </c>
      <c r="W120" s="334" t="s">
        <v>610</v>
      </c>
    </row>
    <row r="121" spans="1:23" s="24" customFormat="1" ht="23.1" customHeight="1">
      <c r="A121" s="106" t="s">
        <v>62</v>
      </c>
      <c r="B121" s="40">
        <f>COUNTIF('(당초)마룡리'!$D$6:$D$130,'(당초)집계표'!U121)</f>
        <v>2</v>
      </c>
      <c r="C121" s="41" t="s">
        <v>5</v>
      </c>
      <c r="D121" s="213">
        <f>SUMIF('(당초)마룡리'!$D$6:$D$130,'(당초)집계표'!U121,'(당초)마룡리'!$F$6:$F$130)</f>
        <v>102</v>
      </c>
      <c r="E121" s="40">
        <f>COUNTIF('(당초)마룡리'!$J$6:$J$130,'(당초)집계표'!V121)</f>
        <v>2</v>
      </c>
      <c r="F121" s="41" t="s">
        <v>5</v>
      </c>
      <c r="G121" s="213">
        <f>SUMIF('(당초)마룡리'!$J$6:$J$130,'(당초)집계표'!V121,'(당초)마룡리'!$F$6:$F$130)</f>
        <v>102</v>
      </c>
      <c r="H121" s="40">
        <f>COUNTIF('(당초)마룡리'!$J$6:$J$130,'(당초)집계표'!W121)</f>
        <v>0</v>
      </c>
      <c r="I121" s="41" t="s">
        <v>5</v>
      </c>
      <c r="J121" s="213">
        <f>SUMIF('(당초)마룡리'!$J$6:$J$130,'(당초)집계표'!W121,'(당초)마룡리'!$F$6:$F$130)</f>
        <v>0</v>
      </c>
      <c r="K121" s="40">
        <f t="shared" si="6"/>
        <v>0</v>
      </c>
      <c r="L121" s="41" t="s">
        <v>5</v>
      </c>
      <c r="M121" s="213">
        <f t="shared" si="7"/>
        <v>0</v>
      </c>
      <c r="N121" s="43"/>
      <c r="O121" s="23"/>
      <c r="P121" s="23"/>
      <c r="Q121" s="23"/>
      <c r="R121" s="23"/>
      <c r="S121" s="23"/>
      <c r="T121" s="23"/>
      <c r="U121" s="24" t="s">
        <v>602</v>
      </c>
      <c r="V121" s="23" t="s">
        <v>605</v>
      </c>
      <c r="W121" s="334" t="s">
        <v>606</v>
      </c>
    </row>
    <row r="122" spans="1:23" s="17" customFormat="1" ht="20.100000000000001" customHeight="1">
      <c r="A122" s="11">
        <f>IF(EXACT(O126,O127),,"검산확인요!!!")</f>
        <v>0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3" t="str">
        <f>IF(ISBLANK('창리(출력7)'!M2),,'창리(출력7)'!M2)</f>
        <v>서산시 부석면 창리</v>
      </c>
      <c r="L122" s="14"/>
      <c r="M122" s="15"/>
      <c r="N122" s="16"/>
    </row>
    <row r="123" spans="1:23" s="17" customFormat="1" ht="9.9499999999999993" customHeight="1">
      <c r="A123" s="1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 spans="1:23" s="24" customFormat="1" ht="27.95" customHeight="1">
      <c r="A124" s="18" t="s">
        <v>3</v>
      </c>
      <c r="B124" s="19" t="s">
        <v>2</v>
      </c>
      <c r="C124" s="20"/>
      <c r="D124" s="21"/>
      <c r="E124" s="19" t="s">
        <v>29</v>
      </c>
      <c r="F124" s="20"/>
      <c r="G124" s="21"/>
      <c r="H124" s="19" t="s">
        <v>38</v>
      </c>
      <c r="I124" s="20"/>
      <c r="J124" s="21"/>
      <c r="K124" s="19" t="s">
        <v>30</v>
      </c>
      <c r="L124" s="20"/>
      <c r="M124" s="21"/>
      <c r="N124" s="22" t="s">
        <v>31</v>
      </c>
      <c r="O124" s="23"/>
      <c r="S124" s="23"/>
      <c r="T124" s="23"/>
      <c r="U124" s="23"/>
      <c r="V124" s="23"/>
    </row>
    <row r="125" spans="1:23" s="24" customFormat="1" ht="27.95" customHeight="1">
      <c r="A125" s="25"/>
      <c r="B125" s="26" t="s">
        <v>4</v>
      </c>
      <c r="C125" s="27" t="s">
        <v>5</v>
      </c>
      <c r="D125" s="28" t="s">
        <v>32</v>
      </c>
      <c r="E125" s="26" t="s">
        <v>4</v>
      </c>
      <c r="F125" s="27" t="s">
        <v>5</v>
      </c>
      <c r="G125" s="28" t="s">
        <v>32</v>
      </c>
      <c r="H125" s="26" t="s">
        <v>4</v>
      </c>
      <c r="I125" s="27" t="s">
        <v>5</v>
      </c>
      <c r="J125" s="28" t="s">
        <v>32</v>
      </c>
      <c r="K125" s="26" t="s">
        <v>4</v>
      </c>
      <c r="L125" s="27" t="s">
        <v>5</v>
      </c>
      <c r="M125" s="28" t="s">
        <v>32</v>
      </c>
      <c r="N125" s="29"/>
      <c r="P125" s="23"/>
      <c r="Q125" s="30" t="s">
        <v>33</v>
      </c>
      <c r="R125" s="30" t="s">
        <v>34</v>
      </c>
      <c r="S125" s="30" t="s">
        <v>35</v>
      </c>
      <c r="T125" s="30" t="s">
        <v>36</v>
      </c>
      <c r="U125" s="23"/>
      <c r="V125" s="23"/>
    </row>
    <row r="126" spans="1:23" s="24" customFormat="1" ht="23.1" customHeight="1">
      <c r="A126" s="103" t="s">
        <v>2</v>
      </c>
      <c r="B126" s="31">
        <f>SUM(B127:B151)</f>
        <v>157</v>
      </c>
      <c r="C126" s="32" t="s">
        <v>5</v>
      </c>
      <c r="D126" s="211">
        <f>SUM(D127:D151)</f>
        <v>96327</v>
      </c>
      <c r="E126" s="31">
        <f>SUM(E127:E151)</f>
        <v>16</v>
      </c>
      <c r="F126" s="32" t="s">
        <v>5</v>
      </c>
      <c r="G126" s="211">
        <f>SUM(G127:G151)</f>
        <v>5160</v>
      </c>
      <c r="H126" s="31">
        <f>SUM(H127:H151)</f>
        <v>139</v>
      </c>
      <c r="I126" s="32" t="s">
        <v>5</v>
      </c>
      <c r="J126" s="211">
        <f>SUM(J127:J151)</f>
        <v>88443</v>
      </c>
      <c r="K126" s="31">
        <f>SUM(K127:K151)</f>
        <v>2</v>
      </c>
      <c r="L126" s="32" t="s">
        <v>5</v>
      </c>
      <c r="M126" s="211">
        <f>SUM(M127:M151)</f>
        <v>2724</v>
      </c>
      <c r="N126" s="34"/>
      <c r="O126" s="23" t="str">
        <f>IF(EXACT(Q126,T126),"맞음","틀림")</f>
        <v>틀림</v>
      </c>
      <c r="P126" s="23" t="s">
        <v>4</v>
      </c>
      <c r="Q126" s="35">
        <f>SUM(B127:B151)</f>
        <v>157</v>
      </c>
      <c r="R126" s="35">
        <f>SUM(E127:E151)</f>
        <v>16</v>
      </c>
      <c r="S126" s="35">
        <f>SUM(K127:K151)</f>
        <v>2</v>
      </c>
      <c r="T126" s="35">
        <f>K126+E126</f>
        <v>18</v>
      </c>
      <c r="U126" s="23"/>
      <c r="V126" s="23"/>
    </row>
    <row r="127" spans="1:23" s="24" customFormat="1" ht="23.1" customHeight="1">
      <c r="A127" s="104" t="s">
        <v>7</v>
      </c>
      <c r="B127" s="36">
        <f>COUNTIF('(당초)창리'!$D$6:$D$163,'(당초)집계표'!U127)</f>
        <v>24</v>
      </c>
      <c r="C127" s="37" t="s">
        <v>5</v>
      </c>
      <c r="D127" s="212">
        <f>SUMIF('(당초)창리'!$D$6:$D$163,'(당초)집계표'!U127,'(당초)창리'!$F$6:$F$163)</f>
        <v>7192</v>
      </c>
      <c r="E127" s="36">
        <f>COUNTIF('(당초)창리'!$J$6:$J$163,'(당초)집계표'!V127)</f>
        <v>0</v>
      </c>
      <c r="F127" s="37" t="s">
        <v>5</v>
      </c>
      <c r="G127" s="212">
        <f>SUMIF('(당초)창리'!$J$6:$J$163,'(당초)집계표'!V127,'(당초)창리'!$F$6:$F$163)</f>
        <v>0</v>
      </c>
      <c r="H127" s="36">
        <f>COUNTIF('(당초)창리'!$J$6:$J$163,'(당초)집계표'!W127)</f>
        <v>24</v>
      </c>
      <c r="I127" s="37" t="s">
        <v>5</v>
      </c>
      <c r="J127" s="212">
        <f>SUMIF('(당초)창리'!$J$6:$J$163,'(당초)집계표'!W127,'(당초)창리'!$F$6:$F$163)</f>
        <v>7192</v>
      </c>
      <c r="K127" s="36">
        <f t="shared" ref="K127:K151" si="8">SUM(B127-E127-H127)</f>
        <v>0</v>
      </c>
      <c r="L127" s="37" t="s">
        <v>5</v>
      </c>
      <c r="M127" s="212">
        <f t="shared" ref="M127:M151" si="9">SUM(D127-G127-J127)</f>
        <v>0</v>
      </c>
      <c r="N127" s="39"/>
      <c r="O127" s="23" t="str">
        <f>IF(EXACT(Q127,T127),"맞음","틀림")</f>
        <v>틀림</v>
      </c>
      <c r="P127" s="23" t="s">
        <v>37</v>
      </c>
      <c r="Q127" s="35">
        <f>SUM(D127:D151)</f>
        <v>96327</v>
      </c>
      <c r="R127" s="35">
        <f>SUM(G127:G151)</f>
        <v>5160</v>
      </c>
      <c r="S127" s="35">
        <f>SUM(M127:M151)</f>
        <v>2724</v>
      </c>
      <c r="T127" s="35">
        <f>G126+M126</f>
        <v>7884</v>
      </c>
      <c r="U127" s="24" t="s">
        <v>7</v>
      </c>
      <c r="V127" s="23" t="s">
        <v>539</v>
      </c>
      <c r="W127" s="334" t="s">
        <v>578</v>
      </c>
    </row>
    <row r="128" spans="1:23" s="24" customFormat="1" ht="23.1" customHeight="1">
      <c r="A128" s="104" t="s">
        <v>8</v>
      </c>
      <c r="B128" s="36">
        <f>COUNTIF('(당초)창리'!$D$6:$D$163,'(당초)집계표'!U128)</f>
        <v>27</v>
      </c>
      <c r="C128" s="37" t="s">
        <v>5</v>
      </c>
      <c r="D128" s="212">
        <f>SUMIF('(당초)창리'!$D$6:$D$163,'(당초)집계표'!U128,'(당초)창리'!$F$6:$F$163)</f>
        <v>12118</v>
      </c>
      <c r="E128" s="36">
        <f>COUNTIF('(당초)창리'!$J$6:$J$163,'(당초)집계표'!V128)</f>
        <v>0</v>
      </c>
      <c r="F128" s="37" t="s">
        <v>5</v>
      </c>
      <c r="G128" s="212">
        <f>SUMIF('(당초)창리'!$J$6:$J$163,'(당초)집계표'!V128,'(당초)창리'!$F$6:$F$163)</f>
        <v>0</v>
      </c>
      <c r="H128" s="36">
        <f>COUNTIF('(당초)창리'!$J$6:$J$163,'(당초)집계표'!W128)</f>
        <v>27</v>
      </c>
      <c r="I128" s="37" t="s">
        <v>5</v>
      </c>
      <c r="J128" s="212">
        <f>SUMIF('(당초)창리'!$J$6:$J$163,'(당초)집계표'!W128,'(당초)창리'!$F$6:$F$163)</f>
        <v>12118</v>
      </c>
      <c r="K128" s="36">
        <f t="shared" si="8"/>
        <v>0</v>
      </c>
      <c r="L128" s="37" t="s">
        <v>5</v>
      </c>
      <c r="M128" s="212">
        <f t="shared" si="9"/>
        <v>0</v>
      </c>
      <c r="N128" s="39"/>
      <c r="Q128" s="23"/>
      <c r="S128" s="23"/>
      <c r="U128" s="24" t="s">
        <v>8</v>
      </c>
      <c r="V128" s="23" t="s">
        <v>540</v>
      </c>
      <c r="W128" s="334" t="s">
        <v>579</v>
      </c>
    </row>
    <row r="129" spans="1:23" s="24" customFormat="1" ht="23.1" customHeight="1">
      <c r="A129" s="104" t="s">
        <v>9</v>
      </c>
      <c r="B129" s="36">
        <f>COUNTIF('(당초)창리'!$D$6:$D$163,'(당초)집계표'!U129)</f>
        <v>44</v>
      </c>
      <c r="C129" s="37" t="s">
        <v>5</v>
      </c>
      <c r="D129" s="212">
        <f>SUMIF('(당초)창리'!$D$6:$D$163,'(당초)집계표'!U129,'(당초)창리'!$F$6:$F$163)</f>
        <v>61578</v>
      </c>
      <c r="E129" s="36">
        <f>COUNTIF('(당초)창리'!$J$6:$J$163,'(당초)집계표'!V129)</f>
        <v>3</v>
      </c>
      <c r="F129" s="37" t="s">
        <v>5</v>
      </c>
      <c r="G129" s="212">
        <f>SUMIF('(당초)창리'!$J$6:$J$163,'(당초)집계표'!V129,'(당초)창리'!$F$6:$F$163)</f>
        <v>3195</v>
      </c>
      <c r="H129" s="36">
        <f>COUNTIF('(당초)창리'!$J$6:$J$163,'(당초)집계표'!W129)</f>
        <v>39</v>
      </c>
      <c r="I129" s="37" t="s">
        <v>5</v>
      </c>
      <c r="J129" s="212">
        <f>SUMIF('(당초)창리'!$J$6:$J$163,'(당초)집계표'!W129,'(당초)창리'!$F$6:$F$163)</f>
        <v>55659</v>
      </c>
      <c r="K129" s="36">
        <f t="shared" si="8"/>
        <v>2</v>
      </c>
      <c r="L129" s="37" t="s">
        <v>5</v>
      </c>
      <c r="M129" s="212">
        <f t="shared" si="9"/>
        <v>2724</v>
      </c>
      <c r="N129" s="39"/>
      <c r="Q129" s="23"/>
      <c r="S129" s="23"/>
      <c r="U129" s="24" t="s">
        <v>93</v>
      </c>
      <c r="V129" s="23" t="s">
        <v>541</v>
      </c>
      <c r="W129" s="334" t="s">
        <v>580</v>
      </c>
    </row>
    <row r="130" spans="1:23" s="24" customFormat="1" ht="23.1" customHeight="1">
      <c r="A130" s="104" t="s">
        <v>10</v>
      </c>
      <c r="B130" s="36">
        <f>COUNTIF('(당초)창리'!$D$6:$D$163,'(당초)집계표'!U130)</f>
        <v>10</v>
      </c>
      <c r="C130" s="37" t="s">
        <v>5</v>
      </c>
      <c r="D130" s="212">
        <f>SUMIF('(당초)창리'!$D$6:$D$163,'(당초)집계표'!U130,'(당초)창리'!$F$6:$F$163)</f>
        <v>983</v>
      </c>
      <c r="E130" s="36">
        <f>COUNTIF('(당초)창리'!$J$6:$J$163,'(당초)집계표'!V130)</f>
        <v>0</v>
      </c>
      <c r="F130" s="37" t="s">
        <v>5</v>
      </c>
      <c r="G130" s="212">
        <f>SUMIF('(당초)창리'!$J$6:$J$163,'(당초)집계표'!V130,'(당초)창리'!$F$6:$F$163)</f>
        <v>0</v>
      </c>
      <c r="H130" s="36">
        <f>COUNTIF('(당초)창리'!$J$6:$J$163,'(당초)집계표'!W130)</f>
        <v>10</v>
      </c>
      <c r="I130" s="37" t="s">
        <v>5</v>
      </c>
      <c r="J130" s="212">
        <f>SUMIF('(당초)창리'!$J$6:$J$163,'(당초)집계표'!W130,'(당초)창리'!$F$6:$F$163)</f>
        <v>983</v>
      </c>
      <c r="K130" s="36">
        <f t="shared" si="8"/>
        <v>0</v>
      </c>
      <c r="L130" s="37" t="s">
        <v>5</v>
      </c>
      <c r="M130" s="212">
        <f t="shared" si="9"/>
        <v>0</v>
      </c>
      <c r="N130" s="39"/>
      <c r="O130" s="23"/>
      <c r="P130" s="23"/>
      <c r="Q130" s="23"/>
      <c r="R130" s="23"/>
      <c r="S130" s="23"/>
      <c r="T130" s="23"/>
      <c r="U130" s="24" t="s">
        <v>459</v>
      </c>
      <c r="V130" s="23" t="s">
        <v>542</v>
      </c>
      <c r="W130" s="334" t="s">
        <v>581</v>
      </c>
    </row>
    <row r="131" spans="1:23" s="24" customFormat="1" ht="23.1" customHeight="1">
      <c r="A131" s="104" t="s">
        <v>11</v>
      </c>
      <c r="B131" s="36">
        <f>COUNTIF('(당초)창리'!$D$6:$D$163,'(당초)집계표'!U131)</f>
        <v>38</v>
      </c>
      <c r="C131" s="37" t="s">
        <v>5</v>
      </c>
      <c r="D131" s="212">
        <f>SUMIF('(당초)창리'!$D$6:$D$163,'(당초)집계표'!U131,'(당초)창리'!$F$6:$F$163)</f>
        <v>7427</v>
      </c>
      <c r="E131" s="36">
        <f>COUNTIF('(당초)창리'!$J$6:$J$163,'(당초)집계표'!V131)</f>
        <v>12</v>
      </c>
      <c r="F131" s="37" t="s">
        <v>5</v>
      </c>
      <c r="G131" s="212">
        <f>SUMIF('(당초)창리'!$J$6:$J$163,'(당초)집계표'!V131,'(당초)창리'!$F$6:$F$163)</f>
        <v>1419</v>
      </c>
      <c r="H131" s="36">
        <f>COUNTIF('(당초)창리'!$J$6:$J$163,'(당초)집계표'!W131)</f>
        <v>26</v>
      </c>
      <c r="I131" s="37" t="s">
        <v>5</v>
      </c>
      <c r="J131" s="212">
        <f>SUMIF('(당초)창리'!$J$6:$J$163,'(당초)집계표'!W131,'(당초)창리'!$F$6:$F$163)</f>
        <v>6008</v>
      </c>
      <c r="K131" s="36">
        <f t="shared" si="8"/>
        <v>0</v>
      </c>
      <c r="L131" s="37" t="s">
        <v>5</v>
      </c>
      <c r="M131" s="212">
        <f t="shared" si="9"/>
        <v>0</v>
      </c>
      <c r="N131" s="39"/>
      <c r="O131" s="23"/>
      <c r="P131" s="23"/>
      <c r="Q131" s="23"/>
      <c r="R131" s="23"/>
      <c r="S131" s="23"/>
      <c r="T131" s="23"/>
      <c r="U131" s="24" t="s">
        <v>455</v>
      </c>
      <c r="V131" s="23" t="s">
        <v>543</v>
      </c>
      <c r="W131" s="334" t="s">
        <v>582</v>
      </c>
    </row>
    <row r="132" spans="1:23" s="24" customFormat="1" ht="23.1" customHeight="1">
      <c r="A132" s="104" t="s">
        <v>12</v>
      </c>
      <c r="B132" s="36">
        <f>COUNTIF('(당초)창리'!$D$6:$D$163,'(당초)집계표'!U132)</f>
        <v>0</v>
      </c>
      <c r="C132" s="37" t="s">
        <v>5</v>
      </c>
      <c r="D132" s="212">
        <f>SUMIF('(당초)창리'!$D$6:$D$163,'(당초)집계표'!U132,'(당초)창리'!$F$6:$F$163)</f>
        <v>0</v>
      </c>
      <c r="E132" s="36">
        <f>COUNTIF('(당초)창리'!$J$6:$J$163,'(당초)집계표'!V132)</f>
        <v>0</v>
      </c>
      <c r="F132" s="37" t="s">
        <v>5</v>
      </c>
      <c r="G132" s="212">
        <f>SUMIF('(당초)창리'!$J$6:$J$163,'(당초)집계표'!V132,'(당초)창리'!$F$6:$F$163)</f>
        <v>0</v>
      </c>
      <c r="H132" s="36">
        <f>COUNTIF('(당초)창리'!$J$6:$J$163,'(당초)집계표'!W132)</f>
        <v>0</v>
      </c>
      <c r="I132" s="37" t="s">
        <v>5</v>
      </c>
      <c r="J132" s="212">
        <f>SUMIF('(당초)창리'!$J$6:$J$163,'(당초)집계표'!W132,'(당초)창리'!$F$6:$F$163)</f>
        <v>0</v>
      </c>
      <c r="K132" s="36">
        <f t="shared" si="8"/>
        <v>0</v>
      </c>
      <c r="L132" s="37" t="s">
        <v>5</v>
      </c>
      <c r="M132" s="212">
        <f t="shared" si="9"/>
        <v>0</v>
      </c>
      <c r="N132" s="39"/>
      <c r="O132" s="23"/>
      <c r="P132" s="23"/>
      <c r="Q132" s="23"/>
      <c r="R132" s="23"/>
      <c r="S132" s="23"/>
      <c r="T132" s="23"/>
      <c r="U132" s="24" t="s">
        <v>462</v>
      </c>
      <c r="V132" s="23" t="s">
        <v>544</v>
      </c>
      <c r="W132" s="334" t="s">
        <v>583</v>
      </c>
    </row>
    <row r="133" spans="1:23" s="24" customFormat="1" ht="23.1" customHeight="1">
      <c r="A133" s="104" t="s">
        <v>13</v>
      </c>
      <c r="B133" s="36">
        <f>COUNTIF('(당초)창리'!$D$6:$D$163,'(당초)집계표'!U133)</f>
        <v>0</v>
      </c>
      <c r="C133" s="37" t="s">
        <v>5</v>
      </c>
      <c r="D133" s="212">
        <f>SUMIF('(당초)창리'!$D$6:$D$163,'(당초)집계표'!U133,'(당초)창리'!$F$6:$F$163)</f>
        <v>0</v>
      </c>
      <c r="E133" s="36">
        <f>COUNTIF('(당초)창리'!$J$6:$J$163,'(당초)집계표'!V133)</f>
        <v>0</v>
      </c>
      <c r="F133" s="37" t="s">
        <v>5</v>
      </c>
      <c r="G133" s="212">
        <f>SUMIF('(당초)창리'!$J$6:$J$163,'(당초)집계표'!V133,'(당초)창리'!$F$6:$F$163)</f>
        <v>0</v>
      </c>
      <c r="H133" s="36">
        <f>COUNTIF('(당초)창리'!$J$6:$J$163,'(당초)집계표'!W133)</f>
        <v>0</v>
      </c>
      <c r="I133" s="37" t="s">
        <v>5</v>
      </c>
      <c r="J133" s="212">
        <f>SUMIF('(당초)창리'!$J$6:$J$163,'(당초)집계표'!W133,'(당초)창리'!$F$6:$F$163)</f>
        <v>0</v>
      </c>
      <c r="K133" s="36">
        <f t="shared" si="8"/>
        <v>0</v>
      </c>
      <c r="L133" s="37" t="s">
        <v>5</v>
      </c>
      <c r="M133" s="212">
        <f t="shared" si="9"/>
        <v>0</v>
      </c>
      <c r="N133" s="39"/>
      <c r="O133" s="23"/>
      <c r="P133" s="23"/>
      <c r="Q133" s="23"/>
      <c r="R133" s="23"/>
      <c r="S133" s="23"/>
      <c r="T133" s="23"/>
      <c r="U133" s="24" t="s">
        <v>563</v>
      </c>
      <c r="V133" s="23" t="s">
        <v>545</v>
      </c>
      <c r="W133" s="334" t="s">
        <v>584</v>
      </c>
    </row>
    <row r="134" spans="1:23" s="24" customFormat="1" ht="23.1" customHeight="1">
      <c r="A134" s="104" t="s">
        <v>14</v>
      </c>
      <c r="B134" s="36">
        <f>COUNTIF('(당초)창리'!$D$6:$D$163,'(당초)집계표'!U134)</f>
        <v>0</v>
      </c>
      <c r="C134" s="37" t="s">
        <v>5</v>
      </c>
      <c r="D134" s="212">
        <f>SUMIF('(당초)창리'!$D$6:$D$163,'(당초)집계표'!U134,'(당초)창리'!$F$6:$F$163)</f>
        <v>0</v>
      </c>
      <c r="E134" s="36">
        <f>COUNTIF('(당초)창리'!$J$6:$J$163,'(당초)집계표'!V134)</f>
        <v>0</v>
      </c>
      <c r="F134" s="37" t="s">
        <v>5</v>
      </c>
      <c r="G134" s="212">
        <f>SUMIF('(당초)창리'!$J$6:$J$163,'(당초)집계표'!V134,'(당초)창리'!$F$6:$F$163)</f>
        <v>0</v>
      </c>
      <c r="H134" s="36">
        <f>COUNTIF('(당초)창리'!$J$6:$J$163,'(당초)집계표'!W134)</f>
        <v>0</v>
      </c>
      <c r="I134" s="37" t="s">
        <v>5</v>
      </c>
      <c r="J134" s="212">
        <f>SUMIF('(당초)창리'!$J$6:$J$163,'(당초)집계표'!W134,'(당초)창리'!$F$6:$F$163)</f>
        <v>0</v>
      </c>
      <c r="K134" s="36">
        <f t="shared" si="8"/>
        <v>0</v>
      </c>
      <c r="L134" s="37" t="s">
        <v>5</v>
      </c>
      <c r="M134" s="212">
        <f t="shared" si="9"/>
        <v>0</v>
      </c>
      <c r="N134" s="39"/>
      <c r="O134" s="23"/>
      <c r="P134" s="23"/>
      <c r="Q134" s="23"/>
      <c r="R134" s="23"/>
      <c r="S134" s="23"/>
      <c r="T134" s="23"/>
      <c r="U134" s="24" t="s">
        <v>484</v>
      </c>
      <c r="V134" s="23" t="s">
        <v>546</v>
      </c>
      <c r="W134" s="334" t="s">
        <v>585</v>
      </c>
    </row>
    <row r="135" spans="1:23" s="24" customFormat="1" ht="23.1" customHeight="1">
      <c r="A135" s="104" t="s">
        <v>15</v>
      </c>
      <c r="B135" s="36">
        <f>COUNTIF('(당초)창리'!$D$6:$D$163,'(당초)집계표'!U135)</f>
        <v>1</v>
      </c>
      <c r="C135" s="37" t="s">
        <v>5</v>
      </c>
      <c r="D135" s="212">
        <f>SUMIF('(당초)창리'!$D$6:$D$163,'(당초)집계표'!U135,'(당초)창리'!$F$6:$F$163)</f>
        <v>546</v>
      </c>
      <c r="E135" s="36">
        <f>COUNTIF('(당초)창리'!$J$6:$J$163,'(당초)집계표'!V135)</f>
        <v>1</v>
      </c>
      <c r="F135" s="37" t="s">
        <v>5</v>
      </c>
      <c r="G135" s="212">
        <f>SUMIF('(당초)창리'!$J$6:$J$163,'(당초)집계표'!V135,'(당초)창리'!$F$6:$F$163)</f>
        <v>546</v>
      </c>
      <c r="H135" s="36">
        <f>COUNTIF('(당초)창리'!$J$6:$J$163,'(당초)집계표'!W135)</f>
        <v>0</v>
      </c>
      <c r="I135" s="37" t="s">
        <v>5</v>
      </c>
      <c r="J135" s="212">
        <f>SUMIF('(당초)창리'!$J$6:$J$163,'(당초)집계표'!W135,'(당초)창리'!$F$6:$F$163)</f>
        <v>0</v>
      </c>
      <c r="K135" s="36">
        <f t="shared" si="8"/>
        <v>0</v>
      </c>
      <c r="L135" s="37" t="s">
        <v>5</v>
      </c>
      <c r="M135" s="212">
        <f t="shared" si="9"/>
        <v>0</v>
      </c>
      <c r="N135" s="39"/>
      <c r="O135" s="23"/>
      <c r="P135" s="23"/>
      <c r="Q135" s="23"/>
      <c r="R135" s="23"/>
      <c r="S135" s="23"/>
      <c r="T135" s="23"/>
      <c r="U135" s="24" t="s">
        <v>564</v>
      </c>
      <c r="V135" s="23" t="s">
        <v>547</v>
      </c>
      <c r="W135" s="334" t="s">
        <v>586</v>
      </c>
    </row>
    <row r="136" spans="1:23" s="24" customFormat="1" ht="23.1" customHeight="1">
      <c r="A136" s="104" t="s">
        <v>16</v>
      </c>
      <c r="B136" s="36">
        <f>COUNTIF('(당초)창리'!$D$6:$D$163,'(당초)집계표'!U136)</f>
        <v>0</v>
      </c>
      <c r="C136" s="37" t="s">
        <v>5</v>
      </c>
      <c r="D136" s="212">
        <f>SUMIF('(당초)창리'!$D$6:$D$163,'(당초)집계표'!U136,'(당초)창리'!$F$6:$F$163)</f>
        <v>0</v>
      </c>
      <c r="E136" s="36">
        <f>COUNTIF('(당초)창리'!$J$6:$J$163,'(당초)집계표'!V136)</f>
        <v>0</v>
      </c>
      <c r="F136" s="37" t="s">
        <v>5</v>
      </c>
      <c r="G136" s="212">
        <f>SUMIF('(당초)창리'!$J$6:$J$163,'(당초)집계표'!V136,'(당초)창리'!$F$6:$F$163)</f>
        <v>0</v>
      </c>
      <c r="H136" s="36">
        <f>COUNTIF('(당초)창리'!$J$6:$J$163,'(당초)집계표'!W136)</f>
        <v>0</v>
      </c>
      <c r="I136" s="37" t="s">
        <v>5</v>
      </c>
      <c r="J136" s="212">
        <f>SUMIF('(당초)창리'!$J$6:$J$163,'(당초)집계표'!W136,'(당초)창리'!$F$6:$F$163)</f>
        <v>0</v>
      </c>
      <c r="K136" s="36">
        <f t="shared" si="8"/>
        <v>0</v>
      </c>
      <c r="L136" s="37" t="s">
        <v>5</v>
      </c>
      <c r="M136" s="212">
        <f t="shared" si="9"/>
        <v>0</v>
      </c>
      <c r="N136" s="39"/>
      <c r="O136" s="23"/>
      <c r="P136" s="23"/>
      <c r="Q136" s="23"/>
      <c r="R136" s="23"/>
      <c r="S136" s="23"/>
      <c r="T136" s="23"/>
      <c r="U136" s="24" t="s">
        <v>565</v>
      </c>
      <c r="V136" s="23" t="s">
        <v>548</v>
      </c>
      <c r="W136" s="334" t="s">
        <v>587</v>
      </c>
    </row>
    <row r="137" spans="1:23" s="24" customFormat="1" ht="23.1" customHeight="1">
      <c r="A137" s="104" t="s">
        <v>17</v>
      </c>
      <c r="B137" s="36">
        <f>COUNTIF('(당초)창리'!$D$6:$D$163,'(당초)집계표'!U137)</f>
        <v>0</v>
      </c>
      <c r="C137" s="37" t="s">
        <v>5</v>
      </c>
      <c r="D137" s="212">
        <f>SUMIF('(당초)창리'!$D$6:$D$163,'(당초)집계표'!U137,'(당초)창리'!$F$6:$F$163)</f>
        <v>0</v>
      </c>
      <c r="E137" s="36">
        <f>COUNTIF('(당초)창리'!$J$6:$J$163,'(당초)집계표'!V137)</f>
        <v>0</v>
      </c>
      <c r="F137" s="37" t="s">
        <v>5</v>
      </c>
      <c r="G137" s="212">
        <f>SUMIF('(당초)창리'!$J$6:$J$163,'(당초)집계표'!V137,'(당초)창리'!$F$6:$F$163)</f>
        <v>0</v>
      </c>
      <c r="H137" s="36">
        <f>COUNTIF('(당초)창리'!$J$6:$J$163,'(당초)집계표'!W137)</f>
        <v>0</v>
      </c>
      <c r="I137" s="37" t="s">
        <v>5</v>
      </c>
      <c r="J137" s="212">
        <f>SUMIF('(당초)창리'!$J$6:$J$163,'(당초)집계표'!W137,'(당초)창리'!$F$6:$F$163)</f>
        <v>0</v>
      </c>
      <c r="K137" s="36">
        <f t="shared" si="8"/>
        <v>0</v>
      </c>
      <c r="L137" s="37" t="s">
        <v>5</v>
      </c>
      <c r="M137" s="212">
        <f t="shared" si="9"/>
        <v>0</v>
      </c>
      <c r="N137" s="39"/>
      <c r="O137" s="23"/>
      <c r="P137" s="23"/>
      <c r="Q137" s="23"/>
      <c r="R137" s="23"/>
      <c r="S137" s="23"/>
      <c r="T137" s="23"/>
      <c r="U137" s="24" t="s">
        <v>451</v>
      </c>
      <c r="V137" s="23" t="s">
        <v>549</v>
      </c>
      <c r="W137" s="334" t="s">
        <v>588</v>
      </c>
    </row>
    <row r="138" spans="1:23" s="24" customFormat="1" ht="23.1" customHeight="1">
      <c r="A138" s="104" t="s">
        <v>18</v>
      </c>
      <c r="B138" s="36">
        <f>COUNTIF('(당초)창리'!$D$6:$D$163,'(당초)집계표'!U138)</f>
        <v>0</v>
      </c>
      <c r="C138" s="37" t="s">
        <v>5</v>
      </c>
      <c r="D138" s="212">
        <f>SUMIF('(당초)창리'!$D$6:$D$163,'(당초)집계표'!U138,'(당초)창리'!$F$6:$F$163)</f>
        <v>0</v>
      </c>
      <c r="E138" s="36">
        <f>COUNTIF('(당초)창리'!$J$6:$J$163,'(당초)집계표'!V138)</f>
        <v>0</v>
      </c>
      <c r="F138" s="37" t="s">
        <v>5</v>
      </c>
      <c r="G138" s="212">
        <f>SUMIF('(당초)창리'!$J$6:$J$163,'(당초)집계표'!V138,'(당초)창리'!$F$6:$F$163)</f>
        <v>0</v>
      </c>
      <c r="H138" s="36">
        <f>COUNTIF('(당초)창리'!$J$6:$J$163,'(당초)집계표'!W138)</f>
        <v>0</v>
      </c>
      <c r="I138" s="37" t="s">
        <v>5</v>
      </c>
      <c r="J138" s="212">
        <f>SUMIF('(당초)창리'!$J$6:$J$163,'(당초)집계표'!W138,'(당초)창리'!$F$6:$F$163)</f>
        <v>0</v>
      </c>
      <c r="K138" s="36">
        <f t="shared" si="8"/>
        <v>0</v>
      </c>
      <c r="L138" s="37" t="s">
        <v>5</v>
      </c>
      <c r="M138" s="212">
        <f t="shared" si="9"/>
        <v>0</v>
      </c>
      <c r="N138" s="39"/>
      <c r="O138" s="23"/>
      <c r="P138" s="23"/>
      <c r="Q138" s="23"/>
      <c r="R138" s="23"/>
      <c r="S138" s="23"/>
      <c r="T138" s="23"/>
      <c r="U138" s="24" t="s">
        <v>566</v>
      </c>
      <c r="V138" s="23" t="s">
        <v>550</v>
      </c>
      <c r="W138" s="334" t="s">
        <v>589</v>
      </c>
    </row>
    <row r="139" spans="1:23" s="24" customFormat="1" ht="23.1" customHeight="1">
      <c r="A139" s="104" t="s">
        <v>19</v>
      </c>
      <c r="B139" s="36">
        <f>COUNTIF('(당초)창리'!$D$6:$D$163,'(당초)집계표'!U139)</f>
        <v>0</v>
      </c>
      <c r="C139" s="37" t="s">
        <v>5</v>
      </c>
      <c r="D139" s="212">
        <f>SUMIF('(당초)창리'!$D$6:$D$163,'(당초)집계표'!U139,'(당초)창리'!$F$6:$F$163)</f>
        <v>0</v>
      </c>
      <c r="E139" s="36">
        <f>COUNTIF('(당초)창리'!$J$6:$J$163,'(당초)집계표'!V139)</f>
        <v>0</v>
      </c>
      <c r="F139" s="37" t="s">
        <v>5</v>
      </c>
      <c r="G139" s="212">
        <f>SUMIF('(당초)창리'!$J$6:$J$163,'(당초)집계표'!V139,'(당초)창리'!$F$6:$F$163)</f>
        <v>0</v>
      </c>
      <c r="H139" s="36">
        <f>COUNTIF('(당초)창리'!$J$6:$J$163,'(당초)집계표'!W139)</f>
        <v>0</v>
      </c>
      <c r="I139" s="37" t="s">
        <v>5</v>
      </c>
      <c r="J139" s="212">
        <f>SUMIF('(당초)창리'!$J$6:$J$163,'(당초)집계표'!W139,'(당초)창리'!$F$6:$F$163)</f>
        <v>0</v>
      </c>
      <c r="K139" s="36">
        <f t="shared" si="8"/>
        <v>0</v>
      </c>
      <c r="L139" s="37" t="s">
        <v>5</v>
      </c>
      <c r="M139" s="212">
        <f t="shared" si="9"/>
        <v>0</v>
      </c>
      <c r="N139" s="39"/>
      <c r="O139" s="23"/>
      <c r="P139" s="23"/>
      <c r="Q139" s="23"/>
      <c r="R139" s="23"/>
      <c r="S139" s="23"/>
      <c r="T139" s="23"/>
      <c r="U139" s="24" t="s">
        <v>567</v>
      </c>
      <c r="V139" s="23" t="s">
        <v>551</v>
      </c>
      <c r="W139" s="334" t="s">
        <v>590</v>
      </c>
    </row>
    <row r="140" spans="1:23" s="24" customFormat="1" ht="23.1" customHeight="1">
      <c r="A140" s="104" t="s">
        <v>20</v>
      </c>
      <c r="B140" s="36">
        <f>COUNTIF('(당초)창리'!$D$6:$D$163,'(당초)집계표'!U140)</f>
        <v>0</v>
      </c>
      <c r="C140" s="37" t="s">
        <v>5</v>
      </c>
      <c r="D140" s="212">
        <f>SUMIF('(당초)창리'!$D$6:$D$163,'(당초)집계표'!U140,'(당초)창리'!$F$6:$F$163)</f>
        <v>0</v>
      </c>
      <c r="E140" s="36">
        <f>COUNTIF('(당초)창리'!$J$6:$J$163,'(당초)집계표'!V140)</f>
        <v>0</v>
      </c>
      <c r="F140" s="37" t="s">
        <v>5</v>
      </c>
      <c r="G140" s="212">
        <f>SUMIF('(당초)창리'!$J$6:$J$163,'(당초)집계표'!V140,'(당초)창리'!$F$6:$F$163)</f>
        <v>0</v>
      </c>
      <c r="H140" s="36">
        <f>COUNTIF('(당초)창리'!$J$6:$J$163,'(당초)집계표'!W140)</f>
        <v>0</v>
      </c>
      <c r="I140" s="37" t="s">
        <v>5</v>
      </c>
      <c r="J140" s="212">
        <f>SUMIF('(당초)창리'!$J$6:$J$163,'(당초)집계표'!W140,'(당초)창리'!$F$6:$F$163)</f>
        <v>0</v>
      </c>
      <c r="K140" s="36">
        <f t="shared" si="8"/>
        <v>0</v>
      </c>
      <c r="L140" s="37" t="s">
        <v>5</v>
      </c>
      <c r="M140" s="212">
        <f t="shared" si="9"/>
        <v>0</v>
      </c>
      <c r="N140" s="39"/>
      <c r="O140" s="23"/>
      <c r="P140" s="23"/>
      <c r="Q140" s="23"/>
      <c r="R140" s="23"/>
      <c r="S140" s="23"/>
      <c r="T140" s="23"/>
      <c r="U140" s="24" t="s">
        <v>568</v>
      </c>
      <c r="V140" s="23" t="s">
        <v>552</v>
      </c>
      <c r="W140" s="334" t="s">
        <v>591</v>
      </c>
    </row>
    <row r="141" spans="1:23" s="24" customFormat="1" ht="23.1" customHeight="1">
      <c r="A141" s="104" t="s">
        <v>21</v>
      </c>
      <c r="B141" s="36">
        <f>COUNTIF('(당초)창리'!$D$6:$D$163,'(당초)집계표'!U141)</f>
        <v>0</v>
      </c>
      <c r="C141" s="37" t="s">
        <v>5</v>
      </c>
      <c r="D141" s="212">
        <f>SUMIF('(당초)창리'!$D$6:$D$163,'(당초)집계표'!U141,'(당초)창리'!$F$6:$F$163)</f>
        <v>0</v>
      </c>
      <c r="E141" s="36">
        <f>COUNTIF('(당초)창리'!$J$6:$J$163,'(당초)집계표'!V141)</f>
        <v>0</v>
      </c>
      <c r="F141" s="37" t="s">
        <v>5</v>
      </c>
      <c r="G141" s="212">
        <f>SUMIF('(당초)창리'!$J$6:$J$163,'(당초)집계표'!V141,'(당초)창리'!$F$6:$F$163)</f>
        <v>0</v>
      </c>
      <c r="H141" s="36">
        <f>COUNTIF('(당초)창리'!$J$6:$J$163,'(당초)집계표'!W141)</f>
        <v>0</v>
      </c>
      <c r="I141" s="37" t="s">
        <v>5</v>
      </c>
      <c r="J141" s="212">
        <f>SUMIF('(당초)창리'!$J$6:$J$163,'(당초)집계표'!W141,'(당초)창리'!$F$6:$F$163)</f>
        <v>0</v>
      </c>
      <c r="K141" s="36">
        <f t="shared" si="8"/>
        <v>0</v>
      </c>
      <c r="L141" s="37" t="s">
        <v>5</v>
      </c>
      <c r="M141" s="212">
        <f t="shared" si="9"/>
        <v>0</v>
      </c>
      <c r="N141" s="39"/>
      <c r="O141" s="23"/>
      <c r="P141" s="23"/>
      <c r="Q141" s="23"/>
      <c r="R141" s="23"/>
      <c r="S141" s="23"/>
      <c r="T141" s="23"/>
      <c r="U141" s="24" t="s">
        <v>569</v>
      </c>
      <c r="V141" s="23" t="s">
        <v>553</v>
      </c>
      <c r="W141" s="334" t="s">
        <v>592</v>
      </c>
    </row>
    <row r="142" spans="1:23" s="24" customFormat="1" ht="23.1" customHeight="1">
      <c r="A142" s="104" t="s">
        <v>22</v>
      </c>
      <c r="B142" s="36">
        <f>COUNTIF('(당초)창리'!$D$6:$D$163,'(당초)집계표'!U142)</f>
        <v>0</v>
      </c>
      <c r="C142" s="37" t="s">
        <v>5</v>
      </c>
      <c r="D142" s="212">
        <f>SUMIF('(당초)창리'!$D$6:$D$163,'(당초)집계표'!U142,'(당초)창리'!$F$6:$F$163)</f>
        <v>0</v>
      </c>
      <c r="E142" s="36">
        <f>COUNTIF('(당초)창리'!$J$6:$J$163,'(당초)집계표'!V142)</f>
        <v>0</v>
      </c>
      <c r="F142" s="37" t="s">
        <v>5</v>
      </c>
      <c r="G142" s="212">
        <f>SUMIF('(당초)창리'!$J$6:$J$163,'(당초)집계표'!V142,'(당초)창리'!$F$6:$F$163)</f>
        <v>0</v>
      </c>
      <c r="H142" s="36">
        <f>COUNTIF('(당초)창리'!$J$6:$J$163,'(당초)집계표'!W142)</f>
        <v>0</v>
      </c>
      <c r="I142" s="37" t="s">
        <v>5</v>
      </c>
      <c r="J142" s="212">
        <f>SUMIF('(당초)창리'!$J$6:$J$163,'(당초)집계표'!W142,'(당초)창리'!$F$6:$F$163)</f>
        <v>0</v>
      </c>
      <c r="K142" s="36">
        <f t="shared" si="8"/>
        <v>0</v>
      </c>
      <c r="L142" s="37" t="s">
        <v>5</v>
      </c>
      <c r="M142" s="212">
        <f t="shared" si="9"/>
        <v>0</v>
      </c>
      <c r="N142" s="39"/>
      <c r="O142" s="23"/>
      <c r="P142" s="23"/>
      <c r="Q142" s="23"/>
      <c r="R142" s="23"/>
      <c r="S142" s="23"/>
      <c r="T142" s="23"/>
      <c r="U142" s="24" t="s">
        <v>570</v>
      </c>
      <c r="V142" s="23" t="s">
        <v>554</v>
      </c>
      <c r="W142" s="334" t="s">
        <v>593</v>
      </c>
    </row>
    <row r="143" spans="1:23" s="24" customFormat="1" ht="23.1" customHeight="1">
      <c r="A143" s="104" t="s">
        <v>23</v>
      </c>
      <c r="B143" s="36">
        <f>COUNTIF('(당초)창리'!$D$6:$D$163,'(당초)집계표'!U143)</f>
        <v>13</v>
      </c>
      <c r="C143" s="37" t="s">
        <v>5</v>
      </c>
      <c r="D143" s="212">
        <f>SUMIF('(당초)창리'!$D$6:$D$163,'(당초)집계표'!U143,'(당초)창리'!$F$6:$F$163)</f>
        <v>6483</v>
      </c>
      <c r="E143" s="36">
        <f>COUNTIF('(당초)창리'!$J$6:$J$163,'(당초)집계표'!V143)</f>
        <v>0</v>
      </c>
      <c r="F143" s="37" t="s">
        <v>5</v>
      </c>
      <c r="G143" s="212">
        <f>SUMIF('(당초)창리'!$J$6:$J$163,'(당초)집계표'!V143,'(당초)창리'!$F$6:$F$163)</f>
        <v>0</v>
      </c>
      <c r="H143" s="36">
        <f>COUNTIF('(당초)창리'!$J$6:$J$163,'(당초)집계표'!W143)</f>
        <v>13</v>
      </c>
      <c r="I143" s="37" t="s">
        <v>5</v>
      </c>
      <c r="J143" s="212">
        <f>SUMIF('(당초)창리'!$J$6:$J$163,'(당초)집계표'!W143,'(당초)창리'!$F$6:$F$163)</f>
        <v>6483</v>
      </c>
      <c r="K143" s="36">
        <f t="shared" si="8"/>
        <v>0</v>
      </c>
      <c r="L143" s="37" t="s">
        <v>5</v>
      </c>
      <c r="M143" s="212">
        <f t="shared" si="9"/>
        <v>0</v>
      </c>
      <c r="N143" s="39"/>
      <c r="O143" s="23"/>
      <c r="P143" s="23"/>
      <c r="Q143" s="23"/>
      <c r="R143" s="23"/>
      <c r="S143" s="23"/>
      <c r="T143" s="23"/>
      <c r="U143" s="24" t="s">
        <v>571</v>
      </c>
      <c r="V143" s="23" t="s">
        <v>555</v>
      </c>
      <c r="W143" s="334" t="s">
        <v>594</v>
      </c>
    </row>
    <row r="144" spans="1:23" s="24" customFormat="1" ht="23.1" customHeight="1">
      <c r="A144" s="105" t="s">
        <v>24</v>
      </c>
      <c r="B144" s="36">
        <f>COUNTIF('(당초)창리'!$D$6:$D$163,'(당초)집계표'!U144)</f>
        <v>0</v>
      </c>
      <c r="C144" s="37" t="s">
        <v>5</v>
      </c>
      <c r="D144" s="212">
        <f>SUMIF('(당초)창리'!$D$6:$D$163,'(당초)집계표'!U144,'(당초)창리'!$F$6:$F$163)</f>
        <v>0</v>
      </c>
      <c r="E144" s="36">
        <f>COUNTIF('(당초)창리'!$J$6:$J$163,'(당초)집계표'!V144)</f>
        <v>0</v>
      </c>
      <c r="F144" s="37" t="s">
        <v>5</v>
      </c>
      <c r="G144" s="212">
        <f>SUMIF('(당초)창리'!$J$6:$J$163,'(당초)집계표'!V144,'(당초)창리'!$F$6:$F$163)</f>
        <v>0</v>
      </c>
      <c r="H144" s="36">
        <f>COUNTIF('(당초)창리'!$J$6:$J$163,'(당초)집계표'!W144)</f>
        <v>0</v>
      </c>
      <c r="I144" s="37" t="s">
        <v>5</v>
      </c>
      <c r="J144" s="212">
        <f>SUMIF('(당초)창리'!$J$6:$J$163,'(당초)집계표'!W144,'(당초)창리'!$F$6:$F$163)</f>
        <v>0</v>
      </c>
      <c r="K144" s="36">
        <f t="shared" si="8"/>
        <v>0</v>
      </c>
      <c r="L144" s="37" t="s">
        <v>5</v>
      </c>
      <c r="M144" s="212">
        <f t="shared" si="9"/>
        <v>0</v>
      </c>
      <c r="N144" s="39"/>
      <c r="O144" s="23"/>
      <c r="P144" s="23"/>
      <c r="Q144" s="23"/>
      <c r="R144" s="23"/>
      <c r="S144" s="23"/>
      <c r="T144" s="23"/>
      <c r="U144" s="24" t="s">
        <v>572</v>
      </c>
      <c r="V144" s="23" t="s">
        <v>556</v>
      </c>
      <c r="W144" s="334" t="s">
        <v>595</v>
      </c>
    </row>
    <row r="145" spans="1:23" s="24" customFormat="1" ht="23.1" customHeight="1">
      <c r="A145" s="105" t="s">
        <v>25</v>
      </c>
      <c r="B145" s="36">
        <f>COUNTIF('(당초)창리'!$D$6:$D$163,'(당초)집계표'!U145)</f>
        <v>0</v>
      </c>
      <c r="C145" s="37" t="s">
        <v>5</v>
      </c>
      <c r="D145" s="212">
        <f>SUMIF('(당초)창리'!$D$6:$D$163,'(당초)집계표'!U145,'(당초)창리'!$F$6:$F$163)</f>
        <v>0</v>
      </c>
      <c r="E145" s="36">
        <f>COUNTIF('(당초)창리'!$J$6:$J$163,'(당초)집계표'!V145)</f>
        <v>0</v>
      </c>
      <c r="F145" s="37" t="s">
        <v>5</v>
      </c>
      <c r="G145" s="212">
        <f>SUMIF('(당초)창리'!$J$6:$J$163,'(당초)집계표'!V145,'(당초)창리'!$F$6:$F$163)</f>
        <v>0</v>
      </c>
      <c r="H145" s="36">
        <f>COUNTIF('(당초)창리'!$J$6:$J$163,'(당초)집계표'!W145)</f>
        <v>0</v>
      </c>
      <c r="I145" s="37" t="s">
        <v>5</v>
      </c>
      <c r="J145" s="212">
        <f>SUMIF('(당초)창리'!$J$6:$J$163,'(당초)집계표'!W145,'(당초)창리'!$F$6:$F$163)</f>
        <v>0</v>
      </c>
      <c r="K145" s="36">
        <f t="shared" si="8"/>
        <v>0</v>
      </c>
      <c r="L145" s="37" t="s">
        <v>5</v>
      </c>
      <c r="M145" s="212">
        <f t="shared" si="9"/>
        <v>0</v>
      </c>
      <c r="N145" s="39"/>
      <c r="O145" s="23"/>
      <c r="P145" s="23"/>
      <c r="Q145" s="23"/>
      <c r="R145" s="23"/>
      <c r="S145" s="23"/>
      <c r="T145" s="23"/>
      <c r="U145" s="24" t="s">
        <v>573</v>
      </c>
      <c r="V145" s="23" t="s">
        <v>557</v>
      </c>
      <c r="W145" s="334" t="s">
        <v>596</v>
      </c>
    </row>
    <row r="146" spans="1:23" s="24" customFormat="1" ht="23.1" customHeight="1">
      <c r="A146" s="105" t="s">
        <v>26</v>
      </c>
      <c r="B146" s="36">
        <f>COUNTIF('(당초)창리'!$D$6:$D$163,'(당초)집계표'!U146)</f>
        <v>0</v>
      </c>
      <c r="C146" s="37" t="s">
        <v>5</v>
      </c>
      <c r="D146" s="212">
        <f>SUMIF('(당초)창리'!$D$6:$D$163,'(당초)집계표'!U146,'(당초)창리'!$F$6:$F$163)</f>
        <v>0</v>
      </c>
      <c r="E146" s="36">
        <f>COUNTIF('(당초)창리'!$J$6:$J$163,'(당초)집계표'!V146)</f>
        <v>0</v>
      </c>
      <c r="F146" s="37" t="s">
        <v>5</v>
      </c>
      <c r="G146" s="212">
        <f>SUMIF('(당초)창리'!$J$6:$J$163,'(당초)집계표'!V146,'(당초)창리'!$F$6:$F$163)</f>
        <v>0</v>
      </c>
      <c r="H146" s="36">
        <f>COUNTIF('(당초)창리'!$J$6:$J$163,'(당초)집계표'!W146)</f>
        <v>0</v>
      </c>
      <c r="I146" s="37" t="s">
        <v>5</v>
      </c>
      <c r="J146" s="212">
        <f>SUMIF('(당초)창리'!$J$6:$J$163,'(당초)집계표'!W146,'(당초)창리'!$F$6:$F$163)</f>
        <v>0</v>
      </c>
      <c r="K146" s="36">
        <f t="shared" si="8"/>
        <v>0</v>
      </c>
      <c r="L146" s="37" t="s">
        <v>5</v>
      </c>
      <c r="M146" s="212">
        <f t="shared" si="9"/>
        <v>0</v>
      </c>
      <c r="N146" s="39"/>
      <c r="O146" s="23"/>
      <c r="P146" s="23"/>
      <c r="Q146" s="23"/>
      <c r="R146" s="23"/>
      <c r="S146" s="23"/>
      <c r="T146" s="23"/>
      <c r="U146" s="24" t="s">
        <v>451</v>
      </c>
      <c r="V146" s="23" t="s">
        <v>549</v>
      </c>
      <c r="W146" s="334" t="s">
        <v>588</v>
      </c>
    </row>
    <row r="147" spans="1:23" s="24" customFormat="1" ht="23.1" customHeight="1">
      <c r="A147" s="105" t="s">
        <v>27</v>
      </c>
      <c r="B147" s="36">
        <f>COUNTIF('(당초)창리'!$D$6:$D$163,'(당초)집계표'!U147)</f>
        <v>0</v>
      </c>
      <c r="C147" s="37" t="s">
        <v>5</v>
      </c>
      <c r="D147" s="212">
        <f>SUMIF('(당초)창리'!$D$6:$D$163,'(당초)집계표'!U147,'(당초)창리'!$F$6:$F$163)</f>
        <v>0</v>
      </c>
      <c r="E147" s="36">
        <f>COUNTIF('(당초)창리'!$J$6:$J$163,'(당초)집계표'!V147)</f>
        <v>0</v>
      </c>
      <c r="F147" s="37" t="s">
        <v>5</v>
      </c>
      <c r="G147" s="212">
        <f>SUMIF('(당초)창리'!$J$6:$J$163,'(당초)집계표'!V147,'(당초)창리'!$F$6:$F$163)</f>
        <v>0</v>
      </c>
      <c r="H147" s="36">
        <f>COUNTIF('(당초)창리'!$J$6:$J$163,'(당초)집계표'!W147)</f>
        <v>0</v>
      </c>
      <c r="I147" s="37" t="s">
        <v>5</v>
      </c>
      <c r="J147" s="212">
        <f>SUMIF('(당초)창리'!$J$6:$J$163,'(당초)집계표'!W147,'(당초)창리'!$F$6:$F$163)</f>
        <v>0</v>
      </c>
      <c r="K147" s="36">
        <f t="shared" si="8"/>
        <v>0</v>
      </c>
      <c r="L147" s="37" t="s">
        <v>5</v>
      </c>
      <c r="M147" s="212">
        <f t="shared" si="9"/>
        <v>0</v>
      </c>
      <c r="N147" s="39"/>
      <c r="O147" s="23"/>
      <c r="P147" s="23"/>
      <c r="Q147" s="23"/>
      <c r="R147" s="23"/>
      <c r="S147" s="23"/>
      <c r="T147" s="23"/>
      <c r="U147" s="24" t="s">
        <v>574</v>
      </c>
      <c r="V147" s="23" t="s">
        <v>558</v>
      </c>
      <c r="W147" s="334" t="s">
        <v>597</v>
      </c>
    </row>
    <row r="148" spans="1:23" s="24" customFormat="1" ht="23.1" customHeight="1">
      <c r="A148" s="105" t="s">
        <v>28</v>
      </c>
      <c r="B148" s="36">
        <f>COUNTIF('(당초)창리'!$D$6:$D$163,'(당초)집계표'!U148)</f>
        <v>0</v>
      </c>
      <c r="C148" s="37" t="s">
        <v>5</v>
      </c>
      <c r="D148" s="212">
        <f>SUMIF('(당초)창리'!$D$6:$D$163,'(당초)집계표'!U148,'(당초)창리'!$F$6:$F$163)</f>
        <v>0</v>
      </c>
      <c r="E148" s="36">
        <f>COUNTIF('(당초)창리'!$J$6:$J$163,'(당초)집계표'!V148)</f>
        <v>0</v>
      </c>
      <c r="F148" s="37" t="s">
        <v>5</v>
      </c>
      <c r="G148" s="212">
        <f>SUMIF('(당초)창리'!$J$6:$J$163,'(당초)집계표'!V148,'(당초)창리'!$F$6:$F$163)</f>
        <v>0</v>
      </c>
      <c r="H148" s="36">
        <f>COUNTIF('(당초)창리'!$J$6:$J$163,'(당초)집계표'!W148)</f>
        <v>0</v>
      </c>
      <c r="I148" s="37" t="s">
        <v>5</v>
      </c>
      <c r="J148" s="212">
        <f>SUMIF('(당초)창리'!$J$6:$J$163,'(당초)집계표'!W148,'(당초)창리'!$F$6:$F$163)</f>
        <v>0</v>
      </c>
      <c r="K148" s="36">
        <f t="shared" si="8"/>
        <v>0</v>
      </c>
      <c r="L148" s="37" t="s">
        <v>5</v>
      </c>
      <c r="M148" s="212">
        <f t="shared" si="9"/>
        <v>0</v>
      </c>
      <c r="N148" s="39"/>
      <c r="O148" s="23"/>
      <c r="P148" s="23"/>
      <c r="Q148" s="23"/>
      <c r="R148" s="23"/>
      <c r="S148" s="23"/>
      <c r="T148" s="23"/>
      <c r="U148" s="24" t="s">
        <v>575</v>
      </c>
      <c r="V148" s="23" t="s">
        <v>559</v>
      </c>
      <c r="W148" s="334" t="s">
        <v>598</v>
      </c>
    </row>
    <row r="149" spans="1:23" s="24" customFormat="1" ht="23.1" customHeight="1">
      <c r="A149" s="105" t="s">
        <v>60</v>
      </c>
      <c r="B149" s="36">
        <f>COUNTIF('(당초)창리'!$D$6:$D$163,'(당초)집계표'!U149)</f>
        <v>0</v>
      </c>
      <c r="C149" s="37" t="s">
        <v>5</v>
      </c>
      <c r="D149" s="212">
        <f>SUMIF('(당초)창리'!$D$6:$D$163,'(당초)집계표'!U149,'(당초)창리'!$F$6:$F$163)</f>
        <v>0</v>
      </c>
      <c r="E149" s="36">
        <f>COUNTIF('(당초)창리'!$J$6:$J$163,'(당초)집계표'!V149)</f>
        <v>0</v>
      </c>
      <c r="F149" s="37" t="s">
        <v>5</v>
      </c>
      <c r="G149" s="212">
        <f>SUMIF('(당초)창리'!$J$6:$J$163,'(당초)집계표'!V149,'(당초)창리'!$F$6:$F$163)</f>
        <v>0</v>
      </c>
      <c r="H149" s="36">
        <f>COUNTIF('(당초)창리'!$J$6:$J$163,'(당초)집계표'!W149)</f>
        <v>0</v>
      </c>
      <c r="I149" s="37" t="s">
        <v>5</v>
      </c>
      <c r="J149" s="212">
        <f>SUMIF('(당초)창리'!$J$6:$J$163,'(당초)집계표'!W149,'(당초)창리'!$F$6:$F$163)</f>
        <v>0</v>
      </c>
      <c r="K149" s="36">
        <f t="shared" si="8"/>
        <v>0</v>
      </c>
      <c r="L149" s="37" t="s">
        <v>5</v>
      </c>
      <c r="M149" s="212">
        <f t="shared" si="9"/>
        <v>0</v>
      </c>
      <c r="N149" s="39"/>
      <c r="O149" s="23"/>
      <c r="P149" s="23"/>
      <c r="Q149" s="23"/>
      <c r="R149" s="23"/>
      <c r="S149" s="23"/>
      <c r="T149" s="23"/>
      <c r="U149" s="24" t="s">
        <v>576</v>
      </c>
      <c r="V149" s="23" t="s">
        <v>560</v>
      </c>
      <c r="W149" s="334" t="s">
        <v>599</v>
      </c>
    </row>
    <row r="150" spans="1:23" s="24" customFormat="1" ht="23.1" customHeight="1">
      <c r="A150" s="105" t="s">
        <v>70</v>
      </c>
      <c r="B150" s="36">
        <f>COUNTIF('(당초)창리'!$D$6:$D$163,'(당초)집계표'!U150)</f>
        <v>0</v>
      </c>
      <c r="C150" s="37" t="s">
        <v>5</v>
      </c>
      <c r="D150" s="212">
        <f>SUMIF('(당초)창리'!$D$6:$D$163,'(당초)집계표'!U150,'(당초)창리'!$F$6:$F$163)</f>
        <v>0</v>
      </c>
      <c r="E150" s="36">
        <f>COUNTIF('(당초)창리'!$J$6:$J$163,'(당초)집계표'!V150)</f>
        <v>0</v>
      </c>
      <c r="F150" s="37" t="s">
        <v>5</v>
      </c>
      <c r="G150" s="212">
        <f>SUMIF('(당초)창리'!$J$6:$J$163,'(당초)집계표'!V150,'(당초)창리'!$F$6:$F$163)</f>
        <v>0</v>
      </c>
      <c r="H150" s="36">
        <f>COUNTIF('(당초)창리'!$J$6:$J$163,'(당초)집계표'!W150)</f>
        <v>0</v>
      </c>
      <c r="I150" s="37" t="s">
        <v>5</v>
      </c>
      <c r="J150" s="212">
        <f>SUMIF('(당초)창리'!$J$6:$J$163,'(당초)집계표'!W150,'(당초)창리'!$F$6:$F$163)</f>
        <v>0</v>
      </c>
      <c r="K150" s="36">
        <f t="shared" si="8"/>
        <v>0</v>
      </c>
      <c r="L150" s="37" t="s">
        <v>5</v>
      </c>
      <c r="M150" s="212">
        <f t="shared" si="9"/>
        <v>0</v>
      </c>
      <c r="N150" s="39"/>
      <c r="O150" s="23"/>
      <c r="P150" s="23"/>
      <c r="Q150" s="23"/>
      <c r="R150" s="23"/>
      <c r="S150" s="23"/>
      <c r="T150" s="23"/>
      <c r="U150" s="24" t="s">
        <v>608</v>
      </c>
      <c r="V150" s="23" t="s">
        <v>609</v>
      </c>
      <c r="W150" s="334" t="s">
        <v>610</v>
      </c>
    </row>
    <row r="151" spans="1:23" s="24" customFormat="1" ht="23.1" customHeight="1">
      <c r="A151" s="106" t="s">
        <v>62</v>
      </c>
      <c r="B151" s="40">
        <f>COUNTIF('(당초)창리'!$D$6:$D$163,'(당초)집계표'!U151)</f>
        <v>0</v>
      </c>
      <c r="C151" s="41" t="s">
        <v>5</v>
      </c>
      <c r="D151" s="213">
        <f>SUMIF('(당초)창리'!$D$6:$D$163,'(당초)집계표'!U151,'(당초)창리'!$F$6:$F$163)</f>
        <v>0</v>
      </c>
      <c r="E151" s="40">
        <f>COUNTIF('(당초)창리'!$J$6:$J$163,'(당초)집계표'!V151)</f>
        <v>0</v>
      </c>
      <c r="F151" s="41" t="s">
        <v>5</v>
      </c>
      <c r="G151" s="213">
        <f>SUMIF('(당초)창리'!$J$6:$J$163,'(당초)집계표'!V151,'(당초)창리'!$F$6:$F$163)</f>
        <v>0</v>
      </c>
      <c r="H151" s="40">
        <f>COUNTIF('(당초)창리'!$J$6:$J$163,'(당초)집계표'!W151)</f>
        <v>0</v>
      </c>
      <c r="I151" s="41" t="s">
        <v>5</v>
      </c>
      <c r="J151" s="213">
        <f>SUMIF('(당초)창리'!$J$6:$J$163,'(당초)집계표'!W151,'(당초)창리'!$F$6:$F$163)</f>
        <v>0</v>
      </c>
      <c r="K151" s="40">
        <f t="shared" si="8"/>
        <v>0</v>
      </c>
      <c r="L151" s="41" t="s">
        <v>5</v>
      </c>
      <c r="M151" s="213">
        <f t="shared" si="9"/>
        <v>0</v>
      </c>
      <c r="N151" s="43"/>
      <c r="O151" s="23"/>
      <c r="P151" s="23"/>
      <c r="Q151" s="23"/>
      <c r="R151" s="23"/>
      <c r="S151" s="23"/>
      <c r="T151" s="23"/>
      <c r="U151" s="24" t="s">
        <v>602</v>
      </c>
      <c r="V151" s="23" t="s">
        <v>605</v>
      </c>
      <c r="W151" s="334" t="s">
        <v>606</v>
      </c>
    </row>
    <row r="152" spans="1:23" s="17" customFormat="1" ht="20.100000000000001" customHeight="1">
      <c r="A152" s="11">
        <f>IF(EXACT(O156,O157),,"검산확인요!!!")</f>
        <v>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3">
        <f>IF(ISBLANK('6'!K2),,'6'!K2)</f>
        <v>3</v>
      </c>
      <c r="L152" s="14"/>
      <c r="M152" s="15"/>
      <c r="N152" s="16"/>
    </row>
    <row r="153" spans="1:23" s="17" customFormat="1" ht="9.9499999999999993" customHeight="1">
      <c r="A153" s="1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</row>
    <row r="154" spans="1:23" s="24" customFormat="1" ht="27.95" customHeight="1">
      <c r="A154" s="18" t="s">
        <v>3</v>
      </c>
      <c r="B154" s="19" t="s">
        <v>2</v>
      </c>
      <c r="C154" s="20"/>
      <c r="D154" s="21"/>
      <c r="E154" s="19" t="s">
        <v>29</v>
      </c>
      <c r="F154" s="20"/>
      <c r="G154" s="21"/>
      <c r="H154" s="19" t="s">
        <v>38</v>
      </c>
      <c r="I154" s="20"/>
      <c r="J154" s="21"/>
      <c r="K154" s="19" t="s">
        <v>30</v>
      </c>
      <c r="L154" s="20"/>
      <c r="M154" s="21"/>
      <c r="N154" s="22" t="s">
        <v>31</v>
      </c>
      <c r="O154" s="23"/>
      <c r="S154" s="23"/>
      <c r="T154" s="23"/>
      <c r="U154" s="23"/>
      <c r="V154" s="23"/>
    </row>
    <row r="155" spans="1:23" s="24" customFormat="1" ht="27.95" customHeight="1">
      <c r="A155" s="25"/>
      <c r="B155" s="26" t="s">
        <v>4</v>
      </c>
      <c r="C155" s="27" t="s">
        <v>5</v>
      </c>
      <c r="D155" s="28" t="s">
        <v>32</v>
      </c>
      <c r="E155" s="26" t="s">
        <v>4</v>
      </c>
      <c r="F155" s="27" t="s">
        <v>5</v>
      </c>
      <c r="G155" s="28" t="s">
        <v>32</v>
      </c>
      <c r="H155" s="26" t="s">
        <v>4</v>
      </c>
      <c r="I155" s="27" t="s">
        <v>5</v>
      </c>
      <c r="J155" s="28" t="s">
        <v>32</v>
      </c>
      <c r="K155" s="26" t="s">
        <v>4</v>
      </c>
      <c r="L155" s="27" t="s">
        <v>5</v>
      </c>
      <c r="M155" s="28" t="s">
        <v>32</v>
      </c>
      <c r="N155" s="29"/>
      <c r="P155" s="23"/>
      <c r="Q155" s="30" t="s">
        <v>33</v>
      </c>
      <c r="R155" s="30" t="s">
        <v>34</v>
      </c>
      <c r="S155" s="30" t="s">
        <v>35</v>
      </c>
      <c r="T155" s="30" t="s">
        <v>36</v>
      </c>
      <c r="U155" s="23"/>
      <c r="V155" s="23"/>
    </row>
    <row r="156" spans="1:23" s="24" customFormat="1" ht="23.1" customHeight="1">
      <c r="A156" s="103" t="s">
        <v>2</v>
      </c>
      <c r="B156" s="31">
        <f>SUM(B157:B181)</f>
        <v>0</v>
      </c>
      <c r="C156" s="32" t="s">
        <v>5</v>
      </c>
      <c r="D156" s="33">
        <f>SUM(D157:D181)</f>
        <v>0</v>
      </c>
      <c r="E156" s="31">
        <f>SUM(E157:E181)</f>
        <v>0</v>
      </c>
      <c r="F156" s="32" t="s">
        <v>5</v>
      </c>
      <c r="G156" s="33">
        <f>SUM(G157:G181)</f>
        <v>0</v>
      </c>
      <c r="H156" s="31">
        <f>SUM(H157:H181)</f>
        <v>0</v>
      </c>
      <c r="I156" s="32" t="s">
        <v>5</v>
      </c>
      <c r="J156" s="33">
        <f>SUM(J157:J181)</f>
        <v>0</v>
      </c>
      <c r="K156" s="31">
        <f>SUM(K157:K181)</f>
        <v>0</v>
      </c>
      <c r="L156" s="32" t="s">
        <v>5</v>
      </c>
      <c r="M156" s="33">
        <f>SUM(M157:M181)</f>
        <v>0</v>
      </c>
      <c r="N156" s="34"/>
      <c r="O156" s="23" t="str">
        <f>IF(EXACT(Q156,T156),"맞음","틀림")</f>
        <v>맞음</v>
      </c>
      <c r="P156" s="23" t="s">
        <v>4</v>
      </c>
      <c r="Q156" s="35">
        <f>SUM(B157:B181)</f>
        <v>0</v>
      </c>
      <c r="R156" s="35">
        <f>SUM(E157:E181)</f>
        <v>0</v>
      </c>
      <c r="S156" s="35">
        <f>SUM(K157:K181)</f>
        <v>0</v>
      </c>
      <c r="T156" s="35">
        <f>K156+E156</f>
        <v>0</v>
      </c>
      <c r="U156" s="23"/>
      <c r="V156" s="23"/>
    </row>
    <row r="157" spans="1:23" s="24" customFormat="1" ht="23.1" customHeight="1">
      <c r="A157" s="104" t="s">
        <v>7</v>
      </c>
      <c r="B157" s="36">
        <f>COUNTIF('6'!$C$6:$C$529,"전")</f>
        <v>0</v>
      </c>
      <c r="C157" s="37" t="s">
        <v>5</v>
      </c>
      <c r="D157" s="38">
        <f>SUMIF('6'!$C$6:$C$529,"전",'6'!$E$6:$E$529)</f>
        <v>0</v>
      </c>
      <c r="E157" s="36">
        <f>COUNTIF('6'!$N$6:$N$529,"전국")</f>
        <v>0</v>
      </c>
      <c r="F157" s="37" t="s">
        <v>5</v>
      </c>
      <c r="G157" s="38">
        <f>SUMIF('6'!$N$6:$N$529,"전국",'6'!$E$6:$E$529)</f>
        <v>0</v>
      </c>
      <c r="H157" s="36">
        <f>COUNTIF('6'!$N$6:$N$529,"전공")</f>
        <v>0</v>
      </c>
      <c r="I157" s="37" t="s">
        <v>5</v>
      </c>
      <c r="J157" s="38">
        <f>SUMIF('6'!$N$6:$N$529,"전공",'6'!$E$6:$E$529)</f>
        <v>0</v>
      </c>
      <c r="K157" s="36">
        <f t="shared" ref="K157:K181" si="10">SUM(B157-E157-H157)</f>
        <v>0</v>
      </c>
      <c r="L157" s="37" t="s">
        <v>5</v>
      </c>
      <c r="M157" s="38">
        <f t="shared" ref="M157:M181" si="11">SUM(D157-G157-J157)</f>
        <v>0</v>
      </c>
      <c r="N157" s="39"/>
      <c r="O157" s="23" t="str">
        <f>IF(EXACT(Q157,T157),"맞음","틀림")</f>
        <v>맞음</v>
      </c>
      <c r="P157" s="23" t="s">
        <v>37</v>
      </c>
      <c r="Q157" s="35">
        <f>SUM(D157:D181)</f>
        <v>0</v>
      </c>
      <c r="R157" s="35">
        <f>SUM(G157:G181)</f>
        <v>0</v>
      </c>
      <c r="S157" s="35">
        <f>SUM(M157:M181)</f>
        <v>0</v>
      </c>
      <c r="T157" s="35">
        <f>G156+M156</f>
        <v>0</v>
      </c>
      <c r="U157" s="23"/>
      <c r="V157" s="23"/>
    </row>
    <row r="158" spans="1:23" s="24" customFormat="1" ht="23.1" customHeight="1">
      <c r="A158" s="104" t="s">
        <v>8</v>
      </c>
      <c r="B158" s="36">
        <f>COUNTIF('6'!$C$6:$C$529,"답")</f>
        <v>0</v>
      </c>
      <c r="C158" s="37" t="s">
        <v>5</v>
      </c>
      <c r="D158" s="38">
        <f>SUMIF('6'!$C$6:$C$529,"답",'6'!$E$6:$E$529)</f>
        <v>0</v>
      </c>
      <c r="E158" s="36">
        <f>COUNTIF('6'!$N$6:$N$529,"답국")</f>
        <v>0</v>
      </c>
      <c r="F158" s="37" t="s">
        <v>5</v>
      </c>
      <c r="G158" s="38">
        <f>SUMIF('6'!$N$6:$N$529,"답국",'6'!$E$6:$E$529)</f>
        <v>0</v>
      </c>
      <c r="H158" s="36">
        <f>COUNTIF('6'!$N$6:$N$529,"답공")</f>
        <v>0</v>
      </c>
      <c r="I158" s="37" t="s">
        <v>5</v>
      </c>
      <c r="J158" s="38">
        <f>SUMIF('6'!$N$6:$N$529,"답공",'6'!$E$6:$E$529)</f>
        <v>0</v>
      </c>
      <c r="K158" s="36">
        <f t="shared" si="10"/>
        <v>0</v>
      </c>
      <c r="L158" s="37" t="s">
        <v>5</v>
      </c>
      <c r="M158" s="38">
        <f t="shared" si="11"/>
        <v>0</v>
      </c>
      <c r="N158" s="39"/>
      <c r="Q158" s="23"/>
      <c r="S158" s="23"/>
      <c r="U158" s="23"/>
      <c r="V158" s="23"/>
    </row>
    <row r="159" spans="1:23" s="24" customFormat="1" ht="23.1" customHeight="1">
      <c r="A159" s="104" t="s">
        <v>9</v>
      </c>
      <c r="B159" s="36">
        <f>COUNTIF('6'!$C$6:$C$529,"임")</f>
        <v>0</v>
      </c>
      <c r="C159" s="37" t="s">
        <v>5</v>
      </c>
      <c r="D159" s="38">
        <f>SUMIF('6'!$C$6:$C$529,"임",'6'!$E$6:$E$529)</f>
        <v>0</v>
      </c>
      <c r="E159" s="36">
        <f>COUNTIF('6'!$N$6:$N$529,"임국")</f>
        <v>0</v>
      </c>
      <c r="F159" s="37" t="s">
        <v>5</v>
      </c>
      <c r="G159" s="38">
        <f>SUMIF('6'!$N$6:$N$529,"임국",'6'!$E$6:$E$529)</f>
        <v>0</v>
      </c>
      <c r="H159" s="36">
        <f>COUNTIF('6'!$N$6:$N$529,"임공")</f>
        <v>0</v>
      </c>
      <c r="I159" s="37" t="s">
        <v>5</v>
      </c>
      <c r="J159" s="38">
        <f>SUMIF('6'!$N$6:$N$529,"임공",'6'!$E$6:$E$529)</f>
        <v>0</v>
      </c>
      <c r="K159" s="36">
        <f t="shared" si="10"/>
        <v>0</v>
      </c>
      <c r="L159" s="37" t="s">
        <v>5</v>
      </c>
      <c r="M159" s="38">
        <f t="shared" si="11"/>
        <v>0</v>
      </c>
      <c r="N159" s="39"/>
      <c r="Q159" s="23"/>
      <c r="S159" s="23"/>
      <c r="U159" s="23"/>
      <c r="V159" s="23"/>
    </row>
    <row r="160" spans="1:23" s="24" customFormat="1" ht="23.1" customHeight="1">
      <c r="A160" s="104" t="s">
        <v>10</v>
      </c>
      <c r="B160" s="36">
        <f>COUNTIF('6'!$C$6:$C$529,"대")</f>
        <v>0</v>
      </c>
      <c r="C160" s="37" t="s">
        <v>5</v>
      </c>
      <c r="D160" s="38">
        <f>SUMIF('6'!$C$6:$C$529,"대",'6'!$E$6:$E$529)</f>
        <v>0</v>
      </c>
      <c r="E160" s="36">
        <f>COUNTIF('6'!$N$6:$N$529,"대국")</f>
        <v>0</v>
      </c>
      <c r="F160" s="37" t="s">
        <v>5</v>
      </c>
      <c r="G160" s="38">
        <f>SUMIF('6'!$N$6:$N$529,"대국",'6'!$E$6:$E$529)</f>
        <v>0</v>
      </c>
      <c r="H160" s="36">
        <f>COUNTIF('6'!$N$6:$N$529,"대공")</f>
        <v>0</v>
      </c>
      <c r="I160" s="37" t="s">
        <v>5</v>
      </c>
      <c r="J160" s="38">
        <f>SUMIF('6'!$N$6:$N$529,"대공",'6'!$E$6:$E$529)</f>
        <v>0</v>
      </c>
      <c r="K160" s="36">
        <f t="shared" si="10"/>
        <v>0</v>
      </c>
      <c r="L160" s="37" t="s">
        <v>5</v>
      </c>
      <c r="M160" s="38">
        <f t="shared" si="11"/>
        <v>0</v>
      </c>
      <c r="N160" s="39"/>
      <c r="O160" s="23"/>
      <c r="P160" s="23"/>
      <c r="Q160" s="23"/>
      <c r="R160" s="23"/>
      <c r="S160" s="23"/>
      <c r="T160" s="23"/>
      <c r="U160" s="23"/>
      <c r="V160" s="23"/>
    </row>
    <row r="161" spans="1:22" s="24" customFormat="1" ht="23.1" customHeight="1">
      <c r="A161" s="104" t="s">
        <v>11</v>
      </c>
      <c r="B161" s="36">
        <f>COUNTIF('6'!$C$6:$C$529,"도")</f>
        <v>0</v>
      </c>
      <c r="C161" s="37" t="s">
        <v>5</v>
      </c>
      <c r="D161" s="38">
        <f>SUMIF('6'!$C$6:$C$529,"도",'6'!$E$6:$E$529)</f>
        <v>0</v>
      </c>
      <c r="E161" s="36">
        <f>COUNTIF('6'!$N$6:$N$529,"도국")</f>
        <v>0</v>
      </c>
      <c r="F161" s="37" t="s">
        <v>5</v>
      </c>
      <c r="G161" s="38">
        <f>SUMIF('6'!$N$6:$N$529,"도국",'6'!$E$6:$E$529)</f>
        <v>0</v>
      </c>
      <c r="H161" s="36">
        <f>COUNTIF('6'!$N$6:$N$529,"도공")</f>
        <v>0</v>
      </c>
      <c r="I161" s="37" t="s">
        <v>5</v>
      </c>
      <c r="J161" s="38">
        <f>SUMIF('6'!$N$6:$N$529,"도공",'6'!$E$6:$E$529)</f>
        <v>0</v>
      </c>
      <c r="K161" s="36">
        <f t="shared" si="10"/>
        <v>0</v>
      </c>
      <c r="L161" s="37" t="s">
        <v>5</v>
      </c>
      <c r="M161" s="38">
        <f t="shared" si="11"/>
        <v>0</v>
      </c>
      <c r="N161" s="39"/>
      <c r="O161" s="23"/>
      <c r="P161" s="23"/>
      <c r="Q161" s="23"/>
      <c r="R161" s="23"/>
      <c r="S161" s="23"/>
      <c r="T161" s="23"/>
      <c r="U161" s="23"/>
      <c r="V161" s="23"/>
    </row>
    <row r="162" spans="1:22" s="24" customFormat="1" ht="23.1" customHeight="1">
      <c r="A162" s="104" t="s">
        <v>12</v>
      </c>
      <c r="B162" s="36">
        <f>COUNTIF('6'!$C$6:$C$529,"구")</f>
        <v>0</v>
      </c>
      <c r="C162" s="37" t="s">
        <v>5</v>
      </c>
      <c r="D162" s="38">
        <f>SUMIF('6'!$C$6:$C$529,"구",'6'!$E$6:$E$529)</f>
        <v>0</v>
      </c>
      <c r="E162" s="36">
        <f>COUNTIF('6'!$N$6:$N$529,"구국")</f>
        <v>0</v>
      </c>
      <c r="F162" s="37" t="s">
        <v>5</v>
      </c>
      <c r="G162" s="38">
        <f>SUMIF('6'!$N$6:$N$529,"구국",'6'!$E$6:$E$529)</f>
        <v>0</v>
      </c>
      <c r="H162" s="36">
        <f>COUNTIF('6'!$N$6:$N$529,"구공")</f>
        <v>0</v>
      </c>
      <c r="I162" s="37" t="s">
        <v>5</v>
      </c>
      <c r="J162" s="38">
        <f>SUMIF('6'!$N$6:$N$529,"구공",'6'!$E$6:$E$529)</f>
        <v>0</v>
      </c>
      <c r="K162" s="36">
        <f t="shared" si="10"/>
        <v>0</v>
      </c>
      <c r="L162" s="37" t="s">
        <v>5</v>
      </c>
      <c r="M162" s="38">
        <f t="shared" si="11"/>
        <v>0</v>
      </c>
      <c r="N162" s="39"/>
      <c r="O162" s="23"/>
      <c r="P162" s="23"/>
      <c r="Q162" s="23"/>
      <c r="R162" s="23"/>
      <c r="S162" s="23"/>
      <c r="T162" s="23"/>
      <c r="U162" s="23"/>
      <c r="V162" s="23"/>
    </row>
    <row r="163" spans="1:22" s="24" customFormat="1" ht="23.1" customHeight="1">
      <c r="A163" s="104" t="s">
        <v>13</v>
      </c>
      <c r="B163" s="36">
        <f>COUNTIF('6'!$C$6:$C$529,"천")</f>
        <v>0</v>
      </c>
      <c r="C163" s="37" t="s">
        <v>5</v>
      </c>
      <c r="D163" s="38">
        <f>SUMIF('6'!$C$6:$C$529,"천",'6'!$E$6:$E$529)</f>
        <v>0</v>
      </c>
      <c r="E163" s="36">
        <f>COUNTIF('6'!$N$6:$N$529,"천국")</f>
        <v>0</v>
      </c>
      <c r="F163" s="37" t="s">
        <v>5</v>
      </c>
      <c r="G163" s="38">
        <f>SUMIF('6'!$N$6:$N$529,"천국",'6'!$E$6:$E$529)</f>
        <v>0</v>
      </c>
      <c r="H163" s="36">
        <f>COUNTIF('6'!$N$6:$N$529,"천공")</f>
        <v>0</v>
      </c>
      <c r="I163" s="37" t="s">
        <v>5</v>
      </c>
      <c r="J163" s="38">
        <f>SUMIF('6'!$N$6:$N$529,"천공",'6'!$E$6:$E$529)</f>
        <v>0</v>
      </c>
      <c r="K163" s="36">
        <f t="shared" si="10"/>
        <v>0</v>
      </c>
      <c r="L163" s="37" t="s">
        <v>5</v>
      </c>
      <c r="M163" s="38">
        <f t="shared" si="11"/>
        <v>0</v>
      </c>
      <c r="N163" s="39"/>
      <c r="O163" s="23"/>
      <c r="P163" s="23"/>
      <c r="Q163" s="23"/>
      <c r="R163" s="23"/>
      <c r="S163" s="23"/>
      <c r="T163" s="23"/>
      <c r="U163" s="23"/>
      <c r="V163" s="23"/>
    </row>
    <row r="164" spans="1:22" s="24" customFormat="1" ht="23.1" customHeight="1">
      <c r="A164" s="104" t="s">
        <v>14</v>
      </c>
      <c r="B164" s="36">
        <f>COUNTIF('6'!$C$6:$C$529,"유")</f>
        <v>0</v>
      </c>
      <c r="C164" s="37" t="s">
        <v>5</v>
      </c>
      <c r="D164" s="38">
        <f>SUMIF('6'!$C$6:$C$529,"유",'6'!$E$6:$E$529)</f>
        <v>0</v>
      </c>
      <c r="E164" s="36">
        <f>COUNTIF('6'!$N$6:$N$529,"유국")</f>
        <v>0</v>
      </c>
      <c r="F164" s="37" t="s">
        <v>5</v>
      </c>
      <c r="G164" s="38">
        <f>SUMIF('6'!$N$6:$N$529,"유국",'6'!$E$6:$E$529)</f>
        <v>0</v>
      </c>
      <c r="H164" s="36">
        <f>COUNTIF('6'!$N$6:$N$529,"유공")</f>
        <v>0</v>
      </c>
      <c r="I164" s="37" t="s">
        <v>5</v>
      </c>
      <c r="J164" s="38">
        <f>SUMIF('6'!$N$6:$N$529,"유공",'6'!$E$6:$E$529)</f>
        <v>0</v>
      </c>
      <c r="K164" s="36">
        <f t="shared" si="10"/>
        <v>0</v>
      </c>
      <c r="L164" s="37" t="s">
        <v>5</v>
      </c>
      <c r="M164" s="38">
        <f t="shared" si="11"/>
        <v>0</v>
      </c>
      <c r="N164" s="39"/>
      <c r="O164" s="23"/>
      <c r="P164" s="23"/>
      <c r="Q164" s="23"/>
      <c r="R164" s="23"/>
      <c r="S164" s="23"/>
      <c r="T164" s="23"/>
      <c r="U164" s="23"/>
      <c r="V164" s="23"/>
    </row>
    <row r="165" spans="1:22" s="24" customFormat="1" ht="23.1" customHeight="1">
      <c r="A165" s="104" t="s">
        <v>15</v>
      </c>
      <c r="B165" s="36">
        <f>COUNTIF('6'!$C$6:$C$529,"제")</f>
        <v>0</v>
      </c>
      <c r="C165" s="37" t="s">
        <v>5</v>
      </c>
      <c r="D165" s="38">
        <f>SUMIF('6'!$C$6:$C$529,"제",'6'!$E$6:$E$529)</f>
        <v>0</v>
      </c>
      <c r="E165" s="36">
        <f>COUNTIF('6'!$N$6:$N$529,"제국")</f>
        <v>0</v>
      </c>
      <c r="F165" s="37" t="s">
        <v>5</v>
      </c>
      <c r="G165" s="38">
        <f>SUMIF('6'!$N$6:$N$529,"제국",'6'!$E$6:$E$529)</f>
        <v>0</v>
      </c>
      <c r="H165" s="36">
        <f>COUNTIF('6'!$N$6:$N$529,"제공")</f>
        <v>0</v>
      </c>
      <c r="I165" s="37" t="s">
        <v>5</v>
      </c>
      <c r="J165" s="38">
        <f>SUMIF('6'!$N$6:$N$529,"제공",'6'!$E$6:$E$529)</f>
        <v>0</v>
      </c>
      <c r="K165" s="36">
        <f t="shared" si="10"/>
        <v>0</v>
      </c>
      <c r="L165" s="37" t="s">
        <v>5</v>
      </c>
      <c r="M165" s="38">
        <f t="shared" si="11"/>
        <v>0</v>
      </c>
      <c r="N165" s="39"/>
      <c r="O165" s="23"/>
      <c r="P165" s="23"/>
      <c r="Q165" s="23"/>
      <c r="R165" s="23"/>
      <c r="S165" s="23"/>
      <c r="T165" s="23"/>
      <c r="U165" s="23"/>
      <c r="V165" s="23"/>
    </row>
    <row r="166" spans="1:22" s="24" customFormat="1" ht="23.1" customHeight="1">
      <c r="A166" s="104" t="s">
        <v>16</v>
      </c>
      <c r="B166" s="36">
        <f>COUNTIF('6'!$C$6:$C$529,"과")</f>
        <v>0</v>
      </c>
      <c r="C166" s="37" t="s">
        <v>5</v>
      </c>
      <c r="D166" s="38">
        <f>SUMIF('6'!$C$6:$C$529,"과",'6'!$E$6:$E$529)</f>
        <v>0</v>
      </c>
      <c r="E166" s="36">
        <f>COUNTIF('6'!$N$6:$N$529,"과국")</f>
        <v>0</v>
      </c>
      <c r="F166" s="37" t="s">
        <v>5</v>
      </c>
      <c r="G166" s="38">
        <f>SUMIF('6'!$N$6:$N$529,"과국",'6'!$E$6:$E$529)</f>
        <v>0</v>
      </c>
      <c r="H166" s="36">
        <f>COUNTIF('6'!$N$6:$N$529,"과공")</f>
        <v>0</v>
      </c>
      <c r="I166" s="37" t="s">
        <v>5</v>
      </c>
      <c r="J166" s="38">
        <f>SUMIF('6'!$N$6:$N$529,"과공",'6'!$E$6:$E$529)</f>
        <v>0</v>
      </c>
      <c r="K166" s="36">
        <f t="shared" si="10"/>
        <v>0</v>
      </c>
      <c r="L166" s="37" t="s">
        <v>5</v>
      </c>
      <c r="M166" s="38">
        <f t="shared" si="11"/>
        <v>0</v>
      </c>
      <c r="N166" s="39"/>
      <c r="O166" s="23"/>
      <c r="P166" s="23"/>
      <c r="Q166" s="23"/>
      <c r="R166" s="23"/>
      <c r="S166" s="23"/>
      <c r="T166" s="23"/>
      <c r="U166" s="23"/>
      <c r="V166" s="23"/>
    </row>
    <row r="167" spans="1:22" s="24" customFormat="1" ht="23.1" customHeight="1">
      <c r="A167" s="104" t="s">
        <v>17</v>
      </c>
      <c r="B167" s="36">
        <f>COUNTIF('6'!$C$6:$C$529,"장")</f>
        <v>0</v>
      </c>
      <c r="C167" s="37" t="s">
        <v>5</v>
      </c>
      <c r="D167" s="38">
        <f>SUMIF('6'!$C$6:$C$529,"장",'6'!$E$6:$E$529)</f>
        <v>0</v>
      </c>
      <c r="E167" s="36">
        <f>COUNTIF('6'!$N$6:$N$529,"장국")</f>
        <v>0</v>
      </c>
      <c r="F167" s="37" t="s">
        <v>5</v>
      </c>
      <c r="G167" s="38">
        <f>SUMIF('6'!$N$6:$N$529,"장국",'6'!$E$6:$E$529)</f>
        <v>0</v>
      </c>
      <c r="H167" s="36">
        <f>COUNTIF('6'!$N$6:$N$529,"장공")</f>
        <v>0</v>
      </c>
      <c r="I167" s="37" t="s">
        <v>5</v>
      </c>
      <c r="J167" s="38">
        <f>SUMIF('6'!$N$6:$N$529,"장공",'6'!$E$6:$E$529)</f>
        <v>0</v>
      </c>
      <c r="K167" s="36">
        <f t="shared" si="10"/>
        <v>0</v>
      </c>
      <c r="L167" s="37" t="s">
        <v>5</v>
      </c>
      <c r="M167" s="38">
        <f t="shared" si="11"/>
        <v>0</v>
      </c>
      <c r="N167" s="39"/>
      <c r="O167" s="23"/>
      <c r="P167" s="23"/>
      <c r="Q167" s="23"/>
      <c r="R167" s="23"/>
      <c r="S167" s="23"/>
      <c r="T167" s="23"/>
      <c r="U167" s="23"/>
      <c r="V167" s="23"/>
    </row>
    <row r="168" spans="1:22" s="24" customFormat="1" ht="23.1" customHeight="1">
      <c r="A168" s="104" t="s">
        <v>18</v>
      </c>
      <c r="B168" s="36">
        <f>COUNTIF('6'!$C$6:$C$529,"목")</f>
        <v>0</v>
      </c>
      <c r="C168" s="37" t="s">
        <v>5</v>
      </c>
      <c r="D168" s="38">
        <f>SUMIF('6'!$C$6:$C$529,"목",'6'!$E$6:$E$529)</f>
        <v>0</v>
      </c>
      <c r="E168" s="36">
        <f>COUNTIF('6'!$N$6:$N$529,"목국")</f>
        <v>0</v>
      </c>
      <c r="F168" s="37" t="s">
        <v>5</v>
      </c>
      <c r="G168" s="38">
        <f>SUMIF('6'!$N$6:$N$529,"목국",'6'!$E$6:$E$529)</f>
        <v>0</v>
      </c>
      <c r="H168" s="36">
        <f>COUNTIF('6'!$N$6:$N$529,"목공")</f>
        <v>0</v>
      </c>
      <c r="I168" s="37" t="s">
        <v>5</v>
      </c>
      <c r="J168" s="38">
        <f>SUMIF('6'!$N$6:$N$529,"목공",'6'!$E$6:$E$529)</f>
        <v>0</v>
      </c>
      <c r="K168" s="36">
        <f t="shared" si="10"/>
        <v>0</v>
      </c>
      <c r="L168" s="37" t="s">
        <v>5</v>
      </c>
      <c r="M168" s="38">
        <f t="shared" si="11"/>
        <v>0</v>
      </c>
      <c r="N168" s="39"/>
      <c r="O168" s="23"/>
      <c r="P168" s="23"/>
      <c r="Q168" s="23"/>
      <c r="R168" s="23"/>
      <c r="S168" s="23"/>
      <c r="T168" s="23"/>
      <c r="U168" s="23"/>
      <c r="V168" s="23"/>
    </row>
    <row r="169" spans="1:22" s="24" customFormat="1" ht="23.1" customHeight="1">
      <c r="A169" s="104" t="s">
        <v>19</v>
      </c>
      <c r="B169" s="36">
        <f>COUNTIF('6'!$C$6:$C$529,"학")</f>
        <v>0</v>
      </c>
      <c r="C169" s="37" t="s">
        <v>5</v>
      </c>
      <c r="D169" s="38">
        <f>SUMIF('6'!$C$6:$C$529,"학",'6'!$E$6:$E$529)</f>
        <v>0</v>
      </c>
      <c r="E169" s="36">
        <f>COUNTIF('6'!$N$6:$N$529,"학국")</f>
        <v>0</v>
      </c>
      <c r="F169" s="37" t="s">
        <v>5</v>
      </c>
      <c r="G169" s="38">
        <f>SUMIF('6'!$N$6:$N$529,"학국",'6'!$E$6:$E$529)</f>
        <v>0</v>
      </c>
      <c r="H169" s="36">
        <f>COUNTIF('6'!$N$6:$N$529,"학공")</f>
        <v>0</v>
      </c>
      <c r="I169" s="37" t="s">
        <v>5</v>
      </c>
      <c r="J169" s="38">
        <f>SUMIF('6'!$N$6:$N$529,"학공",'6'!$E$6:$E$529)</f>
        <v>0</v>
      </c>
      <c r="K169" s="36">
        <f t="shared" si="10"/>
        <v>0</v>
      </c>
      <c r="L169" s="37" t="s">
        <v>5</v>
      </c>
      <c r="M169" s="38">
        <f t="shared" si="11"/>
        <v>0</v>
      </c>
      <c r="N169" s="39"/>
      <c r="O169" s="23"/>
      <c r="P169" s="23"/>
      <c r="Q169" s="23"/>
      <c r="R169" s="23"/>
      <c r="S169" s="23"/>
      <c r="T169" s="23"/>
      <c r="U169" s="23"/>
      <c r="V169" s="23"/>
    </row>
    <row r="170" spans="1:22" s="24" customFormat="1" ht="23.1" customHeight="1">
      <c r="A170" s="104" t="s">
        <v>20</v>
      </c>
      <c r="B170" s="36">
        <f>COUNTIF('6'!$C$6:$C$529,"철")</f>
        <v>0</v>
      </c>
      <c r="C170" s="37" t="s">
        <v>5</v>
      </c>
      <c r="D170" s="38">
        <f>SUMIF('6'!$C$6:$C$529,"철",'6'!$E$6:$E$529)</f>
        <v>0</v>
      </c>
      <c r="E170" s="36">
        <f>COUNTIF('6'!$N$6:$N$529,"철국")</f>
        <v>0</v>
      </c>
      <c r="F170" s="37" t="s">
        <v>5</v>
      </c>
      <c r="G170" s="38">
        <f>SUMIF('6'!$N$6:$N$529,"철국",'6'!$E$6:$E$529)</f>
        <v>0</v>
      </c>
      <c r="H170" s="36">
        <f>COUNTIF('6'!$N$6:$N$529,"철공")</f>
        <v>0</v>
      </c>
      <c r="I170" s="37" t="s">
        <v>5</v>
      </c>
      <c r="J170" s="38">
        <f>SUMIF('6'!$N$6:$N$529,"철공",'6'!$E$6:$E$529)</f>
        <v>0</v>
      </c>
      <c r="K170" s="36">
        <f t="shared" si="10"/>
        <v>0</v>
      </c>
      <c r="L170" s="37" t="s">
        <v>5</v>
      </c>
      <c r="M170" s="38">
        <f t="shared" si="11"/>
        <v>0</v>
      </c>
      <c r="N170" s="39"/>
      <c r="O170" s="23"/>
      <c r="P170" s="23"/>
      <c r="Q170" s="23"/>
      <c r="R170" s="23"/>
      <c r="S170" s="23"/>
      <c r="T170" s="23"/>
      <c r="U170" s="23"/>
      <c r="V170" s="23"/>
    </row>
    <row r="171" spans="1:22" s="24" customFormat="1" ht="23.1" customHeight="1">
      <c r="A171" s="104" t="s">
        <v>21</v>
      </c>
      <c r="B171" s="36">
        <f>COUNTIF('6'!$C$6:$C$529,"묘")</f>
        <v>0</v>
      </c>
      <c r="C171" s="37" t="s">
        <v>5</v>
      </c>
      <c r="D171" s="38">
        <f>SUMIF('6'!$C$6:$C$529,"묘",'6'!$E$6:$E$529)</f>
        <v>0</v>
      </c>
      <c r="E171" s="36">
        <f>COUNTIF('6'!$N$6:$N$529,"묘국")</f>
        <v>0</v>
      </c>
      <c r="F171" s="37" t="s">
        <v>5</v>
      </c>
      <c r="G171" s="38">
        <f>SUMIF('6'!$N$6:$N$529,"묘국",'6'!$E$6:$E$529)</f>
        <v>0</v>
      </c>
      <c r="H171" s="36">
        <f>COUNTIF('6'!$N$6:$N$529,"묘공")</f>
        <v>0</v>
      </c>
      <c r="I171" s="37" t="s">
        <v>5</v>
      </c>
      <c r="J171" s="38">
        <f>SUMIF('6'!$N$6:$N$529,"묘공",'6'!$E$6:$E$529)</f>
        <v>0</v>
      </c>
      <c r="K171" s="36">
        <f t="shared" si="10"/>
        <v>0</v>
      </c>
      <c r="L171" s="37" t="s">
        <v>5</v>
      </c>
      <c r="M171" s="38">
        <f t="shared" si="11"/>
        <v>0</v>
      </c>
      <c r="N171" s="39"/>
      <c r="O171" s="23"/>
      <c r="P171" s="23"/>
      <c r="Q171" s="23"/>
      <c r="R171" s="23"/>
      <c r="S171" s="23"/>
      <c r="T171" s="23"/>
      <c r="U171" s="23"/>
      <c r="V171" s="23"/>
    </row>
    <row r="172" spans="1:22" s="24" customFormat="1" ht="23.1" customHeight="1">
      <c r="A172" s="104" t="s">
        <v>22</v>
      </c>
      <c r="B172" s="36">
        <f>COUNTIF('6'!$C$6:$C$529,"수")</f>
        <v>0</v>
      </c>
      <c r="C172" s="37" t="s">
        <v>5</v>
      </c>
      <c r="D172" s="38">
        <f>SUMIF('6'!$C$6:$C$529,"수",'6'!$E$6:$E$529)</f>
        <v>0</v>
      </c>
      <c r="E172" s="36">
        <f>COUNTIF('6'!$N$6:$N$529,"수국")</f>
        <v>0</v>
      </c>
      <c r="F172" s="37" t="s">
        <v>5</v>
      </c>
      <c r="G172" s="38">
        <f>SUMIF('6'!$N$6:$N$529,"수국",'6'!$E$6:$E$529)</f>
        <v>0</v>
      </c>
      <c r="H172" s="36">
        <f>COUNTIF('6'!$N$6:$N$529,"수공")</f>
        <v>0</v>
      </c>
      <c r="I172" s="37" t="s">
        <v>5</v>
      </c>
      <c r="J172" s="38">
        <f>SUMIF('6'!$N$6:$N$529,"수공",'6'!$E$6:$E$529)</f>
        <v>0</v>
      </c>
      <c r="K172" s="36">
        <f t="shared" si="10"/>
        <v>0</v>
      </c>
      <c r="L172" s="37" t="s">
        <v>5</v>
      </c>
      <c r="M172" s="38">
        <f t="shared" si="11"/>
        <v>0</v>
      </c>
      <c r="N172" s="39"/>
      <c r="O172" s="23"/>
      <c r="P172" s="23"/>
      <c r="Q172" s="23"/>
      <c r="R172" s="23"/>
      <c r="S172" s="23"/>
      <c r="T172" s="23"/>
      <c r="U172" s="23"/>
      <c r="V172" s="23"/>
    </row>
    <row r="173" spans="1:22" s="24" customFormat="1" ht="23.1" customHeight="1">
      <c r="A173" s="104" t="s">
        <v>23</v>
      </c>
      <c r="B173" s="36">
        <f>COUNTIF('6'!$C$6:$C$529,"잡")</f>
        <v>0</v>
      </c>
      <c r="C173" s="37" t="s">
        <v>5</v>
      </c>
      <c r="D173" s="38">
        <f>SUMIF('6'!$C$6:$C$529,"잡",'6'!$E$6:$E$529)</f>
        <v>0</v>
      </c>
      <c r="E173" s="36">
        <f>COUNTIF('6'!$N$6:$N$529,"잡국")</f>
        <v>0</v>
      </c>
      <c r="F173" s="37" t="s">
        <v>5</v>
      </c>
      <c r="G173" s="38">
        <f>SUMIF('6'!$N$6:$N$529,"잡국",'6'!$E$6:$E$529)</f>
        <v>0</v>
      </c>
      <c r="H173" s="36">
        <f>COUNTIF('6'!$N$6:$N$529,"잡공")</f>
        <v>0</v>
      </c>
      <c r="I173" s="37" t="s">
        <v>5</v>
      </c>
      <c r="J173" s="38">
        <f>SUMIF('6'!$N$6:$N$529,"잡공",'6'!$E$6:$E$529)</f>
        <v>0</v>
      </c>
      <c r="K173" s="36">
        <f t="shared" si="10"/>
        <v>0</v>
      </c>
      <c r="L173" s="37" t="s">
        <v>5</v>
      </c>
      <c r="M173" s="38">
        <f t="shared" si="11"/>
        <v>0</v>
      </c>
      <c r="N173" s="39"/>
      <c r="O173" s="23"/>
      <c r="P173" s="23"/>
      <c r="Q173" s="23"/>
      <c r="R173" s="23"/>
      <c r="S173" s="23"/>
      <c r="T173" s="23"/>
      <c r="U173" s="23"/>
      <c r="V173" s="23"/>
    </row>
    <row r="174" spans="1:22" s="24" customFormat="1" ht="23.1" customHeight="1">
      <c r="A174" s="105" t="s">
        <v>24</v>
      </c>
      <c r="B174" s="36">
        <f>COUNTIF('6'!$C$6:$C$529,"종")</f>
        <v>0</v>
      </c>
      <c r="C174" s="37" t="s">
        <v>5</v>
      </c>
      <c r="D174" s="38">
        <f>SUMIF('6'!$C$6:$C$529,"종",'6'!$E$6:$E$529)</f>
        <v>0</v>
      </c>
      <c r="E174" s="36">
        <f>COUNTIF('6'!$N$6:$N$529,"종국")</f>
        <v>0</v>
      </c>
      <c r="F174" s="37" t="s">
        <v>5</v>
      </c>
      <c r="G174" s="38">
        <f>SUMIF('6'!$N$6:$N$529,"종국",'6'!$E$6:$E$529)</f>
        <v>0</v>
      </c>
      <c r="H174" s="36">
        <f>COUNTIF('6'!$N$6:$N$529,"종공")</f>
        <v>0</v>
      </c>
      <c r="I174" s="37" t="s">
        <v>5</v>
      </c>
      <c r="J174" s="38">
        <f>SUMIF('6'!$N$6:$N$529,"종공",'6'!$E$6:$E$529)</f>
        <v>0</v>
      </c>
      <c r="K174" s="36">
        <f t="shared" si="10"/>
        <v>0</v>
      </c>
      <c r="L174" s="37" t="s">
        <v>5</v>
      </c>
      <c r="M174" s="38">
        <f t="shared" si="11"/>
        <v>0</v>
      </c>
      <c r="N174" s="39"/>
      <c r="O174" s="23"/>
      <c r="P174" s="23"/>
      <c r="Q174" s="23"/>
      <c r="R174" s="23"/>
      <c r="S174" s="23"/>
      <c r="T174" s="23"/>
      <c r="U174" s="23"/>
      <c r="V174" s="23"/>
    </row>
    <row r="175" spans="1:22" s="24" customFormat="1" ht="23.1" customHeight="1">
      <c r="A175" s="105" t="s">
        <v>25</v>
      </c>
      <c r="B175" s="36">
        <f>COUNTIF('6'!$C$6:$C$529,"염")</f>
        <v>0</v>
      </c>
      <c r="C175" s="37" t="s">
        <v>5</v>
      </c>
      <c r="D175" s="38">
        <f>SUMIF('6'!$C$6:$C$529,"염",'6'!$E$6:$E$529)</f>
        <v>0</v>
      </c>
      <c r="E175" s="36">
        <f>COUNTIF('6'!$N$6:$N$529,"염국")</f>
        <v>0</v>
      </c>
      <c r="F175" s="37" t="s">
        <v>5</v>
      </c>
      <c r="G175" s="38">
        <f>SUMIF('6'!$N$6:$N$529,"염국",'6'!$E$6:$E$529)</f>
        <v>0</v>
      </c>
      <c r="H175" s="36">
        <f>COUNTIF('6'!$N$6:$N$529,"염공")</f>
        <v>0</v>
      </c>
      <c r="I175" s="37" t="s">
        <v>5</v>
      </c>
      <c r="J175" s="38">
        <f>SUMIF('6'!$N$6:$N$529,"염공",'6'!$E$6:$E$529)</f>
        <v>0</v>
      </c>
      <c r="K175" s="36">
        <f t="shared" si="10"/>
        <v>0</v>
      </c>
      <c r="L175" s="37" t="s">
        <v>5</v>
      </c>
      <c r="M175" s="38">
        <f t="shared" si="11"/>
        <v>0</v>
      </c>
      <c r="N175" s="39"/>
      <c r="O175" s="23"/>
      <c r="P175" s="23"/>
      <c r="Q175" s="23"/>
      <c r="R175" s="23"/>
      <c r="S175" s="23"/>
      <c r="T175" s="23"/>
      <c r="U175" s="23"/>
      <c r="V175" s="23"/>
    </row>
    <row r="176" spans="1:22" s="24" customFormat="1" ht="23.1" customHeight="1">
      <c r="A176" s="105" t="s">
        <v>26</v>
      </c>
      <c r="B176" s="36">
        <f>COUNTIF('6'!$C$6:$C$529,"공")</f>
        <v>0</v>
      </c>
      <c r="C176" s="37" t="s">
        <v>5</v>
      </c>
      <c r="D176" s="38">
        <f>SUMIF('6'!$C$6:$C$529,"공",'6'!$E$6:$E$529)</f>
        <v>0</v>
      </c>
      <c r="E176" s="36">
        <f>COUNTIF('6'!$N$6:$N$529,"공국")</f>
        <v>0</v>
      </c>
      <c r="F176" s="37" t="s">
        <v>5</v>
      </c>
      <c r="G176" s="38">
        <f>SUMIF('6'!$N$6:$N$529,"공국",'6'!$E$6:$E$529)</f>
        <v>0</v>
      </c>
      <c r="H176" s="36">
        <f>COUNTIF('6'!$N$6:$N$529,"공공")</f>
        <v>0</v>
      </c>
      <c r="I176" s="37" t="s">
        <v>5</v>
      </c>
      <c r="J176" s="38">
        <f>SUMIF('6'!$N$6:$N$529,"공공",'6'!$E$6:$E$529)</f>
        <v>0</v>
      </c>
      <c r="K176" s="36">
        <f t="shared" si="10"/>
        <v>0</v>
      </c>
      <c r="L176" s="37" t="s">
        <v>5</v>
      </c>
      <c r="M176" s="38">
        <f t="shared" si="11"/>
        <v>0</v>
      </c>
      <c r="N176" s="39"/>
      <c r="O176" s="23"/>
      <c r="P176" s="23"/>
      <c r="Q176" s="23"/>
      <c r="R176" s="23"/>
      <c r="S176" s="23"/>
      <c r="T176" s="23"/>
      <c r="U176" s="23"/>
      <c r="V176" s="23"/>
    </row>
    <row r="177" spans="1:22" s="24" customFormat="1" ht="23.1" customHeight="1">
      <c r="A177" s="105" t="s">
        <v>27</v>
      </c>
      <c r="B177" s="36">
        <f>COUNTIF('6'!$C$6:$C$529,"체")</f>
        <v>0</v>
      </c>
      <c r="C177" s="37" t="s">
        <v>5</v>
      </c>
      <c r="D177" s="38">
        <f>SUMIF('6'!$C$6:$C$529,"체",'6'!$E$6:$E$529)</f>
        <v>0</v>
      </c>
      <c r="E177" s="36">
        <f>COUNTIF('6'!$N$6:$N$529,"체국")</f>
        <v>0</v>
      </c>
      <c r="F177" s="37" t="s">
        <v>5</v>
      </c>
      <c r="G177" s="38">
        <f>SUMIF('6'!$N$6:$N$529,"체국",'6'!$E$6:$E$529)</f>
        <v>0</v>
      </c>
      <c r="H177" s="36">
        <f>COUNTIF('6'!$N$6:$N$529,"체공")</f>
        <v>0</v>
      </c>
      <c r="I177" s="37" t="s">
        <v>5</v>
      </c>
      <c r="J177" s="38">
        <f>SUMIF('6'!$N$6:$N$529,"체공",'6'!$E$6:$E$529)</f>
        <v>0</v>
      </c>
      <c r="K177" s="36">
        <f t="shared" si="10"/>
        <v>0</v>
      </c>
      <c r="L177" s="37" t="s">
        <v>5</v>
      </c>
      <c r="M177" s="38">
        <f t="shared" si="11"/>
        <v>0</v>
      </c>
      <c r="N177" s="39"/>
      <c r="O177" s="23"/>
      <c r="P177" s="23"/>
      <c r="Q177" s="23"/>
      <c r="R177" s="23"/>
      <c r="S177" s="23"/>
      <c r="T177" s="23"/>
      <c r="U177" s="23"/>
      <c r="V177" s="23"/>
    </row>
    <row r="178" spans="1:22" s="24" customFormat="1" ht="23.1" customHeight="1">
      <c r="A178" s="105" t="s">
        <v>28</v>
      </c>
      <c r="B178" s="36">
        <f>COUNTIF('6'!$C$6:$C$529,"원")</f>
        <v>0</v>
      </c>
      <c r="C178" s="37" t="s">
        <v>5</v>
      </c>
      <c r="D178" s="38">
        <f>SUMIF('6'!$C$6:$C$529,"원",'6'!$E$6:$E$529)</f>
        <v>0</v>
      </c>
      <c r="E178" s="36">
        <f>COUNTIF('6'!$N$6:$N$529,"원국")</f>
        <v>0</v>
      </c>
      <c r="F178" s="37" t="s">
        <v>5</v>
      </c>
      <c r="G178" s="38">
        <f>SUMIF('6'!$N$6:$N$529,"원국",'6'!$E$6:$E$529)</f>
        <v>0</v>
      </c>
      <c r="H178" s="36">
        <f>COUNTIF('6'!$N$6:$N$529,"원공")</f>
        <v>0</v>
      </c>
      <c r="I178" s="37" t="s">
        <v>5</v>
      </c>
      <c r="J178" s="38">
        <f>SUMIF('6'!$N$6:$N$529,"원공",'6'!$E$6:$E$529)</f>
        <v>0</v>
      </c>
      <c r="K178" s="36">
        <f t="shared" si="10"/>
        <v>0</v>
      </c>
      <c r="L178" s="37" t="s">
        <v>5</v>
      </c>
      <c r="M178" s="38">
        <f t="shared" si="11"/>
        <v>0</v>
      </c>
      <c r="N178" s="39"/>
      <c r="O178" s="23"/>
      <c r="P178" s="23"/>
      <c r="Q178" s="23"/>
      <c r="R178" s="23"/>
      <c r="S178" s="23"/>
      <c r="T178" s="23"/>
      <c r="U178" s="23"/>
      <c r="V178" s="23"/>
    </row>
    <row r="179" spans="1:22" s="24" customFormat="1" ht="23.1" customHeight="1">
      <c r="A179" s="105" t="s">
        <v>60</v>
      </c>
      <c r="B179" s="36">
        <f>COUNTIF('6'!$C$6:$C$529,"차")</f>
        <v>0</v>
      </c>
      <c r="C179" s="37" t="s">
        <v>5</v>
      </c>
      <c r="D179" s="38">
        <f>SUMIF('6'!$C$6:$C$529,"차",'6'!$E$6:$E$529)</f>
        <v>0</v>
      </c>
      <c r="E179" s="36">
        <f>COUNTIF('6'!$N$6:$N$529,"차국")</f>
        <v>0</v>
      </c>
      <c r="F179" s="37" t="s">
        <v>5</v>
      </c>
      <c r="G179" s="38">
        <f>SUMIF('6'!$N$6:$N$529,"차국",'6'!$E$6:$E$529)</f>
        <v>0</v>
      </c>
      <c r="H179" s="36">
        <f>COUNTIF('6'!$N$6:$N$529,"차공")</f>
        <v>0</v>
      </c>
      <c r="I179" s="37" t="s">
        <v>5</v>
      </c>
      <c r="J179" s="38">
        <f>SUMIF('6'!$N$6:$N$529,"차공",'6'!$E$6:$E$529)</f>
        <v>0</v>
      </c>
      <c r="K179" s="36">
        <f t="shared" si="10"/>
        <v>0</v>
      </c>
      <c r="L179" s="37" t="s">
        <v>5</v>
      </c>
      <c r="M179" s="38">
        <f t="shared" si="11"/>
        <v>0</v>
      </c>
      <c r="N179" s="39"/>
      <c r="O179" s="23"/>
      <c r="P179" s="23"/>
      <c r="Q179" s="23"/>
      <c r="R179" s="23"/>
      <c r="S179" s="23"/>
      <c r="T179" s="23"/>
      <c r="U179" s="23"/>
      <c r="V179" s="23"/>
    </row>
    <row r="180" spans="1:22" s="24" customFormat="1" ht="23.1" customHeight="1">
      <c r="A180" s="105" t="s">
        <v>61</v>
      </c>
      <c r="B180" s="36">
        <f>COUNTIF('6'!$C$6:$C$529,"주")</f>
        <v>0</v>
      </c>
      <c r="C180" s="37" t="s">
        <v>5</v>
      </c>
      <c r="D180" s="38">
        <f>SUMIF('6'!$C$6:$C$529,"주",'6'!$E$6:$E$529)</f>
        <v>0</v>
      </c>
      <c r="E180" s="36">
        <f>COUNTIF('6'!$N$6:$N$529,"주국")</f>
        <v>0</v>
      </c>
      <c r="F180" s="37" t="s">
        <v>5</v>
      </c>
      <c r="G180" s="38">
        <f>SUMIF('6'!$N$6:$N$529,"주국",'6'!$E$6:$E$529)</f>
        <v>0</v>
      </c>
      <c r="H180" s="36">
        <f>COUNTIF('6'!$N$6:$N$529,"주공")</f>
        <v>0</v>
      </c>
      <c r="I180" s="37" t="s">
        <v>5</v>
      </c>
      <c r="J180" s="38">
        <f>SUMIF('6'!$N$6:$N$529,"주공",'6'!$E$6:$E$529)</f>
        <v>0</v>
      </c>
      <c r="K180" s="36">
        <f t="shared" si="10"/>
        <v>0</v>
      </c>
      <c r="L180" s="37" t="s">
        <v>5</v>
      </c>
      <c r="M180" s="38">
        <f t="shared" si="11"/>
        <v>0</v>
      </c>
      <c r="N180" s="39"/>
      <c r="O180" s="23"/>
      <c r="P180" s="23"/>
      <c r="Q180" s="23"/>
      <c r="R180" s="23"/>
      <c r="S180" s="23"/>
      <c r="T180" s="23"/>
      <c r="U180" s="23"/>
      <c r="V180" s="23"/>
    </row>
    <row r="181" spans="1:22" s="24" customFormat="1" ht="23.1" customHeight="1">
      <c r="A181" s="106" t="s">
        <v>62</v>
      </c>
      <c r="B181" s="40">
        <f>COUNTIF('6'!$C$6:$C$529," ")</f>
        <v>0</v>
      </c>
      <c r="C181" s="41" t="s">
        <v>5</v>
      </c>
      <c r="D181" s="42">
        <f>SUMIF('6'!$C$6:$C$529," ",'6'!$E$6:$E$529)</f>
        <v>0</v>
      </c>
      <c r="E181" s="40">
        <f>COUNTIF('6'!$N$6:$N$529," 국")</f>
        <v>0</v>
      </c>
      <c r="F181" s="41" t="s">
        <v>5</v>
      </c>
      <c r="G181" s="42">
        <f>SUMIF('6'!$N$6:$N$529," 국",'6'!$E$6:$E$529)</f>
        <v>0</v>
      </c>
      <c r="H181" s="40">
        <f>COUNTIF('6'!$N$6:$N$529," 공")</f>
        <v>0</v>
      </c>
      <c r="I181" s="41" t="s">
        <v>5</v>
      </c>
      <c r="J181" s="42">
        <f>SUMIF('6'!$N$6:$N$529," 공",'6'!$E$6:$E$529)</f>
        <v>0</v>
      </c>
      <c r="K181" s="40">
        <f t="shared" si="10"/>
        <v>0</v>
      </c>
      <c r="L181" s="41" t="s">
        <v>5</v>
      </c>
      <c r="M181" s="42">
        <f t="shared" si="11"/>
        <v>0</v>
      </c>
      <c r="N181" s="43"/>
      <c r="O181" s="23"/>
      <c r="P181" s="23"/>
      <c r="Q181" s="23"/>
      <c r="R181" s="23"/>
      <c r="S181" s="23"/>
      <c r="T181" s="23"/>
      <c r="U181" s="23"/>
      <c r="V181" s="23"/>
    </row>
    <row r="182" spans="1:22" s="17" customFormat="1" ht="20.100000000000001" customHeight="1">
      <c r="A182" s="11">
        <f>IF(EXACT(O186,O187),,"검산확인요!!!")</f>
        <v>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3">
        <f>IF(ISBLANK('7'!K2),,'7'!K2)</f>
        <v>3</v>
      </c>
      <c r="L182" s="14"/>
      <c r="M182" s="15"/>
      <c r="N182" s="16"/>
    </row>
    <row r="183" spans="1:22" s="17" customFormat="1" ht="9.9499999999999993" customHeight="1">
      <c r="A183" s="1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</row>
    <row r="184" spans="1:22" s="24" customFormat="1" ht="27.95" customHeight="1">
      <c r="A184" s="18" t="s">
        <v>3</v>
      </c>
      <c r="B184" s="19" t="s">
        <v>2</v>
      </c>
      <c r="C184" s="20"/>
      <c r="D184" s="21"/>
      <c r="E184" s="19" t="s">
        <v>29</v>
      </c>
      <c r="F184" s="20"/>
      <c r="G184" s="21"/>
      <c r="H184" s="19" t="s">
        <v>38</v>
      </c>
      <c r="I184" s="20"/>
      <c r="J184" s="21"/>
      <c r="K184" s="19" t="s">
        <v>30</v>
      </c>
      <c r="L184" s="20"/>
      <c r="M184" s="21"/>
      <c r="N184" s="22" t="s">
        <v>31</v>
      </c>
      <c r="O184" s="23"/>
      <c r="S184" s="23"/>
      <c r="T184" s="23"/>
      <c r="U184" s="23"/>
      <c r="V184" s="23"/>
    </row>
    <row r="185" spans="1:22" s="24" customFormat="1" ht="27.95" customHeight="1">
      <c r="A185" s="25"/>
      <c r="B185" s="26" t="s">
        <v>4</v>
      </c>
      <c r="C185" s="27" t="s">
        <v>5</v>
      </c>
      <c r="D185" s="28" t="s">
        <v>32</v>
      </c>
      <c r="E185" s="26" t="s">
        <v>4</v>
      </c>
      <c r="F185" s="27" t="s">
        <v>5</v>
      </c>
      <c r="G185" s="28" t="s">
        <v>32</v>
      </c>
      <c r="H185" s="26" t="s">
        <v>4</v>
      </c>
      <c r="I185" s="27" t="s">
        <v>5</v>
      </c>
      <c r="J185" s="28" t="s">
        <v>32</v>
      </c>
      <c r="K185" s="26" t="s">
        <v>4</v>
      </c>
      <c r="L185" s="27" t="s">
        <v>5</v>
      </c>
      <c r="M185" s="28" t="s">
        <v>32</v>
      </c>
      <c r="N185" s="29"/>
      <c r="P185" s="23"/>
      <c r="Q185" s="30" t="s">
        <v>33</v>
      </c>
      <c r="R185" s="30" t="s">
        <v>34</v>
      </c>
      <c r="S185" s="30" t="s">
        <v>35</v>
      </c>
      <c r="T185" s="30" t="s">
        <v>36</v>
      </c>
      <c r="U185" s="23"/>
      <c r="V185" s="23"/>
    </row>
    <row r="186" spans="1:22" s="24" customFormat="1" ht="23.1" customHeight="1">
      <c r="A186" s="103" t="s">
        <v>2</v>
      </c>
      <c r="B186" s="31">
        <f>SUM(B187:B211)</f>
        <v>0</v>
      </c>
      <c r="C186" s="32" t="s">
        <v>5</v>
      </c>
      <c r="D186" s="33">
        <f>SUM(D187:D211)</f>
        <v>0</v>
      </c>
      <c r="E186" s="31">
        <f>SUM(E187:E211)</f>
        <v>0</v>
      </c>
      <c r="F186" s="32" t="s">
        <v>5</v>
      </c>
      <c r="G186" s="33">
        <f>SUM(G187:G211)</f>
        <v>0</v>
      </c>
      <c r="H186" s="31">
        <f>SUM(H187:H211)</f>
        <v>0</v>
      </c>
      <c r="I186" s="32" t="s">
        <v>5</v>
      </c>
      <c r="J186" s="33">
        <f>SUM(J187:J211)</f>
        <v>0</v>
      </c>
      <c r="K186" s="31">
        <f>SUM(K187:K211)</f>
        <v>0</v>
      </c>
      <c r="L186" s="32" t="s">
        <v>5</v>
      </c>
      <c r="M186" s="33">
        <f>SUM(M187:M211)</f>
        <v>0</v>
      </c>
      <c r="N186" s="34"/>
      <c r="O186" s="23" t="str">
        <f>IF(EXACT(Q186,T186),"맞음","틀림")</f>
        <v>맞음</v>
      </c>
      <c r="P186" s="23" t="s">
        <v>4</v>
      </c>
      <c r="Q186" s="35">
        <f>SUM(B187:B211)</f>
        <v>0</v>
      </c>
      <c r="R186" s="35">
        <f>SUM(E187:E211)</f>
        <v>0</v>
      </c>
      <c r="S186" s="35">
        <f>SUM(K187:K211)</f>
        <v>0</v>
      </c>
      <c r="T186" s="35">
        <f>K186+E186</f>
        <v>0</v>
      </c>
      <c r="U186" s="23"/>
      <c r="V186" s="23"/>
    </row>
    <row r="187" spans="1:22" s="24" customFormat="1" ht="23.1" customHeight="1">
      <c r="A187" s="104" t="s">
        <v>7</v>
      </c>
      <c r="B187" s="36">
        <f>COUNTIF('7'!$C$6:$C$529,"전")</f>
        <v>0</v>
      </c>
      <c r="C187" s="37" t="s">
        <v>5</v>
      </c>
      <c r="D187" s="38">
        <f>SUMIF('7'!$C$6:$C$529,"전",'7'!$E$6:$E$529)</f>
        <v>0</v>
      </c>
      <c r="E187" s="36">
        <f>COUNTIF('7'!$N$6:$N$529,"전국")</f>
        <v>0</v>
      </c>
      <c r="F187" s="37" t="s">
        <v>5</v>
      </c>
      <c r="G187" s="38">
        <f>SUMIF('7'!$N$6:$N$529,"전국",'7'!$E$6:$E$529)</f>
        <v>0</v>
      </c>
      <c r="H187" s="36">
        <f>COUNTIF('7'!$N$6:$N$529,"전공")</f>
        <v>0</v>
      </c>
      <c r="I187" s="37" t="s">
        <v>5</v>
      </c>
      <c r="J187" s="38">
        <f>SUMIF('7'!$N$6:$N$529,"전공",'7'!$E$6:$E$529)</f>
        <v>0</v>
      </c>
      <c r="K187" s="36">
        <f t="shared" ref="K187:K211" si="12">SUM(B187-E187-H187)</f>
        <v>0</v>
      </c>
      <c r="L187" s="37" t="s">
        <v>5</v>
      </c>
      <c r="M187" s="38">
        <f t="shared" ref="M187:M211" si="13">SUM(D187-G187-J187)</f>
        <v>0</v>
      </c>
      <c r="N187" s="39"/>
      <c r="O187" s="23" t="str">
        <f>IF(EXACT(Q187,T187),"맞음","틀림")</f>
        <v>맞음</v>
      </c>
      <c r="P187" s="23" t="s">
        <v>37</v>
      </c>
      <c r="Q187" s="35">
        <f>SUM(D187:D211)</f>
        <v>0</v>
      </c>
      <c r="R187" s="35">
        <f>SUM(G187:G211)</f>
        <v>0</v>
      </c>
      <c r="S187" s="35">
        <f>SUM(M187:M211)</f>
        <v>0</v>
      </c>
      <c r="T187" s="35">
        <f>G186+M186</f>
        <v>0</v>
      </c>
      <c r="U187" s="23"/>
      <c r="V187" s="23"/>
    </row>
    <row r="188" spans="1:22" s="24" customFormat="1" ht="23.1" customHeight="1">
      <c r="A188" s="104" t="s">
        <v>8</v>
      </c>
      <c r="B188" s="36">
        <f>COUNTIF('7'!$C$6:$C$529,"답")</f>
        <v>0</v>
      </c>
      <c r="C188" s="37" t="s">
        <v>5</v>
      </c>
      <c r="D188" s="38">
        <f>SUMIF('7'!$C$6:$C$529,"답",'7'!$E$6:$E$529)</f>
        <v>0</v>
      </c>
      <c r="E188" s="36">
        <f>COUNTIF('7'!$N$6:$N$529,"답국")</f>
        <v>0</v>
      </c>
      <c r="F188" s="37" t="s">
        <v>5</v>
      </c>
      <c r="G188" s="38">
        <f>SUMIF('7'!$N$6:$N$529,"답국",'7'!$E$6:$E$529)</f>
        <v>0</v>
      </c>
      <c r="H188" s="36">
        <f>COUNTIF('7'!$N$6:$N$529,"답공")</f>
        <v>0</v>
      </c>
      <c r="I188" s="37" t="s">
        <v>5</v>
      </c>
      <c r="J188" s="38">
        <f>SUMIF('7'!$N$6:$N$529,"답공",'7'!$E$6:$E$529)</f>
        <v>0</v>
      </c>
      <c r="K188" s="36">
        <f t="shared" si="12"/>
        <v>0</v>
      </c>
      <c r="L188" s="37" t="s">
        <v>5</v>
      </c>
      <c r="M188" s="38">
        <f t="shared" si="13"/>
        <v>0</v>
      </c>
      <c r="N188" s="39"/>
      <c r="Q188" s="23"/>
      <c r="S188" s="23"/>
      <c r="U188" s="23"/>
      <c r="V188" s="23"/>
    </row>
    <row r="189" spans="1:22" s="24" customFormat="1" ht="23.1" customHeight="1">
      <c r="A189" s="104" t="s">
        <v>9</v>
      </c>
      <c r="B189" s="36">
        <f>COUNTIF('7'!$C$6:$C$529,"임")</f>
        <v>0</v>
      </c>
      <c r="C189" s="37" t="s">
        <v>5</v>
      </c>
      <c r="D189" s="38">
        <f>SUMIF('7'!$C$6:$C$529,"임",'7'!$E$6:$E$529)</f>
        <v>0</v>
      </c>
      <c r="E189" s="36">
        <f>COUNTIF('7'!$N$6:$N$529,"임국")</f>
        <v>0</v>
      </c>
      <c r="F189" s="37" t="s">
        <v>5</v>
      </c>
      <c r="G189" s="38">
        <f>SUMIF('7'!$N$6:$N$529,"임국",'7'!$E$6:$E$529)</f>
        <v>0</v>
      </c>
      <c r="H189" s="36">
        <f>COUNTIF('7'!$N$6:$N$529,"임공")</f>
        <v>0</v>
      </c>
      <c r="I189" s="37" t="s">
        <v>5</v>
      </c>
      <c r="J189" s="38">
        <f>SUMIF('7'!$N$6:$N$529,"임공",'7'!$E$6:$E$529)</f>
        <v>0</v>
      </c>
      <c r="K189" s="36">
        <f t="shared" si="12"/>
        <v>0</v>
      </c>
      <c r="L189" s="37" t="s">
        <v>5</v>
      </c>
      <c r="M189" s="38">
        <f t="shared" si="13"/>
        <v>0</v>
      </c>
      <c r="N189" s="39"/>
      <c r="Q189" s="23"/>
      <c r="S189" s="23"/>
      <c r="U189" s="23"/>
      <c r="V189" s="23"/>
    </row>
    <row r="190" spans="1:22" s="24" customFormat="1" ht="23.1" customHeight="1">
      <c r="A190" s="104" t="s">
        <v>10</v>
      </c>
      <c r="B190" s="36">
        <f>COUNTIF('7'!$C$6:$C$529,"대")</f>
        <v>0</v>
      </c>
      <c r="C190" s="37" t="s">
        <v>5</v>
      </c>
      <c r="D190" s="38">
        <f>SUMIF('7'!$C$6:$C$529,"대",'7'!$E$6:$E$529)</f>
        <v>0</v>
      </c>
      <c r="E190" s="36">
        <f>COUNTIF('7'!$N$6:$N$529,"대국")</f>
        <v>0</v>
      </c>
      <c r="F190" s="37" t="s">
        <v>5</v>
      </c>
      <c r="G190" s="38">
        <f>SUMIF('7'!$N$6:$N$529,"대국",'7'!$E$6:$E$529)</f>
        <v>0</v>
      </c>
      <c r="H190" s="36">
        <f>COUNTIF('7'!$N$6:$N$529,"대공")</f>
        <v>0</v>
      </c>
      <c r="I190" s="37" t="s">
        <v>5</v>
      </c>
      <c r="J190" s="38">
        <f>SUMIF('7'!$N$6:$N$529,"대공",'7'!$E$6:$E$529)</f>
        <v>0</v>
      </c>
      <c r="K190" s="36">
        <f t="shared" si="12"/>
        <v>0</v>
      </c>
      <c r="L190" s="37" t="s">
        <v>5</v>
      </c>
      <c r="M190" s="38">
        <f t="shared" si="13"/>
        <v>0</v>
      </c>
      <c r="N190" s="39"/>
      <c r="O190" s="23"/>
      <c r="P190" s="23"/>
      <c r="Q190" s="23"/>
      <c r="R190" s="23"/>
      <c r="S190" s="23"/>
      <c r="T190" s="23"/>
      <c r="U190" s="23"/>
      <c r="V190" s="23"/>
    </row>
    <row r="191" spans="1:22" s="24" customFormat="1" ht="23.1" customHeight="1">
      <c r="A191" s="104" t="s">
        <v>11</v>
      </c>
      <c r="B191" s="36">
        <f>COUNTIF('7'!$C$6:$C$529,"도")</f>
        <v>0</v>
      </c>
      <c r="C191" s="37" t="s">
        <v>5</v>
      </c>
      <c r="D191" s="38">
        <f>SUMIF('7'!$C$6:$C$529,"도",'7'!$E$6:$E$529)</f>
        <v>0</v>
      </c>
      <c r="E191" s="36">
        <f>COUNTIF('7'!$N$6:$N$529,"도국")</f>
        <v>0</v>
      </c>
      <c r="F191" s="37" t="s">
        <v>5</v>
      </c>
      <c r="G191" s="38">
        <f>SUMIF('7'!$N$6:$N$529,"도국",'7'!$E$6:$E$529)</f>
        <v>0</v>
      </c>
      <c r="H191" s="36">
        <f>COUNTIF('7'!$N$6:$N$529,"도공")</f>
        <v>0</v>
      </c>
      <c r="I191" s="37" t="s">
        <v>5</v>
      </c>
      <c r="J191" s="38">
        <f>SUMIF('7'!$N$6:$N$529,"도공",'7'!$E$6:$E$529)</f>
        <v>0</v>
      </c>
      <c r="K191" s="36">
        <f t="shared" si="12"/>
        <v>0</v>
      </c>
      <c r="L191" s="37" t="s">
        <v>5</v>
      </c>
      <c r="M191" s="38">
        <f t="shared" si="13"/>
        <v>0</v>
      </c>
      <c r="N191" s="39"/>
      <c r="O191" s="23"/>
      <c r="P191" s="23"/>
      <c r="Q191" s="23"/>
      <c r="R191" s="23"/>
      <c r="S191" s="23"/>
      <c r="T191" s="23"/>
      <c r="U191" s="23"/>
      <c r="V191" s="23"/>
    </row>
    <row r="192" spans="1:22" s="24" customFormat="1" ht="23.1" customHeight="1">
      <c r="A192" s="104" t="s">
        <v>12</v>
      </c>
      <c r="B192" s="36">
        <f>COUNTIF('7'!$C$6:$C$529,"구")</f>
        <v>0</v>
      </c>
      <c r="C192" s="37" t="s">
        <v>5</v>
      </c>
      <c r="D192" s="38">
        <f>SUMIF('7'!$C$6:$C$529,"구",'7'!$E$6:$E$529)</f>
        <v>0</v>
      </c>
      <c r="E192" s="36">
        <f>COUNTIF('7'!$N$6:$N$529,"구국")</f>
        <v>0</v>
      </c>
      <c r="F192" s="37" t="s">
        <v>5</v>
      </c>
      <c r="G192" s="38">
        <f>SUMIF('7'!$N$6:$N$529,"구국",'7'!$E$6:$E$529)</f>
        <v>0</v>
      </c>
      <c r="H192" s="36">
        <f>COUNTIF('7'!$N$6:$N$529,"구공")</f>
        <v>0</v>
      </c>
      <c r="I192" s="37" t="s">
        <v>5</v>
      </c>
      <c r="J192" s="38">
        <f>SUMIF('7'!$N$6:$N$529,"구공",'7'!$E$6:$E$529)</f>
        <v>0</v>
      </c>
      <c r="K192" s="36">
        <f t="shared" si="12"/>
        <v>0</v>
      </c>
      <c r="L192" s="37" t="s">
        <v>5</v>
      </c>
      <c r="M192" s="38">
        <f t="shared" si="13"/>
        <v>0</v>
      </c>
      <c r="N192" s="39"/>
      <c r="O192" s="23"/>
      <c r="P192" s="23"/>
      <c r="Q192" s="23"/>
      <c r="R192" s="23"/>
      <c r="S192" s="23"/>
      <c r="T192" s="23"/>
      <c r="U192" s="23"/>
      <c r="V192" s="23"/>
    </row>
    <row r="193" spans="1:22" s="24" customFormat="1" ht="23.1" customHeight="1">
      <c r="A193" s="104" t="s">
        <v>13</v>
      </c>
      <c r="B193" s="36">
        <f>COUNTIF('7'!$C$6:$C$529,"천")</f>
        <v>0</v>
      </c>
      <c r="C193" s="37" t="s">
        <v>5</v>
      </c>
      <c r="D193" s="38">
        <f>SUMIF('7'!$C$6:$C$529,"천",'7'!$E$6:$E$529)</f>
        <v>0</v>
      </c>
      <c r="E193" s="36">
        <f>COUNTIF('7'!$N$6:$N$529,"천국")</f>
        <v>0</v>
      </c>
      <c r="F193" s="37" t="s">
        <v>5</v>
      </c>
      <c r="G193" s="38">
        <f>SUMIF('7'!$N$6:$N$529,"천국",'7'!$E$6:$E$529)</f>
        <v>0</v>
      </c>
      <c r="H193" s="36">
        <f>COUNTIF('7'!$N$6:$N$529,"천공")</f>
        <v>0</v>
      </c>
      <c r="I193" s="37" t="s">
        <v>5</v>
      </c>
      <c r="J193" s="38">
        <f>SUMIF('7'!$N$6:$N$529,"천공",'7'!$E$6:$E$529)</f>
        <v>0</v>
      </c>
      <c r="K193" s="36">
        <f t="shared" si="12"/>
        <v>0</v>
      </c>
      <c r="L193" s="37" t="s">
        <v>5</v>
      </c>
      <c r="M193" s="38">
        <f t="shared" si="13"/>
        <v>0</v>
      </c>
      <c r="N193" s="39"/>
      <c r="O193" s="23"/>
      <c r="P193" s="23"/>
      <c r="Q193" s="23"/>
      <c r="R193" s="23"/>
      <c r="S193" s="23"/>
      <c r="T193" s="23"/>
      <c r="U193" s="23"/>
      <c r="V193" s="23"/>
    </row>
    <row r="194" spans="1:22" s="24" customFormat="1" ht="23.1" customHeight="1">
      <c r="A194" s="104" t="s">
        <v>14</v>
      </c>
      <c r="B194" s="36">
        <f>COUNTIF('7'!$C$6:$C$529,"유")</f>
        <v>0</v>
      </c>
      <c r="C194" s="37" t="s">
        <v>5</v>
      </c>
      <c r="D194" s="38">
        <f>SUMIF('7'!$C$6:$C$529,"유",'7'!$E$6:$E$529)</f>
        <v>0</v>
      </c>
      <c r="E194" s="36">
        <f>COUNTIF('7'!$N$6:$N$529,"유국")</f>
        <v>0</v>
      </c>
      <c r="F194" s="37" t="s">
        <v>5</v>
      </c>
      <c r="G194" s="38">
        <f>SUMIF('7'!$N$6:$N$529,"유국",'7'!$E$6:$E$529)</f>
        <v>0</v>
      </c>
      <c r="H194" s="36">
        <f>COUNTIF('7'!$N$6:$N$529,"유공")</f>
        <v>0</v>
      </c>
      <c r="I194" s="37" t="s">
        <v>5</v>
      </c>
      <c r="J194" s="38">
        <f>SUMIF('7'!$N$6:$N$529,"유공",'7'!$E$6:$E$529)</f>
        <v>0</v>
      </c>
      <c r="K194" s="36">
        <f t="shared" si="12"/>
        <v>0</v>
      </c>
      <c r="L194" s="37" t="s">
        <v>5</v>
      </c>
      <c r="M194" s="38">
        <f t="shared" si="13"/>
        <v>0</v>
      </c>
      <c r="N194" s="39"/>
      <c r="O194" s="23"/>
      <c r="P194" s="23"/>
      <c r="Q194" s="23"/>
      <c r="R194" s="23"/>
      <c r="S194" s="23"/>
      <c r="T194" s="23"/>
      <c r="U194" s="23"/>
      <c r="V194" s="23"/>
    </row>
    <row r="195" spans="1:22" s="24" customFormat="1" ht="23.1" customHeight="1">
      <c r="A195" s="104" t="s">
        <v>15</v>
      </c>
      <c r="B195" s="36">
        <f>COUNTIF('7'!$C$6:$C$529,"제")</f>
        <v>0</v>
      </c>
      <c r="C195" s="37" t="s">
        <v>5</v>
      </c>
      <c r="D195" s="38">
        <f>SUMIF('7'!$C$6:$C$529,"제",'7'!$E$6:$E$529)</f>
        <v>0</v>
      </c>
      <c r="E195" s="36">
        <f>COUNTIF('7'!$N$6:$N$529,"제국")</f>
        <v>0</v>
      </c>
      <c r="F195" s="37" t="s">
        <v>5</v>
      </c>
      <c r="G195" s="38">
        <f>SUMIF('7'!$N$6:$N$529,"제국",'7'!$E$6:$E$529)</f>
        <v>0</v>
      </c>
      <c r="H195" s="36">
        <f>COUNTIF('7'!$N$6:$N$529,"제공")</f>
        <v>0</v>
      </c>
      <c r="I195" s="37" t="s">
        <v>5</v>
      </c>
      <c r="J195" s="38">
        <f>SUMIF('7'!$N$6:$N$529,"제공",'7'!$E$6:$E$529)</f>
        <v>0</v>
      </c>
      <c r="K195" s="36">
        <f t="shared" si="12"/>
        <v>0</v>
      </c>
      <c r="L195" s="37" t="s">
        <v>5</v>
      </c>
      <c r="M195" s="38">
        <f t="shared" si="13"/>
        <v>0</v>
      </c>
      <c r="N195" s="39"/>
      <c r="O195" s="23"/>
      <c r="P195" s="23"/>
      <c r="Q195" s="23"/>
      <c r="R195" s="23"/>
      <c r="S195" s="23"/>
      <c r="T195" s="23"/>
      <c r="U195" s="23"/>
      <c r="V195" s="23"/>
    </row>
    <row r="196" spans="1:22" s="24" customFormat="1" ht="23.1" customHeight="1">
      <c r="A196" s="104" t="s">
        <v>16</v>
      </c>
      <c r="B196" s="36">
        <f>COUNTIF('7'!$C$6:$C$529,"과")</f>
        <v>0</v>
      </c>
      <c r="C196" s="37" t="s">
        <v>5</v>
      </c>
      <c r="D196" s="38">
        <f>SUMIF('7'!$C$6:$C$529,"과",'7'!$E$6:$E$529)</f>
        <v>0</v>
      </c>
      <c r="E196" s="36">
        <f>COUNTIF('7'!$N$6:$N$529,"과국")</f>
        <v>0</v>
      </c>
      <c r="F196" s="37" t="s">
        <v>5</v>
      </c>
      <c r="G196" s="38">
        <f>SUMIF('7'!$N$6:$N$529,"과국",'7'!$E$6:$E$529)</f>
        <v>0</v>
      </c>
      <c r="H196" s="36">
        <f>COUNTIF('7'!$N$6:$N$529,"과공")</f>
        <v>0</v>
      </c>
      <c r="I196" s="37" t="s">
        <v>5</v>
      </c>
      <c r="J196" s="38">
        <f>SUMIF('7'!$N$6:$N$529,"과공",'7'!$E$6:$E$529)</f>
        <v>0</v>
      </c>
      <c r="K196" s="36">
        <f t="shared" si="12"/>
        <v>0</v>
      </c>
      <c r="L196" s="37" t="s">
        <v>5</v>
      </c>
      <c r="M196" s="38">
        <f t="shared" si="13"/>
        <v>0</v>
      </c>
      <c r="N196" s="39"/>
      <c r="O196" s="23"/>
      <c r="P196" s="23"/>
      <c r="Q196" s="23"/>
      <c r="R196" s="23"/>
      <c r="S196" s="23"/>
      <c r="T196" s="23"/>
      <c r="U196" s="23"/>
      <c r="V196" s="23"/>
    </row>
    <row r="197" spans="1:22" s="24" customFormat="1" ht="23.1" customHeight="1">
      <c r="A197" s="104" t="s">
        <v>17</v>
      </c>
      <c r="B197" s="36">
        <f>COUNTIF('7'!$C$6:$C$529,"장")</f>
        <v>0</v>
      </c>
      <c r="C197" s="37" t="s">
        <v>5</v>
      </c>
      <c r="D197" s="38">
        <f>SUMIF('7'!$C$6:$C$529,"장",'7'!$E$6:$E$529)</f>
        <v>0</v>
      </c>
      <c r="E197" s="36">
        <f>COUNTIF('7'!$N$6:$N$529,"장국")</f>
        <v>0</v>
      </c>
      <c r="F197" s="37" t="s">
        <v>5</v>
      </c>
      <c r="G197" s="38">
        <f>SUMIF('7'!$N$6:$N$529,"장국",'7'!$E$6:$E$529)</f>
        <v>0</v>
      </c>
      <c r="H197" s="36">
        <f>COUNTIF('7'!$N$6:$N$529,"장공")</f>
        <v>0</v>
      </c>
      <c r="I197" s="37" t="s">
        <v>5</v>
      </c>
      <c r="J197" s="38">
        <f>SUMIF('7'!$N$6:$N$529,"장공",'7'!$E$6:$E$529)</f>
        <v>0</v>
      </c>
      <c r="K197" s="36">
        <f t="shared" si="12"/>
        <v>0</v>
      </c>
      <c r="L197" s="37" t="s">
        <v>5</v>
      </c>
      <c r="M197" s="38">
        <f t="shared" si="13"/>
        <v>0</v>
      </c>
      <c r="N197" s="39"/>
      <c r="O197" s="23"/>
      <c r="P197" s="23"/>
      <c r="Q197" s="23"/>
      <c r="R197" s="23"/>
      <c r="S197" s="23"/>
      <c r="T197" s="23"/>
      <c r="U197" s="23"/>
      <c r="V197" s="23"/>
    </row>
    <row r="198" spans="1:22" s="24" customFormat="1" ht="23.1" customHeight="1">
      <c r="A198" s="104" t="s">
        <v>18</v>
      </c>
      <c r="B198" s="36">
        <f>COUNTIF('7'!$C$6:$C$529,"목")</f>
        <v>0</v>
      </c>
      <c r="C198" s="37" t="s">
        <v>5</v>
      </c>
      <c r="D198" s="38">
        <f>SUMIF('7'!$C$6:$C$529,"목",'7'!$E$6:$E$529)</f>
        <v>0</v>
      </c>
      <c r="E198" s="36">
        <f>COUNTIF('7'!$N$6:$N$529,"목국")</f>
        <v>0</v>
      </c>
      <c r="F198" s="37" t="s">
        <v>5</v>
      </c>
      <c r="G198" s="38">
        <f>SUMIF('7'!$N$6:$N$529,"목국",'7'!$E$6:$E$529)</f>
        <v>0</v>
      </c>
      <c r="H198" s="36">
        <f>COUNTIF('7'!$N$6:$N$529,"목공")</f>
        <v>0</v>
      </c>
      <c r="I198" s="37" t="s">
        <v>5</v>
      </c>
      <c r="J198" s="38">
        <f>SUMIF('7'!$N$6:$N$529,"목공",'7'!$E$6:$E$529)</f>
        <v>0</v>
      </c>
      <c r="K198" s="36">
        <f t="shared" si="12"/>
        <v>0</v>
      </c>
      <c r="L198" s="37" t="s">
        <v>5</v>
      </c>
      <c r="M198" s="38">
        <f t="shared" si="13"/>
        <v>0</v>
      </c>
      <c r="N198" s="39"/>
      <c r="O198" s="23"/>
      <c r="P198" s="23"/>
      <c r="Q198" s="23"/>
      <c r="R198" s="23"/>
      <c r="S198" s="23"/>
      <c r="T198" s="23"/>
      <c r="U198" s="23"/>
      <c r="V198" s="23"/>
    </row>
    <row r="199" spans="1:22" s="24" customFormat="1" ht="23.1" customHeight="1">
      <c r="A199" s="104" t="s">
        <v>19</v>
      </c>
      <c r="B199" s="36">
        <f>COUNTIF('7'!$C$6:$C$529,"학")</f>
        <v>0</v>
      </c>
      <c r="C199" s="37" t="s">
        <v>5</v>
      </c>
      <c r="D199" s="38">
        <f>SUMIF('7'!$C$6:$C$529,"학",'7'!$E$6:$E$529)</f>
        <v>0</v>
      </c>
      <c r="E199" s="36">
        <f>COUNTIF('7'!$N$6:$N$529,"학국")</f>
        <v>0</v>
      </c>
      <c r="F199" s="37" t="s">
        <v>5</v>
      </c>
      <c r="G199" s="38">
        <f>SUMIF('7'!$N$6:$N$529,"학국",'7'!$E$6:$E$529)</f>
        <v>0</v>
      </c>
      <c r="H199" s="36">
        <f>COUNTIF('7'!$N$6:$N$529,"학공")</f>
        <v>0</v>
      </c>
      <c r="I199" s="37" t="s">
        <v>5</v>
      </c>
      <c r="J199" s="38">
        <f>SUMIF('7'!$N$6:$N$529,"학공",'7'!$E$6:$E$529)</f>
        <v>0</v>
      </c>
      <c r="K199" s="36">
        <f t="shared" si="12"/>
        <v>0</v>
      </c>
      <c r="L199" s="37" t="s">
        <v>5</v>
      </c>
      <c r="M199" s="38">
        <f t="shared" si="13"/>
        <v>0</v>
      </c>
      <c r="N199" s="39"/>
      <c r="O199" s="23"/>
      <c r="P199" s="23"/>
      <c r="Q199" s="23"/>
      <c r="R199" s="23"/>
      <c r="S199" s="23"/>
      <c r="T199" s="23"/>
      <c r="U199" s="23"/>
      <c r="V199" s="23"/>
    </row>
    <row r="200" spans="1:22" s="24" customFormat="1" ht="23.1" customHeight="1">
      <c r="A200" s="104" t="s">
        <v>20</v>
      </c>
      <c r="B200" s="36">
        <f>COUNTIF('7'!$C$6:$C$529,"철")</f>
        <v>0</v>
      </c>
      <c r="C200" s="37" t="s">
        <v>5</v>
      </c>
      <c r="D200" s="38">
        <f>SUMIF('7'!$C$6:$C$529,"철",'7'!$E$6:$E$529)</f>
        <v>0</v>
      </c>
      <c r="E200" s="36">
        <f>COUNTIF('7'!$N$6:$N$529,"철국")</f>
        <v>0</v>
      </c>
      <c r="F200" s="37" t="s">
        <v>5</v>
      </c>
      <c r="G200" s="38">
        <f>SUMIF('7'!$N$6:$N$529,"철국",'7'!$E$6:$E$529)</f>
        <v>0</v>
      </c>
      <c r="H200" s="36">
        <f>COUNTIF('7'!$N$6:$N$529,"철공")</f>
        <v>0</v>
      </c>
      <c r="I200" s="37" t="s">
        <v>5</v>
      </c>
      <c r="J200" s="38">
        <f>SUMIF('7'!$N$6:$N$529,"철공",'7'!$E$6:$E$529)</f>
        <v>0</v>
      </c>
      <c r="K200" s="36">
        <f t="shared" si="12"/>
        <v>0</v>
      </c>
      <c r="L200" s="37" t="s">
        <v>5</v>
      </c>
      <c r="M200" s="38">
        <f t="shared" si="13"/>
        <v>0</v>
      </c>
      <c r="N200" s="39"/>
      <c r="O200" s="23"/>
      <c r="P200" s="23"/>
      <c r="Q200" s="23"/>
      <c r="R200" s="23"/>
      <c r="S200" s="23"/>
      <c r="T200" s="23"/>
      <c r="U200" s="23"/>
      <c r="V200" s="23"/>
    </row>
    <row r="201" spans="1:22" s="24" customFormat="1" ht="23.1" customHeight="1">
      <c r="A201" s="104" t="s">
        <v>21</v>
      </c>
      <c r="B201" s="36">
        <f>COUNTIF('7'!$C$6:$C$529,"묘")</f>
        <v>0</v>
      </c>
      <c r="C201" s="37" t="s">
        <v>5</v>
      </c>
      <c r="D201" s="38">
        <f>SUMIF('7'!$C$6:$C$529,"묘",'7'!$E$6:$E$529)</f>
        <v>0</v>
      </c>
      <c r="E201" s="36">
        <f>COUNTIF('7'!$N$6:$N$529,"묘국")</f>
        <v>0</v>
      </c>
      <c r="F201" s="37" t="s">
        <v>5</v>
      </c>
      <c r="G201" s="38">
        <f>SUMIF('7'!$N$6:$N$529,"묘국",'7'!$E$6:$E$529)</f>
        <v>0</v>
      </c>
      <c r="H201" s="36">
        <f>COUNTIF('7'!$N$6:$N$529,"묘공")</f>
        <v>0</v>
      </c>
      <c r="I201" s="37" t="s">
        <v>5</v>
      </c>
      <c r="J201" s="38">
        <f>SUMIF('7'!$N$6:$N$529,"묘공",'7'!$E$6:$E$529)</f>
        <v>0</v>
      </c>
      <c r="K201" s="36">
        <f t="shared" si="12"/>
        <v>0</v>
      </c>
      <c r="L201" s="37" t="s">
        <v>5</v>
      </c>
      <c r="M201" s="38">
        <f t="shared" si="13"/>
        <v>0</v>
      </c>
      <c r="N201" s="39"/>
      <c r="O201" s="23"/>
      <c r="P201" s="23"/>
      <c r="Q201" s="23"/>
      <c r="R201" s="23"/>
      <c r="S201" s="23"/>
      <c r="T201" s="23"/>
      <c r="U201" s="23"/>
      <c r="V201" s="23"/>
    </row>
    <row r="202" spans="1:22" s="24" customFormat="1" ht="23.1" customHeight="1">
      <c r="A202" s="104" t="s">
        <v>22</v>
      </c>
      <c r="B202" s="36">
        <f>COUNTIF('7'!$C$6:$C$529,"수")</f>
        <v>0</v>
      </c>
      <c r="C202" s="37" t="s">
        <v>5</v>
      </c>
      <c r="D202" s="38">
        <f>SUMIF('7'!$C$6:$C$529,"수",'7'!$E$6:$E$529)</f>
        <v>0</v>
      </c>
      <c r="E202" s="36">
        <f>COUNTIF('7'!$N$6:$N$529,"수국")</f>
        <v>0</v>
      </c>
      <c r="F202" s="37" t="s">
        <v>5</v>
      </c>
      <c r="G202" s="38">
        <f>SUMIF('7'!$N$6:$N$529,"수국",'7'!$E$6:$E$529)</f>
        <v>0</v>
      </c>
      <c r="H202" s="36">
        <f>COUNTIF('7'!$N$6:$N$529,"수공")</f>
        <v>0</v>
      </c>
      <c r="I202" s="37" t="s">
        <v>5</v>
      </c>
      <c r="J202" s="38">
        <f>SUMIF('7'!$N$6:$N$529,"수공",'7'!$E$6:$E$529)</f>
        <v>0</v>
      </c>
      <c r="K202" s="36">
        <f t="shared" si="12"/>
        <v>0</v>
      </c>
      <c r="L202" s="37" t="s">
        <v>5</v>
      </c>
      <c r="M202" s="38">
        <f t="shared" si="13"/>
        <v>0</v>
      </c>
      <c r="N202" s="39"/>
      <c r="O202" s="23"/>
      <c r="P202" s="23"/>
      <c r="Q202" s="23"/>
      <c r="R202" s="23"/>
      <c r="S202" s="23"/>
      <c r="T202" s="23"/>
      <c r="U202" s="23"/>
      <c r="V202" s="23"/>
    </row>
    <row r="203" spans="1:22" s="24" customFormat="1" ht="23.1" customHeight="1">
      <c r="A203" s="104" t="s">
        <v>23</v>
      </c>
      <c r="B203" s="36">
        <f>COUNTIF('7'!$C$6:$C$529,"잡")</f>
        <v>0</v>
      </c>
      <c r="C203" s="37" t="s">
        <v>5</v>
      </c>
      <c r="D203" s="38">
        <f>SUMIF('7'!$C$6:$C$529,"잡",'7'!$E$6:$E$529)</f>
        <v>0</v>
      </c>
      <c r="E203" s="36">
        <f>COUNTIF('7'!$N$6:$N$529,"잡국")</f>
        <v>0</v>
      </c>
      <c r="F203" s="37" t="s">
        <v>5</v>
      </c>
      <c r="G203" s="38">
        <f>SUMIF('7'!$N$6:$N$529,"잡국",'7'!$E$6:$E$529)</f>
        <v>0</v>
      </c>
      <c r="H203" s="36">
        <f>COUNTIF('7'!$N$6:$N$529,"잡공")</f>
        <v>0</v>
      </c>
      <c r="I203" s="37" t="s">
        <v>5</v>
      </c>
      <c r="J203" s="38">
        <f>SUMIF('7'!$N$6:$N$529,"잡공",'7'!$E$6:$E$529)</f>
        <v>0</v>
      </c>
      <c r="K203" s="36">
        <f t="shared" si="12"/>
        <v>0</v>
      </c>
      <c r="L203" s="37" t="s">
        <v>5</v>
      </c>
      <c r="M203" s="38">
        <f t="shared" si="13"/>
        <v>0</v>
      </c>
      <c r="N203" s="39"/>
      <c r="O203" s="23"/>
      <c r="P203" s="23"/>
      <c r="Q203" s="23"/>
      <c r="R203" s="23"/>
      <c r="S203" s="23"/>
      <c r="T203" s="23"/>
      <c r="U203" s="23"/>
      <c r="V203" s="23"/>
    </row>
    <row r="204" spans="1:22" s="24" customFormat="1" ht="23.1" customHeight="1">
      <c r="A204" s="105" t="s">
        <v>24</v>
      </c>
      <c r="B204" s="36">
        <f>COUNTIF('7'!$C$6:$C$529,"종")</f>
        <v>0</v>
      </c>
      <c r="C204" s="37" t="s">
        <v>5</v>
      </c>
      <c r="D204" s="38">
        <f>SUMIF('7'!$C$6:$C$529,"종",'7'!$E$6:$E$529)</f>
        <v>0</v>
      </c>
      <c r="E204" s="36">
        <f>COUNTIF('7'!$N$6:$N$529,"종국")</f>
        <v>0</v>
      </c>
      <c r="F204" s="37" t="s">
        <v>5</v>
      </c>
      <c r="G204" s="38">
        <f>SUMIF('7'!$N$6:$N$529,"종국",'7'!$E$6:$E$529)</f>
        <v>0</v>
      </c>
      <c r="H204" s="36">
        <f>COUNTIF('7'!$N$6:$N$529,"종공")</f>
        <v>0</v>
      </c>
      <c r="I204" s="37" t="s">
        <v>5</v>
      </c>
      <c r="J204" s="38">
        <f>SUMIF('7'!$N$6:$N$529,"종공",'7'!$E$6:$E$529)</f>
        <v>0</v>
      </c>
      <c r="K204" s="36">
        <f t="shared" si="12"/>
        <v>0</v>
      </c>
      <c r="L204" s="37" t="s">
        <v>5</v>
      </c>
      <c r="M204" s="38">
        <f t="shared" si="13"/>
        <v>0</v>
      </c>
      <c r="N204" s="39"/>
      <c r="O204" s="23"/>
      <c r="P204" s="23"/>
      <c r="Q204" s="23"/>
      <c r="R204" s="23"/>
      <c r="S204" s="23"/>
      <c r="T204" s="23"/>
      <c r="U204" s="23"/>
      <c r="V204" s="23"/>
    </row>
    <row r="205" spans="1:22" s="24" customFormat="1" ht="23.1" customHeight="1">
      <c r="A205" s="105" t="s">
        <v>25</v>
      </c>
      <c r="B205" s="36">
        <f>COUNTIF('7'!$C$6:$C$529,"염")</f>
        <v>0</v>
      </c>
      <c r="C205" s="37" t="s">
        <v>5</v>
      </c>
      <c r="D205" s="38">
        <f>SUMIF('7'!$C$6:$C$529,"염",'7'!$E$6:$E$529)</f>
        <v>0</v>
      </c>
      <c r="E205" s="36">
        <f>COUNTIF('7'!$N$6:$N$529,"염국")</f>
        <v>0</v>
      </c>
      <c r="F205" s="37" t="s">
        <v>5</v>
      </c>
      <c r="G205" s="38">
        <f>SUMIF('7'!$N$6:$N$529,"염국",'7'!$E$6:$E$529)</f>
        <v>0</v>
      </c>
      <c r="H205" s="36">
        <f>COUNTIF('7'!$N$6:$N$529,"염공")</f>
        <v>0</v>
      </c>
      <c r="I205" s="37" t="s">
        <v>5</v>
      </c>
      <c r="J205" s="38">
        <f>SUMIF('7'!$N$6:$N$529,"염공",'7'!$E$6:$E$529)</f>
        <v>0</v>
      </c>
      <c r="K205" s="36">
        <f t="shared" si="12"/>
        <v>0</v>
      </c>
      <c r="L205" s="37" t="s">
        <v>5</v>
      </c>
      <c r="M205" s="38">
        <f t="shared" si="13"/>
        <v>0</v>
      </c>
      <c r="N205" s="39"/>
      <c r="O205" s="23"/>
      <c r="P205" s="23"/>
      <c r="Q205" s="23"/>
      <c r="R205" s="23"/>
      <c r="S205" s="23"/>
      <c r="T205" s="23"/>
      <c r="U205" s="23"/>
      <c r="V205" s="23"/>
    </row>
    <row r="206" spans="1:22" s="24" customFormat="1" ht="23.1" customHeight="1">
      <c r="A206" s="105" t="s">
        <v>26</v>
      </c>
      <c r="B206" s="36">
        <f>COUNTIF('7'!$C$6:$C$529,"공")</f>
        <v>0</v>
      </c>
      <c r="C206" s="37" t="s">
        <v>5</v>
      </c>
      <c r="D206" s="38">
        <f>SUMIF('7'!$C$6:$C$529,"공",'7'!$E$6:$E$529)</f>
        <v>0</v>
      </c>
      <c r="E206" s="36">
        <f>COUNTIF('7'!$N$6:$N$529,"공국")</f>
        <v>0</v>
      </c>
      <c r="F206" s="37" t="s">
        <v>5</v>
      </c>
      <c r="G206" s="38">
        <f>SUMIF('7'!$N$6:$N$529,"공국",'7'!$E$6:$E$529)</f>
        <v>0</v>
      </c>
      <c r="H206" s="36">
        <f>COUNTIF('7'!$N$6:$N$529,"공공")</f>
        <v>0</v>
      </c>
      <c r="I206" s="37" t="s">
        <v>5</v>
      </c>
      <c r="J206" s="38">
        <f>SUMIF('7'!$N$6:$N$529,"공공",'7'!$E$6:$E$529)</f>
        <v>0</v>
      </c>
      <c r="K206" s="36">
        <f t="shared" si="12"/>
        <v>0</v>
      </c>
      <c r="L206" s="37" t="s">
        <v>5</v>
      </c>
      <c r="M206" s="38">
        <f t="shared" si="13"/>
        <v>0</v>
      </c>
      <c r="N206" s="39"/>
      <c r="O206" s="23"/>
      <c r="P206" s="23"/>
      <c r="Q206" s="23"/>
      <c r="R206" s="23"/>
      <c r="S206" s="23"/>
      <c r="T206" s="23"/>
      <c r="U206" s="23"/>
      <c r="V206" s="23"/>
    </row>
    <row r="207" spans="1:22" s="24" customFormat="1" ht="23.1" customHeight="1">
      <c r="A207" s="105" t="s">
        <v>27</v>
      </c>
      <c r="B207" s="36">
        <f>COUNTIF('7'!$C$6:$C$529,"체")</f>
        <v>0</v>
      </c>
      <c r="C207" s="37" t="s">
        <v>5</v>
      </c>
      <c r="D207" s="38">
        <f>SUMIF('7'!$C$6:$C$529,"체",'7'!$E$6:$E$529)</f>
        <v>0</v>
      </c>
      <c r="E207" s="36">
        <f>COUNTIF('7'!$N$6:$N$529,"체국")</f>
        <v>0</v>
      </c>
      <c r="F207" s="37" t="s">
        <v>5</v>
      </c>
      <c r="G207" s="38">
        <f>SUMIF('7'!$N$6:$N$529,"체국",'7'!$E$6:$E$529)</f>
        <v>0</v>
      </c>
      <c r="H207" s="36">
        <f>COUNTIF('7'!$N$6:$N$529,"체공")</f>
        <v>0</v>
      </c>
      <c r="I207" s="37" t="s">
        <v>5</v>
      </c>
      <c r="J207" s="38">
        <f>SUMIF('7'!$N$6:$N$529,"체공",'7'!$E$6:$E$529)</f>
        <v>0</v>
      </c>
      <c r="K207" s="36">
        <f t="shared" si="12"/>
        <v>0</v>
      </c>
      <c r="L207" s="37" t="s">
        <v>5</v>
      </c>
      <c r="M207" s="38">
        <f t="shared" si="13"/>
        <v>0</v>
      </c>
      <c r="N207" s="39"/>
      <c r="O207" s="23"/>
      <c r="P207" s="23"/>
      <c r="Q207" s="23"/>
      <c r="R207" s="23"/>
      <c r="S207" s="23"/>
      <c r="T207" s="23"/>
      <c r="U207" s="23"/>
      <c r="V207" s="23"/>
    </row>
    <row r="208" spans="1:22" s="24" customFormat="1" ht="23.1" customHeight="1">
      <c r="A208" s="105" t="s">
        <v>28</v>
      </c>
      <c r="B208" s="36">
        <f>COUNTIF('7'!$C$6:$C$529,"원")</f>
        <v>0</v>
      </c>
      <c r="C208" s="37" t="s">
        <v>5</v>
      </c>
      <c r="D208" s="38">
        <f>SUMIF('7'!$C$6:$C$529,"원",'7'!$E$6:$E$529)</f>
        <v>0</v>
      </c>
      <c r="E208" s="36">
        <f>COUNTIF('7'!$N$6:$N$529,"원국")</f>
        <v>0</v>
      </c>
      <c r="F208" s="37" t="s">
        <v>5</v>
      </c>
      <c r="G208" s="38">
        <f>SUMIF('7'!$N$6:$N$529,"원국",'7'!$E$6:$E$529)</f>
        <v>0</v>
      </c>
      <c r="H208" s="36">
        <f>COUNTIF('7'!$N$6:$N$529,"원공")</f>
        <v>0</v>
      </c>
      <c r="I208" s="37" t="s">
        <v>5</v>
      </c>
      <c r="J208" s="38">
        <f>SUMIF('7'!$N$6:$N$529,"원공",'7'!$E$6:$E$529)</f>
        <v>0</v>
      </c>
      <c r="K208" s="36">
        <f t="shared" si="12"/>
        <v>0</v>
      </c>
      <c r="L208" s="37" t="s">
        <v>5</v>
      </c>
      <c r="M208" s="38">
        <f t="shared" si="13"/>
        <v>0</v>
      </c>
      <c r="N208" s="39"/>
      <c r="O208" s="23"/>
      <c r="P208" s="23"/>
      <c r="Q208" s="23"/>
      <c r="R208" s="23"/>
      <c r="S208" s="23"/>
      <c r="T208" s="23"/>
      <c r="U208" s="23"/>
      <c r="V208" s="23"/>
    </row>
    <row r="209" spans="1:22" s="24" customFormat="1" ht="23.1" customHeight="1">
      <c r="A209" s="105" t="s">
        <v>60</v>
      </c>
      <c r="B209" s="36">
        <f>COUNTIF('7'!$C$6:$C$529,"차")</f>
        <v>0</v>
      </c>
      <c r="C209" s="37" t="s">
        <v>5</v>
      </c>
      <c r="D209" s="38">
        <f>SUMIF('7'!$C$6:$C$529,"차",'7'!$E$6:$E$529)</f>
        <v>0</v>
      </c>
      <c r="E209" s="36">
        <f>COUNTIF('7'!$N$6:$N$529,"차국")</f>
        <v>0</v>
      </c>
      <c r="F209" s="37" t="s">
        <v>5</v>
      </c>
      <c r="G209" s="38">
        <f>SUMIF('7'!$N$6:$N$529,"차국",'7'!$E$6:$E$529)</f>
        <v>0</v>
      </c>
      <c r="H209" s="36">
        <f>COUNTIF('7'!$N$6:$N$529,"차공")</f>
        <v>0</v>
      </c>
      <c r="I209" s="37" t="s">
        <v>5</v>
      </c>
      <c r="J209" s="38">
        <f>SUMIF('7'!$N$6:$N$529,"차공",'7'!$E$6:$E$529)</f>
        <v>0</v>
      </c>
      <c r="K209" s="36">
        <f t="shared" si="12"/>
        <v>0</v>
      </c>
      <c r="L209" s="37" t="s">
        <v>5</v>
      </c>
      <c r="M209" s="38">
        <f t="shared" si="13"/>
        <v>0</v>
      </c>
      <c r="N209" s="39"/>
      <c r="O209" s="23"/>
      <c r="P209" s="23"/>
      <c r="Q209" s="23"/>
      <c r="R209" s="23"/>
      <c r="S209" s="23"/>
      <c r="T209" s="23"/>
      <c r="U209" s="23"/>
      <c r="V209" s="23"/>
    </row>
    <row r="210" spans="1:22" s="24" customFormat="1" ht="23.1" customHeight="1">
      <c r="A210" s="105" t="s">
        <v>61</v>
      </c>
      <c r="B210" s="36">
        <f>COUNTIF('7'!$C$6:$C$529,"주")</f>
        <v>0</v>
      </c>
      <c r="C210" s="37" t="s">
        <v>5</v>
      </c>
      <c r="D210" s="38">
        <f>SUMIF('7'!$C$6:$C$529,"주",'7'!$E$6:$E$529)</f>
        <v>0</v>
      </c>
      <c r="E210" s="36">
        <f>COUNTIF('7'!$N$6:$N$529,"주국")</f>
        <v>0</v>
      </c>
      <c r="F210" s="37" t="s">
        <v>5</v>
      </c>
      <c r="G210" s="38">
        <f>SUMIF('7'!$N$6:$N$529,"주국",'7'!$E$6:$E$529)</f>
        <v>0</v>
      </c>
      <c r="H210" s="36">
        <f>COUNTIF('7'!$N$6:$N$529,"주공")</f>
        <v>0</v>
      </c>
      <c r="I210" s="37" t="s">
        <v>5</v>
      </c>
      <c r="J210" s="38">
        <f>SUMIF('7'!$N$6:$N$529,"주공",'7'!$E$6:$E$529)</f>
        <v>0</v>
      </c>
      <c r="K210" s="36">
        <f t="shared" si="12"/>
        <v>0</v>
      </c>
      <c r="L210" s="37" t="s">
        <v>5</v>
      </c>
      <c r="M210" s="38">
        <f t="shared" si="13"/>
        <v>0</v>
      </c>
      <c r="N210" s="39"/>
      <c r="O210" s="23"/>
      <c r="P210" s="23"/>
      <c r="Q210" s="23"/>
      <c r="R210" s="23"/>
      <c r="S210" s="23"/>
      <c r="T210" s="23"/>
      <c r="U210" s="23"/>
      <c r="V210" s="23"/>
    </row>
    <row r="211" spans="1:22" s="24" customFormat="1" ht="23.1" customHeight="1">
      <c r="A211" s="106" t="s">
        <v>62</v>
      </c>
      <c r="B211" s="40">
        <f>COUNTIF('7'!$C$6:$C$529," ")</f>
        <v>0</v>
      </c>
      <c r="C211" s="41" t="s">
        <v>5</v>
      </c>
      <c r="D211" s="42">
        <f>SUMIF('7'!$C$6:$C$529," ",'7'!$E$6:$E$529)</f>
        <v>0</v>
      </c>
      <c r="E211" s="40">
        <f>COUNTIF('7'!$N$6:$N$529," 국")</f>
        <v>0</v>
      </c>
      <c r="F211" s="41" t="s">
        <v>5</v>
      </c>
      <c r="G211" s="42">
        <f>SUMIF('7'!$N$6:$N$529," 국",'7'!$E$6:$E$529)</f>
        <v>0</v>
      </c>
      <c r="H211" s="40">
        <f>COUNTIF('7'!$N$6:$N$529," 공")</f>
        <v>0</v>
      </c>
      <c r="I211" s="41" t="s">
        <v>5</v>
      </c>
      <c r="J211" s="42">
        <f>SUMIF('7'!$N$6:$N$529," 공",'7'!$E$6:$E$529)</f>
        <v>0</v>
      </c>
      <c r="K211" s="40">
        <f t="shared" si="12"/>
        <v>0</v>
      </c>
      <c r="L211" s="41" t="s">
        <v>5</v>
      </c>
      <c r="M211" s="42">
        <f t="shared" si="13"/>
        <v>0</v>
      </c>
      <c r="N211" s="43"/>
      <c r="O211" s="23"/>
      <c r="P211" s="23"/>
      <c r="Q211" s="23"/>
      <c r="R211" s="23"/>
      <c r="S211" s="23"/>
      <c r="T211" s="23"/>
      <c r="U211" s="23"/>
      <c r="V211" s="23"/>
    </row>
    <row r="212" spans="1:22" s="17" customFormat="1" ht="20.100000000000001" customHeight="1">
      <c r="A212" s="11">
        <f>IF(EXACT(O216,O217),,"검산확인요!!!")</f>
        <v>0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3">
        <f>IF(ISBLANK('8'!K2),,'8'!K2)</f>
        <v>3</v>
      </c>
      <c r="L212" s="14"/>
      <c r="M212" s="15"/>
      <c r="N212" s="16"/>
    </row>
    <row r="213" spans="1:22" s="17" customFormat="1" ht="9.9499999999999993" customHeight="1">
      <c r="A213" s="11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</row>
    <row r="214" spans="1:22" s="24" customFormat="1" ht="27.95" customHeight="1">
      <c r="A214" s="18" t="s">
        <v>3</v>
      </c>
      <c r="B214" s="19" t="s">
        <v>2</v>
      </c>
      <c r="C214" s="20"/>
      <c r="D214" s="21"/>
      <c r="E214" s="19" t="s">
        <v>29</v>
      </c>
      <c r="F214" s="20"/>
      <c r="G214" s="21"/>
      <c r="H214" s="19" t="s">
        <v>38</v>
      </c>
      <c r="I214" s="20"/>
      <c r="J214" s="21"/>
      <c r="K214" s="19" t="s">
        <v>30</v>
      </c>
      <c r="L214" s="20"/>
      <c r="M214" s="21"/>
      <c r="N214" s="22" t="s">
        <v>31</v>
      </c>
      <c r="O214" s="23"/>
      <c r="S214" s="23"/>
      <c r="T214" s="23"/>
      <c r="U214" s="23"/>
      <c r="V214" s="23"/>
    </row>
    <row r="215" spans="1:22" s="24" customFormat="1" ht="27.95" customHeight="1">
      <c r="A215" s="25"/>
      <c r="B215" s="26" t="s">
        <v>4</v>
      </c>
      <c r="C215" s="27" t="s">
        <v>5</v>
      </c>
      <c r="D215" s="28" t="s">
        <v>32</v>
      </c>
      <c r="E215" s="26" t="s">
        <v>4</v>
      </c>
      <c r="F215" s="27" t="s">
        <v>5</v>
      </c>
      <c r="G215" s="28" t="s">
        <v>32</v>
      </c>
      <c r="H215" s="26" t="s">
        <v>4</v>
      </c>
      <c r="I215" s="27" t="s">
        <v>5</v>
      </c>
      <c r="J215" s="28" t="s">
        <v>32</v>
      </c>
      <c r="K215" s="26" t="s">
        <v>4</v>
      </c>
      <c r="L215" s="27" t="s">
        <v>5</v>
      </c>
      <c r="M215" s="28" t="s">
        <v>32</v>
      </c>
      <c r="N215" s="29"/>
      <c r="P215" s="23"/>
      <c r="Q215" s="30" t="s">
        <v>33</v>
      </c>
      <c r="R215" s="30" t="s">
        <v>34</v>
      </c>
      <c r="S215" s="30" t="s">
        <v>35</v>
      </c>
      <c r="T215" s="30" t="s">
        <v>36</v>
      </c>
      <c r="U215" s="23"/>
      <c r="V215" s="23"/>
    </row>
    <row r="216" spans="1:22" s="24" customFormat="1" ht="23.1" customHeight="1">
      <c r="A216" s="103" t="s">
        <v>2</v>
      </c>
      <c r="B216" s="31">
        <f>SUM(B217:B241)</f>
        <v>0</v>
      </c>
      <c r="C216" s="32" t="s">
        <v>5</v>
      </c>
      <c r="D216" s="33">
        <f>SUM(D217:D241)</f>
        <v>0</v>
      </c>
      <c r="E216" s="31">
        <f>SUM(E217:E241)</f>
        <v>0</v>
      </c>
      <c r="F216" s="32" t="s">
        <v>5</v>
      </c>
      <c r="G216" s="33">
        <f>SUM(G217:G241)</f>
        <v>0</v>
      </c>
      <c r="H216" s="31">
        <f>SUM(H217:H241)</f>
        <v>0</v>
      </c>
      <c r="I216" s="32" t="s">
        <v>5</v>
      </c>
      <c r="J216" s="33">
        <f>SUM(J217:J241)</f>
        <v>0</v>
      </c>
      <c r="K216" s="31">
        <f>SUM(K217:K241)</f>
        <v>0</v>
      </c>
      <c r="L216" s="32" t="s">
        <v>5</v>
      </c>
      <c r="M216" s="33">
        <f>SUM(M217:M241)</f>
        <v>0</v>
      </c>
      <c r="N216" s="34"/>
      <c r="O216" s="23" t="str">
        <f>IF(EXACT(Q216,T216),"맞음","틀림")</f>
        <v>맞음</v>
      </c>
      <c r="P216" s="23" t="s">
        <v>4</v>
      </c>
      <c r="Q216" s="35">
        <f>SUM(B217:B241)</f>
        <v>0</v>
      </c>
      <c r="R216" s="35">
        <f>SUM(E217:E241)</f>
        <v>0</v>
      </c>
      <c r="S216" s="35">
        <f>SUM(K217:K241)</f>
        <v>0</v>
      </c>
      <c r="T216" s="35">
        <f>K216+E216</f>
        <v>0</v>
      </c>
      <c r="U216" s="23"/>
      <c r="V216" s="23"/>
    </row>
    <row r="217" spans="1:22" s="24" customFormat="1" ht="23.1" customHeight="1">
      <c r="A217" s="104" t="s">
        <v>7</v>
      </c>
      <c r="B217" s="36">
        <f>COUNTIF('8'!$C$6:$C$529,"전")</f>
        <v>0</v>
      </c>
      <c r="C217" s="37" t="s">
        <v>5</v>
      </c>
      <c r="D217" s="38">
        <f>SUMIF('8'!$C$6:$C$529,"전",'8'!$E$6:$E$529)</f>
        <v>0</v>
      </c>
      <c r="E217" s="36">
        <f>COUNTIF('8'!$N$6:$N$529,"전국")</f>
        <v>0</v>
      </c>
      <c r="F217" s="37" t="s">
        <v>5</v>
      </c>
      <c r="G217" s="38">
        <f>SUMIF('8'!$N$6:$N$529,"전국",'8'!$E$6:$E$529)</f>
        <v>0</v>
      </c>
      <c r="H217" s="36">
        <f>COUNTIF('8'!$N$6:$N$529,"전공")</f>
        <v>0</v>
      </c>
      <c r="I217" s="37" t="s">
        <v>5</v>
      </c>
      <c r="J217" s="38">
        <f>SUMIF('8'!$N$6:$N$529,"전공",'8'!$E$6:$E$529)</f>
        <v>0</v>
      </c>
      <c r="K217" s="36">
        <f t="shared" ref="K217:K241" si="14">SUM(B217-E217-H217)</f>
        <v>0</v>
      </c>
      <c r="L217" s="37" t="s">
        <v>5</v>
      </c>
      <c r="M217" s="38">
        <f t="shared" ref="M217:M241" si="15">SUM(D217-G217-J217)</f>
        <v>0</v>
      </c>
      <c r="N217" s="39"/>
      <c r="O217" s="23" t="str">
        <f>IF(EXACT(Q217,T217),"맞음","틀림")</f>
        <v>맞음</v>
      </c>
      <c r="P217" s="23" t="s">
        <v>37</v>
      </c>
      <c r="Q217" s="35">
        <f>SUM(D217:D241)</f>
        <v>0</v>
      </c>
      <c r="R217" s="35">
        <f>SUM(G217:G241)</f>
        <v>0</v>
      </c>
      <c r="S217" s="35">
        <f>SUM(M217:M241)</f>
        <v>0</v>
      </c>
      <c r="T217" s="35">
        <f>G216+M216</f>
        <v>0</v>
      </c>
      <c r="U217" s="23"/>
      <c r="V217" s="23"/>
    </row>
    <row r="218" spans="1:22" s="24" customFormat="1" ht="23.1" customHeight="1">
      <c r="A218" s="104" t="s">
        <v>8</v>
      </c>
      <c r="B218" s="36">
        <f>COUNTIF('8'!$C$6:$C$529,"답")</f>
        <v>0</v>
      </c>
      <c r="C218" s="37" t="s">
        <v>5</v>
      </c>
      <c r="D218" s="38">
        <f>SUMIF('8'!$C$6:$C$529,"답",'8'!$E$6:$E$529)</f>
        <v>0</v>
      </c>
      <c r="E218" s="36">
        <f>COUNTIF('8'!$N$6:$N$529,"답국")</f>
        <v>0</v>
      </c>
      <c r="F218" s="37" t="s">
        <v>5</v>
      </c>
      <c r="G218" s="38">
        <f>SUMIF('8'!$N$6:$N$529,"답국",'8'!$E$6:$E$529)</f>
        <v>0</v>
      </c>
      <c r="H218" s="36">
        <f>COUNTIF('8'!$N$6:$N$529,"답공")</f>
        <v>0</v>
      </c>
      <c r="I218" s="37" t="s">
        <v>5</v>
      </c>
      <c r="J218" s="38">
        <f>SUMIF('8'!$N$6:$N$529,"답공",'8'!$E$6:$E$529)</f>
        <v>0</v>
      </c>
      <c r="K218" s="36">
        <f t="shared" si="14"/>
        <v>0</v>
      </c>
      <c r="L218" s="37" t="s">
        <v>5</v>
      </c>
      <c r="M218" s="38">
        <f t="shared" si="15"/>
        <v>0</v>
      </c>
      <c r="N218" s="39"/>
      <c r="Q218" s="23"/>
      <c r="S218" s="23"/>
      <c r="U218" s="23"/>
      <c r="V218" s="23"/>
    </row>
    <row r="219" spans="1:22" s="24" customFormat="1" ht="23.1" customHeight="1">
      <c r="A219" s="104" t="s">
        <v>9</v>
      </c>
      <c r="B219" s="36">
        <f>COUNTIF('8'!$C$6:$C$529,"임")</f>
        <v>0</v>
      </c>
      <c r="C219" s="37" t="s">
        <v>5</v>
      </c>
      <c r="D219" s="38">
        <f>SUMIF('8'!$C$6:$C$529,"임",'8'!$E$6:$E$529)</f>
        <v>0</v>
      </c>
      <c r="E219" s="36">
        <f>COUNTIF('8'!$N$6:$N$529,"임국")</f>
        <v>0</v>
      </c>
      <c r="F219" s="37" t="s">
        <v>5</v>
      </c>
      <c r="G219" s="38">
        <f>SUMIF('8'!$N$6:$N$529,"임국",'8'!$E$6:$E$529)</f>
        <v>0</v>
      </c>
      <c r="H219" s="36">
        <f>COUNTIF('8'!$N$6:$N$529,"임공")</f>
        <v>0</v>
      </c>
      <c r="I219" s="37" t="s">
        <v>5</v>
      </c>
      <c r="J219" s="38">
        <f>SUMIF('8'!$N$6:$N$529,"임공",'8'!$E$6:$E$529)</f>
        <v>0</v>
      </c>
      <c r="K219" s="36">
        <f t="shared" si="14"/>
        <v>0</v>
      </c>
      <c r="L219" s="37" t="s">
        <v>5</v>
      </c>
      <c r="M219" s="38">
        <f t="shared" si="15"/>
        <v>0</v>
      </c>
      <c r="N219" s="39"/>
      <c r="Q219" s="23"/>
      <c r="S219" s="23"/>
      <c r="U219" s="23"/>
      <c r="V219" s="23"/>
    </row>
    <row r="220" spans="1:22" s="24" customFormat="1" ht="23.1" customHeight="1">
      <c r="A220" s="104" t="s">
        <v>10</v>
      </c>
      <c r="B220" s="36">
        <f>COUNTIF('8'!$C$6:$C$529,"대")</f>
        <v>0</v>
      </c>
      <c r="C220" s="37" t="s">
        <v>5</v>
      </c>
      <c r="D220" s="38">
        <f>SUMIF('8'!$C$6:$C$529,"대",'8'!$E$6:$E$529)</f>
        <v>0</v>
      </c>
      <c r="E220" s="36">
        <f>COUNTIF('8'!$N$6:$N$529,"대국")</f>
        <v>0</v>
      </c>
      <c r="F220" s="37" t="s">
        <v>5</v>
      </c>
      <c r="G220" s="38">
        <f>SUMIF('8'!$N$6:$N$529,"대국",'8'!$E$6:$E$529)</f>
        <v>0</v>
      </c>
      <c r="H220" s="36">
        <f>COUNTIF('8'!$N$6:$N$529,"대공")</f>
        <v>0</v>
      </c>
      <c r="I220" s="37" t="s">
        <v>5</v>
      </c>
      <c r="J220" s="38">
        <f>SUMIF('8'!$N$6:$N$529,"대공",'8'!$E$6:$E$529)</f>
        <v>0</v>
      </c>
      <c r="K220" s="36">
        <f t="shared" si="14"/>
        <v>0</v>
      </c>
      <c r="L220" s="37" t="s">
        <v>5</v>
      </c>
      <c r="M220" s="38">
        <f t="shared" si="15"/>
        <v>0</v>
      </c>
      <c r="N220" s="39"/>
      <c r="O220" s="23"/>
      <c r="P220" s="23"/>
      <c r="Q220" s="23"/>
      <c r="R220" s="23"/>
      <c r="S220" s="23"/>
      <c r="T220" s="23"/>
      <c r="U220" s="23"/>
      <c r="V220" s="23"/>
    </row>
    <row r="221" spans="1:22" s="24" customFormat="1" ht="23.1" customHeight="1">
      <c r="A221" s="104" t="s">
        <v>11</v>
      </c>
      <c r="B221" s="36">
        <f>COUNTIF('8'!$C$6:$C$529,"도")</f>
        <v>0</v>
      </c>
      <c r="C221" s="37" t="s">
        <v>5</v>
      </c>
      <c r="D221" s="38">
        <f>SUMIF('8'!$C$6:$C$529,"도",'8'!$E$6:$E$529)</f>
        <v>0</v>
      </c>
      <c r="E221" s="36">
        <f>COUNTIF('8'!$N$6:$N$529,"도국")</f>
        <v>0</v>
      </c>
      <c r="F221" s="37" t="s">
        <v>5</v>
      </c>
      <c r="G221" s="38">
        <f>SUMIF('8'!$N$6:$N$529,"도국",'8'!$E$6:$E$529)</f>
        <v>0</v>
      </c>
      <c r="H221" s="36">
        <f>COUNTIF('8'!$N$6:$N$529,"도공")</f>
        <v>0</v>
      </c>
      <c r="I221" s="37" t="s">
        <v>5</v>
      </c>
      <c r="J221" s="38">
        <f>SUMIF('8'!$N$6:$N$529,"도공",'8'!$E$6:$E$529)</f>
        <v>0</v>
      </c>
      <c r="K221" s="36">
        <f t="shared" si="14"/>
        <v>0</v>
      </c>
      <c r="L221" s="37" t="s">
        <v>5</v>
      </c>
      <c r="M221" s="38">
        <f t="shared" si="15"/>
        <v>0</v>
      </c>
      <c r="N221" s="39"/>
      <c r="O221" s="23"/>
      <c r="P221" s="23"/>
      <c r="Q221" s="23"/>
      <c r="R221" s="23"/>
      <c r="S221" s="23"/>
      <c r="T221" s="23"/>
      <c r="U221" s="23"/>
      <c r="V221" s="23"/>
    </row>
    <row r="222" spans="1:22" s="24" customFormat="1" ht="23.1" customHeight="1">
      <c r="A222" s="104" t="s">
        <v>12</v>
      </c>
      <c r="B222" s="36">
        <f>COUNTIF('8'!$C$6:$C$529,"구")</f>
        <v>0</v>
      </c>
      <c r="C222" s="37" t="s">
        <v>5</v>
      </c>
      <c r="D222" s="38">
        <f>SUMIF('8'!$C$6:$C$529,"구",'8'!$E$6:$E$529)</f>
        <v>0</v>
      </c>
      <c r="E222" s="36">
        <f>COUNTIF('8'!$N$6:$N$529,"구국")</f>
        <v>0</v>
      </c>
      <c r="F222" s="37" t="s">
        <v>5</v>
      </c>
      <c r="G222" s="38">
        <f>SUMIF('8'!$N$6:$N$529,"구국",'8'!$E$6:$E$529)</f>
        <v>0</v>
      </c>
      <c r="H222" s="36">
        <f>COUNTIF('8'!$N$6:$N$529,"구공")</f>
        <v>0</v>
      </c>
      <c r="I222" s="37" t="s">
        <v>5</v>
      </c>
      <c r="J222" s="38">
        <f>SUMIF('8'!$N$6:$N$529,"구공",'8'!$E$6:$E$529)</f>
        <v>0</v>
      </c>
      <c r="K222" s="36">
        <f t="shared" si="14"/>
        <v>0</v>
      </c>
      <c r="L222" s="37" t="s">
        <v>5</v>
      </c>
      <c r="M222" s="38">
        <f t="shared" si="15"/>
        <v>0</v>
      </c>
      <c r="N222" s="39"/>
      <c r="O222" s="23"/>
      <c r="P222" s="23"/>
      <c r="Q222" s="23"/>
      <c r="R222" s="23"/>
      <c r="S222" s="23"/>
      <c r="T222" s="23"/>
      <c r="U222" s="23"/>
      <c r="V222" s="23"/>
    </row>
    <row r="223" spans="1:22" s="24" customFormat="1" ht="23.1" customHeight="1">
      <c r="A223" s="104" t="s">
        <v>13</v>
      </c>
      <c r="B223" s="36">
        <f>COUNTIF('8'!$C$6:$C$529,"천")</f>
        <v>0</v>
      </c>
      <c r="C223" s="37" t="s">
        <v>5</v>
      </c>
      <c r="D223" s="38">
        <f>SUMIF('8'!$C$6:$C$529,"천",'8'!$E$6:$E$529)</f>
        <v>0</v>
      </c>
      <c r="E223" s="36">
        <f>COUNTIF('8'!$N$6:$N$529,"천국")</f>
        <v>0</v>
      </c>
      <c r="F223" s="37" t="s">
        <v>5</v>
      </c>
      <c r="G223" s="38">
        <f>SUMIF('8'!$N$6:$N$529,"천국",'8'!$E$6:$E$529)</f>
        <v>0</v>
      </c>
      <c r="H223" s="36">
        <f>COUNTIF('8'!$N$6:$N$529,"천공")</f>
        <v>0</v>
      </c>
      <c r="I223" s="37" t="s">
        <v>5</v>
      </c>
      <c r="J223" s="38">
        <f>SUMIF('8'!$N$6:$N$529,"천공",'8'!$E$6:$E$529)</f>
        <v>0</v>
      </c>
      <c r="K223" s="36">
        <f t="shared" si="14"/>
        <v>0</v>
      </c>
      <c r="L223" s="37" t="s">
        <v>5</v>
      </c>
      <c r="M223" s="38">
        <f t="shared" si="15"/>
        <v>0</v>
      </c>
      <c r="N223" s="39"/>
      <c r="O223" s="23"/>
      <c r="P223" s="23"/>
      <c r="Q223" s="23"/>
      <c r="R223" s="23"/>
      <c r="S223" s="23"/>
      <c r="T223" s="23"/>
      <c r="U223" s="23"/>
      <c r="V223" s="23"/>
    </row>
    <row r="224" spans="1:22" s="24" customFormat="1" ht="23.1" customHeight="1">
      <c r="A224" s="104" t="s">
        <v>14</v>
      </c>
      <c r="B224" s="36">
        <f>COUNTIF('8'!$C$6:$C$529,"유")</f>
        <v>0</v>
      </c>
      <c r="C224" s="37" t="s">
        <v>5</v>
      </c>
      <c r="D224" s="38">
        <f>SUMIF('8'!$C$6:$C$529,"유",'8'!$E$6:$E$529)</f>
        <v>0</v>
      </c>
      <c r="E224" s="36">
        <f>COUNTIF('8'!$N$6:$N$529,"유국")</f>
        <v>0</v>
      </c>
      <c r="F224" s="37" t="s">
        <v>5</v>
      </c>
      <c r="G224" s="38">
        <f>SUMIF('8'!$N$6:$N$529,"유국",'8'!$E$6:$E$529)</f>
        <v>0</v>
      </c>
      <c r="H224" s="36">
        <f>COUNTIF('8'!$N$6:$N$529,"유공")</f>
        <v>0</v>
      </c>
      <c r="I224" s="37" t="s">
        <v>5</v>
      </c>
      <c r="J224" s="38">
        <f>SUMIF('8'!$N$6:$N$529,"유공",'8'!$E$6:$E$529)</f>
        <v>0</v>
      </c>
      <c r="K224" s="36">
        <f t="shared" si="14"/>
        <v>0</v>
      </c>
      <c r="L224" s="37" t="s">
        <v>5</v>
      </c>
      <c r="M224" s="38">
        <f t="shared" si="15"/>
        <v>0</v>
      </c>
      <c r="N224" s="39"/>
      <c r="O224" s="23"/>
      <c r="P224" s="23"/>
      <c r="Q224" s="23"/>
      <c r="R224" s="23"/>
      <c r="S224" s="23"/>
      <c r="T224" s="23"/>
      <c r="U224" s="23"/>
      <c r="V224" s="23"/>
    </row>
    <row r="225" spans="1:22" s="24" customFormat="1" ht="23.1" customHeight="1">
      <c r="A225" s="104" t="s">
        <v>15</v>
      </c>
      <c r="B225" s="36">
        <f>COUNTIF('8'!$C$6:$C$529,"제")</f>
        <v>0</v>
      </c>
      <c r="C225" s="37" t="s">
        <v>5</v>
      </c>
      <c r="D225" s="38">
        <f>SUMIF('8'!$C$6:$C$529,"제",'8'!$E$6:$E$529)</f>
        <v>0</v>
      </c>
      <c r="E225" s="36">
        <f>COUNTIF('8'!$N$6:$N$529,"제국")</f>
        <v>0</v>
      </c>
      <c r="F225" s="37" t="s">
        <v>5</v>
      </c>
      <c r="G225" s="38">
        <f>SUMIF('8'!$N$6:$N$529,"제국",'8'!$E$6:$E$529)</f>
        <v>0</v>
      </c>
      <c r="H225" s="36">
        <f>COUNTIF('8'!$N$6:$N$529,"제공")</f>
        <v>0</v>
      </c>
      <c r="I225" s="37" t="s">
        <v>5</v>
      </c>
      <c r="J225" s="38">
        <f>SUMIF('8'!$N$6:$N$529,"제공",'8'!$E$6:$E$529)</f>
        <v>0</v>
      </c>
      <c r="K225" s="36">
        <f t="shared" si="14"/>
        <v>0</v>
      </c>
      <c r="L225" s="37" t="s">
        <v>5</v>
      </c>
      <c r="M225" s="38">
        <f t="shared" si="15"/>
        <v>0</v>
      </c>
      <c r="N225" s="39"/>
      <c r="O225" s="23"/>
      <c r="P225" s="23"/>
      <c r="Q225" s="23"/>
      <c r="R225" s="23"/>
      <c r="S225" s="23"/>
      <c r="T225" s="23"/>
      <c r="U225" s="23"/>
      <c r="V225" s="23"/>
    </row>
    <row r="226" spans="1:22" s="24" customFormat="1" ht="23.1" customHeight="1">
      <c r="A226" s="104" t="s">
        <v>16</v>
      </c>
      <c r="B226" s="36">
        <f>COUNTIF('8'!$C$6:$C$529,"과")</f>
        <v>0</v>
      </c>
      <c r="C226" s="37" t="s">
        <v>5</v>
      </c>
      <c r="D226" s="38">
        <f>SUMIF('8'!$C$6:$C$529,"과",'8'!$E$6:$E$529)</f>
        <v>0</v>
      </c>
      <c r="E226" s="36">
        <f>COUNTIF('8'!$N$6:$N$529,"과국")</f>
        <v>0</v>
      </c>
      <c r="F226" s="37" t="s">
        <v>5</v>
      </c>
      <c r="G226" s="38">
        <f>SUMIF('8'!$N$6:$N$529,"과국",'8'!$E$6:$E$529)</f>
        <v>0</v>
      </c>
      <c r="H226" s="36">
        <f>COUNTIF('8'!$N$6:$N$529,"과공")</f>
        <v>0</v>
      </c>
      <c r="I226" s="37" t="s">
        <v>5</v>
      </c>
      <c r="J226" s="38">
        <f>SUMIF('8'!$N$6:$N$529,"과공",'8'!$E$6:$E$529)</f>
        <v>0</v>
      </c>
      <c r="K226" s="36">
        <f t="shared" si="14"/>
        <v>0</v>
      </c>
      <c r="L226" s="37" t="s">
        <v>5</v>
      </c>
      <c r="M226" s="38">
        <f t="shared" si="15"/>
        <v>0</v>
      </c>
      <c r="N226" s="39"/>
      <c r="O226" s="23"/>
      <c r="P226" s="23"/>
      <c r="Q226" s="23"/>
      <c r="R226" s="23"/>
      <c r="S226" s="23"/>
      <c r="T226" s="23"/>
      <c r="U226" s="23"/>
      <c r="V226" s="23"/>
    </row>
    <row r="227" spans="1:22" s="24" customFormat="1" ht="23.1" customHeight="1">
      <c r="A227" s="104" t="s">
        <v>17</v>
      </c>
      <c r="B227" s="36">
        <f>COUNTIF('8'!$C$6:$C$529,"장")</f>
        <v>0</v>
      </c>
      <c r="C227" s="37" t="s">
        <v>5</v>
      </c>
      <c r="D227" s="38">
        <f>SUMIF('8'!$C$6:$C$529,"장",'8'!$E$6:$E$529)</f>
        <v>0</v>
      </c>
      <c r="E227" s="36">
        <f>COUNTIF('8'!$N$6:$N$529,"장국")</f>
        <v>0</v>
      </c>
      <c r="F227" s="37" t="s">
        <v>5</v>
      </c>
      <c r="G227" s="38">
        <f>SUMIF('8'!$N$6:$N$529,"장국",'8'!$E$6:$E$529)</f>
        <v>0</v>
      </c>
      <c r="H227" s="36">
        <f>COUNTIF('8'!$N$6:$N$529,"장공")</f>
        <v>0</v>
      </c>
      <c r="I227" s="37" t="s">
        <v>5</v>
      </c>
      <c r="J227" s="38">
        <f>SUMIF('8'!$N$6:$N$529,"장공",'8'!$E$6:$E$529)</f>
        <v>0</v>
      </c>
      <c r="K227" s="36">
        <f t="shared" si="14"/>
        <v>0</v>
      </c>
      <c r="L227" s="37" t="s">
        <v>5</v>
      </c>
      <c r="M227" s="38">
        <f t="shared" si="15"/>
        <v>0</v>
      </c>
      <c r="N227" s="39"/>
      <c r="O227" s="23"/>
      <c r="P227" s="23"/>
      <c r="Q227" s="23"/>
      <c r="R227" s="23"/>
      <c r="S227" s="23"/>
      <c r="T227" s="23"/>
      <c r="U227" s="23"/>
      <c r="V227" s="23"/>
    </row>
    <row r="228" spans="1:22" s="24" customFormat="1" ht="23.1" customHeight="1">
      <c r="A228" s="104" t="s">
        <v>18</v>
      </c>
      <c r="B228" s="36">
        <f>COUNTIF('8'!$C$6:$C$529,"목")</f>
        <v>0</v>
      </c>
      <c r="C228" s="37" t="s">
        <v>5</v>
      </c>
      <c r="D228" s="38">
        <f>SUMIF('8'!$C$6:$C$529,"목",'8'!$E$6:$E$529)</f>
        <v>0</v>
      </c>
      <c r="E228" s="36">
        <f>COUNTIF('8'!$N$6:$N$529,"목국")</f>
        <v>0</v>
      </c>
      <c r="F228" s="37" t="s">
        <v>5</v>
      </c>
      <c r="G228" s="38">
        <f>SUMIF('8'!$N$6:$N$529,"목국",'8'!$E$6:$E$529)</f>
        <v>0</v>
      </c>
      <c r="H228" s="36">
        <f>COUNTIF('8'!$N$6:$N$529,"목공")</f>
        <v>0</v>
      </c>
      <c r="I228" s="37" t="s">
        <v>5</v>
      </c>
      <c r="J228" s="38">
        <f>SUMIF('8'!$N$6:$N$529,"목공",'8'!$E$6:$E$529)</f>
        <v>0</v>
      </c>
      <c r="K228" s="36">
        <f t="shared" si="14"/>
        <v>0</v>
      </c>
      <c r="L228" s="37" t="s">
        <v>5</v>
      </c>
      <c r="M228" s="38">
        <f t="shared" si="15"/>
        <v>0</v>
      </c>
      <c r="N228" s="39"/>
      <c r="O228" s="23"/>
      <c r="P228" s="23"/>
      <c r="Q228" s="23"/>
      <c r="R228" s="23"/>
      <c r="S228" s="23"/>
      <c r="T228" s="23"/>
      <c r="U228" s="23"/>
      <c r="V228" s="23"/>
    </row>
    <row r="229" spans="1:22" s="24" customFormat="1" ht="23.1" customHeight="1">
      <c r="A229" s="104" t="s">
        <v>19</v>
      </c>
      <c r="B229" s="36">
        <f>COUNTIF('8'!$C$6:$C$529,"학")</f>
        <v>0</v>
      </c>
      <c r="C229" s="37" t="s">
        <v>5</v>
      </c>
      <c r="D229" s="38">
        <f>SUMIF('8'!$C$6:$C$529,"학",'8'!$E$6:$E$529)</f>
        <v>0</v>
      </c>
      <c r="E229" s="36">
        <f>COUNTIF('8'!$N$6:$N$529,"학국")</f>
        <v>0</v>
      </c>
      <c r="F229" s="37" t="s">
        <v>5</v>
      </c>
      <c r="G229" s="38">
        <f>SUMIF('8'!$N$6:$N$529,"학국",'8'!$E$6:$E$529)</f>
        <v>0</v>
      </c>
      <c r="H229" s="36">
        <f>COUNTIF('8'!$N$6:$N$529,"학공")</f>
        <v>0</v>
      </c>
      <c r="I229" s="37" t="s">
        <v>5</v>
      </c>
      <c r="J229" s="38">
        <f>SUMIF('8'!$N$6:$N$529,"학공",'8'!$E$6:$E$529)</f>
        <v>0</v>
      </c>
      <c r="K229" s="36">
        <f t="shared" si="14"/>
        <v>0</v>
      </c>
      <c r="L229" s="37" t="s">
        <v>5</v>
      </c>
      <c r="M229" s="38">
        <f t="shared" si="15"/>
        <v>0</v>
      </c>
      <c r="N229" s="39"/>
      <c r="O229" s="23"/>
      <c r="P229" s="23"/>
      <c r="Q229" s="23"/>
      <c r="R229" s="23"/>
      <c r="S229" s="23"/>
      <c r="T229" s="23"/>
      <c r="U229" s="23"/>
      <c r="V229" s="23"/>
    </row>
    <row r="230" spans="1:22" s="24" customFormat="1" ht="23.1" customHeight="1">
      <c r="A230" s="104" t="s">
        <v>20</v>
      </c>
      <c r="B230" s="36">
        <f>COUNTIF('8'!$C$6:$C$529,"철")</f>
        <v>0</v>
      </c>
      <c r="C230" s="37" t="s">
        <v>5</v>
      </c>
      <c r="D230" s="38">
        <f>SUMIF('8'!$C$6:$C$529,"철",'8'!$E$6:$E$529)</f>
        <v>0</v>
      </c>
      <c r="E230" s="36">
        <f>COUNTIF('8'!$N$6:$N$529,"철국")</f>
        <v>0</v>
      </c>
      <c r="F230" s="37" t="s">
        <v>5</v>
      </c>
      <c r="G230" s="38">
        <f>SUMIF('8'!$N$6:$N$529,"철국",'8'!$E$6:$E$529)</f>
        <v>0</v>
      </c>
      <c r="H230" s="36">
        <f>COUNTIF('8'!$N$6:$N$529,"철공")</f>
        <v>0</v>
      </c>
      <c r="I230" s="37" t="s">
        <v>5</v>
      </c>
      <c r="J230" s="38">
        <f>SUMIF('8'!$N$6:$N$529,"철공",'8'!$E$6:$E$529)</f>
        <v>0</v>
      </c>
      <c r="K230" s="36">
        <f t="shared" si="14"/>
        <v>0</v>
      </c>
      <c r="L230" s="37" t="s">
        <v>5</v>
      </c>
      <c r="M230" s="38">
        <f t="shared" si="15"/>
        <v>0</v>
      </c>
      <c r="N230" s="39"/>
      <c r="O230" s="23"/>
      <c r="P230" s="23"/>
      <c r="Q230" s="23"/>
      <c r="R230" s="23"/>
      <c r="S230" s="23"/>
      <c r="T230" s="23"/>
      <c r="U230" s="23"/>
      <c r="V230" s="23"/>
    </row>
    <row r="231" spans="1:22" s="24" customFormat="1" ht="23.1" customHeight="1">
      <c r="A231" s="104" t="s">
        <v>21</v>
      </c>
      <c r="B231" s="36">
        <f>COUNTIF('8'!$C$6:$C$529,"묘")</f>
        <v>0</v>
      </c>
      <c r="C231" s="37" t="s">
        <v>5</v>
      </c>
      <c r="D231" s="38">
        <f>SUMIF('8'!$C$6:$C$529,"묘",'8'!$E$6:$E$529)</f>
        <v>0</v>
      </c>
      <c r="E231" s="36">
        <f>COUNTIF('8'!$N$6:$N$529,"묘국")</f>
        <v>0</v>
      </c>
      <c r="F231" s="37" t="s">
        <v>5</v>
      </c>
      <c r="G231" s="38">
        <f>SUMIF('8'!$N$6:$N$529,"묘국",'8'!$E$6:$E$529)</f>
        <v>0</v>
      </c>
      <c r="H231" s="36">
        <f>COUNTIF('8'!$N$6:$N$529,"묘공")</f>
        <v>0</v>
      </c>
      <c r="I231" s="37" t="s">
        <v>5</v>
      </c>
      <c r="J231" s="38">
        <f>SUMIF('8'!$N$6:$N$529,"묘공",'8'!$E$6:$E$529)</f>
        <v>0</v>
      </c>
      <c r="K231" s="36">
        <f t="shared" si="14"/>
        <v>0</v>
      </c>
      <c r="L231" s="37" t="s">
        <v>5</v>
      </c>
      <c r="M231" s="38">
        <f t="shared" si="15"/>
        <v>0</v>
      </c>
      <c r="N231" s="39"/>
      <c r="O231" s="23"/>
      <c r="P231" s="23"/>
      <c r="Q231" s="23"/>
      <c r="R231" s="23"/>
      <c r="S231" s="23"/>
      <c r="T231" s="23"/>
      <c r="U231" s="23"/>
      <c r="V231" s="23"/>
    </row>
    <row r="232" spans="1:22" s="24" customFormat="1" ht="23.1" customHeight="1">
      <c r="A232" s="104" t="s">
        <v>22</v>
      </c>
      <c r="B232" s="36">
        <f>COUNTIF('8'!$C$6:$C$529,"수")</f>
        <v>0</v>
      </c>
      <c r="C232" s="37" t="s">
        <v>5</v>
      </c>
      <c r="D232" s="38">
        <f>SUMIF('8'!$C$6:$C$529,"수",'8'!$E$6:$E$529)</f>
        <v>0</v>
      </c>
      <c r="E232" s="36">
        <f>COUNTIF('8'!$N$6:$N$529,"수국")</f>
        <v>0</v>
      </c>
      <c r="F232" s="37" t="s">
        <v>5</v>
      </c>
      <c r="G232" s="38">
        <f>SUMIF('8'!$N$6:$N$529,"수국",'8'!$E$6:$E$529)</f>
        <v>0</v>
      </c>
      <c r="H232" s="36">
        <f>COUNTIF('8'!$N$6:$N$529,"수공")</f>
        <v>0</v>
      </c>
      <c r="I232" s="37" t="s">
        <v>5</v>
      </c>
      <c r="J232" s="38">
        <f>SUMIF('8'!$N$6:$N$529,"수공",'8'!$E$6:$E$529)</f>
        <v>0</v>
      </c>
      <c r="K232" s="36">
        <f t="shared" si="14"/>
        <v>0</v>
      </c>
      <c r="L232" s="37" t="s">
        <v>5</v>
      </c>
      <c r="M232" s="38">
        <f t="shared" si="15"/>
        <v>0</v>
      </c>
      <c r="N232" s="39"/>
      <c r="O232" s="23"/>
      <c r="P232" s="23"/>
      <c r="Q232" s="23"/>
      <c r="R232" s="23"/>
      <c r="S232" s="23"/>
      <c r="T232" s="23"/>
      <c r="U232" s="23"/>
      <c r="V232" s="23"/>
    </row>
    <row r="233" spans="1:22" s="24" customFormat="1" ht="23.1" customHeight="1">
      <c r="A233" s="104" t="s">
        <v>23</v>
      </c>
      <c r="B233" s="36">
        <f>COUNTIF('8'!$C$6:$C$529,"잡")</f>
        <v>0</v>
      </c>
      <c r="C233" s="37" t="s">
        <v>5</v>
      </c>
      <c r="D233" s="38">
        <f>SUMIF('8'!$C$6:$C$529,"잡",'8'!$E$6:$E$529)</f>
        <v>0</v>
      </c>
      <c r="E233" s="36">
        <f>COUNTIF('8'!$N$6:$N$529,"잡국")</f>
        <v>0</v>
      </c>
      <c r="F233" s="37" t="s">
        <v>5</v>
      </c>
      <c r="G233" s="38">
        <f>SUMIF('8'!$N$6:$N$529,"잡국",'8'!$E$6:$E$529)</f>
        <v>0</v>
      </c>
      <c r="H233" s="36">
        <f>COUNTIF('8'!$N$6:$N$529,"잡공")</f>
        <v>0</v>
      </c>
      <c r="I233" s="37" t="s">
        <v>5</v>
      </c>
      <c r="J233" s="38">
        <f>SUMIF('8'!$N$6:$N$529,"잡공",'8'!$E$6:$E$529)</f>
        <v>0</v>
      </c>
      <c r="K233" s="36">
        <f t="shared" si="14"/>
        <v>0</v>
      </c>
      <c r="L233" s="37" t="s">
        <v>5</v>
      </c>
      <c r="M233" s="38">
        <f t="shared" si="15"/>
        <v>0</v>
      </c>
      <c r="N233" s="39"/>
      <c r="O233" s="23"/>
      <c r="P233" s="23"/>
      <c r="Q233" s="23"/>
      <c r="R233" s="23"/>
      <c r="S233" s="23"/>
      <c r="T233" s="23"/>
      <c r="U233" s="23"/>
      <c r="V233" s="23"/>
    </row>
    <row r="234" spans="1:22" s="24" customFormat="1" ht="23.1" customHeight="1">
      <c r="A234" s="105" t="s">
        <v>24</v>
      </c>
      <c r="B234" s="36">
        <f>COUNTIF('8'!$C$6:$C$529,"종")</f>
        <v>0</v>
      </c>
      <c r="C234" s="37" t="s">
        <v>5</v>
      </c>
      <c r="D234" s="38">
        <f>SUMIF('8'!$C$6:$C$529,"종",'8'!$E$6:$E$529)</f>
        <v>0</v>
      </c>
      <c r="E234" s="36">
        <f>COUNTIF('8'!$N$6:$N$529,"종국")</f>
        <v>0</v>
      </c>
      <c r="F234" s="37" t="s">
        <v>5</v>
      </c>
      <c r="G234" s="38">
        <f>SUMIF('8'!$N$6:$N$529,"종국",'8'!$E$6:$E$529)</f>
        <v>0</v>
      </c>
      <c r="H234" s="36">
        <f>COUNTIF('8'!$N$6:$N$529,"종공")</f>
        <v>0</v>
      </c>
      <c r="I234" s="37" t="s">
        <v>5</v>
      </c>
      <c r="J234" s="38">
        <f>SUMIF('8'!$N$6:$N$529,"종공",'8'!$E$6:$E$529)</f>
        <v>0</v>
      </c>
      <c r="K234" s="36">
        <f t="shared" si="14"/>
        <v>0</v>
      </c>
      <c r="L234" s="37" t="s">
        <v>5</v>
      </c>
      <c r="M234" s="38">
        <f t="shared" si="15"/>
        <v>0</v>
      </c>
      <c r="N234" s="39"/>
      <c r="O234" s="23"/>
      <c r="P234" s="23"/>
      <c r="Q234" s="23"/>
      <c r="R234" s="23"/>
      <c r="S234" s="23"/>
      <c r="T234" s="23"/>
      <c r="U234" s="23"/>
      <c r="V234" s="23"/>
    </row>
    <row r="235" spans="1:22" s="24" customFormat="1" ht="23.1" customHeight="1">
      <c r="A235" s="105" t="s">
        <v>25</v>
      </c>
      <c r="B235" s="36">
        <f>COUNTIF('8'!$C$6:$C$529,"염")</f>
        <v>0</v>
      </c>
      <c r="C235" s="37" t="s">
        <v>5</v>
      </c>
      <c r="D235" s="38">
        <f>SUMIF('8'!$C$6:$C$529,"염",'8'!$E$6:$E$529)</f>
        <v>0</v>
      </c>
      <c r="E235" s="36">
        <f>COUNTIF('8'!$N$6:$N$529,"염국")</f>
        <v>0</v>
      </c>
      <c r="F235" s="37" t="s">
        <v>5</v>
      </c>
      <c r="G235" s="38">
        <f>SUMIF('8'!$N$6:$N$529,"염국",'8'!$E$6:$E$529)</f>
        <v>0</v>
      </c>
      <c r="H235" s="36">
        <f>COUNTIF('8'!$N$6:$N$529,"염공")</f>
        <v>0</v>
      </c>
      <c r="I235" s="37" t="s">
        <v>5</v>
      </c>
      <c r="J235" s="38">
        <f>SUMIF('8'!$N$6:$N$529,"염공",'8'!$E$6:$E$529)</f>
        <v>0</v>
      </c>
      <c r="K235" s="36">
        <f t="shared" si="14"/>
        <v>0</v>
      </c>
      <c r="L235" s="37" t="s">
        <v>5</v>
      </c>
      <c r="M235" s="38">
        <f t="shared" si="15"/>
        <v>0</v>
      </c>
      <c r="N235" s="39"/>
      <c r="O235" s="23"/>
      <c r="P235" s="23"/>
      <c r="Q235" s="23"/>
      <c r="R235" s="23"/>
      <c r="S235" s="23"/>
      <c r="T235" s="23"/>
      <c r="U235" s="23"/>
      <c r="V235" s="23"/>
    </row>
    <row r="236" spans="1:22" s="24" customFormat="1" ht="23.1" customHeight="1">
      <c r="A236" s="105" t="s">
        <v>26</v>
      </c>
      <c r="B236" s="36">
        <f>COUNTIF('8'!$C$6:$C$529,"공")</f>
        <v>0</v>
      </c>
      <c r="C236" s="37" t="s">
        <v>5</v>
      </c>
      <c r="D236" s="38">
        <f>SUMIF('8'!$C$6:$C$529,"공",'8'!$E$6:$E$529)</f>
        <v>0</v>
      </c>
      <c r="E236" s="36">
        <f>COUNTIF('8'!$N$6:$N$529,"공국")</f>
        <v>0</v>
      </c>
      <c r="F236" s="37" t="s">
        <v>5</v>
      </c>
      <c r="G236" s="38">
        <f>SUMIF('8'!$N$6:$N$529,"공국",'8'!$E$6:$E$529)</f>
        <v>0</v>
      </c>
      <c r="H236" s="36">
        <f>COUNTIF('8'!$N$6:$N$529,"공공")</f>
        <v>0</v>
      </c>
      <c r="I236" s="37" t="s">
        <v>5</v>
      </c>
      <c r="J236" s="38">
        <f>SUMIF('8'!$N$6:$N$529,"공공",'8'!$E$6:$E$529)</f>
        <v>0</v>
      </c>
      <c r="K236" s="36">
        <f t="shared" si="14"/>
        <v>0</v>
      </c>
      <c r="L236" s="37" t="s">
        <v>5</v>
      </c>
      <c r="M236" s="38">
        <f t="shared" si="15"/>
        <v>0</v>
      </c>
      <c r="N236" s="39"/>
      <c r="O236" s="23"/>
      <c r="P236" s="23"/>
      <c r="Q236" s="23"/>
      <c r="R236" s="23"/>
      <c r="S236" s="23"/>
      <c r="T236" s="23"/>
      <c r="U236" s="23"/>
      <c r="V236" s="23"/>
    </row>
    <row r="237" spans="1:22" s="24" customFormat="1" ht="23.1" customHeight="1">
      <c r="A237" s="105" t="s">
        <v>27</v>
      </c>
      <c r="B237" s="36">
        <f>COUNTIF('8'!$C$6:$C$529,"체")</f>
        <v>0</v>
      </c>
      <c r="C237" s="37" t="s">
        <v>5</v>
      </c>
      <c r="D237" s="38">
        <f>SUMIF('8'!$C$6:$C$529,"체",'8'!$E$6:$E$529)</f>
        <v>0</v>
      </c>
      <c r="E237" s="36">
        <f>COUNTIF('8'!$N$6:$N$529,"체국")</f>
        <v>0</v>
      </c>
      <c r="F237" s="37" t="s">
        <v>5</v>
      </c>
      <c r="G237" s="38">
        <f>SUMIF('8'!$N$6:$N$529,"체국",'8'!$E$6:$E$529)</f>
        <v>0</v>
      </c>
      <c r="H237" s="36">
        <f>COUNTIF('8'!$N$6:$N$529,"체공")</f>
        <v>0</v>
      </c>
      <c r="I237" s="37" t="s">
        <v>5</v>
      </c>
      <c r="J237" s="38">
        <f>SUMIF('8'!$N$6:$N$529,"체공",'8'!$E$6:$E$529)</f>
        <v>0</v>
      </c>
      <c r="K237" s="36">
        <f t="shared" si="14"/>
        <v>0</v>
      </c>
      <c r="L237" s="37" t="s">
        <v>5</v>
      </c>
      <c r="M237" s="38">
        <f t="shared" si="15"/>
        <v>0</v>
      </c>
      <c r="N237" s="39"/>
      <c r="O237" s="23"/>
      <c r="P237" s="23"/>
      <c r="Q237" s="23"/>
      <c r="R237" s="23"/>
      <c r="S237" s="23"/>
      <c r="T237" s="23"/>
      <c r="U237" s="23"/>
      <c r="V237" s="23"/>
    </row>
    <row r="238" spans="1:22" s="24" customFormat="1" ht="23.1" customHeight="1">
      <c r="A238" s="105" t="s">
        <v>28</v>
      </c>
      <c r="B238" s="36">
        <f>COUNTIF('8'!$C$6:$C$529,"원")</f>
        <v>0</v>
      </c>
      <c r="C238" s="37" t="s">
        <v>5</v>
      </c>
      <c r="D238" s="38">
        <f>SUMIF('8'!$C$6:$C$529,"원",'8'!$E$6:$E$529)</f>
        <v>0</v>
      </c>
      <c r="E238" s="36">
        <f>COUNTIF('8'!$N$6:$N$529,"원국")</f>
        <v>0</v>
      </c>
      <c r="F238" s="37" t="s">
        <v>5</v>
      </c>
      <c r="G238" s="38">
        <f>SUMIF('8'!$N$6:$N$529,"원국",'8'!$E$6:$E$529)</f>
        <v>0</v>
      </c>
      <c r="H238" s="36">
        <f>COUNTIF('8'!$N$6:$N$529,"원공")</f>
        <v>0</v>
      </c>
      <c r="I238" s="37" t="s">
        <v>5</v>
      </c>
      <c r="J238" s="38">
        <f>SUMIF('8'!$N$6:$N$529,"원공",'8'!$E$6:$E$529)</f>
        <v>0</v>
      </c>
      <c r="K238" s="36">
        <f t="shared" si="14"/>
        <v>0</v>
      </c>
      <c r="L238" s="37" t="s">
        <v>5</v>
      </c>
      <c r="M238" s="38">
        <f t="shared" si="15"/>
        <v>0</v>
      </c>
      <c r="N238" s="39"/>
      <c r="O238" s="23"/>
      <c r="P238" s="23"/>
      <c r="Q238" s="23"/>
      <c r="R238" s="23"/>
      <c r="S238" s="23"/>
      <c r="T238" s="23"/>
      <c r="U238" s="23"/>
      <c r="V238" s="23"/>
    </row>
    <row r="239" spans="1:22" s="24" customFormat="1" ht="23.1" customHeight="1">
      <c r="A239" s="105" t="s">
        <v>60</v>
      </c>
      <c r="B239" s="36">
        <f>COUNTIF('8'!$C$6:$C$529,"차")</f>
        <v>0</v>
      </c>
      <c r="C239" s="37" t="s">
        <v>5</v>
      </c>
      <c r="D239" s="38">
        <f>SUMIF('8'!$C$6:$C$529,"차",'8'!$E$6:$E$529)</f>
        <v>0</v>
      </c>
      <c r="E239" s="36">
        <f>COUNTIF('8'!$N$6:$N$529,"차국")</f>
        <v>0</v>
      </c>
      <c r="F239" s="37" t="s">
        <v>5</v>
      </c>
      <c r="G239" s="38">
        <f>SUMIF('8'!$N$6:$N$529,"차국",'8'!$E$6:$E$529)</f>
        <v>0</v>
      </c>
      <c r="H239" s="36">
        <f>COUNTIF('8'!$N$6:$N$529,"차공")</f>
        <v>0</v>
      </c>
      <c r="I239" s="37" t="s">
        <v>5</v>
      </c>
      <c r="J239" s="38">
        <f>SUMIF('8'!$N$6:$N$529,"차공",'8'!$E$6:$E$529)</f>
        <v>0</v>
      </c>
      <c r="K239" s="36">
        <f t="shared" si="14"/>
        <v>0</v>
      </c>
      <c r="L239" s="37" t="s">
        <v>5</v>
      </c>
      <c r="M239" s="38">
        <f t="shared" si="15"/>
        <v>0</v>
      </c>
      <c r="N239" s="39"/>
      <c r="O239" s="23"/>
      <c r="P239" s="23"/>
      <c r="Q239" s="23"/>
      <c r="R239" s="23"/>
      <c r="S239" s="23"/>
      <c r="T239" s="23"/>
      <c r="U239" s="23"/>
      <c r="V239" s="23"/>
    </row>
    <row r="240" spans="1:22" s="24" customFormat="1" ht="23.1" customHeight="1">
      <c r="A240" s="105" t="s">
        <v>61</v>
      </c>
      <c r="B240" s="36">
        <f>COUNTIF('8'!$C$6:$C$529,"주")</f>
        <v>0</v>
      </c>
      <c r="C240" s="37" t="s">
        <v>5</v>
      </c>
      <c r="D240" s="38">
        <f>SUMIF('8'!$C$6:$C$529,"주",'8'!$E$6:$E$529)</f>
        <v>0</v>
      </c>
      <c r="E240" s="36">
        <f>COUNTIF('8'!$N$6:$N$529,"주국")</f>
        <v>0</v>
      </c>
      <c r="F240" s="37" t="s">
        <v>5</v>
      </c>
      <c r="G240" s="38">
        <f>SUMIF('8'!$N$6:$N$529,"주국",'8'!$E$6:$E$529)</f>
        <v>0</v>
      </c>
      <c r="H240" s="36">
        <f>COUNTIF('8'!$N$6:$N$529,"주공")</f>
        <v>0</v>
      </c>
      <c r="I240" s="37" t="s">
        <v>5</v>
      </c>
      <c r="J240" s="38">
        <f>SUMIF('8'!$N$6:$N$529,"주공",'8'!$E$6:$E$529)</f>
        <v>0</v>
      </c>
      <c r="K240" s="36">
        <f t="shared" si="14"/>
        <v>0</v>
      </c>
      <c r="L240" s="37" t="s">
        <v>5</v>
      </c>
      <c r="M240" s="38">
        <f t="shared" si="15"/>
        <v>0</v>
      </c>
      <c r="N240" s="39"/>
      <c r="O240" s="23"/>
      <c r="P240" s="23"/>
      <c r="Q240" s="23"/>
      <c r="R240" s="23"/>
      <c r="S240" s="23"/>
      <c r="T240" s="23"/>
      <c r="U240" s="23"/>
      <c r="V240" s="23"/>
    </row>
    <row r="241" spans="1:22" s="24" customFormat="1" ht="23.1" customHeight="1">
      <c r="A241" s="106" t="s">
        <v>62</v>
      </c>
      <c r="B241" s="40">
        <f>COUNTIF('8'!$C$6:$C$529," ")</f>
        <v>0</v>
      </c>
      <c r="C241" s="41" t="s">
        <v>5</v>
      </c>
      <c r="D241" s="42">
        <f>SUMIF('8'!$C$6:$C$529," ",'8'!$E$6:$E$529)</f>
        <v>0</v>
      </c>
      <c r="E241" s="40">
        <f>COUNTIF('8'!$N$6:$N$529," 국")</f>
        <v>0</v>
      </c>
      <c r="F241" s="41" t="s">
        <v>5</v>
      </c>
      <c r="G241" s="42">
        <f>SUMIF('8'!$N$6:$N$529," 국",'8'!$E$6:$E$529)</f>
        <v>0</v>
      </c>
      <c r="H241" s="40">
        <f>COUNTIF('8'!$N$6:$N$529," 공")</f>
        <v>0</v>
      </c>
      <c r="I241" s="41" t="s">
        <v>5</v>
      </c>
      <c r="J241" s="42">
        <f>SUMIF('8'!$N$6:$N$529," 공",'8'!$E$6:$E$529)</f>
        <v>0</v>
      </c>
      <c r="K241" s="40">
        <f t="shared" si="14"/>
        <v>0</v>
      </c>
      <c r="L241" s="41" t="s">
        <v>5</v>
      </c>
      <c r="M241" s="42">
        <f t="shared" si="15"/>
        <v>0</v>
      </c>
      <c r="N241" s="43"/>
      <c r="O241" s="23"/>
      <c r="P241" s="23"/>
      <c r="Q241" s="23"/>
      <c r="R241" s="23"/>
      <c r="S241" s="23"/>
      <c r="T241" s="23"/>
      <c r="U241" s="23"/>
      <c r="V241" s="23"/>
    </row>
    <row r="242" spans="1:22" s="17" customFormat="1" ht="20.100000000000001" customHeight="1">
      <c r="A242" s="11">
        <f>IF(EXACT(O246,O247),,"검산확인요!!!")</f>
        <v>0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3">
        <f>IF(ISBLANK('9'!K2),,'9'!K2)</f>
        <v>3</v>
      </c>
      <c r="L242" s="14"/>
      <c r="M242" s="15"/>
      <c r="N242" s="16"/>
    </row>
    <row r="243" spans="1:22" s="17" customFormat="1" ht="9.9499999999999993" customHeight="1">
      <c r="A243" s="11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</row>
    <row r="244" spans="1:22" s="24" customFormat="1" ht="27.95" customHeight="1">
      <c r="A244" s="18" t="s">
        <v>3</v>
      </c>
      <c r="B244" s="19" t="s">
        <v>2</v>
      </c>
      <c r="C244" s="20"/>
      <c r="D244" s="21"/>
      <c r="E244" s="19" t="s">
        <v>29</v>
      </c>
      <c r="F244" s="20"/>
      <c r="G244" s="21"/>
      <c r="H244" s="19" t="s">
        <v>38</v>
      </c>
      <c r="I244" s="20"/>
      <c r="J244" s="21"/>
      <c r="K244" s="19" t="s">
        <v>30</v>
      </c>
      <c r="L244" s="20"/>
      <c r="M244" s="21"/>
      <c r="N244" s="22" t="s">
        <v>31</v>
      </c>
      <c r="O244" s="23"/>
      <c r="S244" s="23"/>
      <c r="T244" s="23"/>
      <c r="U244" s="23"/>
      <c r="V244" s="23"/>
    </row>
    <row r="245" spans="1:22" s="24" customFormat="1" ht="27.95" customHeight="1">
      <c r="A245" s="25"/>
      <c r="B245" s="26" t="s">
        <v>4</v>
      </c>
      <c r="C245" s="27" t="s">
        <v>5</v>
      </c>
      <c r="D245" s="28" t="s">
        <v>32</v>
      </c>
      <c r="E245" s="26" t="s">
        <v>4</v>
      </c>
      <c r="F245" s="27" t="s">
        <v>5</v>
      </c>
      <c r="G245" s="28" t="s">
        <v>32</v>
      </c>
      <c r="H245" s="26" t="s">
        <v>4</v>
      </c>
      <c r="I245" s="27" t="s">
        <v>5</v>
      </c>
      <c r="J245" s="28" t="s">
        <v>32</v>
      </c>
      <c r="K245" s="26" t="s">
        <v>4</v>
      </c>
      <c r="L245" s="27" t="s">
        <v>5</v>
      </c>
      <c r="M245" s="28" t="s">
        <v>32</v>
      </c>
      <c r="N245" s="29"/>
      <c r="P245" s="23"/>
      <c r="Q245" s="30" t="s">
        <v>33</v>
      </c>
      <c r="R245" s="30" t="s">
        <v>34</v>
      </c>
      <c r="S245" s="30" t="s">
        <v>35</v>
      </c>
      <c r="T245" s="30" t="s">
        <v>36</v>
      </c>
      <c r="U245" s="23"/>
      <c r="V245" s="23"/>
    </row>
    <row r="246" spans="1:22" s="24" customFormat="1" ht="23.1" customHeight="1">
      <c r="A246" s="103" t="s">
        <v>2</v>
      </c>
      <c r="B246" s="31">
        <f>SUM(B247:B271)</f>
        <v>0</v>
      </c>
      <c r="C246" s="32" t="s">
        <v>5</v>
      </c>
      <c r="D246" s="33">
        <f>SUM(D247:D271)</f>
        <v>0</v>
      </c>
      <c r="E246" s="31">
        <f>SUM(E247:E271)</f>
        <v>0</v>
      </c>
      <c r="F246" s="32" t="s">
        <v>5</v>
      </c>
      <c r="G246" s="33">
        <f>SUM(G247:G271)</f>
        <v>0</v>
      </c>
      <c r="H246" s="31">
        <f>SUM(H247:H271)</f>
        <v>0</v>
      </c>
      <c r="I246" s="32" t="s">
        <v>5</v>
      </c>
      <c r="J246" s="33">
        <f>SUM(J247:J271)</f>
        <v>0</v>
      </c>
      <c r="K246" s="31">
        <f>SUM(K247:K271)</f>
        <v>0</v>
      </c>
      <c r="L246" s="32" t="s">
        <v>5</v>
      </c>
      <c r="M246" s="33">
        <f>SUM(M247:M271)</f>
        <v>0</v>
      </c>
      <c r="N246" s="34"/>
      <c r="O246" s="23" t="str">
        <f>IF(EXACT(Q246,T246),"맞음","틀림")</f>
        <v>맞음</v>
      </c>
      <c r="P246" s="23" t="s">
        <v>4</v>
      </c>
      <c r="Q246" s="35">
        <f>SUM(B247:B271)</f>
        <v>0</v>
      </c>
      <c r="R246" s="35">
        <f>SUM(E247:E271)</f>
        <v>0</v>
      </c>
      <c r="S246" s="35">
        <f>SUM(K247:K271)</f>
        <v>0</v>
      </c>
      <c r="T246" s="35">
        <f>K246+E246</f>
        <v>0</v>
      </c>
      <c r="U246" s="23"/>
      <c r="V246" s="23"/>
    </row>
    <row r="247" spans="1:22" s="24" customFormat="1" ht="23.1" customHeight="1">
      <c r="A247" s="104" t="s">
        <v>7</v>
      </c>
      <c r="B247" s="36">
        <f>COUNTIF('9'!$C$6:$C$529,"전")</f>
        <v>0</v>
      </c>
      <c r="C247" s="37" t="s">
        <v>5</v>
      </c>
      <c r="D247" s="38">
        <f>SUMIF('9'!$C$6:$C$529,"전",'9'!$E$6:$E$529)</f>
        <v>0</v>
      </c>
      <c r="E247" s="36">
        <f>COUNTIF('9'!$N$6:$N$529,"전국")</f>
        <v>0</v>
      </c>
      <c r="F247" s="37" t="s">
        <v>5</v>
      </c>
      <c r="G247" s="38">
        <f>SUMIF('9'!$N$6:$N$529,"전국",'9'!$E$6:$E$529)</f>
        <v>0</v>
      </c>
      <c r="H247" s="36">
        <f>COUNTIF('9'!$N$6:$N$529,"전공")</f>
        <v>0</v>
      </c>
      <c r="I247" s="37" t="s">
        <v>5</v>
      </c>
      <c r="J247" s="38">
        <f>SUMIF('9'!$N$6:$N$529,"전공",'9'!$E$6:$E$529)</f>
        <v>0</v>
      </c>
      <c r="K247" s="36">
        <f t="shared" ref="K247:K271" si="16">SUM(B247-E247-H247)</f>
        <v>0</v>
      </c>
      <c r="L247" s="37" t="s">
        <v>5</v>
      </c>
      <c r="M247" s="38">
        <f t="shared" ref="M247:M271" si="17">SUM(D247-G247-J247)</f>
        <v>0</v>
      </c>
      <c r="N247" s="39"/>
      <c r="O247" s="23" t="str">
        <f>IF(EXACT(Q247,T247),"맞음","틀림")</f>
        <v>맞음</v>
      </c>
      <c r="P247" s="23" t="s">
        <v>37</v>
      </c>
      <c r="Q247" s="35">
        <f>SUM(D247:D271)</f>
        <v>0</v>
      </c>
      <c r="R247" s="35">
        <f>SUM(G247:G271)</f>
        <v>0</v>
      </c>
      <c r="S247" s="35">
        <f>SUM(M247:M271)</f>
        <v>0</v>
      </c>
      <c r="T247" s="35">
        <f>G246+M246</f>
        <v>0</v>
      </c>
      <c r="U247" s="23"/>
      <c r="V247" s="23"/>
    </row>
    <row r="248" spans="1:22" s="24" customFormat="1" ht="23.1" customHeight="1">
      <c r="A248" s="104" t="s">
        <v>8</v>
      </c>
      <c r="B248" s="36">
        <f>COUNTIF('9'!$C$6:$C$529,"답")</f>
        <v>0</v>
      </c>
      <c r="C248" s="37" t="s">
        <v>5</v>
      </c>
      <c r="D248" s="38">
        <f>SUMIF('9'!$C$6:$C$529,"답",'9'!$E$6:$E$529)</f>
        <v>0</v>
      </c>
      <c r="E248" s="36">
        <f>COUNTIF('9'!$N$6:$N$529,"답국")</f>
        <v>0</v>
      </c>
      <c r="F248" s="37" t="s">
        <v>5</v>
      </c>
      <c r="G248" s="38">
        <f>SUMIF('9'!$N$6:$N$529,"답국",'9'!$E$6:$E$529)</f>
        <v>0</v>
      </c>
      <c r="H248" s="36">
        <f>COUNTIF('9'!$N$6:$N$529,"답공")</f>
        <v>0</v>
      </c>
      <c r="I248" s="37" t="s">
        <v>5</v>
      </c>
      <c r="J248" s="38">
        <f>SUMIF('9'!$N$6:$N$529,"답공",'9'!$E$6:$E$529)</f>
        <v>0</v>
      </c>
      <c r="K248" s="36">
        <f t="shared" si="16"/>
        <v>0</v>
      </c>
      <c r="L248" s="37" t="s">
        <v>5</v>
      </c>
      <c r="M248" s="38">
        <f t="shared" si="17"/>
        <v>0</v>
      </c>
      <c r="N248" s="39"/>
      <c r="Q248" s="23"/>
      <c r="S248" s="23"/>
      <c r="U248" s="23"/>
      <c r="V248" s="23"/>
    </row>
    <row r="249" spans="1:22" s="24" customFormat="1" ht="23.1" customHeight="1">
      <c r="A249" s="104" t="s">
        <v>9</v>
      </c>
      <c r="B249" s="36">
        <f>COUNTIF('9'!$C$6:$C$529,"임")</f>
        <v>0</v>
      </c>
      <c r="C249" s="37" t="s">
        <v>5</v>
      </c>
      <c r="D249" s="38">
        <f>SUMIF('9'!$C$6:$C$529,"임",'9'!$E$6:$E$529)</f>
        <v>0</v>
      </c>
      <c r="E249" s="36">
        <f>COUNTIF('9'!$N$6:$N$529,"임국")</f>
        <v>0</v>
      </c>
      <c r="F249" s="37" t="s">
        <v>5</v>
      </c>
      <c r="G249" s="38">
        <f>SUMIF('9'!$N$6:$N$529,"임국",'9'!$E$6:$E$529)</f>
        <v>0</v>
      </c>
      <c r="H249" s="36">
        <f>COUNTIF('9'!$N$6:$N$529,"임공")</f>
        <v>0</v>
      </c>
      <c r="I249" s="37" t="s">
        <v>5</v>
      </c>
      <c r="J249" s="38">
        <f>SUMIF('9'!$N$6:$N$529,"임공",'9'!$E$6:$E$529)</f>
        <v>0</v>
      </c>
      <c r="K249" s="36">
        <f t="shared" si="16"/>
        <v>0</v>
      </c>
      <c r="L249" s="37" t="s">
        <v>5</v>
      </c>
      <c r="M249" s="38">
        <f t="shared" si="17"/>
        <v>0</v>
      </c>
      <c r="N249" s="39"/>
      <c r="Q249" s="23"/>
      <c r="S249" s="23"/>
      <c r="U249" s="23"/>
      <c r="V249" s="23"/>
    </row>
    <row r="250" spans="1:22" s="24" customFormat="1" ht="23.1" customHeight="1">
      <c r="A250" s="104" t="s">
        <v>10</v>
      </c>
      <c r="B250" s="36">
        <f>COUNTIF('9'!$C$6:$C$529,"대")</f>
        <v>0</v>
      </c>
      <c r="C250" s="37" t="s">
        <v>5</v>
      </c>
      <c r="D250" s="38">
        <f>SUMIF('9'!$C$6:$C$529,"대",'9'!$E$6:$E$529)</f>
        <v>0</v>
      </c>
      <c r="E250" s="36">
        <f>COUNTIF('9'!$N$6:$N$529,"대국")</f>
        <v>0</v>
      </c>
      <c r="F250" s="37" t="s">
        <v>5</v>
      </c>
      <c r="G250" s="38">
        <f>SUMIF('9'!$N$6:$N$529,"대국",'9'!$E$6:$E$529)</f>
        <v>0</v>
      </c>
      <c r="H250" s="36">
        <f>COUNTIF('9'!$N$6:$N$529,"대공")</f>
        <v>0</v>
      </c>
      <c r="I250" s="37" t="s">
        <v>5</v>
      </c>
      <c r="J250" s="38">
        <f>SUMIF('9'!$N$6:$N$529,"대공",'9'!$E$6:$E$529)</f>
        <v>0</v>
      </c>
      <c r="K250" s="36">
        <f t="shared" si="16"/>
        <v>0</v>
      </c>
      <c r="L250" s="37" t="s">
        <v>5</v>
      </c>
      <c r="M250" s="38">
        <f t="shared" si="17"/>
        <v>0</v>
      </c>
      <c r="N250" s="39"/>
      <c r="O250" s="23"/>
      <c r="P250" s="23"/>
      <c r="Q250" s="23"/>
      <c r="R250" s="23"/>
      <c r="S250" s="23"/>
      <c r="T250" s="23"/>
      <c r="U250" s="23"/>
      <c r="V250" s="23"/>
    </row>
    <row r="251" spans="1:22" s="24" customFormat="1" ht="23.1" customHeight="1">
      <c r="A251" s="104" t="s">
        <v>11</v>
      </c>
      <c r="B251" s="36">
        <f>COUNTIF('9'!$C$6:$C$529,"도")</f>
        <v>0</v>
      </c>
      <c r="C251" s="37" t="s">
        <v>5</v>
      </c>
      <c r="D251" s="38">
        <f>SUMIF('9'!$C$6:$C$529,"도",'9'!$E$6:$E$529)</f>
        <v>0</v>
      </c>
      <c r="E251" s="36">
        <f>COUNTIF('9'!$N$6:$N$529,"도국")</f>
        <v>0</v>
      </c>
      <c r="F251" s="37" t="s">
        <v>5</v>
      </c>
      <c r="G251" s="38">
        <f>SUMIF('9'!$N$6:$N$529,"도국",'9'!$E$6:$E$529)</f>
        <v>0</v>
      </c>
      <c r="H251" s="36">
        <f>COUNTIF('9'!$N$6:$N$529,"도공")</f>
        <v>0</v>
      </c>
      <c r="I251" s="37" t="s">
        <v>5</v>
      </c>
      <c r="J251" s="38">
        <f>SUMIF('9'!$N$6:$N$529,"도공",'9'!$E$6:$E$529)</f>
        <v>0</v>
      </c>
      <c r="K251" s="36">
        <f t="shared" si="16"/>
        <v>0</v>
      </c>
      <c r="L251" s="37" t="s">
        <v>5</v>
      </c>
      <c r="M251" s="38">
        <f t="shared" si="17"/>
        <v>0</v>
      </c>
      <c r="N251" s="39"/>
      <c r="O251" s="23"/>
      <c r="P251" s="23"/>
      <c r="Q251" s="23"/>
      <c r="R251" s="23"/>
      <c r="S251" s="23"/>
      <c r="T251" s="23"/>
      <c r="U251" s="23"/>
      <c r="V251" s="23"/>
    </row>
    <row r="252" spans="1:22" s="24" customFormat="1" ht="23.1" customHeight="1">
      <c r="A252" s="104" t="s">
        <v>12</v>
      </c>
      <c r="B252" s="36">
        <f>COUNTIF('9'!$C$6:$C$529,"구")</f>
        <v>0</v>
      </c>
      <c r="C252" s="37" t="s">
        <v>5</v>
      </c>
      <c r="D252" s="38">
        <f>SUMIF('9'!$C$6:$C$529,"구",'9'!$E$6:$E$529)</f>
        <v>0</v>
      </c>
      <c r="E252" s="36">
        <f>COUNTIF('9'!$N$6:$N$529,"구국")</f>
        <v>0</v>
      </c>
      <c r="F252" s="37" t="s">
        <v>5</v>
      </c>
      <c r="G252" s="38">
        <f>SUMIF('9'!$N$6:$N$529,"구국",'9'!$E$6:$E$529)</f>
        <v>0</v>
      </c>
      <c r="H252" s="36">
        <f>COUNTIF('9'!$N$6:$N$529,"구공")</f>
        <v>0</v>
      </c>
      <c r="I252" s="37" t="s">
        <v>5</v>
      </c>
      <c r="J252" s="38">
        <f>SUMIF('9'!$N$6:$N$529,"구공",'9'!$E$6:$E$529)</f>
        <v>0</v>
      </c>
      <c r="K252" s="36">
        <f t="shared" si="16"/>
        <v>0</v>
      </c>
      <c r="L252" s="37" t="s">
        <v>5</v>
      </c>
      <c r="M252" s="38">
        <f t="shared" si="17"/>
        <v>0</v>
      </c>
      <c r="N252" s="39"/>
      <c r="O252" s="23"/>
      <c r="P252" s="23"/>
      <c r="Q252" s="23"/>
      <c r="R252" s="23"/>
      <c r="S252" s="23"/>
      <c r="T252" s="23"/>
      <c r="U252" s="23"/>
      <c r="V252" s="23"/>
    </row>
    <row r="253" spans="1:22" s="24" customFormat="1" ht="23.1" customHeight="1">
      <c r="A253" s="104" t="s">
        <v>13</v>
      </c>
      <c r="B253" s="36">
        <f>COUNTIF('9'!$C$6:$C$529,"천")</f>
        <v>0</v>
      </c>
      <c r="C253" s="37" t="s">
        <v>5</v>
      </c>
      <c r="D253" s="38">
        <f>SUMIF('9'!$C$6:$C$529,"천",'9'!$E$6:$E$529)</f>
        <v>0</v>
      </c>
      <c r="E253" s="36">
        <f>COUNTIF('9'!$N$6:$N$529,"천국")</f>
        <v>0</v>
      </c>
      <c r="F253" s="37" t="s">
        <v>5</v>
      </c>
      <c r="G253" s="38">
        <f>SUMIF('9'!$N$6:$N$529,"천국",'9'!$E$6:$E$529)</f>
        <v>0</v>
      </c>
      <c r="H253" s="36">
        <f>COUNTIF('9'!$N$6:$N$529,"천공")</f>
        <v>0</v>
      </c>
      <c r="I253" s="37" t="s">
        <v>5</v>
      </c>
      <c r="J253" s="38">
        <f>SUMIF('9'!$N$6:$N$529,"천공",'9'!$E$6:$E$529)</f>
        <v>0</v>
      </c>
      <c r="K253" s="36">
        <f t="shared" si="16"/>
        <v>0</v>
      </c>
      <c r="L253" s="37" t="s">
        <v>5</v>
      </c>
      <c r="M253" s="38">
        <f t="shared" si="17"/>
        <v>0</v>
      </c>
      <c r="N253" s="39"/>
      <c r="O253" s="23"/>
      <c r="P253" s="23"/>
      <c r="Q253" s="23"/>
      <c r="R253" s="23"/>
      <c r="S253" s="23"/>
      <c r="T253" s="23"/>
      <c r="U253" s="23"/>
      <c r="V253" s="23"/>
    </row>
    <row r="254" spans="1:22" s="24" customFormat="1" ht="23.1" customHeight="1">
      <c r="A254" s="104" t="s">
        <v>14</v>
      </c>
      <c r="B254" s="36">
        <f>COUNTIF('9'!$C$6:$C$529,"유")</f>
        <v>0</v>
      </c>
      <c r="C254" s="37" t="s">
        <v>5</v>
      </c>
      <c r="D254" s="38">
        <f>SUMIF('9'!$C$6:$C$529,"유",'9'!$E$6:$E$529)</f>
        <v>0</v>
      </c>
      <c r="E254" s="36">
        <f>COUNTIF('9'!$N$6:$N$529,"유국")</f>
        <v>0</v>
      </c>
      <c r="F254" s="37" t="s">
        <v>5</v>
      </c>
      <c r="G254" s="38">
        <f>SUMIF('9'!$N$6:$N$529,"유국",'9'!$E$6:$E$529)</f>
        <v>0</v>
      </c>
      <c r="H254" s="36">
        <f>COUNTIF('9'!$N$6:$N$529,"유공")</f>
        <v>0</v>
      </c>
      <c r="I254" s="37" t="s">
        <v>5</v>
      </c>
      <c r="J254" s="38">
        <f>SUMIF('9'!$N$6:$N$529,"유공",'9'!$E$6:$E$529)</f>
        <v>0</v>
      </c>
      <c r="K254" s="36">
        <f t="shared" si="16"/>
        <v>0</v>
      </c>
      <c r="L254" s="37" t="s">
        <v>5</v>
      </c>
      <c r="M254" s="38">
        <f t="shared" si="17"/>
        <v>0</v>
      </c>
      <c r="N254" s="39"/>
      <c r="O254" s="23"/>
      <c r="P254" s="23"/>
      <c r="Q254" s="23"/>
      <c r="R254" s="23"/>
      <c r="S254" s="23"/>
      <c r="T254" s="23"/>
      <c r="U254" s="23"/>
      <c r="V254" s="23"/>
    </row>
    <row r="255" spans="1:22" s="24" customFormat="1" ht="23.1" customHeight="1">
      <c r="A255" s="104" t="s">
        <v>15</v>
      </c>
      <c r="B255" s="36">
        <f>COUNTIF('9'!$C$6:$C$529,"제")</f>
        <v>0</v>
      </c>
      <c r="C255" s="37" t="s">
        <v>5</v>
      </c>
      <c r="D255" s="38">
        <f>SUMIF('9'!$C$6:$C$529,"제",'9'!$E$6:$E$529)</f>
        <v>0</v>
      </c>
      <c r="E255" s="36">
        <f>COUNTIF('9'!$N$6:$N$529,"제국")</f>
        <v>0</v>
      </c>
      <c r="F255" s="37" t="s">
        <v>5</v>
      </c>
      <c r="G255" s="38">
        <f>SUMIF('9'!$N$6:$N$529,"제국",'9'!$E$6:$E$529)</f>
        <v>0</v>
      </c>
      <c r="H255" s="36">
        <f>COUNTIF('9'!$N$6:$N$529,"제공")</f>
        <v>0</v>
      </c>
      <c r="I255" s="37" t="s">
        <v>5</v>
      </c>
      <c r="J255" s="38">
        <f>SUMIF('9'!$N$6:$N$529,"제공",'9'!$E$6:$E$529)</f>
        <v>0</v>
      </c>
      <c r="K255" s="36">
        <f t="shared" si="16"/>
        <v>0</v>
      </c>
      <c r="L255" s="37" t="s">
        <v>5</v>
      </c>
      <c r="M255" s="38">
        <f t="shared" si="17"/>
        <v>0</v>
      </c>
      <c r="N255" s="39"/>
      <c r="O255" s="23"/>
      <c r="P255" s="23"/>
      <c r="Q255" s="23"/>
      <c r="R255" s="23"/>
      <c r="S255" s="23"/>
      <c r="T255" s="23"/>
      <c r="U255" s="23"/>
      <c r="V255" s="23"/>
    </row>
    <row r="256" spans="1:22" s="24" customFormat="1" ht="23.1" customHeight="1">
      <c r="A256" s="104" t="s">
        <v>16</v>
      </c>
      <c r="B256" s="36">
        <f>COUNTIF('9'!$C$6:$C$529,"과")</f>
        <v>0</v>
      </c>
      <c r="C256" s="37" t="s">
        <v>5</v>
      </c>
      <c r="D256" s="38">
        <f>SUMIF('9'!$C$6:$C$529,"과",'9'!$E$6:$E$529)</f>
        <v>0</v>
      </c>
      <c r="E256" s="36">
        <f>COUNTIF('9'!$N$6:$N$529,"과국")</f>
        <v>0</v>
      </c>
      <c r="F256" s="37" t="s">
        <v>5</v>
      </c>
      <c r="G256" s="38">
        <f>SUMIF('9'!$N$6:$N$529,"과국",'9'!$E$6:$E$529)</f>
        <v>0</v>
      </c>
      <c r="H256" s="36">
        <f>COUNTIF('9'!$N$6:$N$529,"과공")</f>
        <v>0</v>
      </c>
      <c r="I256" s="37" t="s">
        <v>5</v>
      </c>
      <c r="J256" s="38">
        <f>SUMIF('9'!$N$6:$N$529,"과공",'9'!$E$6:$E$529)</f>
        <v>0</v>
      </c>
      <c r="K256" s="36">
        <f t="shared" si="16"/>
        <v>0</v>
      </c>
      <c r="L256" s="37" t="s">
        <v>5</v>
      </c>
      <c r="M256" s="38">
        <f t="shared" si="17"/>
        <v>0</v>
      </c>
      <c r="N256" s="39"/>
      <c r="O256" s="23"/>
      <c r="P256" s="23"/>
      <c r="Q256" s="23"/>
      <c r="R256" s="23"/>
      <c r="S256" s="23"/>
      <c r="T256" s="23"/>
      <c r="U256" s="23"/>
      <c r="V256" s="23"/>
    </row>
    <row r="257" spans="1:22" s="24" customFormat="1" ht="23.1" customHeight="1">
      <c r="A257" s="104" t="s">
        <v>17</v>
      </c>
      <c r="B257" s="36">
        <f>COUNTIF('9'!$C$6:$C$529,"장")</f>
        <v>0</v>
      </c>
      <c r="C257" s="37" t="s">
        <v>5</v>
      </c>
      <c r="D257" s="38">
        <f>SUMIF('9'!$C$6:$C$529,"장",'9'!$E$6:$E$529)</f>
        <v>0</v>
      </c>
      <c r="E257" s="36">
        <f>COUNTIF('9'!$N$6:$N$529,"장국")</f>
        <v>0</v>
      </c>
      <c r="F257" s="37" t="s">
        <v>5</v>
      </c>
      <c r="G257" s="38">
        <f>SUMIF('9'!$N$6:$N$529,"장국",'9'!$E$6:$E$529)</f>
        <v>0</v>
      </c>
      <c r="H257" s="36">
        <f>COUNTIF('9'!$N$6:$N$529,"장공")</f>
        <v>0</v>
      </c>
      <c r="I257" s="37" t="s">
        <v>5</v>
      </c>
      <c r="J257" s="38">
        <f>SUMIF('9'!$N$6:$N$529,"장공",'9'!$E$6:$E$529)</f>
        <v>0</v>
      </c>
      <c r="K257" s="36">
        <f t="shared" si="16"/>
        <v>0</v>
      </c>
      <c r="L257" s="37" t="s">
        <v>5</v>
      </c>
      <c r="M257" s="38">
        <f t="shared" si="17"/>
        <v>0</v>
      </c>
      <c r="N257" s="39"/>
      <c r="O257" s="23"/>
      <c r="P257" s="23"/>
      <c r="Q257" s="23"/>
      <c r="R257" s="23"/>
      <c r="S257" s="23"/>
      <c r="T257" s="23"/>
      <c r="U257" s="23"/>
      <c r="V257" s="23"/>
    </row>
    <row r="258" spans="1:22" s="24" customFormat="1" ht="23.1" customHeight="1">
      <c r="A258" s="104" t="s">
        <v>18</v>
      </c>
      <c r="B258" s="36">
        <f>COUNTIF('9'!$C$6:$C$529,"목")</f>
        <v>0</v>
      </c>
      <c r="C258" s="37" t="s">
        <v>5</v>
      </c>
      <c r="D258" s="38">
        <f>SUMIF('9'!$C$6:$C$529,"목",'9'!$E$6:$E$529)</f>
        <v>0</v>
      </c>
      <c r="E258" s="36">
        <f>COUNTIF('9'!$N$6:$N$529,"목국")</f>
        <v>0</v>
      </c>
      <c r="F258" s="37" t="s">
        <v>5</v>
      </c>
      <c r="G258" s="38">
        <f>SUMIF('9'!$N$6:$N$529,"목국",'9'!$E$6:$E$529)</f>
        <v>0</v>
      </c>
      <c r="H258" s="36">
        <f>COUNTIF('9'!$N$6:$N$529,"목공")</f>
        <v>0</v>
      </c>
      <c r="I258" s="37" t="s">
        <v>5</v>
      </c>
      <c r="J258" s="38">
        <f>SUMIF('9'!$N$6:$N$529,"목공",'9'!$E$6:$E$529)</f>
        <v>0</v>
      </c>
      <c r="K258" s="36">
        <f t="shared" si="16"/>
        <v>0</v>
      </c>
      <c r="L258" s="37" t="s">
        <v>5</v>
      </c>
      <c r="M258" s="38">
        <f t="shared" si="17"/>
        <v>0</v>
      </c>
      <c r="N258" s="39"/>
      <c r="O258" s="23"/>
      <c r="P258" s="23"/>
      <c r="Q258" s="23"/>
      <c r="R258" s="23"/>
      <c r="S258" s="23"/>
      <c r="T258" s="23"/>
      <c r="U258" s="23"/>
      <c r="V258" s="23"/>
    </row>
    <row r="259" spans="1:22" s="24" customFormat="1" ht="23.1" customHeight="1">
      <c r="A259" s="104" t="s">
        <v>19</v>
      </c>
      <c r="B259" s="36">
        <f>COUNTIF('9'!$C$6:$C$529,"학")</f>
        <v>0</v>
      </c>
      <c r="C259" s="37" t="s">
        <v>5</v>
      </c>
      <c r="D259" s="38">
        <f>SUMIF('9'!$C$6:$C$529,"학",'9'!$E$6:$E$529)</f>
        <v>0</v>
      </c>
      <c r="E259" s="36">
        <f>COUNTIF('9'!$N$6:$N$529,"학국")</f>
        <v>0</v>
      </c>
      <c r="F259" s="37" t="s">
        <v>5</v>
      </c>
      <c r="G259" s="38">
        <f>SUMIF('9'!$N$6:$N$529,"학국",'9'!$E$6:$E$529)</f>
        <v>0</v>
      </c>
      <c r="H259" s="36">
        <f>COUNTIF('9'!$N$6:$N$529,"학공")</f>
        <v>0</v>
      </c>
      <c r="I259" s="37" t="s">
        <v>5</v>
      </c>
      <c r="J259" s="38">
        <f>SUMIF('9'!$N$6:$N$529,"학공",'9'!$E$6:$E$529)</f>
        <v>0</v>
      </c>
      <c r="K259" s="36">
        <f t="shared" si="16"/>
        <v>0</v>
      </c>
      <c r="L259" s="37" t="s">
        <v>5</v>
      </c>
      <c r="M259" s="38">
        <f t="shared" si="17"/>
        <v>0</v>
      </c>
      <c r="N259" s="39"/>
      <c r="O259" s="23"/>
      <c r="P259" s="23"/>
      <c r="Q259" s="23"/>
      <c r="R259" s="23"/>
      <c r="S259" s="23"/>
      <c r="T259" s="23"/>
      <c r="U259" s="23"/>
      <c r="V259" s="23"/>
    </row>
    <row r="260" spans="1:22" s="24" customFormat="1" ht="23.1" customHeight="1">
      <c r="A260" s="104" t="s">
        <v>20</v>
      </c>
      <c r="B260" s="36">
        <f>COUNTIF('9'!$C$6:$C$529,"철")</f>
        <v>0</v>
      </c>
      <c r="C260" s="37" t="s">
        <v>5</v>
      </c>
      <c r="D260" s="38">
        <f>SUMIF('9'!$C$6:$C$529,"철",'9'!$E$6:$E$529)</f>
        <v>0</v>
      </c>
      <c r="E260" s="36">
        <f>COUNTIF('9'!$N$6:$N$529,"철국")</f>
        <v>0</v>
      </c>
      <c r="F260" s="37" t="s">
        <v>5</v>
      </c>
      <c r="G260" s="38">
        <f>SUMIF('9'!$N$6:$N$529,"철국",'9'!$E$6:$E$529)</f>
        <v>0</v>
      </c>
      <c r="H260" s="36">
        <f>COUNTIF('9'!$N$6:$N$529,"철공")</f>
        <v>0</v>
      </c>
      <c r="I260" s="37" t="s">
        <v>5</v>
      </c>
      <c r="J260" s="38">
        <f>SUMIF('9'!$N$6:$N$529,"철공",'9'!$E$6:$E$529)</f>
        <v>0</v>
      </c>
      <c r="K260" s="36">
        <f t="shared" si="16"/>
        <v>0</v>
      </c>
      <c r="L260" s="37" t="s">
        <v>5</v>
      </c>
      <c r="M260" s="38">
        <f t="shared" si="17"/>
        <v>0</v>
      </c>
      <c r="N260" s="39"/>
      <c r="O260" s="23"/>
      <c r="P260" s="23"/>
      <c r="Q260" s="23"/>
      <c r="R260" s="23"/>
      <c r="S260" s="23"/>
      <c r="T260" s="23"/>
      <c r="U260" s="23"/>
      <c r="V260" s="23"/>
    </row>
    <row r="261" spans="1:22" s="24" customFormat="1" ht="23.1" customHeight="1">
      <c r="A261" s="104" t="s">
        <v>21</v>
      </c>
      <c r="B261" s="36">
        <f>COUNTIF('9'!$C$6:$C$529,"묘")</f>
        <v>0</v>
      </c>
      <c r="C261" s="37" t="s">
        <v>5</v>
      </c>
      <c r="D261" s="38">
        <f>SUMIF('9'!$C$6:$C$529,"묘",'9'!$E$6:$E$529)</f>
        <v>0</v>
      </c>
      <c r="E261" s="36">
        <f>COUNTIF('9'!$N$6:$N$529,"묘국")</f>
        <v>0</v>
      </c>
      <c r="F261" s="37" t="s">
        <v>5</v>
      </c>
      <c r="G261" s="38">
        <f>SUMIF('9'!$N$6:$N$529,"묘국",'9'!$E$6:$E$529)</f>
        <v>0</v>
      </c>
      <c r="H261" s="36">
        <f>COUNTIF('9'!$N$6:$N$529,"묘공")</f>
        <v>0</v>
      </c>
      <c r="I261" s="37" t="s">
        <v>5</v>
      </c>
      <c r="J261" s="38">
        <f>SUMIF('9'!$N$6:$N$529,"묘공",'9'!$E$6:$E$529)</f>
        <v>0</v>
      </c>
      <c r="K261" s="36">
        <f t="shared" si="16"/>
        <v>0</v>
      </c>
      <c r="L261" s="37" t="s">
        <v>5</v>
      </c>
      <c r="M261" s="38">
        <f t="shared" si="17"/>
        <v>0</v>
      </c>
      <c r="N261" s="39"/>
      <c r="O261" s="23"/>
      <c r="P261" s="23"/>
      <c r="Q261" s="23"/>
      <c r="R261" s="23"/>
      <c r="S261" s="23"/>
      <c r="T261" s="23"/>
      <c r="U261" s="23"/>
      <c r="V261" s="23"/>
    </row>
    <row r="262" spans="1:22" s="24" customFormat="1" ht="23.1" customHeight="1">
      <c r="A262" s="104" t="s">
        <v>22</v>
      </c>
      <c r="B262" s="36">
        <f>COUNTIF('9'!$C$6:$C$529,"수")</f>
        <v>0</v>
      </c>
      <c r="C262" s="37" t="s">
        <v>5</v>
      </c>
      <c r="D262" s="38">
        <f>SUMIF('9'!$C$6:$C$529,"수",'9'!$E$6:$E$529)</f>
        <v>0</v>
      </c>
      <c r="E262" s="36">
        <f>COUNTIF('9'!$N$6:$N$529,"수국")</f>
        <v>0</v>
      </c>
      <c r="F262" s="37" t="s">
        <v>5</v>
      </c>
      <c r="G262" s="38">
        <f>SUMIF('9'!$N$6:$N$529,"수국",'9'!$E$6:$E$529)</f>
        <v>0</v>
      </c>
      <c r="H262" s="36">
        <f>COUNTIF('9'!$N$6:$N$529,"수공")</f>
        <v>0</v>
      </c>
      <c r="I262" s="37" t="s">
        <v>5</v>
      </c>
      <c r="J262" s="38">
        <f>SUMIF('9'!$N$6:$N$529,"수공",'9'!$E$6:$E$529)</f>
        <v>0</v>
      </c>
      <c r="K262" s="36">
        <f t="shared" si="16"/>
        <v>0</v>
      </c>
      <c r="L262" s="37" t="s">
        <v>5</v>
      </c>
      <c r="M262" s="38">
        <f t="shared" si="17"/>
        <v>0</v>
      </c>
      <c r="N262" s="39"/>
      <c r="O262" s="23"/>
      <c r="P262" s="23"/>
      <c r="Q262" s="23"/>
      <c r="R262" s="23"/>
      <c r="S262" s="23"/>
      <c r="T262" s="23"/>
      <c r="U262" s="23"/>
      <c r="V262" s="23"/>
    </row>
    <row r="263" spans="1:22" s="24" customFormat="1" ht="23.1" customHeight="1">
      <c r="A263" s="104" t="s">
        <v>23</v>
      </c>
      <c r="B263" s="36">
        <f>COUNTIF('9'!$C$6:$C$529,"잡")</f>
        <v>0</v>
      </c>
      <c r="C263" s="37" t="s">
        <v>5</v>
      </c>
      <c r="D263" s="38">
        <f>SUMIF('9'!$C$6:$C$529,"잡",'9'!$E$6:$E$529)</f>
        <v>0</v>
      </c>
      <c r="E263" s="36">
        <f>COUNTIF('9'!$N$6:$N$529,"잡국")</f>
        <v>0</v>
      </c>
      <c r="F263" s="37" t="s">
        <v>5</v>
      </c>
      <c r="G263" s="38">
        <f>SUMIF('9'!$N$6:$N$529,"잡국",'9'!$E$6:$E$529)</f>
        <v>0</v>
      </c>
      <c r="H263" s="36">
        <f>COUNTIF('9'!$N$6:$N$529,"잡공")</f>
        <v>0</v>
      </c>
      <c r="I263" s="37" t="s">
        <v>5</v>
      </c>
      <c r="J263" s="38">
        <f>SUMIF('9'!$N$6:$N$529,"잡공",'9'!$E$6:$E$529)</f>
        <v>0</v>
      </c>
      <c r="K263" s="36">
        <f t="shared" si="16"/>
        <v>0</v>
      </c>
      <c r="L263" s="37" t="s">
        <v>5</v>
      </c>
      <c r="M263" s="38">
        <f t="shared" si="17"/>
        <v>0</v>
      </c>
      <c r="N263" s="39"/>
      <c r="O263" s="23"/>
      <c r="P263" s="23"/>
      <c r="Q263" s="23"/>
      <c r="R263" s="23"/>
      <c r="S263" s="23"/>
      <c r="T263" s="23"/>
      <c r="U263" s="23"/>
      <c r="V263" s="23"/>
    </row>
    <row r="264" spans="1:22" s="24" customFormat="1" ht="23.1" customHeight="1">
      <c r="A264" s="105" t="s">
        <v>24</v>
      </c>
      <c r="B264" s="36">
        <f>COUNTIF('9'!$C$6:$C$529,"종")</f>
        <v>0</v>
      </c>
      <c r="C264" s="37" t="s">
        <v>5</v>
      </c>
      <c r="D264" s="38">
        <f>SUMIF('9'!$C$6:$C$529,"종",'9'!$E$6:$E$529)</f>
        <v>0</v>
      </c>
      <c r="E264" s="36">
        <f>COUNTIF('9'!$N$6:$N$529,"종국")</f>
        <v>0</v>
      </c>
      <c r="F264" s="37" t="s">
        <v>5</v>
      </c>
      <c r="G264" s="38">
        <f>SUMIF('9'!$N$6:$N$529,"종국",'9'!$E$6:$E$529)</f>
        <v>0</v>
      </c>
      <c r="H264" s="36">
        <f>COUNTIF('9'!$N$6:$N$529,"종공")</f>
        <v>0</v>
      </c>
      <c r="I264" s="37" t="s">
        <v>5</v>
      </c>
      <c r="J264" s="38">
        <f>SUMIF('9'!$N$6:$N$529,"종공",'9'!$E$6:$E$529)</f>
        <v>0</v>
      </c>
      <c r="K264" s="36">
        <f t="shared" si="16"/>
        <v>0</v>
      </c>
      <c r="L264" s="37" t="s">
        <v>5</v>
      </c>
      <c r="M264" s="38">
        <f t="shared" si="17"/>
        <v>0</v>
      </c>
      <c r="N264" s="39"/>
      <c r="O264" s="23"/>
      <c r="P264" s="23"/>
      <c r="Q264" s="23"/>
      <c r="R264" s="23"/>
      <c r="S264" s="23"/>
      <c r="T264" s="23"/>
      <c r="U264" s="23"/>
      <c r="V264" s="23"/>
    </row>
    <row r="265" spans="1:22" s="24" customFormat="1" ht="23.1" customHeight="1">
      <c r="A265" s="105" t="s">
        <v>25</v>
      </c>
      <c r="B265" s="36">
        <f>COUNTIF('9'!$C$6:$C$529,"염")</f>
        <v>0</v>
      </c>
      <c r="C265" s="37" t="s">
        <v>5</v>
      </c>
      <c r="D265" s="38">
        <f>SUMIF('9'!$C$6:$C$529,"염",'9'!$E$6:$E$529)</f>
        <v>0</v>
      </c>
      <c r="E265" s="36">
        <f>COUNTIF('9'!$N$6:$N$529,"염국")</f>
        <v>0</v>
      </c>
      <c r="F265" s="37" t="s">
        <v>5</v>
      </c>
      <c r="G265" s="38">
        <f>SUMIF('9'!$N$6:$N$529,"염국",'9'!$E$6:$E$529)</f>
        <v>0</v>
      </c>
      <c r="H265" s="36">
        <f>COUNTIF('9'!$N$6:$N$529,"염공")</f>
        <v>0</v>
      </c>
      <c r="I265" s="37" t="s">
        <v>5</v>
      </c>
      <c r="J265" s="38">
        <f>SUMIF('9'!$N$6:$N$529,"염공",'9'!$E$6:$E$529)</f>
        <v>0</v>
      </c>
      <c r="K265" s="36">
        <f t="shared" si="16"/>
        <v>0</v>
      </c>
      <c r="L265" s="37" t="s">
        <v>5</v>
      </c>
      <c r="M265" s="38">
        <f t="shared" si="17"/>
        <v>0</v>
      </c>
      <c r="N265" s="39"/>
      <c r="O265" s="23"/>
      <c r="P265" s="23"/>
      <c r="Q265" s="23"/>
      <c r="R265" s="23"/>
      <c r="S265" s="23"/>
      <c r="T265" s="23"/>
      <c r="U265" s="23"/>
      <c r="V265" s="23"/>
    </row>
    <row r="266" spans="1:22" s="24" customFormat="1" ht="23.1" customHeight="1">
      <c r="A266" s="105" t="s">
        <v>26</v>
      </c>
      <c r="B266" s="36">
        <f>COUNTIF('9'!$C$6:$C$529,"공")</f>
        <v>0</v>
      </c>
      <c r="C266" s="37" t="s">
        <v>5</v>
      </c>
      <c r="D266" s="38">
        <f>SUMIF('9'!$C$6:$C$529,"공",'9'!$E$6:$E$529)</f>
        <v>0</v>
      </c>
      <c r="E266" s="36">
        <f>COUNTIF('9'!$N$6:$N$529,"공국")</f>
        <v>0</v>
      </c>
      <c r="F266" s="37" t="s">
        <v>5</v>
      </c>
      <c r="G266" s="38">
        <f>SUMIF('9'!$N$6:$N$529,"공국",'9'!$E$6:$E$529)</f>
        <v>0</v>
      </c>
      <c r="H266" s="36">
        <f>COUNTIF('9'!$N$6:$N$529,"공공")</f>
        <v>0</v>
      </c>
      <c r="I266" s="37" t="s">
        <v>5</v>
      </c>
      <c r="J266" s="38">
        <f>SUMIF('9'!$N$6:$N$529,"공공",'9'!$E$6:$E$529)</f>
        <v>0</v>
      </c>
      <c r="K266" s="36">
        <f t="shared" si="16"/>
        <v>0</v>
      </c>
      <c r="L266" s="37" t="s">
        <v>5</v>
      </c>
      <c r="M266" s="38">
        <f t="shared" si="17"/>
        <v>0</v>
      </c>
      <c r="N266" s="39"/>
      <c r="O266" s="23"/>
      <c r="P266" s="23"/>
      <c r="Q266" s="23"/>
      <c r="R266" s="23"/>
      <c r="S266" s="23"/>
      <c r="T266" s="23"/>
      <c r="U266" s="23"/>
      <c r="V266" s="23"/>
    </row>
    <row r="267" spans="1:22" s="24" customFormat="1" ht="23.1" customHeight="1">
      <c r="A267" s="105" t="s">
        <v>27</v>
      </c>
      <c r="B267" s="36">
        <f>COUNTIF('9'!$C$6:$C$529,"체")</f>
        <v>0</v>
      </c>
      <c r="C267" s="37" t="s">
        <v>5</v>
      </c>
      <c r="D267" s="38">
        <f>SUMIF('9'!$C$6:$C$529,"체",'9'!$E$6:$E$529)</f>
        <v>0</v>
      </c>
      <c r="E267" s="36">
        <f>COUNTIF('9'!$N$6:$N$529,"체국")</f>
        <v>0</v>
      </c>
      <c r="F267" s="37" t="s">
        <v>5</v>
      </c>
      <c r="G267" s="38">
        <f>SUMIF('9'!$N$6:$N$529,"체국",'9'!$E$6:$E$529)</f>
        <v>0</v>
      </c>
      <c r="H267" s="36">
        <f>COUNTIF('9'!$N$6:$N$529,"체공")</f>
        <v>0</v>
      </c>
      <c r="I267" s="37" t="s">
        <v>5</v>
      </c>
      <c r="J267" s="38">
        <f>SUMIF('9'!$N$6:$N$529,"체공",'9'!$E$6:$E$529)</f>
        <v>0</v>
      </c>
      <c r="K267" s="36">
        <f t="shared" si="16"/>
        <v>0</v>
      </c>
      <c r="L267" s="37" t="s">
        <v>5</v>
      </c>
      <c r="M267" s="38">
        <f t="shared" si="17"/>
        <v>0</v>
      </c>
      <c r="N267" s="39"/>
      <c r="O267" s="23"/>
      <c r="P267" s="23"/>
      <c r="Q267" s="23"/>
      <c r="R267" s="23"/>
      <c r="S267" s="23"/>
      <c r="T267" s="23"/>
      <c r="U267" s="23"/>
      <c r="V267" s="23"/>
    </row>
    <row r="268" spans="1:22" s="24" customFormat="1" ht="23.1" customHeight="1">
      <c r="A268" s="105" t="s">
        <v>28</v>
      </c>
      <c r="B268" s="36">
        <f>COUNTIF('9'!$C$6:$C$529,"원")</f>
        <v>0</v>
      </c>
      <c r="C268" s="37" t="s">
        <v>5</v>
      </c>
      <c r="D268" s="38">
        <f>SUMIF('9'!$C$6:$C$529,"원",'9'!$E$6:$E$529)</f>
        <v>0</v>
      </c>
      <c r="E268" s="36">
        <f>COUNTIF('9'!$N$6:$N$529,"원국")</f>
        <v>0</v>
      </c>
      <c r="F268" s="37" t="s">
        <v>5</v>
      </c>
      <c r="G268" s="38">
        <f>SUMIF('9'!$N$6:$N$529,"원국",'9'!$E$6:$E$529)</f>
        <v>0</v>
      </c>
      <c r="H268" s="36">
        <f>COUNTIF('9'!$N$6:$N$529,"원공")</f>
        <v>0</v>
      </c>
      <c r="I268" s="37" t="s">
        <v>5</v>
      </c>
      <c r="J268" s="38">
        <f>SUMIF('9'!$N$6:$N$529,"원공",'9'!$E$6:$E$529)</f>
        <v>0</v>
      </c>
      <c r="K268" s="36">
        <f t="shared" si="16"/>
        <v>0</v>
      </c>
      <c r="L268" s="37" t="s">
        <v>5</v>
      </c>
      <c r="M268" s="38">
        <f t="shared" si="17"/>
        <v>0</v>
      </c>
      <c r="N268" s="39"/>
      <c r="O268" s="23"/>
      <c r="P268" s="23"/>
      <c r="Q268" s="23"/>
      <c r="R268" s="23"/>
      <c r="S268" s="23"/>
      <c r="T268" s="23"/>
      <c r="U268" s="23"/>
      <c r="V268" s="23"/>
    </row>
    <row r="269" spans="1:22" s="24" customFormat="1" ht="23.1" customHeight="1">
      <c r="A269" s="105" t="s">
        <v>60</v>
      </c>
      <c r="B269" s="36">
        <f>COUNTIF('9'!$C$6:$C$529,"차")</f>
        <v>0</v>
      </c>
      <c r="C269" s="37" t="s">
        <v>5</v>
      </c>
      <c r="D269" s="38">
        <f>SUMIF('9'!$C$6:$C$529,"차",'9'!$E$6:$E$529)</f>
        <v>0</v>
      </c>
      <c r="E269" s="36">
        <f>COUNTIF('9'!$N$6:$N$529,"차국")</f>
        <v>0</v>
      </c>
      <c r="F269" s="37" t="s">
        <v>5</v>
      </c>
      <c r="G269" s="38">
        <f>SUMIF('9'!$N$6:$N$529,"차국",'9'!$E$6:$E$529)</f>
        <v>0</v>
      </c>
      <c r="H269" s="36">
        <f>COUNTIF('9'!$N$6:$N$529,"차공")</f>
        <v>0</v>
      </c>
      <c r="I269" s="37" t="s">
        <v>5</v>
      </c>
      <c r="J269" s="38">
        <f>SUMIF('9'!$N$6:$N$529,"차공",'9'!$E$6:$E$529)</f>
        <v>0</v>
      </c>
      <c r="K269" s="36">
        <f t="shared" si="16"/>
        <v>0</v>
      </c>
      <c r="L269" s="37" t="s">
        <v>5</v>
      </c>
      <c r="M269" s="38">
        <f t="shared" si="17"/>
        <v>0</v>
      </c>
      <c r="N269" s="39"/>
      <c r="O269" s="23"/>
      <c r="P269" s="23"/>
      <c r="Q269" s="23"/>
      <c r="R269" s="23"/>
      <c r="S269" s="23"/>
      <c r="T269" s="23"/>
      <c r="U269" s="23"/>
      <c r="V269" s="23"/>
    </row>
    <row r="270" spans="1:22" s="24" customFormat="1" ht="23.1" customHeight="1">
      <c r="A270" s="105" t="s">
        <v>61</v>
      </c>
      <c r="B270" s="36">
        <f>COUNTIF('9'!$C$6:$C$529,"주")</f>
        <v>0</v>
      </c>
      <c r="C270" s="37" t="s">
        <v>5</v>
      </c>
      <c r="D270" s="38">
        <f>SUMIF('9'!$C$6:$C$529,"주",'9'!$E$6:$E$529)</f>
        <v>0</v>
      </c>
      <c r="E270" s="36">
        <f>COUNTIF('9'!$N$6:$N$529,"주국")</f>
        <v>0</v>
      </c>
      <c r="F270" s="37" t="s">
        <v>5</v>
      </c>
      <c r="G270" s="38">
        <f>SUMIF('9'!$N$6:$N$529,"주국",'9'!$E$6:$E$529)</f>
        <v>0</v>
      </c>
      <c r="H270" s="36">
        <f>COUNTIF('9'!$N$6:$N$529,"주공")</f>
        <v>0</v>
      </c>
      <c r="I270" s="37" t="s">
        <v>5</v>
      </c>
      <c r="J270" s="38">
        <f>SUMIF('9'!$N$6:$N$529,"주공",'9'!$E$6:$E$529)</f>
        <v>0</v>
      </c>
      <c r="K270" s="36">
        <f t="shared" si="16"/>
        <v>0</v>
      </c>
      <c r="L270" s="37" t="s">
        <v>5</v>
      </c>
      <c r="M270" s="38">
        <f t="shared" si="17"/>
        <v>0</v>
      </c>
      <c r="N270" s="39"/>
      <c r="O270" s="23"/>
      <c r="P270" s="23"/>
      <c r="Q270" s="23"/>
      <c r="R270" s="23"/>
      <c r="S270" s="23"/>
      <c r="T270" s="23"/>
      <c r="U270" s="23"/>
      <c r="V270" s="23"/>
    </row>
    <row r="271" spans="1:22" s="24" customFormat="1" ht="23.1" customHeight="1">
      <c r="A271" s="106" t="s">
        <v>62</v>
      </c>
      <c r="B271" s="40">
        <f>COUNTIF('9'!$C$6:$C$529," ")</f>
        <v>0</v>
      </c>
      <c r="C271" s="41" t="s">
        <v>5</v>
      </c>
      <c r="D271" s="42">
        <f>SUMIF('9'!$C$6:$C$529," ",'9'!$E$6:$E$529)</f>
        <v>0</v>
      </c>
      <c r="E271" s="40">
        <f>COUNTIF('9'!$N$6:$N$529," 국")</f>
        <v>0</v>
      </c>
      <c r="F271" s="41" t="s">
        <v>5</v>
      </c>
      <c r="G271" s="42">
        <f>SUMIF('9'!$N$6:$N$529," 국",'9'!$E$6:$E$529)</f>
        <v>0</v>
      </c>
      <c r="H271" s="40">
        <f>COUNTIF('9'!$N$6:$N$529," 공")</f>
        <v>0</v>
      </c>
      <c r="I271" s="41" t="s">
        <v>5</v>
      </c>
      <c r="J271" s="42">
        <f>SUMIF('9'!$N$6:$N$529," 공",'9'!$E$6:$E$529)</f>
        <v>0</v>
      </c>
      <c r="K271" s="40">
        <f t="shared" si="16"/>
        <v>0</v>
      </c>
      <c r="L271" s="41" t="s">
        <v>5</v>
      </c>
      <c r="M271" s="42">
        <f t="shared" si="17"/>
        <v>0</v>
      </c>
      <c r="N271" s="43"/>
      <c r="O271" s="23"/>
      <c r="P271" s="23"/>
      <c r="Q271" s="23"/>
      <c r="R271" s="23"/>
      <c r="S271" s="23"/>
      <c r="T271" s="23"/>
      <c r="U271" s="23"/>
      <c r="V271" s="23"/>
    </row>
    <row r="272" spans="1:22" s="17" customFormat="1" ht="20.100000000000001" customHeight="1">
      <c r="A272" s="11">
        <f>IF(EXACT(O276,O277),,"검산확인요!!!")</f>
        <v>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3">
        <f>IF(ISBLANK('10'!K2),,'10'!K2)</f>
        <v>3</v>
      </c>
      <c r="L272" s="14"/>
      <c r="M272" s="15"/>
      <c r="N272" s="16"/>
    </row>
    <row r="273" spans="1:22" s="17" customFormat="1" ht="9.9499999999999993" customHeight="1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</row>
    <row r="274" spans="1:22" s="24" customFormat="1" ht="27.95" customHeight="1">
      <c r="A274" s="18" t="s">
        <v>3</v>
      </c>
      <c r="B274" s="19" t="s">
        <v>2</v>
      </c>
      <c r="C274" s="20"/>
      <c r="D274" s="21"/>
      <c r="E274" s="19" t="s">
        <v>29</v>
      </c>
      <c r="F274" s="20"/>
      <c r="G274" s="21"/>
      <c r="H274" s="19" t="s">
        <v>38</v>
      </c>
      <c r="I274" s="20"/>
      <c r="J274" s="21"/>
      <c r="K274" s="19" t="s">
        <v>30</v>
      </c>
      <c r="L274" s="20"/>
      <c r="M274" s="21"/>
      <c r="N274" s="22" t="s">
        <v>31</v>
      </c>
      <c r="O274" s="23"/>
      <c r="S274" s="23"/>
      <c r="T274" s="23"/>
      <c r="U274" s="23"/>
      <c r="V274" s="23"/>
    </row>
    <row r="275" spans="1:22" s="24" customFormat="1" ht="27.95" customHeight="1">
      <c r="A275" s="25"/>
      <c r="B275" s="26" t="s">
        <v>4</v>
      </c>
      <c r="C275" s="27" t="s">
        <v>5</v>
      </c>
      <c r="D275" s="28" t="s">
        <v>32</v>
      </c>
      <c r="E275" s="26" t="s">
        <v>4</v>
      </c>
      <c r="F275" s="27" t="s">
        <v>5</v>
      </c>
      <c r="G275" s="28" t="s">
        <v>32</v>
      </c>
      <c r="H275" s="26" t="s">
        <v>4</v>
      </c>
      <c r="I275" s="27" t="s">
        <v>5</v>
      </c>
      <c r="J275" s="28" t="s">
        <v>32</v>
      </c>
      <c r="K275" s="26" t="s">
        <v>4</v>
      </c>
      <c r="L275" s="27" t="s">
        <v>5</v>
      </c>
      <c r="M275" s="28" t="s">
        <v>32</v>
      </c>
      <c r="N275" s="29"/>
      <c r="P275" s="23"/>
      <c r="Q275" s="30" t="s">
        <v>33</v>
      </c>
      <c r="R275" s="30" t="s">
        <v>34</v>
      </c>
      <c r="S275" s="30" t="s">
        <v>35</v>
      </c>
      <c r="T275" s="30" t="s">
        <v>36</v>
      </c>
      <c r="U275" s="23"/>
      <c r="V275" s="23"/>
    </row>
    <row r="276" spans="1:22" s="24" customFormat="1" ht="23.1" customHeight="1">
      <c r="A276" s="103" t="s">
        <v>2</v>
      </c>
      <c r="B276" s="31">
        <f>SUM(B277:B301)</f>
        <v>0</v>
      </c>
      <c r="C276" s="32" t="s">
        <v>5</v>
      </c>
      <c r="D276" s="33">
        <f>SUM(D277:D301)</f>
        <v>0</v>
      </c>
      <c r="E276" s="31">
        <f>SUM(E277:E301)</f>
        <v>0</v>
      </c>
      <c r="F276" s="32" t="s">
        <v>5</v>
      </c>
      <c r="G276" s="33">
        <f>SUM(G277:G301)</f>
        <v>0</v>
      </c>
      <c r="H276" s="31">
        <f>SUM(H277:H301)</f>
        <v>0</v>
      </c>
      <c r="I276" s="32" t="s">
        <v>5</v>
      </c>
      <c r="J276" s="33">
        <f>SUM(J277:J301)</f>
        <v>0</v>
      </c>
      <c r="K276" s="31">
        <f>SUM(K277:K301)</f>
        <v>0</v>
      </c>
      <c r="L276" s="32" t="s">
        <v>5</v>
      </c>
      <c r="M276" s="33">
        <f>SUM(M277:M301)</f>
        <v>0</v>
      </c>
      <c r="N276" s="34"/>
      <c r="O276" s="23" t="str">
        <f>IF(EXACT(Q276,T276),"맞음","틀림")</f>
        <v>맞음</v>
      </c>
      <c r="P276" s="23" t="s">
        <v>4</v>
      </c>
      <c r="Q276" s="35">
        <f>SUM(B277:B301)</f>
        <v>0</v>
      </c>
      <c r="R276" s="35">
        <f>SUM(E277:E301)</f>
        <v>0</v>
      </c>
      <c r="S276" s="35">
        <f>SUM(K277:K301)</f>
        <v>0</v>
      </c>
      <c r="T276" s="35">
        <f>K276+E276</f>
        <v>0</v>
      </c>
      <c r="U276" s="23"/>
      <c r="V276" s="23"/>
    </row>
    <row r="277" spans="1:22" s="24" customFormat="1" ht="23.1" customHeight="1">
      <c r="A277" s="104" t="s">
        <v>7</v>
      </c>
      <c r="B277" s="36">
        <f>COUNTIF('10'!$C$6:$C$529,"전")</f>
        <v>0</v>
      </c>
      <c r="C277" s="37" t="s">
        <v>5</v>
      </c>
      <c r="D277" s="38">
        <f>SUMIF('10'!$C$6:$C$529,"전",'10'!$E$6:$E$529)</f>
        <v>0</v>
      </c>
      <c r="E277" s="36">
        <f>COUNTIF('10'!$N$6:$N$529,"전국")</f>
        <v>0</v>
      </c>
      <c r="F277" s="37" t="s">
        <v>5</v>
      </c>
      <c r="G277" s="38">
        <f>SUMIF('10'!$N$6:$N$529,"전국",'10'!$E$6:$E$529)</f>
        <v>0</v>
      </c>
      <c r="H277" s="36">
        <f>COUNTIF('10'!$N$6:$N$529,"전공")</f>
        <v>0</v>
      </c>
      <c r="I277" s="37" t="s">
        <v>5</v>
      </c>
      <c r="J277" s="38">
        <f>SUMIF('10'!$N$6:$N$529,"전공",'10'!$E$6:$E$529)</f>
        <v>0</v>
      </c>
      <c r="K277" s="36">
        <f t="shared" ref="K277:K301" si="18">SUM(B277-E277-H277)</f>
        <v>0</v>
      </c>
      <c r="L277" s="37" t="s">
        <v>5</v>
      </c>
      <c r="M277" s="38">
        <f t="shared" ref="M277:M301" si="19">SUM(D277-G277-J277)</f>
        <v>0</v>
      </c>
      <c r="N277" s="39"/>
      <c r="O277" s="23" t="str">
        <f>IF(EXACT(Q277,T277),"맞음","틀림")</f>
        <v>맞음</v>
      </c>
      <c r="P277" s="23" t="s">
        <v>37</v>
      </c>
      <c r="Q277" s="35">
        <f>SUM(D277:D301)</f>
        <v>0</v>
      </c>
      <c r="R277" s="35">
        <f>SUM(G277:G301)</f>
        <v>0</v>
      </c>
      <c r="S277" s="35">
        <f>SUM(M277:M301)</f>
        <v>0</v>
      </c>
      <c r="T277" s="35">
        <f>G276+M276</f>
        <v>0</v>
      </c>
      <c r="U277" s="23"/>
      <c r="V277" s="23"/>
    </row>
    <row r="278" spans="1:22" s="24" customFormat="1" ht="23.1" customHeight="1">
      <c r="A278" s="104" t="s">
        <v>8</v>
      </c>
      <c r="B278" s="36">
        <f>COUNTIF('10'!$C$6:$C$529,"답")</f>
        <v>0</v>
      </c>
      <c r="C278" s="37" t="s">
        <v>5</v>
      </c>
      <c r="D278" s="38">
        <f>SUMIF('10'!$C$6:$C$529,"답",'10'!$E$6:$E$529)</f>
        <v>0</v>
      </c>
      <c r="E278" s="36">
        <f>COUNTIF('10'!$N$6:$N$529,"답국")</f>
        <v>0</v>
      </c>
      <c r="F278" s="37" t="s">
        <v>5</v>
      </c>
      <c r="G278" s="38">
        <f>SUMIF('10'!$N$6:$N$529,"답국",'10'!$E$6:$E$529)</f>
        <v>0</v>
      </c>
      <c r="H278" s="36">
        <f>COUNTIF('10'!$N$6:$N$529,"답공")</f>
        <v>0</v>
      </c>
      <c r="I278" s="37" t="s">
        <v>5</v>
      </c>
      <c r="J278" s="38">
        <f>SUMIF('10'!$N$6:$N$529,"답공",'10'!$E$6:$E$529)</f>
        <v>0</v>
      </c>
      <c r="K278" s="36">
        <f t="shared" si="18"/>
        <v>0</v>
      </c>
      <c r="L278" s="37" t="s">
        <v>5</v>
      </c>
      <c r="M278" s="38">
        <f t="shared" si="19"/>
        <v>0</v>
      </c>
      <c r="N278" s="39"/>
      <c r="Q278" s="23"/>
      <c r="S278" s="23"/>
      <c r="U278" s="23"/>
      <c r="V278" s="23"/>
    </row>
    <row r="279" spans="1:22" s="24" customFormat="1" ht="23.1" customHeight="1">
      <c r="A279" s="104" t="s">
        <v>9</v>
      </c>
      <c r="B279" s="36">
        <f>COUNTIF('10'!$C$6:$C$529,"임")</f>
        <v>0</v>
      </c>
      <c r="C279" s="37" t="s">
        <v>5</v>
      </c>
      <c r="D279" s="38">
        <f>SUMIF('10'!$C$6:$C$529,"임",'10'!$E$6:$E$529)</f>
        <v>0</v>
      </c>
      <c r="E279" s="36">
        <f>COUNTIF('10'!$N$6:$N$529,"임국")</f>
        <v>0</v>
      </c>
      <c r="F279" s="37" t="s">
        <v>5</v>
      </c>
      <c r="G279" s="38">
        <f>SUMIF('10'!$N$6:$N$529,"임국",'10'!$E$6:$E$529)</f>
        <v>0</v>
      </c>
      <c r="H279" s="36">
        <f>COUNTIF('10'!$N$6:$N$529,"임공")</f>
        <v>0</v>
      </c>
      <c r="I279" s="37" t="s">
        <v>5</v>
      </c>
      <c r="J279" s="38">
        <f>SUMIF('10'!$N$6:$N$529,"임공",'10'!$E$6:$E$529)</f>
        <v>0</v>
      </c>
      <c r="K279" s="36">
        <f t="shared" si="18"/>
        <v>0</v>
      </c>
      <c r="L279" s="37" t="s">
        <v>5</v>
      </c>
      <c r="M279" s="38">
        <f t="shared" si="19"/>
        <v>0</v>
      </c>
      <c r="N279" s="39"/>
      <c r="Q279" s="23"/>
      <c r="S279" s="23"/>
      <c r="U279" s="23"/>
      <c r="V279" s="23"/>
    </row>
    <row r="280" spans="1:22" s="24" customFormat="1" ht="23.1" customHeight="1">
      <c r="A280" s="104" t="s">
        <v>10</v>
      </c>
      <c r="B280" s="36">
        <f>COUNTIF('10'!$C$6:$C$529,"대")</f>
        <v>0</v>
      </c>
      <c r="C280" s="37" t="s">
        <v>5</v>
      </c>
      <c r="D280" s="38">
        <f>SUMIF('10'!$C$6:$C$529,"대",'10'!$E$6:$E$529)</f>
        <v>0</v>
      </c>
      <c r="E280" s="36">
        <f>COUNTIF('10'!$N$6:$N$529,"대국")</f>
        <v>0</v>
      </c>
      <c r="F280" s="37" t="s">
        <v>5</v>
      </c>
      <c r="G280" s="38">
        <f>SUMIF('10'!$N$6:$N$529,"대국",'10'!$E$6:$E$529)</f>
        <v>0</v>
      </c>
      <c r="H280" s="36">
        <f>COUNTIF('10'!$N$6:$N$529,"대공")</f>
        <v>0</v>
      </c>
      <c r="I280" s="37" t="s">
        <v>5</v>
      </c>
      <c r="J280" s="38">
        <f>SUMIF('10'!$N$6:$N$529,"대공",'10'!$E$6:$E$529)</f>
        <v>0</v>
      </c>
      <c r="K280" s="36">
        <f t="shared" si="18"/>
        <v>0</v>
      </c>
      <c r="L280" s="37" t="s">
        <v>5</v>
      </c>
      <c r="M280" s="38">
        <f t="shared" si="19"/>
        <v>0</v>
      </c>
      <c r="N280" s="39"/>
      <c r="O280" s="23"/>
      <c r="P280" s="23"/>
      <c r="Q280" s="23"/>
      <c r="R280" s="23"/>
      <c r="S280" s="23"/>
      <c r="T280" s="23"/>
      <c r="U280" s="23"/>
      <c r="V280" s="23"/>
    </row>
    <row r="281" spans="1:22" s="24" customFormat="1" ht="23.1" customHeight="1">
      <c r="A281" s="104" t="s">
        <v>11</v>
      </c>
      <c r="B281" s="36">
        <f>COUNTIF('10'!$C$6:$C$529,"도")</f>
        <v>0</v>
      </c>
      <c r="C281" s="37" t="s">
        <v>5</v>
      </c>
      <c r="D281" s="38">
        <f>SUMIF('10'!$C$6:$C$529,"도",'10'!$E$6:$E$529)</f>
        <v>0</v>
      </c>
      <c r="E281" s="36">
        <f>COUNTIF('10'!$N$6:$N$529,"도국")</f>
        <v>0</v>
      </c>
      <c r="F281" s="37" t="s">
        <v>5</v>
      </c>
      <c r="G281" s="38">
        <f>SUMIF('10'!$N$6:$N$529,"도국",'10'!$E$6:$E$529)</f>
        <v>0</v>
      </c>
      <c r="H281" s="36">
        <f>COUNTIF('10'!$N$6:$N$529,"도공")</f>
        <v>0</v>
      </c>
      <c r="I281" s="37" t="s">
        <v>5</v>
      </c>
      <c r="J281" s="38">
        <f>SUMIF('10'!$N$6:$N$529,"도공",'10'!$E$6:$E$529)</f>
        <v>0</v>
      </c>
      <c r="K281" s="36">
        <f t="shared" si="18"/>
        <v>0</v>
      </c>
      <c r="L281" s="37" t="s">
        <v>5</v>
      </c>
      <c r="M281" s="38">
        <f t="shared" si="19"/>
        <v>0</v>
      </c>
      <c r="N281" s="39"/>
      <c r="O281" s="23"/>
      <c r="P281" s="23"/>
      <c r="Q281" s="23"/>
      <c r="R281" s="23"/>
      <c r="S281" s="23"/>
      <c r="T281" s="23"/>
      <c r="U281" s="23"/>
      <c r="V281" s="23"/>
    </row>
    <row r="282" spans="1:22" s="24" customFormat="1" ht="23.1" customHeight="1">
      <c r="A282" s="104" t="s">
        <v>12</v>
      </c>
      <c r="B282" s="36">
        <f>COUNTIF('10'!$C$6:$C$529,"구")</f>
        <v>0</v>
      </c>
      <c r="C282" s="37" t="s">
        <v>5</v>
      </c>
      <c r="D282" s="38">
        <f>SUMIF('10'!$C$6:$C$529,"구",'10'!$E$6:$E$529)</f>
        <v>0</v>
      </c>
      <c r="E282" s="36">
        <f>COUNTIF('10'!$N$6:$N$529,"구국")</f>
        <v>0</v>
      </c>
      <c r="F282" s="37" t="s">
        <v>5</v>
      </c>
      <c r="G282" s="38">
        <f>SUMIF('10'!$N$6:$N$529,"구국",'10'!$E$6:$E$529)</f>
        <v>0</v>
      </c>
      <c r="H282" s="36">
        <f>COUNTIF('10'!$N$6:$N$529,"구공")</f>
        <v>0</v>
      </c>
      <c r="I282" s="37" t="s">
        <v>5</v>
      </c>
      <c r="J282" s="38">
        <f>SUMIF('10'!$N$6:$N$529,"구공",'10'!$E$6:$E$529)</f>
        <v>0</v>
      </c>
      <c r="K282" s="36">
        <f t="shared" si="18"/>
        <v>0</v>
      </c>
      <c r="L282" s="37" t="s">
        <v>5</v>
      </c>
      <c r="M282" s="38">
        <f t="shared" si="19"/>
        <v>0</v>
      </c>
      <c r="N282" s="39"/>
      <c r="O282" s="23"/>
      <c r="P282" s="23"/>
      <c r="Q282" s="23"/>
      <c r="R282" s="23"/>
      <c r="S282" s="23"/>
      <c r="T282" s="23"/>
      <c r="U282" s="23"/>
      <c r="V282" s="23"/>
    </row>
    <row r="283" spans="1:22" s="24" customFormat="1" ht="23.1" customHeight="1">
      <c r="A283" s="104" t="s">
        <v>13</v>
      </c>
      <c r="B283" s="36">
        <f>COUNTIF('10'!$C$6:$C$529,"천")</f>
        <v>0</v>
      </c>
      <c r="C283" s="37" t="s">
        <v>5</v>
      </c>
      <c r="D283" s="38">
        <f>SUMIF('10'!$C$6:$C$529,"천",'10'!$E$6:$E$529)</f>
        <v>0</v>
      </c>
      <c r="E283" s="36">
        <f>COUNTIF('10'!$N$6:$N$529,"천국")</f>
        <v>0</v>
      </c>
      <c r="F283" s="37" t="s">
        <v>5</v>
      </c>
      <c r="G283" s="38">
        <f>SUMIF('10'!$N$6:$N$529,"천국",'10'!$E$6:$E$529)</f>
        <v>0</v>
      </c>
      <c r="H283" s="36">
        <f>COUNTIF('10'!$N$6:$N$529,"천공")</f>
        <v>0</v>
      </c>
      <c r="I283" s="37" t="s">
        <v>5</v>
      </c>
      <c r="J283" s="38">
        <f>SUMIF('10'!$N$6:$N$529,"천공",'10'!$E$6:$E$529)</f>
        <v>0</v>
      </c>
      <c r="K283" s="36">
        <f t="shared" si="18"/>
        <v>0</v>
      </c>
      <c r="L283" s="37" t="s">
        <v>5</v>
      </c>
      <c r="M283" s="38">
        <f t="shared" si="19"/>
        <v>0</v>
      </c>
      <c r="N283" s="39"/>
      <c r="O283" s="23"/>
      <c r="P283" s="23"/>
      <c r="Q283" s="23"/>
      <c r="R283" s="23"/>
      <c r="S283" s="23"/>
      <c r="T283" s="23"/>
      <c r="U283" s="23"/>
      <c r="V283" s="23"/>
    </row>
    <row r="284" spans="1:22" s="24" customFormat="1" ht="23.1" customHeight="1">
      <c r="A284" s="104" t="s">
        <v>14</v>
      </c>
      <c r="B284" s="36">
        <f>COUNTIF('10'!$C$6:$C$529,"유")</f>
        <v>0</v>
      </c>
      <c r="C284" s="37" t="s">
        <v>5</v>
      </c>
      <c r="D284" s="38">
        <f>SUMIF('10'!$C$6:$C$529,"유",'10'!$E$6:$E$529)</f>
        <v>0</v>
      </c>
      <c r="E284" s="36">
        <f>COUNTIF('10'!$N$6:$N$529,"유국")</f>
        <v>0</v>
      </c>
      <c r="F284" s="37" t="s">
        <v>5</v>
      </c>
      <c r="G284" s="38">
        <f>SUMIF('10'!$N$6:$N$529,"유국",'10'!$E$6:$E$529)</f>
        <v>0</v>
      </c>
      <c r="H284" s="36">
        <f>COUNTIF('10'!$N$6:$N$529,"유공")</f>
        <v>0</v>
      </c>
      <c r="I284" s="37" t="s">
        <v>5</v>
      </c>
      <c r="J284" s="38">
        <f>SUMIF('10'!$N$6:$N$529,"유공",'10'!$E$6:$E$529)</f>
        <v>0</v>
      </c>
      <c r="K284" s="36">
        <f t="shared" si="18"/>
        <v>0</v>
      </c>
      <c r="L284" s="37" t="s">
        <v>5</v>
      </c>
      <c r="M284" s="38">
        <f t="shared" si="19"/>
        <v>0</v>
      </c>
      <c r="N284" s="39"/>
      <c r="O284" s="23"/>
      <c r="P284" s="23"/>
      <c r="Q284" s="23"/>
      <c r="R284" s="23"/>
      <c r="S284" s="23"/>
      <c r="T284" s="23"/>
      <c r="U284" s="23"/>
      <c r="V284" s="23"/>
    </row>
    <row r="285" spans="1:22" s="24" customFormat="1" ht="23.1" customHeight="1">
      <c r="A285" s="104" t="s">
        <v>15</v>
      </c>
      <c r="B285" s="36">
        <f>COUNTIF('10'!$C$6:$C$529,"제")</f>
        <v>0</v>
      </c>
      <c r="C285" s="37" t="s">
        <v>5</v>
      </c>
      <c r="D285" s="38">
        <f>SUMIF('10'!$C$6:$C$529,"제",'10'!$E$6:$E$529)</f>
        <v>0</v>
      </c>
      <c r="E285" s="36">
        <f>COUNTIF('10'!$N$6:$N$529,"제국")</f>
        <v>0</v>
      </c>
      <c r="F285" s="37" t="s">
        <v>5</v>
      </c>
      <c r="G285" s="38">
        <f>SUMIF('10'!$N$6:$N$529,"제국",'10'!$E$6:$E$529)</f>
        <v>0</v>
      </c>
      <c r="H285" s="36">
        <f>COUNTIF('10'!$N$6:$N$529,"제공")</f>
        <v>0</v>
      </c>
      <c r="I285" s="37" t="s">
        <v>5</v>
      </c>
      <c r="J285" s="38">
        <f>SUMIF('10'!$N$6:$N$529,"제공",'10'!$E$6:$E$529)</f>
        <v>0</v>
      </c>
      <c r="K285" s="36">
        <f t="shared" si="18"/>
        <v>0</v>
      </c>
      <c r="L285" s="37" t="s">
        <v>5</v>
      </c>
      <c r="M285" s="38">
        <f t="shared" si="19"/>
        <v>0</v>
      </c>
      <c r="N285" s="39"/>
      <c r="O285" s="23"/>
      <c r="P285" s="23"/>
      <c r="Q285" s="23"/>
      <c r="R285" s="23"/>
      <c r="S285" s="23"/>
      <c r="T285" s="23"/>
      <c r="U285" s="23"/>
      <c r="V285" s="23"/>
    </row>
    <row r="286" spans="1:22" s="24" customFormat="1" ht="23.1" customHeight="1">
      <c r="A286" s="104" t="s">
        <v>16</v>
      </c>
      <c r="B286" s="36">
        <f>COUNTIF('10'!$C$6:$C$529,"과")</f>
        <v>0</v>
      </c>
      <c r="C286" s="37" t="s">
        <v>5</v>
      </c>
      <c r="D286" s="38">
        <f>SUMIF('10'!$C$6:$C$529,"과",'10'!$E$6:$E$529)</f>
        <v>0</v>
      </c>
      <c r="E286" s="36">
        <f>COUNTIF('10'!$N$6:$N$529,"과국")</f>
        <v>0</v>
      </c>
      <c r="F286" s="37" t="s">
        <v>5</v>
      </c>
      <c r="G286" s="38">
        <f>SUMIF('10'!$N$6:$N$529,"과국",'10'!$E$6:$E$529)</f>
        <v>0</v>
      </c>
      <c r="H286" s="36">
        <f>COUNTIF('10'!$N$6:$N$529,"과공")</f>
        <v>0</v>
      </c>
      <c r="I286" s="37" t="s">
        <v>5</v>
      </c>
      <c r="J286" s="38">
        <f>SUMIF('10'!$N$6:$N$529,"과공",'10'!$E$6:$E$529)</f>
        <v>0</v>
      </c>
      <c r="K286" s="36">
        <f t="shared" si="18"/>
        <v>0</v>
      </c>
      <c r="L286" s="37" t="s">
        <v>5</v>
      </c>
      <c r="M286" s="38">
        <f t="shared" si="19"/>
        <v>0</v>
      </c>
      <c r="N286" s="39"/>
      <c r="O286" s="23"/>
      <c r="P286" s="23"/>
      <c r="Q286" s="23"/>
      <c r="R286" s="23"/>
      <c r="S286" s="23"/>
      <c r="T286" s="23"/>
      <c r="U286" s="23"/>
      <c r="V286" s="23"/>
    </row>
    <row r="287" spans="1:22" s="24" customFormat="1" ht="23.1" customHeight="1">
      <c r="A287" s="104" t="s">
        <v>17</v>
      </c>
      <c r="B287" s="36">
        <f>COUNTIF('10'!$C$6:$C$529,"장")</f>
        <v>0</v>
      </c>
      <c r="C287" s="37" t="s">
        <v>5</v>
      </c>
      <c r="D287" s="38">
        <f>SUMIF('10'!$C$6:$C$529,"장",'10'!$E$6:$E$529)</f>
        <v>0</v>
      </c>
      <c r="E287" s="36">
        <f>COUNTIF('10'!$N$6:$N$529,"장국")</f>
        <v>0</v>
      </c>
      <c r="F287" s="37" t="s">
        <v>5</v>
      </c>
      <c r="G287" s="38">
        <f>SUMIF('10'!$N$6:$N$529,"장국",'10'!$E$6:$E$529)</f>
        <v>0</v>
      </c>
      <c r="H287" s="36">
        <f>COUNTIF('10'!$N$6:$N$529,"장공")</f>
        <v>0</v>
      </c>
      <c r="I287" s="37" t="s">
        <v>5</v>
      </c>
      <c r="J287" s="38">
        <f>SUMIF('10'!$N$6:$N$529,"장공",'10'!$E$6:$E$529)</f>
        <v>0</v>
      </c>
      <c r="K287" s="36">
        <f t="shared" si="18"/>
        <v>0</v>
      </c>
      <c r="L287" s="37" t="s">
        <v>5</v>
      </c>
      <c r="M287" s="38">
        <f t="shared" si="19"/>
        <v>0</v>
      </c>
      <c r="N287" s="39"/>
      <c r="O287" s="23"/>
      <c r="P287" s="23"/>
      <c r="Q287" s="23"/>
      <c r="R287" s="23"/>
      <c r="S287" s="23"/>
      <c r="T287" s="23"/>
      <c r="U287" s="23"/>
      <c r="V287" s="23"/>
    </row>
    <row r="288" spans="1:22" s="24" customFormat="1" ht="23.1" customHeight="1">
      <c r="A288" s="104" t="s">
        <v>18</v>
      </c>
      <c r="B288" s="36">
        <f>COUNTIF('10'!$C$6:$C$529,"목")</f>
        <v>0</v>
      </c>
      <c r="C288" s="37" t="s">
        <v>5</v>
      </c>
      <c r="D288" s="38">
        <f>SUMIF('10'!$C$6:$C$529,"목",'10'!$E$6:$E$529)</f>
        <v>0</v>
      </c>
      <c r="E288" s="36">
        <f>COUNTIF('10'!$N$6:$N$529,"목국")</f>
        <v>0</v>
      </c>
      <c r="F288" s="37" t="s">
        <v>5</v>
      </c>
      <c r="G288" s="38">
        <f>SUMIF('10'!$N$6:$N$529,"목국",'10'!$E$6:$E$529)</f>
        <v>0</v>
      </c>
      <c r="H288" s="36">
        <f>COUNTIF('10'!$N$6:$N$529,"목공")</f>
        <v>0</v>
      </c>
      <c r="I288" s="37" t="s">
        <v>5</v>
      </c>
      <c r="J288" s="38">
        <f>SUMIF('10'!$N$6:$N$529,"목공",'10'!$E$6:$E$529)</f>
        <v>0</v>
      </c>
      <c r="K288" s="36">
        <f t="shared" si="18"/>
        <v>0</v>
      </c>
      <c r="L288" s="37" t="s">
        <v>5</v>
      </c>
      <c r="M288" s="38">
        <f t="shared" si="19"/>
        <v>0</v>
      </c>
      <c r="N288" s="39"/>
      <c r="O288" s="23"/>
      <c r="P288" s="23"/>
      <c r="Q288" s="23"/>
      <c r="R288" s="23"/>
      <c r="S288" s="23"/>
      <c r="T288" s="23"/>
      <c r="U288" s="23"/>
      <c r="V288" s="23"/>
    </row>
    <row r="289" spans="1:22" s="24" customFormat="1" ht="23.1" customHeight="1">
      <c r="A289" s="104" t="s">
        <v>19</v>
      </c>
      <c r="B289" s="36">
        <f>COUNTIF('10'!$C$6:$C$529,"학")</f>
        <v>0</v>
      </c>
      <c r="C289" s="37" t="s">
        <v>5</v>
      </c>
      <c r="D289" s="38">
        <f>SUMIF('10'!$C$6:$C$529,"학",'10'!$E$6:$E$529)</f>
        <v>0</v>
      </c>
      <c r="E289" s="36">
        <f>COUNTIF('10'!$N$6:$N$529,"학국")</f>
        <v>0</v>
      </c>
      <c r="F289" s="37" t="s">
        <v>5</v>
      </c>
      <c r="G289" s="38">
        <f>SUMIF('10'!$N$6:$N$529,"학국",'10'!$E$6:$E$529)</f>
        <v>0</v>
      </c>
      <c r="H289" s="36">
        <f>COUNTIF('10'!$N$6:$N$529,"학공")</f>
        <v>0</v>
      </c>
      <c r="I289" s="37" t="s">
        <v>5</v>
      </c>
      <c r="J289" s="38">
        <f>SUMIF('10'!$N$6:$N$529,"학공",'10'!$E$6:$E$529)</f>
        <v>0</v>
      </c>
      <c r="K289" s="36">
        <f t="shared" si="18"/>
        <v>0</v>
      </c>
      <c r="L289" s="37" t="s">
        <v>5</v>
      </c>
      <c r="M289" s="38">
        <f t="shared" si="19"/>
        <v>0</v>
      </c>
      <c r="N289" s="39"/>
      <c r="O289" s="23"/>
      <c r="P289" s="23"/>
      <c r="Q289" s="23"/>
      <c r="R289" s="23"/>
      <c r="S289" s="23"/>
      <c r="T289" s="23"/>
      <c r="U289" s="23"/>
      <c r="V289" s="23"/>
    </row>
    <row r="290" spans="1:22" s="24" customFormat="1" ht="23.1" customHeight="1">
      <c r="A290" s="104" t="s">
        <v>20</v>
      </c>
      <c r="B290" s="36">
        <f>COUNTIF('10'!$C$6:$C$529,"철")</f>
        <v>0</v>
      </c>
      <c r="C290" s="37" t="s">
        <v>5</v>
      </c>
      <c r="D290" s="38">
        <f>SUMIF('10'!$C$6:$C$529,"철",'10'!$E$6:$E$529)</f>
        <v>0</v>
      </c>
      <c r="E290" s="36">
        <f>COUNTIF('10'!$N$6:$N$529,"철국")</f>
        <v>0</v>
      </c>
      <c r="F290" s="37" t="s">
        <v>5</v>
      </c>
      <c r="G290" s="38">
        <f>SUMIF('10'!$N$6:$N$529,"철국",'10'!$E$6:$E$529)</f>
        <v>0</v>
      </c>
      <c r="H290" s="36">
        <f>COUNTIF('10'!$N$6:$N$529,"철공")</f>
        <v>0</v>
      </c>
      <c r="I290" s="37" t="s">
        <v>5</v>
      </c>
      <c r="J290" s="38">
        <f>SUMIF('10'!$N$6:$N$529,"철공",'10'!$E$6:$E$529)</f>
        <v>0</v>
      </c>
      <c r="K290" s="36">
        <f t="shared" si="18"/>
        <v>0</v>
      </c>
      <c r="L290" s="37" t="s">
        <v>5</v>
      </c>
      <c r="M290" s="38">
        <f t="shared" si="19"/>
        <v>0</v>
      </c>
      <c r="N290" s="39"/>
      <c r="O290" s="23"/>
      <c r="P290" s="23"/>
      <c r="Q290" s="23"/>
      <c r="R290" s="23"/>
      <c r="S290" s="23"/>
      <c r="T290" s="23"/>
      <c r="U290" s="23"/>
      <c r="V290" s="23"/>
    </row>
    <row r="291" spans="1:22" s="24" customFormat="1" ht="23.1" customHeight="1">
      <c r="A291" s="104" t="s">
        <v>21</v>
      </c>
      <c r="B291" s="36">
        <f>COUNTIF('10'!$C$6:$C$529,"묘")</f>
        <v>0</v>
      </c>
      <c r="C291" s="37" t="s">
        <v>5</v>
      </c>
      <c r="D291" s="38">
        <f>SUMIF('10'!$C$6:$C$529,"묘",'10'!$E$6:$E$529)</f>
        <v>0</v>
      </c>
      <c r="E291" s="36">
        <f>COUNTIF('10'!$N$6:$N$529,"묘국")</f>
        <v>0</v>
      </c>
      <c r="F291" s="37" t="s">
        <v>5</v>
      </c>
      <c r="G291" s="38">
        <f>SUMIF('10'!$N$6:$N$529,"묘국",'10'!$E$6:$E$529)</f>
        <v>0</v>
      </c>
      <c r="H291" s="36">
        <f>COUNTIF('10'!$N$6:$N$529,"묘공")</f>
        <v>0</v>
      </c>
      <c r="I291" s="37" t="s">
        <v>5</v>
      </c>
      <c r="J291" s="38">
        <f>SUMIF('10'!$N$6:$N$529,"묘공",'10'!$E$6:$E$529)</f>
        <v>0</v>
      </c>
      <c r="K291" s="36">
        <f t="shared" si="18"/>
        <v>0</v>
      </c>
      <c r="L291" s="37" t="s">
        <v>5</v>
      </c>
      <c r="M291" s="38">
        <f t="shared" si="19"/>
        <v>0</v>
      </c>
      <c r="N291" s="39"/>
      <c r="O291" s="23"/>
      <c r="P291" s="23"/>
      <c r="Q291" s="23"/>
      <c r="R291" s="23"/>
      <c r="S291" s="23"/>
      <c r="T291" s="23"/>
      <c r="U291" s="23"/>
      <c r="V291" s="23"/>
    </row>
    <row r="292" spans="1:22" s="24" customFormat="1" ht="23.1" customHeight="1">
      <c r="A292" s="104" t="s">
        <v>22</v>
      </c>
      <c r="B292" s="36">
        <f>COUNTIF('10'!$C$6:$C$529,"수")</f>
        <v>0</v>
      </c>
      <c r="C292" s="37" t="s">
        <v>5</v>
      </c>
      <c r="D292" s="38">
        <f>SUMIF('10'!$C$6:$C$529,"수",'10'!$E$6:$E$529)</f>
        <v>0</v>
      </c>
      <c r="E292" s="36">
        <f>COUNTIF('10'!$N$6:$N$529,"수국")</f>
        <v>0</v>
      </c>
      <c r="F292" s="37" t="s">
        <v>5</v>
      </c>
      <c r="G292" s="38">
        <f>SUMIF('10'!$N$6:$N$529,"수국",'10'!$E$6:$E$529)</f>
        <v>0</v>
      </c>
      <c r="H292" s="36">
        <f>COUNTIF('10'!$N$6:$N$529,"수공")</f>
        <v>0</v>
      </c>
      <c r="I292" s="37" t="s">
        <v>5</v>
      </c>
      <c r="J292" s="38">
        <f>SUMIF('10'!$N$6:$N$529,"수공",'10'!$E$6:$E$529)</f>
        <v>0</v>
      </c>
      <c r="K292" s="36">
        <f t="shared" si="18"/>
        <v>0</v>
      </c>
      <c r="L292" s="37" t="s">
        <v>5</v>
      </c>
      <c r="M292" s="38">
        <f t="shared" si="19"/>
        <v>0</v>
      </c>
      <c r="N292" s="39"/>
      <c r="O292" s="23"/>
      <c r="P292" s="23"/>
      <c r="Q292" s="23"/>
      <c r="R292" s="23"/>
      <c r="S292" s="23"/>
      <c r="T292" s="23"/>
      <c r="U292" s="23"/>
      <c r="V292" s="23"/>
    </row>
    <row r="293" spans="1:22" s="24" customFormat="1" ht="23.1" customHeight="1">
      <c r="A293" s="104" t="s">
        <v>23</v>
      </c>
      <c r="B293" s="36">
        <f>COUNTIF('10'!$C$6:$C$529,"잡")</f>
        <v>0</v>
      </c>
      <c r="C293" s="37" t="s">
        <v>5</v>
      </c>
      <c r="D293" s="38">
        <f>SUMIF('10'!$C$6:$C$529,"잡",'10'!$E$6:$E$529)</f>
        <v>0</v>
      </c>
      <c r="E293" s="36">
        <f>COUNTIF('10'!$N$6:$N$529,"잡국")</f>
        <v>0</v>
      </c>
      <c r="F293" s="37" t="s">
        <v>5</v>
      </c>
      <c r="G293" s="38">
        <f>SUMIF('10'!$N$6:$N$529,"잡국",'10'!$E$6:$E$529)</f>
        <v>0</v>
      </c>
      <c r="H293" s="36">
        <f>COUNTIF('10'!$N$6:$N$529,"잡공")</f>
        <v>0</v>
      </c>
      <c r="I293" s="37" t="s">
        <v>5</v>
      </c>
      <c r="J293" s="38">
        <f>SUMIF('10'!$N$6:$N$529,"잡공",'10'!$E$6:$E$529)</f>
        <v>0</v>
      </c>
      <c r="K293" s="36">
        <f t="shared" si="18"/>
        <v>0</v>
      </c>
      <c r="L293" s="37" t="s">
        <v>5</v>
      </c>
      <c r="M293" s="38">
        <f t="shared" si="19"/>
        <v>0</v>
      </c>
      <c r="N293" s="39"/>
      <c r="O293" s="23"/>
      <c r="P293" s="23"/>
      <c r="Q293" s="23"/>
      <c r="R293" s="23"/>
      <c r="S293" s="23"/>
      <c r="T293" s="23"/>
      <c r="U293" s="23"/>
      <c r="V293" s="23"/>
    </row>
    <row r="294" spans="1:22" s="24" customFormat="1" ht="23.1" customHeight="1">
      <c r="A294" s="105" t="s">
        <v>24</v>
      </c>
      <c r="B294" s="36">
        <f>COUNTIF('10'!$C$6:$C$529,"종")</f>
        <v>0</v>
      </c>
      <c r="C294" s="37" t="s">
        <v>5</v>
      </c>
      <c r="D294" s="38">
        <f>SUMIF('10'!$C$6:$C$529,"종",'10'!$E$6:$E$529)</f>
        <v>0</v>
      </c>
      <c r="E294" s="36">
        <f>COUNTIF('10'!$N$6:$N$529,"종국")</f>
        <v>0</v>
      </c>
      <c r="F294" s="37" t="s">
        <v>5</v>
      </c>
      <c r="G294" s="38">
        <f>SUMIF('10'!$N$6:$N$529,"종국",'10'!$E$6:$E$529)</f>
        <v>0</v>
      </c>
      <c r="H294" s="36">
        <f>COUNTIF('10'!$N$6:$N$529,"종공")</f>
        <v>0</v>
      </c>
      <c r="I294" s="37" t="s">
        <v>5</v>
      </c>
      <c r="J294" s="38">
        <f>SUMIF('10'!$N$6:$N$529,"종공",'10'!$E$6:$E$529)</f>
        <v>0</v>
      </c>
      <c r="K294" s="36">
        <f t="shared" si="18"/>
        <v>0</v>
      </c>
      <c r="L294" s="37" t="s">
        <v>5</v>
      </c>
      <c r="M294" s="38">
        <f t="shared" si="19"/>
        <v>0</v>
      </c>
      <c r="N294" s="39"/>
      <c r="O294" s="23"/>
      <c r="P294" s="23"/>
      <c r="Q294" s="23"/>
      <c r="R294" s="23"/>
      <c r="S294" s="23"/>
      <c r="T294" s="23"/>
      <c r="U294" s="23"/>
      <c r="V294" s="23"/>
    </row>
    <row r="295" spans="1:22" s="24" customFormat="1" ht="23.1" customHeight="1">
      <c r="A295" s="105" t="s">
        <v>25</v>
      </c>
      <c r="B295" s="36">
        <f>COUNTIF('10'!$C$6:$C$529,"염")</f>
        <v>0</v>
      </c>
      <c r="C295" s="37" t="s">
        <v>5</v>
      </c>
      <c r="D295" s="38">
        <f>SUMIF('10'!$C$6:$C$529,"염",'10'!$E$6:$E$529)</f>
        <v>0</v>
      </c>
      <c r="E295" s="36">
        <f>COUNTIF('10'!$N$6:$N$529,"염국")</f>
        <v>0</v>
      </c>
      <c r="F295" s="37" t="s">
        <v>5</v>
      </c>
      <c r="G295" s="38">
        <f>SUMIF('10'!$N$6:$N$529,"염국",'10'!$E$6:$E$529)</f>
        <v>0</v>
      </c>
      <c r="H295" s="36">
        <f>COUNTIF('10'!$N$6:$N$529,"염공")</f>
        <v>0</v>
      </c>
      <c r="I295" s="37" t="s">
        <v>5</v>
      </c>
      <c r="J295" s="38">
        <f>SUMIF('10'!$N$6:$N$529,"염공",'10'!$E$6:$E$529)</f>
        <v>0</v>
      </c>
      <c r="K295" s="36">
        <f t="shared" si="18"/>
        <v>0</v>
      </c>
      <c r="L295" s="37" t="s">
        <v>5</v>
      </c>
      <c r="M295" s="38">
        <f t="shared" si="19"/>
        <v>0</v>
      </c>
      <c r="N295" s="39"/>
      <c r="O295" s="23"/>
      <c r="P295" s="23"/>
      <c r="Q295" s="23"/>
      <c r="R295" s="23"/>
      <c r="S295" s="23"/>
      <c r="T295" s="23"/>
      <c r="U295" s="23"/>
      <c r="V295" s="23"/>
    </row>
    <row r="296" spans="1:22" s="24" customFormat="1" ht="23.1" customHeight="1">
      <c r="A296" s="105" t="s">
        <v>26</v>
      </c>
      <c r="B296" s="36">
        <f>COUNTIF('10'!$C$6:$C$529,"공")</f>
        <v>0</v>
      </c>
      <c r="C296" s="37" t="s">
        <v>5</v>
      </c>
      <c r="D296" s="38">
        <f>SUMIF('10'!$C$6:$C$529,"공",'10'!$E$6:$E$529)</f>
        <v>0</v>
      </c>
      <c r="E296" s="36">
        <f>COUNTIF('10'!$N$6:$N$529,"공국")</f>
        <v>0</v>
      </c>
      <c r="F296" s="37" t="s">
        <v>5</v>
      </c>
      <c r="G296" s="38">
        <f>SUMIF('10'!$N$6:$N$529,"공국",'10'!$E$6:$E$529)</f>
        <v>0</v>
      </c>
      <c r="H296" s="36">
        <f>COUNTIF('10'!$N$6:$N$529,"공공")</f>
        <v>0</v>
      </c>
      <c r="I296" s="37" t="s">
        <v>5</v>
      </c>
      <c r="J296" s="38">
        <f>SUMIF('10'!$N$6:$N$529,"공공",'10'!$E$6:$E$529)</f>
        <v>0</v>
      </c>
      <c r="K296" s="36">
        <f t="shared" si="18"/>
        <v>0</v>
      </c>
      <c r="L296" s="37" t="s">
        <v>5</v>
      </c>
      <c r="M296" s="38">
        <f t="shared" si="19"/>
        <v>0</v>
      </c>
      <c r="N296" s="39"/>
      <c r="O296" s="23"/>
      <c r="P296" s="23"/>
      <c r="Q296" s="23"/>
      <c r="R296" s="23"/>
      <c r="S296" s="23"/>
      <c r="T296" s="23"/>
      <c r="U296" s="23"/>
      <c r="V296" s="23"/>
    </row>
    <row r="297" spans="1:22" s="24" customFormat="1" ht="23.1" customHeight="1">
      <c r="A297" s="105" t="s">
        <v>27</v>
      </c>
      <c r="B297" s="36">
        <f>COUNTIF('10'!$C$6:$C$529,"체")</f>
        <v>0</v>
      </c>
      <c r="C297" s="37" t="s">
        <v>5</v>
      </c>
      <c r="D297" s="38">
        <f>SUMIF('10'!$C$6:$C$529,"체",'10'!$E$6:$E$529)</f>
        <v>0</v>
      </c>
      <c r="E297" s="36">
        <f>COUNTIF('10'!$N$6:$N$529,"체국")</f>
        <v>0</v>
      </c>
      <c r="F297" s="37" t="s">
        <v>5</v>
      </c>
      <c r="G297" s="38">
        <f>SUMIF('10'!$N$6:$N$529,"체국",'10'!$E$6:$E$529)</f>
        <v>0</v>
      </c>
      <c r="H297" s="36">
        <f>COUNTIF('10'!$N$6:$N$529,"체공")</f>
        <v>0</v>
      </c>
      <c r="I297" s="37" t="s">
        <v>5</v>
      </c>
      <c r="J297" s="38">
        <f>SUMIF('10'!$N$6:$N$529,"체공",'10'!$E$6:$E$529)</f>
        <v>0</v>
      </c>
      <c r="K297" s="36">
        <f t="shared" si="18"/>
        <v>0</v>
      </c>
      <c r="L297" s="37" t="s">
        <v>5</v>
      </c>
      <c r="M297" s="38">
        <f t="shared" si="19"/>
        <v>0</v>
      </c>
      <c r="N297" s="39"/>
      <c r="O297" s="23"/>
      <c r="P297" s="23"/>
      <c r="Q297" s="23"/>
      <c r="R297" s="23"/>
      <c r="S297" s="23"/>
      <c r="T297" s="23"/>
      <c r="U297" s="23"/>
      <c r="V297" s="23"/>
    </row>
    <row r="298" spans="1:22" s="24" customFormat="1" ht="23.1" customHeight="1">
      <c r="A298" s="105" t="s">
        <v>28</v>
      </c>
      <c r="B298" s="36">
        <f>COUNTIF('10'!$C$6:$C$529,"원")</f>
        <v>0</v>
      </c>
      <c r="C298" s="37" t="s">
        <v>5</v>
      </c>
      <c r="D298" s="38">
        <f>SUMIF('10'!$C$6:$C$529,"원",'10'!$E$6:$E$529)</f>
        <v>0</v>
      </c>
      <c r="E298" s="36">
        <f>COUNTIF('10'!$N$6:$N$529,"원국")</f>
        <v>0</v>
      </c>
      <c r="F298" s="37" t="s">
        <v>5</v>
      </c>
      <c r="G298" s="38">
        <f>SUMIF('10'!$N$6:$N$529,"원국",'10'!$E$6:$E$529)</f>
        <v>0</v>
      </c>
      <c r="H298" s="36">
        <f>COUNTIF('10'!$N$6:$N$529,"원공")</f>
        <v>0</v>
      </c>
      <c r="I298" s="37" t="s">
        <v>5</v>
      </c>
      <c r="J298" s="38">
        <f>SUMIF('10'!$N$6:$N$529,"원공",'10'!$E$6:$E$529)</f>
        <v>0</v>
      </c>
      <c r="K298" s="36">
        <f t="shared" si="18"/>
        <v>0</v>
      </c>
      <c r="L298" s="37" t="s">
        <v>5</v>
      </c>
      <c r="M298" s="38">
        <f t="shared" si="19"/>
        <v>0</v>
      </c>
      <c r="N298" s="39"/>
      <c r="O298" s="23"/>
      <c r="P298" s="23"/>
      <c r="Q298" s="23"/>
      <c r="R298" s="23"/>
      <c r="S298" s="23"/>
      <c r="T298" s="23"/>
      <c r="U298" s="23"/>
      <c r="V298" s="23"/>
    </row>
    <row r="299" spans="1:22" s="24" customFormat="1" ht="23.1" customHeight="1">
      <c r="A299" s="105" t="s">
        <v>60</v>
      </c>
      <c r="B299" s="36">
        <f>COUNTIF('10'!$C$6:$C$529,"차")</f>
        <v>0</v>
      </c>
      <c r="C299" s="37" t="s">
        <v>5</v>
      </c>
      <c r="D299" s="38">
        <f>SUMIF('10'!$C$6:$C$529,"차",'10'!$E$6:$E$529)</f>
        <v>0</v>
      </c>
      <c r="E299" s="36">
        <f>COUNTIF('10'!$N$6:$N$529,"차국")</f>
        <v>0</v>
      </c>
      <c r="F299" s="37" t="s">
        <v>5</v>
      </c>
      <c r="G299" s="38">
        <f>SUMIF('10'!$N$6:$N$529,"차국",'10'!$E$6:$E$529)</f>
        <v>0</v>
      </c>
      <c r="H299" s="36">
        <f>COUNTIF('10'!$N$6:$N$529,"차공")</f>
        <v>0</v>
      </c>
      <c r="I299" s="37" t="s">
        <v>5</v>
      </c>
      <c r="J299" s="38">
        <f>SUMIF('10'!$N$6:$N$529,"차공",'10'!$E$6:$E$529)</f>
        <v>0</v>
      </c>
      <c r="K299" s="36">
        <f t="shared" si="18"/>
        <v>0</v>
      </c>
      <c r="L299" s="37" t="s">
        <v>5</v>
      </c>
      <c r="M299" s="38">
        <f t="shared" si="19"/>
        <v>0</v>
      </c>
      <c r="N299" s="39"/>
      <c r="O299" s="23"/>
      <c r="P299" s="23"/>
      <c r="Q299" s="23"/>
      <c r="R299" s="23"/>
      <c r="S299" s="23"/>
      <c r="T299" s="23"/>
      <c r="U299" s="23"/>
      <c r="V299" s="23"/>
    </row>
    <row r="300" spans="1:22" s="24" customFormat="1" ht="23.1" customHeight="1">
      <c r="A300" s="105" t="s">
        <v>61</v>
      </c>
      <c r="B300" s="36">
        <f>COUNTIF('10'!$C$6:$C$529,"주")</f>
        <v>0</v>
      </c>
      <c r="C300" s="37" t="s">
        <v>5</v>
      </c>
      <c r="D300" s="38">
        <f>SUMIF('10'!$C$6:$C$529,"주",'10'!$E$6:$E$529)</f>
        <v>0</v>
      </c>
      <c r="E300" s="36">
        <f>COUNTIF('10'!$N$6:$N$529,"주국")</f>
        <v>0</v>
      </c>
      <c r="F300" s="37" t="s">
        <v>5</v>
      </c>
      <c r="G300" s="38">
        <f>SUMIF('10'!$N$6:$N$529,"주국",'10'!$E$6:$E$529)</f>
        <v>0</v>
      </c>
      <c r="H300" s="36">
        <f>COUNTIF('10'!$N$6:$N$529,"주공")</f>
        <v>0</v>
      </c>
      <c r="I300" s="37" t="s">
        <v>5</v>
      </c>
      <c r="J300" s="38">
        <f>SUMIF('10'!$N$6:$N$529,"주공",'10'!$E$6:$E$529)</f>
        <v>0</v>
      </c>
      <c r="K300" s="36">
        <f t="shared" si="18"/>
        <v>0</v>
      </c>
      <c r="L300" s="37" t="s">
        <v>5</v>
      </c>
      <c r="M300" s="38">
        <f t="shared" si="19"/>
        <v>0</v>
      </c>
      <c r="N300" s="39"/>
      <c r="O300" s="23"/>
      <c r="P300" s="23"/>
      <c r="Q300" s="23"/>
      <c r="R300" s="23"/>
      <c r="S300" s="23"/>
      <c r="T300" s="23"/>
      <c r="U300" s="23"/>
      <c r="V300" s="23"/>
    </row>
    <row r="301" spans="1:22" s="24" customFormat="1" ht="23.1" customHeight="1">
      <c r="A301" s="106" t="s">
        <v>62</v>
      </c>
      <c r="B301" s="40">
        <f>COUNTIF('10'!$C$6:$C$529," ")</f>
        <v>0</v>
      </c>
      <c r="C301" s="41" t="s">
        <v>5</v>
      </c>
      <c r="D301" s="42">
        <f>SUMIF('10'!$C$6:$C$529," ",'10'!$E$6:$E$529)</f>
        <v>0</v>
      </c>
      <c r="E301" s="40">
        <f>COUNTIF('10'!$N$6:$N$529," 국")</f>
        <v>0</v>
      </c>
      <c r="F301" s="41" t="s">
        <v>5</v>
      </c>
      <c r="G301" s="42">
        <f>SUMIF('10'!$N$6:$N$529," 국",'10'!$E$6:$E$529)</f>
        <v>0</v>
      </c>
      <c r="H301" s="40">
        <f>COUNTIF('10'!$N$6:$N$529," 공")</f>
        <v>0</v>
      </c>
      <c r="I301" s="41" t="s">
        <v>5</v>
      </c>
      <c r="J301" s="42">
        <f>SUMIF('10'!$N$6:$N$529," 공",'10'!$E$6:$E$529)</f>
        <v>0</v>
      </c>
      <c r="K301" s="40">
        <f t="shared" si="18"/>
        <v>0</v>
      </c>
      <c r="L301" s="41" t="s">
        <v>5</v>
      </c>
      <c r="M301" s="42">
        <f t="shared" si="19"/>
        <v>0</v>
      </c>
      <c r="N301" s="43"/>
      <c r="O301" s="23"/>
      <c r="P301" s="23"/>
      <c r="Q301" s="23"/>
      <c r="R301" s="23"/>
      <c r="S301" s="23"/>
      <c r="T301" s="23"/>
      <c r="U301" s="23"/>
      <c r="V301" s="23"/>
    </row>
    <row r="302" spans="1:22">
      <c r="N302" s="100"/>
    </row>
    <row r="303" spans="1:22">
      <c r="N303" s="100"/>
    </row>
    <row r="304" spans="1:22">
      <c r="N304" s="100"/>
    </row>
    <row r="305" spans="1:14">
      <c r="N305" s="100"/>
    </row>
    <row r="306" spans="1:14">
      <c r="N306" s="100"/>
    </row>
    <row r="307" spans="1:14">
      <c r="A307" s="101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</row>
    <row r="308" spans="1:14">
      <c r="A308" s="101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</row>
    <row r="309" spans="1:14">
      <c r="A309" s="101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</row>
    <row r="310" spans="1:14">
      <c r="A310" s="101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</row>
    <row r="311" spans="1:14">
      <c r="A311" s="101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</row>
    <row r="312" spans="1:14">
      <c r="A312" s="101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</row>
    <row r="313" spans="1:14">
      <c r="A313" s="101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</row>
    <row r="314" spans="1:14">
      <c r="A314" s="101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</row>
    <row r="315" spans="1:14">
      <c r="A315" s="101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</row>
    <row r="316" spans="1:14">
      <c r="A316" s="101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</row>
    <row r="317" spans="1:14">
      <c r="A317" s="101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</row>
    <row r="318" spans="1:14">
      <c r="A318" s="101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</row>
    <row r="319" spans="1:14">
      <c r="A319" s="101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</row>
    <row r="320" spans="1:14">
      <c r="A320" s="101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</row>
    <row r="321" spans="1:14">
      <c r="A321" s="101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</row>
    <row r="322" spans="1:14">
      <c r="N322" s="100"/>
    </row>
    <row r="323" spans="1:14">
      <c r="N323" s="100"/>
    </row>
    <row r="324" spans="1:14">
      <c r="N324" s="100"/>
    </row>
    <row r="325" spans="1:14">
      <c r="N325" s="100"/>
    </row>
    <row r="326" spans="1:14">
      <c r="N326" s="100"/>
    </row>
    <row r="327" spans="1:14">
      <c r="N327" s="100"/>
    </row>
    <row r="328" spans="1:14">
      <c r="A328" s="101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</row>
    <row r="329" spans="1:14">
      <c r="A329" s="101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</row>
    <row r="330" spans="1:14">
      <c r="A330" s="101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</row>
    <row r="331" spans="1:14">
      <c r="A331" s="101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</row>
    <row r="332" spans="1:14">
      <c r="A332" s="101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</row>
    <row r="333" spans="1:14">
      <c r="A333" s="101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</row>
    <row r="334" spans="1:14">
      <c r="A334" s="101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</row>
    <row r="335" spans="1:14">
      <c r="A335" s="101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</row>
    <row r="336" spans="1:14">
      <c r="A336" s="101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</row>
    <row r="337" spans="1:14">
      <c r="A337" s="101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</row>
    <row r="338" spans="1:14">
      <c r="A338" s="101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</row>
    <row r="339" spans="1:14">
      <c r="A339" s="101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</row>
    <row r="340" spans="1:14">
      <c r="A340" s="101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</row>
    <row r="341" spans="1:14">
      <c r="A341" s="101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</row>
    <row r="342" spans="1:14">
      <c r="A342" s="101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</row>
    <row r="343" spans="1:14">
      <c r="N343" s="100"/>
    </row>
    <row r="344" spans="1:14">
      <c r="N344" s="100"/>
    </row>
    <row r="345" spans="1:14">
      <c r="N345" s="100"/>
    </row>
    <row r="346" spans="1:14">
      <c r="N346" s="100"/>
    </row>
    <row r="347" spans="1:14">
      <c r="N347" s="100"/>
    </row>
    <row r="348" spans="1:14">
      <c r="N348" s="100"/>
    </row>
    <row r="349" spans="1:14">
      <c r="A349" s="101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</row>
    <row r="350" spans="1:14">
      <c r="A350" s="101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</row>
    <row r="351" spans="1:14">
      <c r="A351" s="101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</row>
    <row r="352" spans="1:14">
      <c r="A352" s="101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</row>
    <row r="353" spans="1:14">
      <c r="A353" s="101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</row>
    <row r="354" spans="1:14">
      <c r="A354" s="101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</row>
    <row r="355" spans="1:14">
      <c r="A355" s="101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</row>
    <row r="356" spans="1:14">
      <c r="A356" s="101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</row>
    <row r="357" spans="1:14">
      <c r="A357" s="101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</row>
    <row r="358" spans="1:14">
      <c r="A358" s="101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</row>
    <row r="359" spans="1:14">
      <c r="A359" s="101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</row>
    <row r="360" spans="1:14">
      <c r="A360" s="101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</row>
    <row r="361" spans="1:14">
      <c r="A361" s="101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</row>
    <row r="362" spans="1:14">
      <c r="A362" s="101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</row>
    <row r="363" spans="1:14">
      <c r="A363" s="101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</row>
    <row r="364" spans="1:14">
      <c r="N364" s="100"/>
    </row>
    <row r="365" spans="1:14">
      <c r="N365" s="100"/>
    </row>
    <row r="366" spans="1:14">
      <c r="N366" s="100"/>
    </row>
    <row r="367" spans="1:14">
      <c r="N367" s="100"/>
    </row>
    <row r="368" spans="1:14">
      <c r="N368" s="100"/>
    </row>
    <row r="369" spans="14:14">
      <c r="N369" s="100"/>
    </row>
  </sheetData>
  <mergeCells count="4">
    <mergeCell ref="B4:D4"/>
    <mergeCell ref="B34:D34"/>
    <mergeCell ref="B64:D64"/>
    <mergeCell ref="B94:D94"/>
  </mergeCells>
  <phoneticPr fontId="5" type="noConversion"/>
  <printOptions horizontalCentered="1" verticalCentered="1"/>
  <pageMargins left="0.39370078740157483" right="0.39370078740157483" top="0.78740157480314965" bottom="0.39370078740157483" header="0.39370078740157483" footer="0.19685039370078741"/>
  <pageSetup paperSize="9" scale="85" orientation="portrait" horizontalDpi="4294967293" r:id="rId1"/>
  <headerFooter alignWithMargins="0"/>
  <rowBreaks count="9" manualBreakCount="9">
    <brk id="31" max="13" man="1"/>
    <brk id="61" max="13" man="1"/>
    <brk id="91" max="13" man="1"/>
    <brk id="121" max="13" man="1"/>
    <brk id="151" max="13" man="1"/>
    <brk id="181" max="13" man="1"/>
    <brk id="211" max="13" man="1"/>
    <brk id="241" max="13" man="1"/>
    <brk id="271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9"/>
  <sheetViews>
    <sheetView showGridLines="0" showZeros="0" view="pageBreakPreview" zoomScale="106" zoomScaleSheetLayoutView="106" workbookViewId="0">
      <selection activeCell="J9" sqref="J9"/>
    </sheetView>
  </sheetViews>
  <sheetFormatPr defaultRowHeight="13.5"/>
  <cols>
    <col min="1" max="1" width="11" style="11" customWidth="1"/>
    <col min="2" max="2" width="5.109375" style="12" customWidth="1"/>
    <col min="3" max="3" width="1.33203125" style="12" customWidth="1"/>
    <col min="4" max="4" width="9.77734375" style="12" customWidth="1"/>
    <col min="5" max="5" width="5.109375" style="12" customWidth="1"/>
    <col min="6" max="6" width="1.33203125" style="12" customWidth="1"/>
    <col min="7" max="7" width="9.77734375" style="12" customWidth="1"/>
    <col min="8" max="8" width="5.109375" style="12" customWidth="1"/>
    <col min="9" max="9" width="1.33203125" style="12" customWidth="1"/>
    <col min="10" max="10" width="9.77734375" style="12" customWidth="1"/>
    <col min="11" max="11" width="5.109375" style="12" customWidth="1"/>
    <col min="12" max="12" width="1.33203125" style="12" customWidth="1"/>
    <col min="13" max="13" width="9.77734375" style="12" customWidth="1"/>
    <col min="14" max="14" width="6.77734375" style="12" customWidth="1"/>
    <col min="15" max="20" width="12.21875" style="44" hidden="1" customWidth="1"/>
    <col min="21" max="22" width="8.33203125" style="44" customWidth="1"/>
    <col min="23" max="16384" width="8.88671875" style="44"/>
  </cols>
  <sheetData>
    <row r="1" spans="1:23" s="10" customFormat="1" ht="60" customHeight="1">
      <c r="A1" s="227" t="s">
        <v>449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3" s="17" customFormat="1" ht="20.100000000000001" customHeight="1">
      <c r="A2" s="11" t="e">
        <f>IF(EXACT(O6,O7),,"검산확인요!!!")</f>
        <v>#REF!</v>
      </c>
      <c r="B2" s="12"/>
      <c r="C2" s="12"/>
      <c r="D2" s="12"/>
      <c r="E2" s="12"/>
      <c r="F2" s="12"/>
      <c r="G2" s="12"/>
      <c r="H2" s="12"/>
      <c r="I2" s="12"/>
      <c r="J2" s="12"/>
      <c r="K2" s="13" t="str">
        <f>IF(ISBLANK('대두리(출력3)'!M2),,'대두리(출력3)'!M2)</f>
        <v>서산시 부석면 대두리</v>
      </c>
      <c r="L2" s="187"/>
      <c r="M2" s="16"/>
      <c r="N2" s="16"/>
    </row>
    <row r="3" spans="1:23" s="17" customFormat="1" ht="9.9499999999999993" customHeight="1">
      <c r="A3" s="228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</row>
    <row r="4" spans="1:23" s="24" customFormat="1" ht="27.95" customHeight="1">
      <c r="A4" s="199" t="s">
        <v>3</v>
      </c>
      <c r="B4" s="489" t="s">
        <v>2</v>
      </c>
      <c r="C4" s="490"/>
      <c r="D4" s="490"/>
      <c r="E4" s="214" t="s">
        <v>29</v>
      </c>
      <c r="F4" s="215"/>
      <c r="G4" s="216"/>
      <c r="H4" s="214" t="s">
        <v>57</v>
      </c>
      <c r="I4" s="215"/>
      <c r="J4" s="216"/>
      <c r="K4" s="214" t="s">
        <v>30</v>
      </c>
      <c r="L4" s="215"/>
      <c r="M4" s="216"/>
      <c r="N4" s="22" t="s">
        <v>31</v>
      </c>
      <c r="O4" s="23"/>
      <c r="S4" s="23"/>
      <c r="T4" s="23"/>
      <c r="U4" s="23"/>
      <c r="V4" s="23"/>
    </row>
    <row r="5" spans="1:23" s="24" customFormat="1" ht="27.95" customHeight="1">
      <c r="A5" s="25"/>
      <c r="B5" s="26" t="s">
        <v>4</v>
      </c>
      <c r="C5" s="27" t="s">
        <v>5</v>
      </c>
      <c r="D5" s="28" t="s">
        <v>32</v>
      </c>
      <c r="E5" s="185" t="s">
        <v>4</v>
      </c>
      <c r="F5" s="186" t="s">
        <v>5</v>
      </c>
      <c r="G5" s="184" t="s">
        <v>32</v>
      </c>
      <c r="H5" s="185" t="s">
        <v>4</v>
      </c>
      <c r="I5" s="186" t="s">
        <v>5</v>
      </c>
      <c r="J5" s="184" t="s">
        <v>32</v>
      </c>
      <c r="K5" s="185" t="s">
        <v>4</v>
      </c>
      <c r="L5" s="186" t="s">
        <v>5</v>
      </c>
      <c r="M5" s="184" t="s">
        <v>32</v>
      </c>
      <c r="N5" s="29"/>
      <c r="P5" s="23"/>
      <c r="Q5" s="30" t="s">
        <v>33</v>
      </c>
      <c r="R5" s="30" t="s">
        <v>34</v>
      </c>
      <c r="S5" s="30" t="s">
        <v>35</v>
      </c>
      <c r="T5" s="30" t="s">
        <v>36</v>
      </c>
      <c r="U5" s="23"/>
      <c r="V5" s="23"/>
    </row>
    <row r="6" spans="1:23" s="24" customFormat="1" ht="23.1" customHeight="1">
      <c r="A6" s="103" t="s">
        <v>2</v>
      </c>
      <c r="B6" s="31">
        <f>SUM(B7:B31)</f>
        <v>146</v>
      </c>
      <c r="C6" s="32" t="s">
        <v>5</v>
      </c>
      <c r="D6" s="211">
        <f>SUM(D7:D31)</f>
        <v>39534.799999999996</v>
      </c>
      <c r="E6" s="31" t="e">
        <f>SUM(E7:E31)</f>
        <v>#REF!</v>
      </c>
      <c r="F6" s="32" t="s">
        <v>5</v>
      </c>
      <c r="G6" s="211" t="e">
        <f>SUM(G7:G31)</f>
        <v>#REF!</v>
      </c>
      <c r="H6" s="31" t="e">
        <f>SUM(H7:H31)</f>
        <v>#REF!</v>
      </c>
      <c r="I6" s="32" t="s">
        <v>5</v>
      </c>
      <c r="J6" s="211" t="e">
        <f>SUM(J7:J31)</f>
        <v>#REF!</v>
      </c>
      <c r="K6" s="31" t="e">
        <f>SUM(K7:K31)</f>
        <v>#REF!</v>
      </c>
      <c r="L6" s="32" t="s">
        <v>5</v>
      </c>
      <c r="M6" s="211" t="e">
        <f>SUM(M7:M31)</f>
        <v>#REF!</v>
      </c>
      <c r="N6" s="34"/>
      <c r="O6" s="23" t="e">
        <f>IF(EXACT(Q6,T6),"맞음","틀림")</f>
        <v>#REF!</v>
      </c>
      <c r="P6" s="23" t="s">
        <v>4</v>
      </c>
      <c r="Q6" s="35">
        <f>SUM(B7:B31)</f>
        <v>146</v>
      </c>
      <c r="R6" s="35" t="e">
        <f>SUM(E7:E31)</f>
        <v>#REF!</v>
      </c>
      <c r="S6" s="35" t="e">
        <f>SUM(K7:K31)</f>
        <v>#REF!</v>
      </c>
      <c r="T6" s="35" t="e">
        <f>K6+E6</f>
        <v>#REF!</v>
      </c>
      <c r="U6" s="23"/>
      <c r="V6" s="23"/>
    </row>
    <row r="7" spans="1:23" s="24" customFormat="1" ht="23.1" customHeight="1">
      <c r="A7" s="104" t="s">
        <v>7</v>
      </c>
      <c r="B7" s="36">
        <f>COUNTIF('대두리(출력3)'!$D$5:$D$153,"전")</f>
        <v>12</v>
      </c>
      <c r="C7" s="37" t="s">
        <v>5</v>
      </c>
      <c r="D7" s="212">
        <f>SUMIF('대두리(출력3)'!$D$5:$D$153,"전",'대두리(출력3)'!$G$5:$G$153)</f>
        <v>3039.6</v>
      </c>
      <c r="E7" s="36" t="e">
        <f>COUNTIF('대두리(출력3)'!#REF!,"전국")</f>
        <v>#REF!</v>
      </c>
      <c r="F7" s="37" t="s">
        <v>5</v>
      </c>
      <c r="G7" s="212" t="e">
        <f>SUMIF('대두리(출력3)'!#REF!,"전국",'대두리(출력3)'!$G$5:$G$153)</f>
        <v>#REF!</v>
      </c>
      <c r="H7" s="36" t="e">
        <f>COUNTIF('대두리(출력3)'!#REF!,"전공")</f>
        <v>#REF!</v>
      </c>
      <c r="I7" s="37" t="s">
        <v>5</v>
      </c>
      <c r="J7" s="212" t="e">
        <f>SUMIF('대두리(출력3)'!#REF!,"전공",'대두리(출력3)'!$G$5:$G$153)</f>
        <v>#REF!</v>
      </c>
      <c r="K7" s="36" t="e">
        <f t="shared" ref="K7:K31" si="0">SUM(B7-E7-H7)</f>
        <v>#REF!</v>
      </c>
      <c r="L7" s="37" t="s">
        <v>5</v>
      </c>
      <c r="M7" s="212" t="e">
        <f t="shared" ref="M7:M31" si="1">SUM(D7-G7-J7)</f>
        <v>#REF!</v>
      </c>
      <c r="N7" s="39"/>
      <c r="O7" s="23" t="e">
        <f>IF(EXACT(Q7,T7),"맞음","틀림")</f>
        <v>#REF!</v>
      </c>
      <c r="P7" s="23" t="s">
        <v>37</v>
      </c>
      <c r="Q7" s="35">
        <f>SUM(D7:D31)</f>
        <v>39534.799999999996</v>
      </c>
      <c r="R7" s="35" t="e">
        <f>SUM(G7:G31)</f>
        <v>#REF!</v>
      </c>
      <c r="S7" s="35" t="e">
        <f>SUM(M7:M31)</f>
        <v>#REF!</v>
      </c>
      <c r="T7" s="35" t="e">
        <f>G6+M6</f>
        <v>#REF!</v>
      </c>
      <c r="U7" s="24" t="s">
        <v>7</v>
      </c>
      <c r="V7" s="23" t="s">
        <v>539</v>
      </c>
      <c r="W7" s="334" t="s">
        <v>578</v>
      </c>
    </row>
    <row r="8" spans="1:23" s="24" customFormat="1" ht="23.1" customHeight="1">
      <c r="A8" s="104" t="s">
        <v>8</v>
      </c>
      <c r="B8" s="36">
        <f>COUNTIF('대두리(출력3)'!$D$5:$D$153,"답")</f>
        <v>47</v>
      </c>
      <c r="C8" s="37" t="s">
        <v>5</v>
      </c>
      <c r="D8" s="212">
        <f>SUMIF('대두리(출력3)'!$D$5:$D$153,"답",'대두리(출력3)'!$G$5:$G$153)</f>
        <v>15471.5</v>
      </c>
      <c r="E8" s="36" t="e">
        <f>COUNTIF('대두리(출력3)'!#REF!,"답국")</f>
        <v>#REF!</v>
      </c>
      <c r="F8" s="37" t="s">
        <v>5</v>
      </c>
      <c r="G8" s="212" t="e">
        <f>SUMIF('대두리(출력3)'!#REF!,"답국",'대두리(출력3)'!$G$5:$G$153)</f>
        <v>#REF!</v>
      </c>
      <c r="H8" s="36" t="e">
        <f>COUNTIF('대두리(출력3)'!#REF!,"답공")</f>
        <v>#REF!</v>
      </c>
      <c r="I8" s="37" t="s">
        <v>5</v>
      </c>
      <c r="J8" s="212" t="e">
        <f>SUMIF('대두리(출력3)'!#REF!,"답공",'대두리(출력3)'!$G$5:$G$153)</f>
        <v>#REF!</v>
      </c>
      <c r="K8" s="36" t="e">
        <f t="shared" si="0"/>
        <v>#REF!</v>
      </c>
      <c r="L8" s="37" t="s">
        <v>5</v>
      </c>
      <c r="M8" s="212" t="e">
        <f t="shared" si="1"/>
        <v>#REF!</v>
      </c>
      <c r="N8" s="39"/>
      <c r="Q8" s="23"/>
      <c r="S8" s="23"/>
      <c r="U8" s="24" t="s">
        <v>8</v>
      </c>
      <c r="V8" s="23" t="s">
        <v>540</v>
      </c>
      <c r="W8" s="334" t="s">
        <v>579</v>
      </c>
    </row>
    <row r="9" spans="1:23" s="24" customFormat="1" ht="23.1" customHeight="1">
      <c r="A9" s="104" t="s">
        <v>9</v>
      </c>
      <c r="B9" s="36">
        <f>COUNTIF('대두리(출력3)'!$D$5:$D$153,"임")</f>
        <v>8</v>
      </c>
      <c r="C9" s="37" t="s">
        <v>5</v>
      </c>
      <c r="D9" s="212">
        <f>SUMIF('대두리(출력3)'!$D$5:$D$153,"임",'대두리(출력3)'!$G$5:$G$153)</f>
        <v>1737</v>
      </c>
      <c r="E9" s="36" t="e">
        <f>COUNTIF('대두리(출력3)'!#REF!,"임국")</f>
        <v>#REF!</v>
      </c>
      <c r="F9" s="37" t="s">
        <v>5</v>
      </c>
      <c r="G9" s="212" t="e">
        <f>SUMIF('대두리(출력3)'!#REF!,"임국",'대두리(출력3)'!$G$5:$G$153)</f>
        <v>#REF!</v>
      </c>
      <c r="H9" s="36" t="e">
        <f>COUNTIF('대두리(출력3)'!#REF!,"임공")</f>
        <v>#REF!</v>
      </c>
      <c r="I9" s="37" t="s">
        <v>5</v>
      </c>
      <c r="J9" s="212" t="e">
        <f>SUMIF('대두리(출력3)'!#REF!,"임공",'대두리(출력3)'!$G$5:$G$153)</f>
        <v>#REF!</v>
      </c>
      <c r="K9" s="36" t="e">
        <f t="shared" si="0"/>
        <v>#REF!</v>
      </c>
      <c r="L9" s="37" t="s">
        <v>5</v>
      </c>
      <c r="M9" s="212" t="e">
        <f t="shared" si="1"/>
        <v>#REF!</v>
      </c>
      <c r="N9" s="39"/>
      <c r="Q9" s="23"/>
      <c r="S9" s="23"/>
      <c r="U9" s="24" t="s">
        <v>93</v>
      </c>
      <c r="V9" s="23" t="s">
        <v>541</v>
      </c>
      <c r="W9" s="334" t="s">
        <v>580</v>
      </c>
    </row>
    <row r="10" spans="1:23" s="24" customFormat="1" ht="23.1" customHeight="1">
      <c r="A10" s="104" t="s">
        <v>10</v>
      </c>
      <c r="B10" s="36">
        <f>COUNTIF('대두리(출력3)'!$D$5:$D$153,"대")</f>
        <v>6</v>
      </c>
      <c r="C10" s="37" t="s">
        <v>5</v>
      </c>
      <c r="D10" s="212">
        <f>SUMIF('대두리(출력3)'!$D$5:$D$153,"대",'대두리(출력3)'!$G$5:$G$153)</f>
        <v>662</v>
      </c>
      <c r="E10" s="36" t="e">
        <f>COUNTIF('대두리(출력3)'!#REF!,"대국")</f>
        <v>#REF!</v>
      </c>
      <c r="F10" s="37" t="s">
        <v>5</v>
      </c>
      <c r="G10" s="212" t="e">
        <f>SUMIF('대두리(출력3)'!#REF!,"대국",'대두리(출력3)'!$G$5:$G$153)</f>
        <v>#REF!</v>
      </c>
      <c r="H10" s="36" t="e">
        <f>COUNTIF('대두리(출력3)'!#REF!,"대공")</f>
        <v>#REF!</v>
      </c>
      <c r="I10" s="37" t="s">
        <v>5</v>
      </c>
      <c r="J10" s="212" t="e">
        <f>SUMIF('대두리(출력3)'!#REF!,"대공",'대두리(출력3)'!$G$5:$G$153)</f>
        <v>#REF!</v>
      </c>
      <c r="K10" s="36" t="e">
        <f t="shared" si="0"/>
        <v>#REF!</v>
      </c>
      <c r="L10" s="37" t="s">
        <v>5</v>
      </c>
      <c r="M10" s="212" t="e">
        <f t="shared" si="1"/>
        <v>#REF!</v>
      </c>
      <c r="N10" s="39"/>
      <c r="O10" s="23"/>
      <c r="P10" s="23"/>
      <c r="Q10" s="23"/>
      <c r="R10" s="23"/>
      <c r="S10" s="23"/>
      <c r="T10" s="23"/>
      <c r="U10" s="24" t="s">
        <v>459</v>
      </c>
      <c r="V10" s="23" t="s">
        <v>542</v>
      </c>
      <c r="W10" s="334" t="s">
        <v>581</v>
      </c>
    </row>
    <row r="11" spans="1:23" s="24" customFormat="1" ht="23.1" customHeight="1">
      <c r="A11" s="104" t="s">
        <v>11</v>
      </c>
      <c r="B11" s="36">
        <f>COUNTIF('대두리(출력3)'!$D$5:$D$153,"도")-1</f>
        <v>54</v>
      </c>
      <c r="C11" s="37" t="s">
        <v>5</v>
      </c>
      <c r="D11" s="212">
        <f>SUMIF('대두리(출력3)'!$D$5:$D$153,"도",'대두리(출력3)'!$G$5:$G$153)</f>
        <v>13046.1</v>
      </c>
      <c r="E11" s="36" t="e">
        <f>COUNTIF('대두리(출력3)'!#REF!,"도국")</f>
        <v>#REF!</v>
      </c>
      <c r="F11" s="37" t="s">
        <v>5</v>
      </c>
      <c r="G11" s="212" t="e">
        <f>SUMIF('대두리(출력3)'!#REF!,"도국",'대두리(출력3)'!$G$5:$G$153)</f>
        <v>#REF!</v>
      </c>
      <c r="H11" s="36" t="e">
        <f>COUNTIF('대두리(출력3)'!#REF!,"도공")-1</f>
        <v>#REF!</v>
      </c>
      <c r="I11" s="37" t="s">
        <v>5</v>
      </c>
      <c r="J11" s="212" t="e">
        <f>SUMIF('대두리(출력3)'!#REF!,"도공",'대두리(출력3)'!$G$5:$G$153)</f>
        <v>#REF!</v>
      </c>
      <c r="K11" s="36" t="e">
        <f t="shared" si="0"/>
        <v>#REF!</v>
      </c>
      <c r="L11" s="37" t="s">
        <v>5</v>
      </c>
      <c r="M11" s="212" t="e">
        <f t="shared" si="1"/>
        <v>#REF!</v>
      </c>
      <c r="N11" s="39"/>
      <c r="O11" s="23"/>
      <c r="P11" s="23"/>
      <c r="Q11" s="23"/>
      <c r="R11" s="23"/>
      <c r="S11" s="23"/>
      <c r="T11" s="23"/>
      <c r="U11" s="24" t="s">
        <v>455</v>
      </c>
      <c r="V11" s="23" t="s">
        <v>543</v>
      </c>
      <c r="W11" s="334" t="s">
        <v>582</v>
      </c>
    </row>
    <row r="12" spans="1:23" s="24" customFormat="1" ht="23.1" customHeight="1">
      <c r="A12" s="104" t="s">
        <v>12</v>
      </c>
      <c r="B12" s="36">
        <f>COUNTIF('대두리(출력3)'!$D$5:$D$153,"구")</f>
        <v>13</v>
      </c>
      <c r="C12" s="37" t="s">
        <v>5</v>
      </c>
      <c r="D12" s="212">
        <f>SUMIF('대두리(출력3)'!$D$5:$D$153,"구",'대두리(출력3)'!$G$5:$G$153)</f>
        <v>1440.1999999999998</v>
      </c>
      <c r="E12" s="36" t="e">
        <f>COUNTIF('대두리(출력3)'!#REF!,"구국")</f>
        <v>#REF!</v>
      </c>
      <c r="F12" s="37" t="s">
        <v>5</v>
      </c>
      <c r="G12" s="212" t="e">
        <f>SUMIF('대두리(출력3)'!#REF!,"구국",'대두리(출력3)'!$G$5:$G$153)</f>
        <v>#REF!</v>
      </c>
      <c r="H12" s="36" t="e">
        <f>COUNTIF('대두리(출력3)'!#REF!,"구공")</f>
        <v>#REF!</v>
      </c>
      <c r="I12" s="37" t="s">
        <v>5</v>
      </c>
      <c r="J12" s="212" t="e">
        <f>SUMIF('대두리(출력3)'!#REF!,"구공",'대두리(출력3)'!$G$5:$G$153)</f>
        <v>#REF!</v>
      </c>
      <c r="K12" s="36" t="e">
        <f t="shared" si="0"/>
        <v>#REF!</v>
      </c>
      <c r="L12" s="37" t="s">
        <v>5</v>
      </c>
      <c r="M12" s="212" t="e">
        <f t="shared" si="1"/>
        <v>#REF!</v>
      </c>
      <c r="N12" s="39"/>
      <c r="O12" s="23"/>
      <c r="P12" s="23"/>
      <c r="Q12" s="23"/>
      <c r="R12" s="23"/>
      <c r="S12" s="23"/>
      <c r="T12" s="23"/>
      <c r="U12" s="24" t="s">
        <v>462</v>
      </c>
      <c r="V12" s="23" t="s">
        <v>544</v>
      </c>
      <c r="W12" s="334" t="s">
        <v>583</v>
      </c>
    </row>
    <row r="13" spans="1:23" s="24" customFormat="1" ht="23.1" customHeight="1">
      <c r="A13" s="104" t="s">
        <v>13</v>
      </c>
      <c r="B13" s="36">
        <f>COUNTIF('대두리(출력3)'!$D$5:$D$153,"천")</f>
        <v>0</v>
      </c>
      <c r="C13" s="37" t="s">
        <v>5</v>
      </c>
      <c r="D13" s="212">
        <f>SUMIF('대두리(출력3)'!$D$5:$D$153,"천",'대두리(출력3)'!$G$5:$G$153)</f>
        <v>0</v>
      </c>
      <c r="E13" s="36" t="e">
        <f>COUNTIF('대두리(출력3)'!#REF!,"천국")</f>
        <v>#REF!</v>
      </c>
      <c r="F13" s="37" t="s">
        <v>5</v>
      </c>
      <c r="G13" s="212" t="e">
        <f>SUMIF('대두리(출력3)'!#REF!,"천국",'대두리(출력3)'!$G$5:$G$153)</f>
        <v>#REF!</v>
      </c>
      <c r="H13" s="36" t="e">
        <f>COUNTIF('대두리(출력3)'!#REF!,"천공")</f>
        <v>#REF!</v>
      </c>
      <c r="I13" s="37" t="s">
        <v>5</v>
      </c>
      <c r="J13" s="212" t="e">
        <f>SUMIF('대두리(출력3)'!#REF!,"천공",'대두리(출력3)'!$G$5:$G$153)</f>
        <v>#REF!</v>
      </c>
      <c r="K13" s="36" t="e">
        <f t="shared" si="0"/>
        <v>#REF!</v>
      </c>
      <c r="L13" s="37" t="s">
        <v>5</v>
      </c>
      <c r="M13" s="212" t="e">
        <f t="shared" si="1"/>
        <v>#REF!</v>
      </c>
      <c r="N13" s="39"/>
      <c r="O13" s="23"/>
      <c r="P13" s="23"/>
      <c r="Q13" s="23"/>
      <c r="R13" s="23"/>
      <c r="S13" s="23"/>
      <c r="T13" s="23"/>
      <c r="U13" s="24" t="s">
        <v>563</v>
      </c>
      <c r="V13" s="23" t="s">
        <v>545</v>
      </c>
      <c r="W13" s="334" t="s">
        <v>584</v>
      </c>
    </row>
    <row r="14" spans="1:23" s="24" customFormat="1" ht="23.1" customHeight="1">
      <c r="A14" s="104" t="s">
        <v>14</v>
      </c>
      <c r="B14" s="36">
        <f>COUNTIF('대두리(출력3)'!$D$5:$D$153,"유")-1</f>
        <v>6</v>
      </c>
      <c r="C14" s="37" t="s">
        <v>5</v>
      </c>
      <c r="D14" s="212">
        <f>SUMIF('대두리(출력3)'!$D$5:$D$153,"유",'대두리(출력3)'!$G$5:$G$153)</f>
        <v>4138.3999999999996</v>
      </c>
      <c r="E14" s="36" t="e">
        <f>COUNTIF('대두리(출력3)'!#REF!,"유국")</f>
        <v>#REF!</v>
      </c>
      <c r="F14" s="37" t="s">
        <v>5</v>
      </c>
      <c r="G14" s="212" t="e">
        <f>SUMIF('대두리(출력3)'!#REF!,"유국",'대두리(출력3)'!$G$5:$G$153)</f>
        <v>#REF!</v>
      </c>
      <c r="H14" s="36" t="e">
        <f>COUNTIF('대두리(출력3)'!#REF!,"유공")</f>
        <v>#REF!</v>
      </c>
      <c r="I14" s="37" t="s">
        <v>5</v>
      </c>
      <c r="J14" s="212" t="e">
        <f>SUMIF('대두리(출력3)'!#REF!,"유공",'대두리(출력3)'!$G$5:$G$153)</f>
        <v>#REF!</v>
      </c>
      <c r="K14" s="36" t="e">
        <f>SUM(B14-E14-H14-1)</f>
        <v>#REF!</v>
      </c>
      <c r="L14" s="37" t="s">
        <v>5</v>
      </c>
      <c r="M14" s="212" t="e">
        <f t="shared" si="1"/>
        <v>#REF!</v>
      </c>
      <c r="N14" s="39"/>
      <c r="O14" s="23"/>
      <c r="P14" s="23"/>
      <c r="Q14" s="23"/>
      <c r="R14" s="23"/>
      <c r="S14" s="23"/>
      <c r="T14" s="23"/>
      <c r="U14" s="24" t="s">
        <v>484</v>
      </c>
      <c r="V14" s="23" t="s">
        <v>546</v>
      </c>
      <c r="W14" s="334" t="s">
        <v>585</v>
      </c>
    </row>
    <row r="15" spans="1:23" s="24" customFormat="1" ht="23.1" customHeight="1">
      <c r="A15" s="104" t="s">
        <v>15</v>
      </c>
      <c r="B15" s="36">
        <f>COUNTIF('대두리(출력3)'!$D$5:$D$153,"제")</f>
        <v>0</v>
      </c>
      <c r="C15" s="37" t="s">
        <v>5</v>
      </c>
      <c r="D15" s="212">
        <f>SUMIF('대두리(출력3)'!$D$5:$D$153,"제",'대두리(출력3)'!$G$5:$G$153)</f>
        <v>0</v>
      </c>
      <c r="E15" s="36" t="e">
        <f>COUNTIF('대두리(출력3)'!#REF!,"제국")</f>
        <v>#REF!</v>
      </c>
      <c r="F15" s="37" t="s">
        <v>5</v>
      </c>
      <c r="G15" s="212" t="e">
        <f>SUMIF('대두리(출력3)'!#REF!,"제국",'대두리(출력3)'!$G$5:$G$153)</f>
        <v>#REF!</v>
      </c>
      <c r="H15" s="36" t="e">
        <f>COUNTIF('대두리(출력3)'!#REF!,"제공")</f>
        <v>#REF!</v>
      </c>
      <c r="I15" s="37" t="s">
        <v>5</v>
      </c>
      <c r="J15" s="212" t="e">
        <f>SUMIF('대두리(출력3)'!#REF!,"제공",'대두리(출력3)'!$G$5:$G$153)</f>
        <v>#REF!</v>
      </c>
      <c r="K15" s="36" t="e">
        <f t="shared" si="0"/>
        <v>#REF!</v>
      </c>
      <c r="L15" s="37" t="s">
        <v>5</v>
      </c>
      <c r="M15" s="212" t="e">
        <f t="shared" si="1"/>
        <v>#REF!</v>
      </c>
      <c r="N15" s="39"/>
      <c r="O15" s="23"/>
      <c r="P15" s="23"/>
      <c r="Q15" s="23"/>
      <c r="R15" s="23"/>
      <c r="S15" s="23"/>
      <c r="T15" s="23"/>
      <c r="U15" s="24" t="s">
        <v>564</v>
      </c>
      <c r="V15" s="23" t="s">
        <v>547</v>
      </c>
      <c r="W15" s="334" t="s">
        <v>586</v>
      </c>
    </row>
    <row r="16" spans="1:23" s="24" customFormat="1" ht="23.1" customHeight="1">
      <c r="A16" s="104" t="s">
        <v>16</v>
      </c>
      <c r="B16" s="36">
        <f>COUNTIF('대두리(출력3)'!$D$5:$D$153,"과")</f>
        <v>0</v>
      </c>
      <c r="C16" s="37" t="s">
        <v>5</v>
      </c>
      <c r="D16" s="212">
        <f>SUMIF('대두리(출력3)'!$D$5:$D$153,"과",'대두리(출력3)'!$G$5:$G$153)</f>
        <v>0</v>
      </c>
      <c r="E16" s="36" t="e">
        <f>COUNTIF('대두리(출력3)'!#REF!,"과국")</f>
        <v>#REF!</v>
      </c>
      <c r="F16" s="37" t="s">
        <v>5</v>
      </c>
      <c r="G16" s="212" t="e">
        <f>SUMIF('대두리(출력3)'!#REF!,"과국",'대두리(출력3)'!$G$5:$G$153)</f>
        <v>#REF!</v>
      </c>
      <c r="H16" s="36" t="e">
        <f>COUNTIF('대두리(출력3)'!#REF!,"과공")</f>
        <v>#REF!</v>
      </c>
      <c r="I16" s="37" t="s">
        <v>5</v>
      </c>
      <c r="J16" s="212" t="e">
        <f>SUMIF('대두리(출력3)'!#REF!,"과공",'대두리(출력3)'!$G$5:$G$153)</f>
        <v>#REF!</v>
      </c>
      <c r="K16" s="36" t="e">
        <f t="shared" si="0"/>
        <v>#REF!</v>
      </c>
      <c r="L16" s="37" t="s">
        <v>5</v>
      </c>
      <c r="M16" s="212" t="e">
        <f t="shared" si="1"/>
        <v>#REF!</v>
      </c>
      <c r="N16" s="39"/>
      <c r="O16" s="23"/>
      <c r="P16" s="23"/>
      <c r="Q16" s="23"/>
      <c r="R16" s="23"/>
      <c r="S16" s="23"/>
      <c r="T16" s="23"/>
      <c r="U16" s="24" t="s">
        <v>565</v>
      </c>
      <c r="V16" s="23" t="s">
        <v>548</v>
      </c>
      <c r="W16" s="334" t="s">
        <v>587</v>
      </c>
    </row>
    <row r="17" spans="1:23" s="24" customFormat="1" ht="23.1" customHeight="1">
      <c r="A17" s="104" t="s">
        <v>17</v>
      </c>
      <c r="B17" s="36">
        <f>COUNTIF('대두리(출력3)'!$D$5:$D$153,"장")</f>
        <v>0</v>
      </c>
      <c r="C17" s="37" t="s">
        <v>5</v>
      </c>
      <c r="D17" s="212">
        <f>SUMIF('대두리(출력3)'!$D$5:$D$153,"장",'대두리(출력3)'!$G$5:$G$153)</f>
        <v>0</v>
      </c>
      <c r="E17" s="36" t="e">
        <f>COUNTIF('대두리(출력3)'!#REF!,"장국")</f>
        <v>#REF!</v>
      </c>
      <c r="F17" s="37" t="s">
        <v>5</v>
      </c>
      <c r="G17" s="212" t="e">
        <f>SUMIF('대두리(출력3)'!#REF!,"장국",'대두리(출력3)'!$G$5:$G$153)</f>
        <v>#REF!</v>
      </c>
      <c r="H17" s="36" t="e">
        <f>COUNTIF('대두리(출력3)'!#REF!,"장공")</f>
        <v>#REF!</v>
      </c>
      <c r="I17" s="37" t="s">
        <v>5</v>
      </c>
      <c r="J17" s="212" t="e">
        <f>SUMIF('대두리(출력3)'!#REF!,"장공",'대두리(출력3)'!$G$5:$G$153)</f>
        <v>#REF!</v>
      </c>
      <c r="K17" s="36" t="e">
        <f t="shared" si="0"/>
        <v>#REF!</v>
      </c>
      <c r="L17" s="37" t="s">
        <v>5</v>
      </c>
      <c r="M17" s="212" t="e">
        <f t="shared" si="1"/>
        <v>#REF!</v>
      </c>
      <c r="N17" s="39"/>
      <c r="O17" s="23"/>
      <c r="P17" s="23"/>
      <c r="Q17" s="23"/>
      <c r="R17" s="23"/>
      <c r="S17" s="23"/>
      <c r="T17" s="23"/>
      <c r="U17" s="24" t="s">
        <v>451</v>
      </c>
      <c r="V17" s="23" t="s">
        <v>549</v>
      </c>
      <c r="W17" s="334" t="s">
        <v>588</v>
      </c>
    </row>
    <row r="18" spans="1:23" s="24" customFormat="1" ht="23.1" customHeight="1">
      <c r="A18" s="104" t="s">
        <v>18</v>
      </c>
      <c r="B18" s="36">
        <f>COUNTIF('대두리(출력3)'!$D$5:$D$153,"목")</f>
        <v>0</v>
      </c>
      <c r="C18" s="37" t="s">
        <v>5</v>
      </c>
      <c r="D18" s="212">
        <f>SUMIF('대두리(출력3)'!$D$5:$D$153,"목",'대두리(출력3)'!$G$5:$G$153)</f>
        <v>0</v>
      </c>
      <c r="E18" s="36" t="e">
        <f>COUNTIF('대두리(출력3)'!#REF!,"목국")</f>
        <v>#REF!</v>
      </c>
      <c r="F18" s="37" t="s">
        <v>5</v>
      </c>
      <c r="G18" s="212" t="e">
        <f>SUMIF('대두리(출력3)'!#REF!,"목국",'대두리(출력3)'!$G$5:$G$153)</f>
        <v>#REF!</v>
      </c>
      <c r="H18" s="36" t="e">
        <f>COUNTIF('대두리(출력3)'!#REF!,"목공")</f>
        <v>#REF!</v>
      </c>
      <c r="I18" s="37" t="s">
        <v>5</v>
      </c>
      <c r="J18" s="212" t="e">
        <f>SUMIF('대두리(출력3)'!#REF!,"목공",'대두리(출력3)'!$G$5:$G$153)</f>
        <v>#REF!</v>
      </c>
      <c r="K18" s="36" t="e">
        <f t="shared" si="0"/>
        <v>#REF!</v>
      </c>
      <c r="L18" s="37" t="s">
        <v>5</v>
      </c>
      <c r="M18" s="212" t="e">
        <f t="shared" si="1"/>
        <v>#REF!</v>
      </c>
      <c r="N18" s="39"/>
      <c r="O18" s="23"/>
      <c r="P18" s="23"/>
      <c r="Q18" s="23"/>
      <c r="R18" s="23"/>
      <c r="S18" s="23"/>
      <c r="T18" s="23"/>
      <c r="U18" s="24" t="s">
        <v>566</v>
      </c>
      <c r="V18" s="23" t="s">
        <v>550</v>
      </c>
      <c r="W18" s="334" t="s">
        <v>589</v>
      </c>
    </row>
    <row r="19" spans="1:23" s="24" customFormat="1" ht="23.1" customHeight="1">
      <c r="A19" s="104" t="s">
        <v>19</v>
      </c>
      <c r="B19" s="36">
        <f>COUNTIF('대두리(출력3)'!$D$5:$D$153,"학")</f>
        <v>0</v>
      </c>
      <c r="C19" s="37" t="s">
        <v>5</v>
      </c>
      <c r="D19" s="212">
        <f>SUMIF('대두리(출력3)'!$D$5:$D$153,"학",'대두리(출력3)'!$G$5:$G$153)</f>
        <v>0</v>
      </c>
      <c r="E19" s="36" t="e">
        <f>COUNTIF('대두리(출력3)'!#REF!,"학국")</f>
        <v>#REF!</v>
      </c>
      <c r="F19" s="37" t="s">
        <v>5</v>
      </c>
      <c r="G19" s="212" t="e">
        <f>SUMIF('대두리(출력3)'!#REF!,"학국",'대두리(출력3)'!$G$5:$G$153)</f>
        <v>#REF!</v>
      </c>
      <c r="H19" s="36" t="e">
        <f>COUNTIF('대두리(출력3)'!#REF!,"학공")</f>
        <v>#REF!</v>
      </c>
      <c r="I19" s="37" t="s">
        <v>5</v>
      </c>
      <c r="J19" s="212" t="e">
        <f>SUMIF('대두리(출력3)'!#REF!,"학공",'대두리(출력3)'!$G$5:$G$153)</f>
        <v>#REF!</v>
      </c>
      <c r="K19" s="36" t="e">
        <f t="shared" si="0"/>
        <v>#REF!</v>
      </c>
      <c r="L19" s="37" t="s">
        <v>5</v>
      </c>
      <c r="M19" s="212" t="e">
        <f t="shared" si="1"/>
        <v>#REF!</v>
      </c>
      <c r="N19" s="39"/>
      <c r="O19" s="23"/>
      <c r="P19" s="23"/>
      <c r="Q19" s="23"/>
      <c r="R19" s="23"/>
      <c r="S19" s="23"/>
      <c r="T19" s="23"/>
      <c r="U19" s="24" t="s">
        <v>567</v>
      </c>
      <c r="V19" s="23" t="s">
        <v>551</v>
      </c>
      <c r="W19" s="334" t="s">
        <v>590</v>
      </c>
    </row>
    <row r="20" spans="1:23" s="24" customFormat="1" ht="23.1" customHeight="1">
      <c r="A20" s="104" t="s">
        <v>20</v>
      </c>
      <c r="B20" s="36">
        <f>COUNTIF('대두리(출력3)'!$D$5:$D$153,"철")</f>
        <v>0</v>
      </c>
      <c r="C20" s="37" t="s">
        <v>5</v>
      </c>
      <c r="D20" s="212">
        <f>SUMIF('대두리(출력3)'!$D$5:$D$153,"철",'대두리(출력3)'!$G$5:$G$153)</f>
        <v>0</v>
      </c>
      <c r="E20" s="36" t="e">
        <f>COUNTIF('대두리(출력3)'!#REF!,"철국")</f>
        <v>#REF!</v>
      </c>
      <c r="F20" s="37" t="s">
        <v>5</v>
      </c>
      <c r="G20" s="212" t="e">
        <f>SUMIF('대두리(출력3)'!#REF!,"철국",'대두리(출력3)'!$G$5:$G$153)</f>
        <v>#REF!</v>
      </c>
      <c r="H20" s="36" t="e">
        <f>COUNTIF('대두리(출력3)'!#REF!,"철공")</f>
        <v>#REF!</v>
      </c>
      <c r="I20" s="37" t="s">
        <v>5</v>
      </c>
      <c r="J20" s="212" t="e">
        <f>SUMIF('대두리(출력3)'!#REF!,"철공",'대두리(출력3)'!$G$5:$G$153)</f>
        <v>#REF!</v>
      </c>
      <c r="K20" s="36" t="e">
        <f t="shared" si="0"/>
        <v>#REF!</v>
      </c>
      <c r="L20" s="37" t="s">
        <v>5</v>
      </c>
      <c r="M20" s="212" t="e">
        <f t="shared" si="1"/>
        <v>#REF!</v>
      </c>
      <c r="N20" s="39"/>
      <c r="O20" s="23"/>
      <c r="P20" s="23"/>
      <c r="Q20" s="23"/>
      <c r="R20" s="23"/>
      <c r="S20" s="23"/>
      <c r="T20" s="23"/>
      <c r="U20" s="24" t="s">
        <v>568</v>
      </c>
      <c r="V20" s="23" t="s">
        <v>552</v>
      </c>
      <c r="W20" s="334" t="s">
        <v>591</v>
      </c>
    </row>
    <row r="21" spans="1:23" s="24" customFormat="1" ht="23.1" customHeight="1">
      <c r="A21" s="104" t="s">
        <v>21</v>
      </c>
      <c r="B21" s="36">
        <f>COUNTIF('대두리(출력3)'!$D$5:$D$153,"묘")</f>
        <v>0</v>
      </c>
      <c r="C21" s="37" t="s">
        <v>5</v>
      </c>
      <c r="D21" s="212">
        <f>SUMIF('대두리(출력3)'!$D$5:$D$153,"묘",'대두리(출력3)'!$G$5:$G$153)</f>
        <v>0</v>
      </c>
      <c r="E21" s="36" t="e">
        <f>COUNTIF('대두리(출력3)'!#REF!,"묘국")</f>
        <v>#REF!</v>
      </c>
      <c r="F21" s="37" t="s">
        <v>5</v>
      </c>
      <c r="G21" s="212" t="e">
        <f>SUMIF('대두리(출력3)'!#REF!,"묘국",'대두리(출력3)'!$G$5:$G$153)</f>
        <v>#REF!</v>
      </c>
      <c r="H21" s="36" t="e">
        <f>COUNTIF('대두리(출력3)'!#REF!,"묘공")</f>
        <v>#REF!</v>
      </c>
      <c r="I21" s="37" t="s">
        <v>5</v>
      </c>
      <c r="J21" s="212" t="e">
        <f>SUMIF('대두리(출력3)'!#REF!,"묘공",'대두리(출력3)'!$G$5:$G$153)</f>
        <v>#REF!</v>
      </c>
      <c r="K21" s="36" t="e">
        <f t="shared" si="0"/>
        <v>#REF!</v>
      </c>
      <c r="L21" s="37" t="s">
        <v>5</v>
      </c>
      <c r="M21" s="212" t="e">
        <f t="shared" si="1"/>
        <v>#REF!</v>
      </c>
      <c r="N21" s="39"/>
      <c r="O21" s="23"/>
      <c r="P21" s="23"/>
      <c r="Q21" s="23"/>
      <c r="R21" s="23"/>
      <c r="S21" s="23"/>
      <c r="T21" s="23"/>
      <c r="U21" s="24" t="s">
        <v>569</v>
      </c>
      <c r="V21" s="23" t="s">
        <v>553</v>
      </c>
      <c r="W21" s="334" t="s">
        <v>592</v>
      </c>
    </row>
    <row r="22" spans="1:23" s="24" customFormat="1" ht="23.1" customHeight="1">
      <c r="A22" s="104" t="s">
        <v>22</v>
      </c>
      <c r="B22" s="36">
        <f>COUNTIF('대두리(출력3)'!$D$5:$D$153,"수")</f>
        <v>0</v>
      </c>
      <c r="C22" s="37" t="s">
        <v>5</v>
      </c>
      <c r="D22" s="212">
        <f>SUMIF('대두리(출력3)'!$D$5:$D$153,"수",'대두리(출력3)'!$G$5:$G$153)</f>
        <v>0</v>
      </c>
      <c r="E22" s="36" t="e">
        <f>COUNTIF('대두리(출력3)'!#REF!,"수국")</f>
        <v>#REF!</v>
      </c>
      <c r="F22" s="37" t="s">
        <v>5</v>
      </c>
      <c r="G22" s="212" t="e">
        <f>SUMIF('대두리(출력3)'!#REF!,"수국",'대두리(출력3)'!$G$5:$G$153)</f>
        <v>#REF!</v>
      </c>
      <c r="H22" s="36" t="e">
        <f>COUNTIF('대두리(출력3)'!#REF!,"수공")</f>
        <v>#REF!</v>
      </c>
      <c r="I22" s="37" t="s">
        <v>5</v>
      </c>
      <c r="J22" s="212" t="e">
        <f>SUMIF('대두리(출력3)'!#REF!,"수공",'대두리(출력3)'!$G$5:$G$153)</f>
        <v>#REF!</v>
      </c>
      <c r="K22" s="36" t="e">
        <f t="shared" si="0"/>
        <v>#REF!</v>
      </c>
      <c r="L22" s="37" t="s">
        <v>5</v>
      </c>
      <c r="M22" s="212" t="e">
        <f t="shared" si="1"/>
        <v>#REF!</v>
      </c>
      <c r="N22" s="39"/>
      <c r="O22" s="23"/>
      <c r="P22" s="23"/>
      <c r="Q22" s="23"/>
      <c r="R22" s="23"/>
      <c r="S22" s="23"/>
      <c r="T22" s="23"/>
      <c r="U22" s="24" t="s">
        <v>570</v>
      </c>
      <c r="V22" s="23" t="s">
        <v>554</v>
      </c>
      <c r="W22" s="334" t="s">
        <v>593</v>
      </c>
    </row>
    <row r="23" spans="1:23" s="24" customFormat="1" ht="23.1" customHeight="1">
      <c r="A23" s="104" t="s">
        <v>23</v>
      </c>
      <c r="B23" s="36">
        <f>COUNTIF('대두리(출력3)'!$D$5:$D$153,"잡")</f>
        <v>0</v>
      </c>
      <c r="C23" s="37" t="s">
        <v>5</v>
      </c>
      <c r="D23" s="212">
        <f>SUMIF('대두리(출력3)'!$D$5:$D$153,"잡",'대두리(출력3)'!$G$5:$G$153)</f>
        <v>0</v>
      </c>
      <c r="E23" s="36" t="e">
        <f>COUNTIF('대두리(출력3)'!#REF!,"잡국")</f>
        <v>#REF!</v>
      </c>
      <c r="F23" s="37" t="s">
        <v>5</v>
      </c>
      <c r="G23" s="212" t="e">
        <f>SUMIF('대두리(출력3)'!#REF!,"잡국",'대두리(출력3)'!$G$5:$G$153)</f>
        <v>#REF!</v>
      </c>
      <c r="H23" s="36" t="e">
        <f>COUNTIF('대두리(출력3)'!#REF!,"잡공")</f>
        <v>#REF!</v>
      </c>
      <c r="I23" s="37" t="s">
        <v>5</v>
      </c>
      <c r="J23" s="212" t="e">
        <f>SUMIF('대두리(출력3)'!#REF!,"잡공",'대두리(출력3)'!$G$5:$G$153)</f>
        <v>#REF!</v>
      </c>
      <c r="K23" s="36" t="e">
        <f t="shared" si="0"/>
        <v>#REF!</v>
      </c>
      <c r="L23" s="37" t="s">
        <v>5</v>
      </c>
      <c r="M23" s="212" t="e">
        <f t="shared" si="1"/>
        <v>#REF!</v>
      </c>
      <c r="N23" s="39"/>
      <c r="O23" s="23"/>
      <c r="P23" s="23"/>
      <c r="Q23" s="23"/>
      <c r="R23" s="23"/>
      <c r="S23" s="23"/>
      <c r="T23" s="23"/>
      <c r="U23" s="24" t="s">
        <v>571</v>
      </c>
      <c r="V23" s="23" t="s">
        <v>555</v>
      </c>
      <c r="W23" s="334" t="s">
        <v>594</v>
      </c>
    </row>
    <row r="24" spans="1:23" s="24" customFormat="1" ht="23.1" customHeight="1">
      <c r="A24" s="105" t="s">
        <v>24</v>
      </c>
      <c r="B24" s="36">
        <f>COUNTIF('대두리(출력3)'!$D$5:$D$153,"종")</f>
        <v>0</v>
      </c>
      <c r="C24" s="37" t="s">
        <v>5</v>
      </c>
      <c r="D24" s="212">
        <f>SUMIF('대두리(출력3)'!$D$5:$D$153,"종",'대두리(출력3)'!$G$5:$G$153)</f>
        <v>0</v>
      </c>
      <c r="E24" s="36" t="e">
        <f>COUNTIF('대두리(출력3)'!#REF!,"종국")</f>
        <v>#REF!</v>
      </c>
      <c r="F24" s="37" t="s">
        <v>5</v>
      </c>
      <c r="G24" s="212" t="e">
        <f>SUMIF('대두리(출력3)'!#REF!,"종국",'대두리(출력3)'!$G$5:$G$153)</f>
        <v>#REF!</v>
      </c>
      <c r="H24" s="36" t="e">
        <f>COUNTIF('대두리(출력3)'!#REF!,"종공")</f>
        <v>#REF!</v>
      </c>
      <c r="I24" s="37" t="s">
        <v>5</v>
      </c>
      <c r="J24" s="212" t="e">
        <f>SUMIF('대두리(출력3)'!#REF!,"종공",'대두리(출력3)'!$G$5:$G$153)</f>
        <v>#REF!</v>
      </c>
      <c r="K24" s="36" t="e">
        <f t="shared" si="0"/>
        <v>#REF!</v>
      </c>
      <c r="L24" s="37" t="s">
        <v>5</v>
      </c>
      <c r="M24" s="212" t="e">
        <f t="shared" si="1"/>
        <v>#REF!</v>
      </c>
      <c r="N24" s="39"/>
      <c r="O24" s="23"/>
      <c r="P24" s="23"/>
      <c r="Q24" s="23"/>
      <c r="R24" s="23"/>
      <c r="S24" s="23"/>
      <c r="T24" s="23"/>
      <c r="U24" s="24" t="s">
        <v>572</v>
      </c>
      <c r="V24" s="23" t="s">
        <v>556</v>
      </c>
      <c r="W24" s="334" t="s">
        <v>595</v>
      </c>
    </row>
    <row r="25" spans="1:23" s="24" customFormat="1" ht="23.1" customHeight="1">
      <c r="A25" s="105" t="s">
        <v>25</v>
      </c>
      <c r="B25" s="36">
        <f>COUNTIF('대두리(출력3)'!$D$5:$D$153,"염")</f>
        <v>0</v>
      </c>
      <c r="C25" s="37" t="s">
        <v>5</v>
      </c>
      <c r="D25" s="212">
        <f>SUMIF('대두리(출력3)'!$D$5:$D$153,"염",'대두리(출력3)'!$G$5:$G$153)</f>
        <v>0</v>
      </c>
      <c r="E25" s="36" t="e">
        <f>COUNTIF('대두리(출력3)'!#REF!,"염국")</f>
        <v>#REF!</v>
      </c>
      <c r="F25" s="37" t="s">
        <v>5</v>
      </c>
      <c r="G25" s="212" t="e">
        <f>SUMIF('대두리(출력3)'!#REF!,"염국",'대두리(출력3)'!$G$5:$G$153)</f>
        <v>#REF!</v>
      </c>
      <c r="H25" s="36" t="e">
        <f>COUNTIF('대두리(출력3)'!#REF!,"염공")</f>
        <v>#REF!</v>
      </c>
      <c r="I25" s="37" t="s">
        <v>5</v>
      </c>
      <c r="J25" s="212" t="e">
        <f>SUMIF('대두리(출력3)'!#REF!,"염공",'대두리(출력3)'!$G$5:$G$153)</f>
        <v>#REF!</v>
      </c>
      <c r="K25" s="36" t="e">
        <f t="shared" si="0"/>
        <v>#REF!</v>
      </c>
      <c r="L25" s="37" t="s">
        <v>5</v>
      </c>
      <c r="M25" s="212" t="e">
        <f t="shared" si="1"/>
        <v>#REF!</v>
      </c>
      <c r="N25" s="39"/>
      <c r="O25" s="23"/>
      <c r="P25" s="23"/>
      <c r="Q25" s="23"/>
      <c r="R25" s="23"/>
      <c r="S25" s="23"/>
      <c r="T25" s="23"/>
      <c r="U25" s="24" t="s">
        <v>573</v>
      </c>
      <c r="V25" s="23" t="s">
        <v>557</v>
      </c>
      <c r="W25" s="334" t="s">
        <v>596</v>
      </c>
    </row>
    <row r="26" spans="1:23" s="24" customFormat="1" ht="23.1" customHeight="1">
      <c r="A26" s="105" t="s">
        <v>26</v>
      </c>
      <c r="B26" s="36">
        <f>COUNTIF('대두리(출력3)'!$D$5:$D$153,"공")</f>
        <v>0</v>
      </c>
      <c r="C26" s="37" t="s">
        <v>5</v>
      </c>
      <c r="D26" s="212">
        <f>SUMIF('대두리(출력3)'!$D$5:$D$153,"공",'대두리(출력3)'!$G$5:$G$153)</f>
        <v>0</v>
      </c>
      <c r="E26" s="36" t="e">
        <f>COUNTIF('대두리(출력3)'!#REF!,"공국")</f>
        <v>#REF!</v>
      </c>
      <c r="F26" s="37" t="s">
        <v>5</v>
      </c>
      <c r="G26" s="212" t="e">
        <f>SUMIF('대두리(출력3)'!#REF!,"공국",'대두리(출력3)'!$G$5:$G$153)</f>
        <v>#REF!</v>
      </c>
      <c r="H26" s="36" t="e">
        <f>COUNTIF('대두리(출력3)'!#REF!,"공공")</f>
        <v>#REF!</v>
      </c>
      <c r="I26" s="37" t="s">
        <v>5</v>
      </c>
      <c r="J26" s="212" t="e">
        <f>SUMIF('대두리(출력3)'!#REF!,"공공",'대두리(출력3)'!$G$5:$G$153)</f>
        <v>#REF!</v>
      </c>
      <c r="K26" s="36" t="e">
        <f t="shared" si="0"/>
        <v>#REF!</v>
      </c>
      <c r="L26" s="37" t="s">
        <v>5</v>
      </c>
      <c r="M26" s="212" t="e">
        <f t="shared" si="1"/>
        <v>#REF!</v>
      </c>
      <c r="N26" s="39"/>
      <c r="O26" s="23"/>
      <c r="P26" s="23"/>
      <c r="Q26" s="23"/>
      <c r="R26" s="23"/>
      <c r="S26" s="23"/>
      <c r="T26" s="23"/>
      <c r="U26" s="24" t="s">
        <v>451</v>
      </c>
      <c r="V26" s="23" t="s">
        <v>549</v>
      </c>
      <c r="W26" s="334" t="s">
        <v>588</v>
      </c>
    </row>
    <row r="27" spans="1:23" s="24" customFormat="1" ht="23.1" customHeight="1">
      <c r="A27" s="105" t="s">
        <v>27</v>
      </c>
      <c r="B27" s="36">
        <f>COUNTIF('대두리(출력3)'!$D$5:$D$153,"체")</f>
        <v>0</v>
      </c>
      <c r="C27" s="37" t="s">
        <v>5</v>
      </c>
      <c r="D27" s="212">
        <f>SUMIF('대두리(출력3)'!$D$5:$D$153,"체",'대두리(출력3)'!$G$5:$G$153)</f>
        <v>0</v>
      </c>
      <c r="E27" s="36" t="e">
        <f>COUNTIF('대두리(출력3)'!#REF!,"체국")</f>
        <v>#REF!</v>
      </c>
      <c r="F27" s="37" t="s">
        <v>5</v>
      </c>
      <c r="G27" s="212" t="e">
        <f>SUMIF('대두리(출력3)'!#REF!,"체국",'대두리(출력3)'!$G$5:$G$153)</f>
        <v>#REF!</v>
      </c>
      <c r="H27" s="36" t="e">
        <f>COUNTIF('대두리(출력3)'!#REF!,"체공")</f>
        <v>#REF!</v>
      </c>
      <c r="I27" s="37" t="s">
        <v>5</v>
      </c>
      <c r="J27" s="212" t="e">
        <f>SUMIF('대두리(출력3)'!#REF!,"체공",'대두리(출력3)'!$G$5:$G$153)</f>
        <v>#REF!</v>
      </c>
      <c r="K27" s="36" t="e">
        <f t="shared" si="0"/>
        <v>#REF!</v>
      </c>
      <c r="L27" s="37" t="s">
        <v>5</v>
      </c>
      <c r="M27" s="212" t="e">
        <f t="shared" si="1"/>
        <v>#REF!</v>
      </c>
      <c r="N27" s="39"/>
      <c r="O27" s="23"/>
      <c r="P27" s="23"/>
      <c r="Q27" s="23"/>
      <c r="R27" s="23"/>
      <c r="S27" s="23"/>
      <c r="T27" s="23"/>
      <c r="U27" s="24" t="s">
        <v>574</v>
      </c>
      <c r="V27" s="23" t="s">
        <v>558</v>
      </c>
      <c r="W27" s="334" t="s">
        <v>597</v>
      </c>
    </row>
    <row r="28" spans="1:23" s="24" customFormat="1" ht="23.1" customHeight="1">
      <c r="A28" s="105" t="s">
        <v>28</v>
      </c>
      <c r="B28" s="36">
        <f>COUNTIF('대두리(출력3)'!$D$5:$D$153,"원")</f>
        <v>0</v>
      </c>
      <c r="C28" s="37" t="s">
        <v>5</v>
      </c>
      <c r="D28" s="212">
        <f>SUMIF('대두리(출력3)'!$D$5:$D$153,"원",'대두리(출력3)'!$G$5:$G$153)</f>
        <v>0</v>
      </c>
      <c r="E28" s="36" t="e">
        <f>COUNTIF('대두리(출력3)'!#REF!,"원국")</f>
        <v>#REF!</v>
      </c>
      <c r="F28" s="37" t="s">
        <v>5</v>
      </c>
      <c r="G28" s="212" t="e">
        <f>SUMIF('대두리(출력3)'!#REF!,"원국",'대두리(출력3)'!$G$5:$G$153)</f>
        <v>#REF!</v>
      </c>
      <c r="H28" s="36" t="e">
        <f>COUNTIF('대두리(출력3)'!#REF!,"원공")</f>
        <v>#REF!</v>
      </c>
      <c r="I28" s="37" t="s">
        <v>5</v>
      </c>
      <c r="J28" s="212" t="e">
        <f>SUMIF('대두리(출력3)'!#REF!,"원공",'대두리(출력3)'!$G$5:$G$153)</f>
        <v>#REF!</v>
      </c>
      <c r="K28" s="36" t="e">
        <f t="shared" si="0"/>
        <v>#REF!</v>
      </c>
      <c r="L28" s="37" t="s">
        <v>5</v>
      </c>
      <c r="M28" s="212" t="e">
        <f t="shared" si="1"/>
        <v>#REF!</v>
      </c>
      <c r="N28" s="39"/>
      <c r="O28" s="23"/>
      <c r="P28" s="23"/>
      <c r="Q28" s="23"/>
      <c r="R28" s="23"/>
      <c r="S28" s="23"/>
      <c r="T28" s="23"/>
      <c r="U28" s="24" t="s">
        <v>575</v>
      </c>
      <c r="V28" s="23" t="s">
        <v>559</v>
      </c>
      <c r="W28" s="334" t="s">
        <v>598</v>
      </c>
    </row>
    <row r="29" spans="1:23" s="24" customFormat="1" ht="23.1" customHeight="1">
      <c r="A29" s="105" t="s">
        <v>60</v>
      </c>
      <c r="B29" s="36">
        <f>COUNTIF('대두리(출력3)'!$D$5:$D$153,"차")</f>
        <v>0</v>
      </c>
      <c r="C29" s="37" t="s">
        <v>5</v>
      </c>
      <c r="D29" s="212">
        <f>SUMIF('대두리(출력3)'!$D$5:$D$153,"차",'대두리(출력3)'!$G$5:$G$153)</f>
        <v>0</v>
      </c>
      <c r="E29" s="36" t="e">
        <f>COUNTIF('대두리(출력3)'!#REF!,"차국")</f>
        <v>#REF!</v>
      </c>
      <c r="F29" s="37" t="s">
        <v>5</v>
      </c>
      <c r="G29" s="212" t="e">
        <f>SUMIF('대두리(출력3)'!#REF!,"차국",'대두리(출력3)'!$G$5:$G$153)</f>
        <v>#REF!</v>
      </c>
      <c r="H29" s="36" t="e">
        <f>COUNTIF('대두리(출력3)'!#REF!,"차공")</f>
        <v>#REF!</v>
      </c>
      <c r="I29" s="37" t="s">
        <v>5</v>
      </c>
      <c r="J29" s="212" t="e">
        <f>SUMIF('대두리(출력3)'!#REF!,"차공",'대두리(출력3)'!$G$5:$G$153)</f>
        <v>#REF!</v>
      </c>
      <c r="K29" s="36" t="e">
        <f t="shared" si="0"/>
        <v>#REF!</v>
      </c>
      <c r="L29" s="37" t="s">
        <v>5</v>
      </c>
      <c r="M29" s="212" t="e">
        <f t="shared" si="1"/>
        <v>#REF!</v>
      </c>
      <c r="N29" s="39"/>
      <c r="O29" s="23"/>
      <c r="P29" s="23"/>
      <c r="Q29" s="23"/>
      <c r="R29" s="23"/>
      <c r="S29" s="23"/>
      <c r="T29" s="23"/>
      <c r="U29" s="24" t="s">
        <v>576</v>
      </c>
      <c r="V29" s="23" t="s">
        <v>560</v>
      </c>
      <c r="W29" s="334" t="s">
        <v>599</v>
      </c>
    </row>
    <row r="30" spans="1:23" s="24" customFormat="1" ht="23.1" customHeight="1">
      <c r="A30" s="105" t="s">
        <v>70</v>
      </c>
      <c r="B30" s="36">
        <f>COUNTIF('대두리(출력3)'!$D$5:$D$153,"주")</f>
        <v>0</v>
      </c>
      <c r="C30" s="37" t="s">
        <v>5</v>
      </c>
      <c r="D30" s="212">
        <f>SUMIF('대두리(출력3)'!$D$5:$D$153,"주",'대두리(출력3)'!$G$5:$G$153)</f>
        <v>0</v>
      </c>
      <c r="E30" s="36" t="e">
        <f>COUNTIF('대두리(출력3)'!#REF!,"주국")</f>
        <v>#REF!</v>
      </c>
      <c r="F30" s="37" t="s">
        <v>5</v>
      </c>
      <c r="G30" s="212" t="e">
        <f>SUMIF('대두리(출력3)'!#REF!,"주국",'대두리(출력3)'!$G$5:$G$153)</f>
        <v>#REF!</v>
      </c>
      <c r="H30" s="36" t="e">
        <f>COUNTIF('대두리(출력3)'!#REF!,"주공")</f>
        <v>#REF!</v>
      </c>
      <c r="I30" s="37" t="s">
        <v>5</v>
      </c>
      <c r="J30" s="212" t="e">
        <f>SUMIF('대두리(출력3)'!#REF!,"주공",'대두리(출력3)'!$G$5:$G$153)</f>
        <v>#REF!</v>
      </c>
      <c r="K30" s="36" t="e">
        <f t="shared" si="0"/>
        <v>#REF!</v>
      </c>
      <c r="L30" s="37" t="s">
        <v>5</v>
      </c>
      <c r="M30" s="212" t="e">
        <f t="shared" si="1"/>
        <v>#REF!</v>
      </c>
      <c r="N30" s="39"/>
      <c r="O30" s="23"/>
      <c r="P30" s="23"/>
      <c r="Q30" s="23"/>
      <c r="R30" s="23"/>
      <c r="S30" s="23"/>
      <c r="T30" s="23"/>
      <c r="U30" s="24" t="s">
        <v>577</v>
      </c>
      <c r="V30" s="23" t="s">
        <v>561</v>
      </c>
      <c r="W30" s="334" t="s">
        <v>600</v>
      </c>
    </row>
    <row r="31" spans="1:23" s="24" customFormat="1" ht="23.1" customHeight="1">
      <c r="A31" s="106" t="s">
        <v>62</v>
      </c>
      <c r="B31" s="40">
        <f>COUNTIF('대두리(출력3)'!$D$5:$D$153,"가")</f>
        <v>0</v>
      </c>
      <c r="C31" s="41" t="s">
        <v>5</v>
      </c>
      <c r="D31" s="213">
        <f>SUMIF('대두리(출력3)'!$D$5:$D$153,"가",'대두리(출력3)'!$G$5:$G$153)</f>
        <v>0</v>
      </c>
      <c r="E31" s="40" t="e">
        <f>COUNTIF('대두리(출력3)'!#REF!," 국")</f>
        <v>#REF!</v>
      </c>
      <c r="F31" s="41" t="s">
        <v>5</v>
      </c>
      <c r="G31" s="213" t="e">
        <f>SUMIF('대두리(출력3)'!#REF!," 국",'대두리(출력3)'!$G$5:$G$153)</f>
        <v>#REF!</v>
      </c>
      <c r="H31" s="40" t="e">
        <f>COUNTIF('대두리(출력3)'!#REF!," 공")</f>
        <v>#REF!</v>
      </c>
      <c r="I31" s="41" t="s">
        <v>5</v>
      </c>
      <c r="J31" s="213" t="e">
        <f>SUMIF('대두리(출력3)'!#REF!," 공",'대두리(출력3)'!$G$5:$G$153)</f>
        <v>#REF!</v>
      </c>
      <c r="K31" s="40" t="e">
        <f t="shared" si="0"/>
        <v>#REF!</v>
      </c>
      <c r="L31" s="41" t="s">
        <v>5</v>
      </c>
      <c r="M31" s="213" t="e">
        <f t="shared" si="1"/>
        <v>#REF!</v>
      </c>
      <c r="N31" s="43"/>
      <c r="O31" s="23"/>
      <c r="P31" s="23"/>
      <c r="Q31" s="23"/>
      <c r="R31" s="23"/>
      <c r="S31" s="23"/>
      <c r="T31" s="23"/>
      <c r="U31" s="24" t="s">
        <v>511</v>
      </c>
      <c r="V31" s="23" t="s">
        <v>562</v>
      </c>
      <c r="W31" s="334" t="s">
        <v>601</v>
      </c>
    </row>
    <row r="32" spans="1:23" s="17" customFormat="1" ht="20.100000000000001" customHeight="1">
      <c r="A32" s="11" t="e">
        <f>IF(EXACT(O36,O37),,"검산확인요!!!")</f>
        <v>#REF!</v>
      </c>
      <c r="B32" s="12"/>
      <c r="C32" s="12"/>
      <c r="D32" s="12"/>
      <c r="E32" s="12"/>
      <c r="F32" s="12"/>
      <c r="G32" s="12"/>
      <c r="H32" s="12"/>
      <c r="I32" s="12"/>
      <c r="J32" s="12"/>
      <c r="K32" s="13" t="str">
        <f>IF(ISBLANK('봉락리(출력4)'!M2),,'봉락리(출력4)'!M2)</f>
        <v>서산시 부석면 봉락리</v>
      </c>
      <c r="L32" s="187"/>
      <c r="M32" s="16"/>
      <c r="N32" s="16"/>
    </row>
    <row r="33" spans="1:22" s="17" customFormat="1" ht="9.9499999999999993" customHeight="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</row>
    <row r="34" spans="1:22" s="24" customFormat="1" ht="27.95" customHeight="1">
      <c r="A34" s="199" t="s">
        <v>3</v>
      </c>
      <c r="B34" s="489" t="s">
        <v>2</v>
      </c>
      <c r="C34" s="490"/>
      <c r="D34" s="490"/>
      <c r="E34" s="214" t="s">
        <v>29</v>
      </c>
      <c r="F34" s="215"/>
      <c r="G34" s="216"/>
      <c r="H34" s="214" t="s">
        <v>57</v>
      </c>
      <c r="I34" s="215"/>
      <c r="J34" s="216"/>
      <c r="K34" s="214" t="s">
        <v>30</v>
      </c>
      <c r="L34" s="215"/>
      <c r="M34" s="216"/>
      <c r="N34" s="22" t="s">
        <v>31</v>
      </c>
      <c r="O34" s="23"/>
      <c r="S34" s="23"/>
      <c r="T34" s="23"/>
      <c r="U34" s="23"/>
      <c r="V34" s="23"/>
    </row>
    <row r="35" spans="1:22" s="24" customFormat="1" ht="27.95" customHeight="1">
      <c r="A35" s="25"/>
      <c r="B35" s="26" t="s">
        <v>4</v>
      </c>
      <c r="C35" s="27" t="s">
        <v>5</v>
      </c>
      <c r="D35" s="28" t="s">
        <v>32</v>
      </c>
      <c r="E35" s="185" t="s">
        <v>4</v>
      </c>
      <c r="F35" s="186" t="s">
        <v>5</v>
      </c>
      <c r="G35" s="184" t="s">
        <v>32</v>
      </c>
      <c r="H35" s="185" t="s">
        <v>4</v>
      </c>
      <c r="I35" s="186" t="s">
        <v>5</v>
      </c>
      <c r="J35" s="184" t="s">
        <v>32</v>
      </c>
      <c r="K35" s="185" t="s">
        <v>4</v>
      </c>
      <c r="L35" s="186" t="s">
        <v>5</v>
      </c>
      <c r="M35" s="184" t="s">
        <v>32</v>
      </c>
      <c r="N35" s="29"/>
      <c r="P35" s="23"/>
      <c r="Q35" s="30" t="s">
        <v>33</v>
      </c>
      <c r="R35" s="30" t="s">
        <v>34</v>
      </c>
      <c r="S35" s="30" t="s">
        <v>35</v>
      </c>
      <c r="T35" s="30" t="s">
        <v>36</v>
      </c>
      <c r="U35" s="23"/>
      <c r="V35" s="23"/>
    </row>
    <row r="36" spans="1:22" s="24" customFormat="1" ht="23.1" customHeight="1">
      <c r="A36" s="103" t="s">
        <v>2</v>
      </c>
      <c r="B36" s="31">
        <f>SUM(B37:B61)</f>
        <v>150</v>
      </c>
      <c r="C36" s="32" t="s">
        <v>5</v>
      </c>
      <c r="D36" s="211">
        <f>SUM(D37:D61)</f>
        <v>57534.399999999994</v>
      </c>
      <c r="E36" s="31" t="e">
        <f>SUM(E37:E61)</f>
        <v>#REF!</v>
      </c>
      <c r="F36" s="32" t="s">
        <v>5</v>
      </c>
      <c r="G36" s="211" t="e">
        <f>SUM(G37:G61)</f>
        <v>#REF!</v>
      </c>
      <c r="H36" s="31" t="e">
        <f>SUM(H37:H61)</f>
        <v>#REF!</v>
      </c>
      <c r="I36" s="32" t="s">
        <v>5</v>
      </c>
      <c r="J36" s="211" t="e">
        <f>SUM(J37:J61)</f>
        <v>#REF!</v>
      </c>
      <c r="K36" s="31" t="e">
        <f>SUM(K37:K61)</f>
        <v>#REF!</v>
      </c>
      <c r="L36" s="32" t="s">
        <v>5</v>
      </c>
      <c r="M36" s="211" t="e">
        <f>SUM(M37:M61)</f>
        <v>#REF!</v>
      </c>
      <c r="N36" s="34"/>
      <c r="O36" s="23" t="e">
        <f>IF(EXACT(Q36,T36),"맞음","틀림")</f>
        <v>#REF!</v>
      </c>
      <c r="P36" s="23" t="s">
        <v>4</v>
      </c>
      <c r="Q36" s="35">
        <f>SUM(B37:B61)</f>
        <v>150</v>
      </c>
      <c r="R36" s="35" t="e">
        <f>SUM(E37:E61)</f>
        <v>#REF!</v>
      </c>
      <c r="S36" s="35" t="e">
        <f>SUM(K37:K61)</f>
        <v>#REF!</v>
      </c>
      <c r="T36" s="35" t="e">
        <f>K36+E36</f>
        <v>#REF!</v>
      </c>
      <c r="U36" s="23"/>
      <c r="V36" s="23"/>
    </row>
    <row r="37" spans="1:22" s="24" customFormat="1" ht="23.1" customHeight="1">
      <c r="A37" s="104" t="s">
        <v>7</v>
      </c>
      <c r="B37" s="36">
        <f>COUNTIF('봉락리(출력4)'!$D$5:$D$594,"전")</f>
        <v>30</v>
      </c>
      <c r="C37" s="37" t="s">
        <v>5</v>
      </c>
      <c r="D37" s="212">
        <f>SUMIF('봉락리(출력4)'!$D$5:$D$594,"전",'봉락리(출력4)'!$G$5:$G$594)</f>
        <v>10337</v>
      </c>
      <c r="E37" s="36" t="e">
        <f>COUNTIF('봉락리(출력4)'!#REF!,"전국")</f>
        <v>#REF!</v>
      </c>
      <c r="F37" s="37" t="s">
        <v>5</v>
      </c>
      <c r="G37" s="212" t="e">
        <f>SUMIF('봉락리(출력4)'!#REF!,"전국",'봉락리(출력4)'!$G$5:$G$594)</f>
        <v>#REF!</v>
      </c>
      <c r="H37" s="36" t="e">
        <f>COUNTIF('봉락리(출력4)'!#REF!,"전공")</f>
        <v>#REF!</v>
      </c>
      <c r="I37" s="37" t="s">
        <v>5</v>
      </c>
      <c r="J37" s="212" t="e">
        <f>SUMIF('봉락리(출력4)'!#REF!,"전공",'봉락리(출력4)'!$G$5:$G$594)</f>
        <v>#REF!</v>
      </c>
      <c r="K37" s="36" t="e">
        <f t="shared" ref="K37:K61" si="2">SUM(B37-E37-H37)</f>
        <v>#REF!</v>
      </c>
      <c r="L37" s="37" t="s">
        <v>5</v>
      </c>
      <c r="M37" s="212" t="e">
        <f t="shared" ref="M37:M61" si="3">SUM(D37-G37-J37)</f>
        <v>#REF!</v>
      </c>
      <c r="N37" s="39"/>
      <c r="O37" s="23" t="e">
        <f>IF(EXACT(Q37,T37),"맞음","틀림")</f>
        <v>#REF!</v>
      </c>
      <c r="P37" s="23" t="s">
        <v>37</v>
      </c>
      <c r="Q37" s="35">
        <f>SUM(D37:D61)</f>
        <v>57534.399999999994</v>
      </c>
      <c r="R37" s="35" t="e">
        <f>SUM(G37:G61)</f>
        <v>#REF!</v>
      </c>
      <c r="S37" s="35" t="e">
        <f>SUM(M37:M61)</f>
        <v>#REF!</v>
      </c>
      <c r="T37" s="35" t="e">
        <f>G36+M36</f>
        <v>#REF!</v>
      </c>
      <c r="U37" s="23"/>
      <c r="V37" s="23"/>
    </row>
    <row r="38" spans="1:22" s="24" customFormat="1" ht="23.1" customHeight="1">
      <c r="A38" s="104" t="s">
        <v>8</v>
      </c>
      <c r="B38" s="36">
        <f>COUNTIF('봉락리(출력4)'!$D$5:$D$594,"답")</f>
        <v>17</v>
      </c>
      <c r="C38" s="37" t="s">
        <v>5</v>
      </c>
      <c r="D38" s="212">
        <f>SUMIF('봉락리(출력4)'!$D$5:$D$594,"답",'봉락리(출력4)'!$G$5:$G$594)</f>
        <v>16153.899999999998</v>
      </c>
      <c r="E38" s="36" t="e">
        <f>COUNTIF('봉락리(출력4)'!#REF!,"답국")</f>
        <v>#REF!</v>
      </c>
      <c r="F38" s="37" t="s">
        <v>5</v>
      </c>
      <c r="G38" s="212" t="e">
        <f>SUMIF('봉락리(출력4)'!#REF!,"답국",'봉락리(출력4)'!$G$5:$G$594)</f>
        <v>#REF!</v>
      </c>
      <c r="H38" s="36" t="e">
        <f>COUNTIF('봉락리(출력4)'!#REF!,"답공")</f>
        <v>#REF!</v>
      </c>
      <c r="I38" s="37" t="s">
        <v>5</v>
      </c>
      <c r="J38" s="212" t="e">
        <f>SUMIF('봉락리(출력4)'!#REF!,"답공",'봉락리(출력4)'!$G$5:$G$594)</f>
        <v>#REF!</v>
      </c>
      <c r="K38" s="36" t="e">
        <f t="shared" si="2"/>
        <v>#REF!</v>
      </c>
      <c r="L38" s="37" t="s">
        <v>5</v>
      </c>
      <c r="M38" s="212" t="e">
        <f t="shared" si="3"/>
        <v>#REF!</v>
      </c>
      <c r="N38" s="39"/>
      <c r="Q38" s="23"/>
      <c r="S38" s="23"/>
      <c r="U38" s="23"/>
      <c r="V38" s="23"/>
    </row>
    <row r="39" spans="1:22" s="24" customFormat="1" ht="23.1" customHeight="1">
      <c r="A39" s="104" t="s">
        <v>9</v>
      </c>
      <c r="B39" s="36">
        <f>COUNTIF('봉락리(출력4)'!$D$5:$D$594,"임")</f>
        <v>17</v>
      </c>
      <c r="C39" s="37" t="s">
        <v>5</v>
      </c>
      <c r="D39" s="212">
        <f>SUMIF('봉락리(출력4)'!$D$5:$D$594,"임",'봉락리(출력4)'!$G$5:$G$594)</f>
        <v>13328</v>
      </c>
      <c r="E39" s="36" t="e">
        <f>COUNTIF('봉락리(출력4)'!#REF!,"임국")</f>
        <v>#REF!</v>
      </c>
      <c r="F39" s="37" t="s">
        <v>5</v>
      </c>
      <c r="G39" s="212" t="e">
        <f>SUMIF('봉락리(출력4)'!#REF!,"임국",'봉락리(출력4)'!$G$5:$G$594)</f>
        <v>#REF!</v>
      </c>
      <c r="H39" s="36" t="e">
        <f>COUNTIF('봉락리(출력4)'!#REF!,"임공")</f>
        <v>#REF!</v>
      </c>
      <c r="I39" s="37" t="s">
        <v>5</v>
      </c>
      <c r="J39" s="212" t="e">
        <f>SUMIF('봉락리(출력4)'!#REF!,"임공",'봉락리(출력4)'!$G$5:$G$594)</f>
        <v>#REF!</v>
      </c>
      <c r="K39" s="36" t="e">
        <f t="shared" si="2"/>
        <v>#REF!</v>
      </c>
      <c r="L39" s="37" t="s">
        <v>5</v>
      </c>
      <c r="M39" s="212" t="e">
        <f t="shared" si="3"/>
        <v>#REF!</v>
      </c>
      <c r="N39" s="39"/>
      <c r="Q39" s="23"/>
      <c r="S39" s="23"/>
      <c r="U39" s="23"/>
      <c r="V39" s="23"/>
    </row>
    <row r="40" spans="1:22" s="24" customFormat="1" ht="23.1" customHeight="1">
      <c r="A40" s="104" t="s">
        <v>10</v>
      </c>
      <c r="B40" s="36">
        <f>COUNTIF('봉락리(출력4)'!$D$5:$D$594,"대")</f>
        <v>8</v>
      </c>
      <c r="C40" s="37" t="s">
        <v>5</v>
      </c>
      <c r="D40" s="212">
        <f>SUMIF('봉락리(출력4)'!$D$5:$D$594,"대",'봉락리(출력4)'!$G$5:$G$594)</f>
        <v>664</v>
      </c>
      <c r="E40" s="36" t="e">
        <f>COUNTIF('봉락리(출력4)'!#REF!,"대국")</f>
        <v>#REF!</v>
      </c>
      <c r="F40" s="37" t="s">
        <v>5</v>
      </c>
      <c r="G40" s="212" t="e">
        <f>SUMIF('봉락리(출력4)'!#REF!,"대국",'봉락리(출력4)'!$G$5:$G$594)</f>
        <v>#REF!</v>
      </c>
      <c r="H40" s="36" t="e">
        <f>COUNTIF('봉락리(출력4)'!#REF!,"대공")</f>
        <v>#REF!</v>
      </c>
      <c r="I40" s="37" t="s">
        <v>5</v>
      </c>
      <c r="J40" s="212" t="e">
        <f>SUMIF('봉락리(출력4)'!#REF!,"대공",'봉락리(출력4)'!$G$5:$G$594)</f>
        <v>#REF!</v>
      </c>
      <c r="K40" s="36" t="e">
        <f t="shared" si="2"/>
        <v>#REF!</v>
      </c>
      <c r="L40" s="37" t="s">
        <v>5</v>
      </c>
      <c r="M40" s="212" t="e">
        <f t="shared" si="3"/>
        <v>#REF!</v>
      </c>
      <c r="N40" s="39"/>
      <c r="O40" s="23"/>
      <c r="P40" s="23"/>
      <c r="Q40" s="23"/>
      <c r="R40" s="23"/>
      <c r="S40" s="23"/>
      <c r="T40" s="23"/>
      <c r="U40" s="23"/>
      <c r="V40" s="23"/>
    </row>
    <row r="41" spans="1:22" s="24" customFormat="1" ht="23.1" customHeight="1">
      <c r="A41" s="104" t="s">
        <v>11</v>
      </c>
      <c r="B41" s="36">
        <f>COUNTIF('봉락리(출력4)'!$D$5:$D$594,"도")</f>
        <v>58</v>
      </c>
      <c r="C41" s="37" t="s">
        <v>5</v>
      </c>
      <c r="D41" s="212">
        <f>SUMIF('봉락리(출력4)'!$D$5:$D$594,"도",'봉락리(출력4)'!$G$5:$G$594)</f>
        <v>12321.7</v>
      </c>
      <c r="E41" s="36" t="e">
        <f>COUNTIF('봉락리(출력4)'!#REF!,"도국")</f>
        <v>#REF!</v>
      </c>
      <c r="F41" s="37" t="s">
        <v>5</v>
      </c>
      <c r="G41" s="212" t="e">
        <f>SUMIF('봉락리(출력4)'!#REF!,"도국",'봉락리(출력4)'!$G$5:$G$594)</f>
        <v>#REF!</v>
      </c>
      <c r="H41" s="36" t="e">
        <f>COUNTIF('봉락리(출력4)'!#REF!,"도공")</f>
        <v>#REF!</v>
      </c>
      <c r="I41" s="37" t="s">
        <v>5</v>
      </c>
      <c r="J41" s="212" t="e">
        <f>SUMIF('봉락리(출력4)'!#REF!,"도공",'봉락리(출력4)'!$G$5:$G$594)</f>
        <v>#REF!</v>
      </c>
      <c r="K41" s="36" t="e">
        <f t="shared" si="2"/>
        <v>#REF!</v>
      </c>
      <c r="L41" s="37" t="s">
        <v>5</v>
      </c>
      <c r="M41" s="212" t="e">
        <f t="shared" si="3"/>
        <v>#REF!</v>
      </c>
      <c r="N41" s="39"/>
      <c r="O41" s="23"/>
      <c r="P41" s="23"/>
      <c r="Q41" s="23"/>
      <c r="R41" s="23"/>
      <c r="S41" s="23"/>
      <c r="T41" s="23"/>
      <c r="U41" s="23"/>
      <c r="V41" s="23"/>
    </row>
    <row r="42" spans="1:22" s="24" customFormat="1" ht="23.1" customHeight="1">
      <c r="A42" s="104" t="s">
        <v>12</v>
      </c>
      <c r="B42" s="36">
        <f>COUNTIF('봉락리(출력4)'!$D$5:$D$594,"구")</f>
        <v>13</v>
      </c>
      <c r="C42" s="37" t="s">
        <v>5</v>
      </c>
      <c r="D42" s="212">
        <f>SUMIF('봉락리(출력4)'!$D$5:$D$594,"구",'봉락리(출력4)'!$G$5:$G$594)</f>
        <v>2402.7999999999997</v>
      </c>
      <c r="E42" s="36" t="e">
        <f>COUNTIF('봉락리(출력4)'!#REF!,"구국")</f>
        <v>#REF!</v>
      </c>
      <c r="F42" s="37" t="s">
        <v>5</v>
      </c>
      <c r="G42" s="212" t="e">
        <f>SUMIF('봉락리(출력4)'!#REF!,"구국",'봉락리(출력4)'!$G$5:$G$594)</f>
        <v>#REF!</v>
      </c>
      <c r="H42" s="36" t="e">
        <f>COUNTIF('봉락리(출력4)'!#REF!,"구공")</f>
        <v>#REF!</v>
      </c>
      <c r="I42" s="37" t="s">
        <v>5</v>
      </c>
      <c r="J42" s="212" t="e">
        <f>SUMIF('봉락리(출력4)'!#REF!,"구공",'봉락리(출력4)'!$G$5:$G$594)</f>
        <v>#REF!</v>
      </c>
      <c r="K42" s="36" t="e">
        <f t="shared" si="2"/>
        <v>#REF!</v>
      </c>
      <c r="L42" s="37" t="s">
        <v>5</v>
      </c>
      <c r="M42" s="212" t="e">
        <f t="shared" si="3"/>
        <v>#REF!</v>
      </c>
      <c r="N42" s="39"/>
      <c r="O42" s="23"/>
      <c r="P42" s="23"/>
      <c r="Q42" s="23"/>
      <c r="R42" s="23"/>
      <c r="S42" s="23"/>
      <c r="T42" s="23"/>
      <c r="U42" s="23"/>
      <c r="V42" s="23"/>
    </row>
    <row r="43" spans="1:22" s="24" customFormat="1" ht="23.1" customHeight="1">
      <c r="A43" s="104" t="s">
        <v>13</v>
      </c>
      <c r="B43" s="36">
        <f>COUNTIF('봉락리(출력4)'!$D$5:$D$594,"천")</f>
        <v>0</v>
      </c>
      <c r="C43" s="37" t="s">
        <v>5</v>
      </c>
      <c r="D43" s="212">
        <f>SUMIF('봉락리(출력4)'!$D$5:$D$594,"천",'봉락리(출력4)'!$G$5:$G$594)</f>
        <v>0</v>
      </c>
      <c r="E43" s="36" t="e">
        <f>COUNTIF('봉락리(출력4)'!#REF!,"천국")</f>
        <v>#REF!</v>
      </c>
      <c r="F43" s="37" t="s">
        <v>5</v>
      </c>
      <c r="G43" s="212" t="e">
        <f>SUMIF('봉락리(출력4)'!#REF!,"천국",'봉락리(출력4)'!$G$5:$G$594)</f>
        <v>#REF!</v>
      </c>
      <c r="H43" s="36" t="e">
        <f>COUNTIF('봉락리(출력4)'!#REF!,"천공")</f>
        <v>#REF!</v>
      </c>
      <c r="I43" s="37" t="s">
        <v>5</v>
      </c>
      <c r="J43" s="212" t="e">
        <f>SUMIF('봉락리(출력4)'!#REF!,"천공",'봉락리(출력4)'!$G$5:$G$594)</f>
        <v>#REF!</v>
      </c>
      <c r="K43" s="36" t="e">
        <f t="shared" si="2"/>
        <v>#REF!</v>
      </c>
      <c r="L43" s="37" t="s">
        <v>5</v>
      </c>
      <c r="M43" s="212" t="e">
        <f t="shared" si="3"/>
        <v>#REF!</v>
      </c>
      <c r="N43" s="39"/>
      <c r="O43" s="23"/>
      <c r="P43" s="23"/>
      <c r="Q43" s="23"/>
      <c r="R43" s="23"/>
      <c r="S43" s="23"/>
      <c r="T43" s="23"/>
      <c r="U43" s="23"/>
      <c r="V43" s="23"/>
    </row>
    <row r="44" spans="1:22" s="24" customFormat="1" ht="23.1" customHeight="1">
      <c r="A44" s="104" t="s">
        <v>14</v>
      </c>
      <c r="B44" s="36">
        <f>COUNTIF('봉락리(출력4)'!$D$5:$D$594,"유")</f>
        <v>0</v>
      </c>
      <c r="C44" s="37" t="s">
        <v>5</v>
      </c>
      <c r="D44" s="212">
        <f>SUMIF('봉락리(출력4)'!$D$5:$D$594,"유",'봉락리(출력4)'!$G$5:$G$594)</f>
        <v>0</v>
      </c>
      <c r="E44" s="36" t="e">
        <f>COUNTIF('봉락리(출력4)'!#REF!,"유국")</f>
        <v>#REF!</v>
      </c>
      <c r="F44" s="37" t="s">
        <v>5</v>
      </c>
      <c r="G44" s="212" t="e">
        <f>SUMIF('봉락리(출력4)'!#REF!,"유국",'봉락리(출력4)'!$G$5:$G$594)</f>
        <v>#REF!</v>
      </c>
      <c r="H44" s="36" t="e">
        <f>COUNTIF('봉락리(출력4)'!#REF!,"유공")</f>
        <v>#REF!</v>
      </c>
      <c r="I44" s="37" t="s">
        <v>5</v>
      </c>
      <c r="J44" s="212" t="e">
        <f>SUMIF('봉락리(출력4)'!#REF!,"유공",'봉락리(출력4)'!$G$5:$G$594)</f>
        <v>#REF!</v>
      </c>
      <c r="K44" s="36" t="e">
        <f t="shared" si="2"/>
        <v>#REF!</v>
      </c>
      <c r="L44" s="37" t="s">
        <v>5</v>
      </c>
      <c r="M44" s="212" t="e">
        <f t="shared" si="3"/>
        <v>#REF!</v>
      </c>
      <c r="N44" s="39"/>
      <c r="O44" s="23"/>
      <c r="P44" s="23"/>
      <c r="Q44" s="23"/>
      <c r="R44" s="23"/>
      <c r="S44" s="23"/>
      <c r="T44" s="23"/>
      <c r="U44" s="23"/>
      <c r="V44" s="23"/>
    </row>
    <row r="45" spans="1:22" s="24" customFormat="1" ht="23.1" customHeight="1">
      <c r="A45" s="104" t="s">
        <v>15</v>
      </c>
      <c r="B45" s="36">
        <f>COUNTIF('봉락리(출력4)'!$D$5:$D$594,"제")</f>
        <v>0</v>
      </c>
      <c r="C45" s="37" t="s">
        <v>5</v>
      </c>
      <c r="D45" s="212">
        <f>SUMIF('봉락리(출력4)'!$D$5:$D$594,"제",'봉락리(출력4)'!$G$5:$G$594)</f>
        <v>0</v>
      </c>
      <c r="E45" s="36" t="e">
        <f>COUNTIF('봉락리(출력4)'!#REF!,"제국")</f>
        <v>#REF!</v>
      </c>
      <c r="F45" s="37" t="s">
        <v>5</v>
      </c>
      <c r="G45" s="212" t="e">
        <f>SUMIF('봉락리(출력4)'!#REF!,"제국",'봉락리(출력4)'!$G$5:$G$594)</f>
        <v>#REF!</v>
      </c>
      <c r="H45" s="36" t="e">
        <f>COUNTIF('봉락리(출력4)'!#REF!,"제공")</f>
        <v>#REF!</v>
      </c>
      <c r="I45" s="37" t="s">
        <v>5</v>
      </c>
      <c r="J45" s="212" t="e">
        <f>SUMIF('봉락리(출력4)'!#REF!,"제공",'봉락리(출력4)'!$G$5:$G$594)</f>
        <v>#REF!</v>
      </c>
      <c r="K45" s="36" t="e">
        <f t="shared" si="2"/>
        <v>#REF!</v>
      </c>
      <c r="L45" s="37" t="s">
        <v>5</v>
      </c>
      <c r="M45" s="212" t="e">
        <f t="shared" si="3"/>
        <v>#REF!</v>
      </c>
      <c r="N45" s="39"/>
      <c r="O45" s="23"/>
      <c r="P45" s="23"/>
      <c r="Q45" s="23"/>
      <c r="R45" s="23"/>
      <c r="S45" s="23"/>
      <c r="T45" s="23"/>
      <c r="U45" s="23"/>
      <c r="V45" s="23"/>
    </row>
    <row r="46" spans="1:22" s="24" customFormat="1" ht="23.1" customHeight="1">
      <c r="A46" s="104" t="s">
        <v>16</v>
      </c>
      <c r="B46" s="36">
        <f>COUNTIF('봉락리(출력4)'!$D$5:$D$594,"과")</f>
        <v>0</v>
      </c>
      <c r="C46" s="37" t="s">
        <v>5</v>
      </c>
      <c r="D46" s="212">
        <f>SUMIF('봉락리(출력4)'!$D$5:$D$594,"과",'봉락리(출력4)'!$G$5:$G$594)</f>
        <v>0</v>
      </c>
      <c r="E46" s="36" t="e">
        <f>COUNTIF('봉락리(출력4)'!#REF!,"과국")</f>
        <v>#REF!</v>
      </c>
      <c r="F46" s="37" t="s">
        <v>5</v>
      </c>
      <c r="G46" s="212" t="e">
        <f>SUMIF('봉락리(출력4)'!#REF!,"과국",'봉락리(출력4)'!$G$5:$G$594)</f>
        <v>#REF!</v>
      </c>
      <c r="H46" s="36" t="e">
        <f>COUNTIF('봉락리(출력4)'!#REF!,"과공")</f>
        <v>#REF!</v>
      </c>
      <c r="I46" s="37" t="s">
        <v>5</v>
      </c>
      <c r="J46" s="212" t="e">
        <f>SUMIF('봉락리(출력4)'!#REF!,"과공",'봉락리(출력4)'!$G$5:$G$594)</f>
        <v>#REF!</v>
      </c>
      <c r="K46" s="36" t="e">
        <f t="shared" si="2"/>
        <v>#REF!</v>
      </c>
      <c r="L46" s="37" t="s">
        <v>5</v>
      </c>
      <c r="M46" s="212" t="e">
        <f t="shared" si="3"/>
        <v>#REF!</v>
      </c>
      <c r="N46" s="39"/>
      <c r="O46" s="23"/>
      <c r="P46" s="23"/>
      <c r="Q46" s="23"/>
      <c r="R46" s="23"/>
      <c r="S46" s="23"/>
      <c r="T46" s="23"/>
      <c r="U46" s="23"/>
      <c r="V46" s="23"/>
    </row>
    <row r="47" spans="1:22" s="24" customFormat="1" ht="23.1" customHeight="1">
      <c r="A47" s="104" t="s">
        <v>17</v>
      </c>
      <c r="B47" s="36">
        <f>COUNTIF('봉락리(출력4)'!$D$5:$D$594,"장")</f>
        <v>0</v>
      </c>
      <c r="C47" s="37" t="s">
        <v>5</v>
      </c>
      <c r="D47" s="212">
        <f>SUMIF('봉락리(출력4)'!$D$5:$D$594,"장",'봉락리(출력4)'!$G$5:$G$594)</f>
        <v>0</v>
      </c>
      <c r="E47" s="36" t="e">
        <f>COUNTIF('봉락리(출력4)'!#REF!,"장국")</f>
        <v>#REF!</v>
      </c>
      <c r="F47" s="37" t="s">
        <v>5</v>
      </c>
      <c r="G47" s="212" t="e">
        <f>SUMIF('봉락리(출력4)'!#REF!,"장국",'봉락리(출력4)'!$G$5:$G$594)</f>
        <v>#REF!</v>
      </c>
      <c r="H47" s="36" t="e">
        <f>COUNTIF('봉락리(출력4)'!#REF!,"장공")</f>
        <v>#REF!</v>
      </c>
      <c r="I47" s="37" t="s">
        <v>5</v>
      </c>
      <c r="J47" s="212" t="e">
        <f>SUMIF('봉락리(출력4)'!#REF!,"장공",'봉락리(출력4)'!$G$5:$G$594)</f>
        <v>#REF!</v>
      </c>
      <c r="K47" s="36" t="e">
        <f t="shared" si="2"/>
        <v>#REF!</v>
      </c>
      <c r="L47" s="37" t="s">
        <v>5</v>
      </c>
      <c r="M47" s="212" t="e">
        <f t="shared" si="3"/>
        <v>#REF!</v>
      </c>
      <c r="N47" s="39"/>
      <c r="O47" s="23"/>
      <c r="P47" s="23"/>
      <c r="Q47" s="23"/>
      <c r="R47" s="23"/>
      <c r="S47" s="23"/>
      <c r="T47" s="23"/>
      <c r="U47" s="23"/>
      <c r="V47" s="23"/>
    </row>
    <row r="48" spans="1:22" s="24" customFormat="1" ht="23.1" customHeight="1">
      <c r="A48" s="104" t="s">
        <v>18</v>
      </c>
      <c r="B48" s="36">
        <f>COUNTIF('봉락리(출력4)'!$D$5:$D$594,"목")</f>
        <v>0</v>
      </c>
      <c r="C48" s="37" t="s">
        <v>5</v>
      </c>
      <c r="D48" s="212">
        <f>SUMIF('봉락리(출력4)'!$D$5:$D$594,"목",'봉락리(출력4)'!$G$5:$G$594)</f>
        <v>0</v>
      </c>
      <c r="E48" s="36" t="e">
        <f>COUNTIF('봉락리(출력4)'!#REF!,"목국")</f>
        <v>#REF!</v>
      </c>
      <c r="F48" s="37" t="s">
        <v>5</v>
      </c>
      <c r="G48" s="212" t="e">
        <f>SUMIF('봉락리(출력4)'!#REF!,"목국",'봉락리(출력4)'!$G$5:$G$594)</f>
        <v>#REF!</v>
      </c>
      <c r="H48" s="36" t="e">
        <f>COUNTIF('봉락리(출력4)'!#REF!,"목공")</f>
        <v>#REF!</v>
      </c>
      <c r="I48" s="37" t="s">
        <v>5</v>
      </c>
      <c r="J48" s="212" t="e">
        <f>SUMIF('봉락리(출력4)'!#REF!,"목공",'봉락리(출력4)'!$G$5:$G$594)</f>
        <v>#REF!</v>
      </c>
      <c r="K48" s="36" t="e">
        <f t="shared" si="2"/>
        <v>#REF!</v>
      </c>
      <c r="L48" s="37" t="s">
        <v>5</v>
      </c>
      <c r="M48" s="212" t="e">
        <f t="shared" si="3"/>
        <v>#REF!</v>
      </c>
      <c r="N48" s="39"/>
      <c r="O48" s="23"/>
      <c r="P48" s="23"/>
      <c r="Q48" s="23"/>
      <c r="R48" s="23"/>
      <c r="S48" s="23"/>
      <c r="T48" s="23"/>
      <c r="U48" s="23"/>
      <c r="V48" s="23"/>
    </row>
    <row r="49" spans="1:22" s="24" customFormat="1" ht="23.1" customHeight="1">
      <c r="A49" s="104" t="s">
        <v>19</v>
      </c>
      <c r="B49" s="36">
        <f>COUNTIF('봉락리(출력4)'!$D$5:$D$594,"학")</f>
        <v>0</v>
      </c>
      <c r="C49" s="37" t="s">
        <v>5</v>
      </c>
      <c r="D49" s="212">
        <f>SUMIF('봉락리(출력4)'!$D$5:$D$594,"학",'봉락리(출력4)'!$G$5:$G$594)</f>
        <v>0</v>
      </c>
      <c r="E49" s="36" t="e">
        <f>COUNTIF('봉락리(출력4)'!#REF!,"학국")</f>
        <v>#REF!</v>
      </c>
      <c r="F49" s="37" t="s">
        <v>5</v>
      </c>
      <c r="G49" s="212" t="e">
        <f>SUMIF('봉락리(출력4)'!#REF!,"학국",'봉락리(출력4)'!$G$5:$G$594)</f>
        <v>#REF!</v>
      </c>
      <c r="H49" s="36" t="e">
        <f>COUNTIF('봉락리(출력4)'!#REF!,"학공")</f>
        <v>#REF!</v>
      </c>
      <c r="I49" s="37" t="s">
        <v>5</v>
      </c>
      <c r="J49" s="212" t="e">
        <f>SUMIF('봉락리(출력4)'!#REF!,"학공",'봉락리(출력4)'!$G$5:$G$594)</f>
        <v>#REF!</v>
      </c>
      <c r="K49" s="36" t="e">
        <f t="shared" si="2"/>
        <v>#REF!</v>
      </c>
      <c r="L49" s="37" t="s">
        <v>5</v>
      </c>
      <c r="M49" s="212" t="e">
        <f t="shared" si="3"/>
        <v>#REF!</v>
      </c>
      <c r="N49" s="39"/>
      <c r="O49" s="23"/>
      <c r="P49" s="23"/>
      <c r="Q49" s="23"/>
      <c r="R49" s="23"/>
      <c r="S49" s="23"/>
      <c r="T49" s="23"/>
      <c r="U49" s="23"/>
      <c r="V49" s="23"/>
    </row>
    <row r="50" spans="1:22" s="24" customFormat="1" ht="23.1" customHeight="1">
      <c r="A50" s="104" t="s">
        <v>20</v>
      </c>
      <c r="B50" s="36">
        <f>COUNTIF('봉락리(출력4)'!$D$5:$D$594,"철")</f>
        <v>0</v>
      </c>
      <c r="C50" s="37" t="s">
        <v>5</v>
      </c>
      <c r="D50" s="212">
        <f>SUMIF('봉락리(출력4)'!$D$5:$D$594,"철",'봉락리(출력4)'!$G$5:$G$594)</f>
        <v>0</v>
      </c>
      <c r="E50" s="36" t="e">
        <f>COUNTIF('봉락리(출력4)'!#REF!,"철국")</f>
        <v>#REF!</v>
      </c>
      <c r="F50" s="37" t="s">
        <v>5</v>
      </c>
      <c r="G50" s="212" t="e">
        <f>SUMIF('봉락리(출력4)'!#REF!,"철국",'봉락리(출력4)'!$G$5:$G$594)</f>
        <v>#REF!</v>
      </c>
      <c r="H50" s="36" t="e">
        <f>COUNTIF('봉락리(출력4)'!#REF!,"철공")</f>
        <v>#REF!</v>
      </c>
      <c r="I50" s="37" t="s">
        <v>5</v>
      </c>
      <c r="J50" s="212" t="e">
        <f>SUMIF('봉락리(출력4)'!#REF!,"철공",'봉락리(출력4)'!$G$5:$G$594)</f>
        <v>#REF!</v>
      </c>
      <c r="K50" s="36" t="e">
        <f t="shared" si="2"/>
        <v>#REF!</v>
      </c>
      <c r="L50" s="37" t="s">
        <v>5</v>
      </c>
      <c r="M50" s="212" t="e">
        <f t="shared" si="3"/>
        <v>#REF!</v>
      </c>
      <c r="N50" s="39"/>
      <c r="O50" s="23"/>
      <c r="P50" s="23"/>
      <c r="Q50" s="23"/>
      <c r="R50" s="23"/>
      <c r="S50" s="23"/>
      <c r="T50" s="23"/>
      <c r="U50" s="23"/>
      <c r="V50" s="23"/>
    </row>
    <row r="51" spans="1:22" s="24" customFormat="1" ht="23.1" customHeight="1">
      <c r="A51" s="104" t="s">
        <v>21</v>
      </c>
      <c r="B51" s="36">
        <f>COUNTIF('봉락리(출력4)'!$D$5:$D$594,"묘")</f>
        <v>0</v>
      </c>
      <c r="C51" s="37" t="s">
        <v>5</v>
      </c>
      <c r="D51" s="212">
        <f>SUMIF('봉락리(출력4)'!$D$5:$D$594,"묘",'봉락리(출력4)'!$G$5:$G$594)</f>
        <v>0</v>
      </c>
      <c r="E51" s="36" t="e">
        <f>COUNTIF('봉락리(출력4)'!#REF!,"묘국")</f>
        <v>#REF!</v>
      </c>
      <c r="F51" s="37" t="s">
        <v>5</v>
      </c>
      <c r="G51" s="212" t="e">
        <f>SUMIF('봉락리(출력4)'!#REF!,"묘국",'봉락리(출력4)'!$G$5:$G$594)</f>
        <v>#REF!</v>
      </c>
      <c r="H51" s="36" t="e">
        <f>COUNTIF('봉락리(출력4)'!#REF!,"묘공")</f>
        <v>#REF!</v>
      </c>
      <c r="I51" s="37" t="s">
        <v>5</v>
      </c>
      <c r="J51" s="212" t="e">
        <f>SUMIF('봉락리(출력4)'!#REF!,"묘공",'봉락리(출력4)'!$G$5:$G$594)</f>
        <v>#REF!</v>
      </c>
      <c r="K51" s="36" t="e">
        <f t="shared" si="2"/>
        <v>#REF!</v>
      </c>
      <c r="L51" s="37" t="s">
        <v>5</v>
      </c>
      <c r="M51" s="212" t="e">
        <f t="shared" si="3"/>
        <v>#REF!</v>
      </c>
      <c r="N51" s="39"/>
      <c r="O51" s="23"/>
      <c r="P51" s="23"/>
      <c r="Q51" s="23"/>
      <c r="R51" s="23"/>
      <c r="S51" s="23"/>
      <c r="T51" s="23"/>
      <c r="U51" s="23"/>
      <c r="V51" s="23"/>
    </row>
    <row r="52" spans="1:22" s="24" customFormat="1" ht="23.1" customHeight="1">
      <c r="A52" s="104" t="s">
        <v>22</v>
      </c>
      <c r="B52" s="36">
        <f>COUNTIF('봉락리(출력4)'!$D$5:$D$594,"수")</f>
        <v>0</v>
      </c>
      <c r="C52" s="37" t="s">
        <v>5</v>
      </c>
      <c r="D52" s="212">
        <f>SUMIF('봉락리(출력4)'!$D$5:$D$594,"수",'봉락리(출력4)'!$G$5:$G$594)</f>
        <v>0</v>
      </c>
      <c r="E52" s="36" t="e">
        <f>COUNTIF('봉락리(출력4)'!#REF!,"수국")</f>
        <v>#REF!</v>
      </c>
      <c r="F52" s="37" t="s">
        <v>5</v>
      </c>
      <c r="G52" s="212" t="e">
        <f>SUMIF('봉락리(출력4)'!#REF!,"수국",'봉락리(출력4)'!$G$5:$G$594)</f>
        <v>#REF!</v>
      </c>
      <c r="H52" s="36" t="e">
        <f>COUNTIF('봉락리(출력4)'!#REF!,"수공")</f>
        <v>#REF!</v>
      </c>
      <c r="I52" s="37" t="s">
        <v>5</v>
      </c>
      <c r="J52" s="212" t="e">
        <f>SUMIF('봉락리(출력4)'!#REF!,"수공",'봉락리(출력4)'!$G$5:$G$594)</f>
        <v>#REF!</v>
      </c>
      <c r="K52" s="36" t="e">
        <f t="shared" si="2"/>
        <v>#REF!</v>
      </c>
      <c r="L52" s="37" t="s">
        <v>5</v>
      </c>
      <c r="M52" s="212" t="e">
        <f t="shared" si="3"/>
        <v>#REF!</v>
      </c>
      <c r="N52" s="39"/>
      <c r="O52" s="23"/>
      <c r="P52" s="23"/>
      <c r="Q52" s="23"/>
      <c r="R52" s="23"/>
      <c r="S52" s="23"/>
      <c r="T52" s="23"/>
      <c r="U52" s="23"/>
      <c r="V52" s="23"/>
    </row>
    <row r="53" spans="1:22" s="24" customFormat="1" ht="23.1" customHeight="1">
      <c r="A53" s="104" t="s">
        <v>23</v>
      </c>
      <c r="B53" s="36">
        <f>COUNTIF('봉락리(출력4)'!$D$5:$D$594,"잡")</f>
        <v>3</v>
      </c>
      <c r="C53" s="37" t="s">
        <v>5</v>
      </c>
      <c r="D53" s="212">
        <f>SUMIF('봉락리(출력4)'!$D$5:$D$594,"잡",'봉락리(출력4)'!$G$5:$G$594)</f>
        <v>483</v>
      </c>
      <c r="E53" s="36" t="e">
        <f>COUNTIF('봉락리(출력4)'!#REF!,"잡국")</f>
        <v>#REF!</v>
      </c>
      <c r="F53" s="37" t="s">
        <v>5</v>
      </c>
      <c r="G53" s="212" t="e">
        <f>SUMIF('봉락리(출력4)'!#REF!,"잡국",'봉락리(출력4)'!$G$5:$G$594)</f>
        <v>#REF!</v>
      </c>
      <c r="H53" s="36" t="e">
        <f>COUNTIF('봉락리(출력4)'!#REF!,"잡공")</f>
        <v>#REF!</v>
      </c>
      <c r="I53" s="37" t="s">
        <v>5</v>
      </c>
      <c r="J53" s="212" t="e">
        <f>SUMIF('봉락리(출력4)'!#REF!,"잡공",'봉락리(출력4)'!$G$5:$G$594)</f>
        <v>#REF!</v>
      </c>
      <c r="K53" s="36" t="e">
        <f t="shared" si="2"/>
        <v>#REF!</v>
      </c>
      <c r="L53" s="37" t="s">
        <v>5</v>
      </c>
      <c r="M53" s="212" t="e">
        <f t="shared" si="3"/>
        <v>#REF!</v>
      </c>
      <c r="N53" s="39"/>
      <c r="O53" s="23"/>
      <c r="P53" s="23"/>
      <c r="Q53" s="23"/>
      <c r="R53" s="23"/>
      <c r="S53" s="23"/>
      <c r="T53" s="23"/>
      <c r="U53" s="23"/>
      <c r="V53" s="23"/>
    </row>
    <row r="54" spans="1:22" s="24" customFormat="1" ht="23.1" customHeight="1">
      <c r="A54" s="105" t="s">
        <v>24</v>
      </c>
      <c r="B54" s="36">
        <f>COUNTIF('봉락리(출력4)'!$D$5:$D$594,"종")</f>
        <v>0</v>
      </c>
      <c r="C54" s="37" t="s">
        <v>5</v>
      </c>
      <c r="D54" s="212">
        <f>SUMIF('봉락리(출력4)'!$D$5:$D$594,"종",'봉락리(출력4)'!$G$5:$G$594)</f>
        <v>0</v>
      </c>
      <c r="E54" s="36" t="e">
        <f>COUNTIF('봉락리(출력4)'!#REF!,"종국")</f>
        <v>#REF!</v>
      </c>
      <c r="F54" s="37" t="s">
        <v>5</v>
      </c>
      <c r="G54" s="212" t="e">
        <f>SUMIF('봉락리(출력4)'!#REF!,"종국",'봉락리(출력4)'!$G$5:$G$594)</f>
        <v>#REF!</v>
      </c>
      <c r="H54" s="36" t="e">
        <f>COUNTIF('봉락리(출력4)'!#REF!,"종공")</f>
        <v>#REF!</v>
      </c>
      <c r="I54" s="37" t="s">
        <v>5</v>
      </c>
      <c r="J54" s="212" t="e">
        <f>SUMIF('봉락리(출력4)'!#REF!,"종공",'봉락리(출력4)'!$G$5:$G$594)</f>
        <v>#REF!</v>
      </c>
      <c r="K54" s="36" t="e">
        <f t="shared" si="2"/>
        <v>#REF!</v>
      </c>
      <c r="L54" s="37" t="s">
        <v>5</v>
      </c>
      <c r="M54" s="212" t="e">
        <f t="shared" si="3"/>
        <v>#REF!</v>
      </c>
      <c r="N54" s="39"/>
      <c r="O54" s="23"/>
      <c r="P54" s="23"/>
      <c r="Q54" s="23"/>
      <c r="R54" s="23"/>
      <c r="S54" s="23"/>
      <c r="T54" s="23"/>
      <c r="U54" s="23"/>
      <c r="V54" s="23"/>
    </row>
    <row r="55" spans="1:22" s="24" customFormat="1" ht="23.1" customHeight="1">
      <c r="A55" s="105" t="s">
        <v>25</v>
      </c>
      <c r="B55" s="36">
        <f>COUNTIF('봉락리(출력4)'!$D$5:$D$594,"염")</f>
        <v>0</v>
      </c>
      <c r="C55" s="37" t="s">
        <v>5</v>
      </c>
      <c r="D55" s="212">
        <f>SUMIF('봉락리(출력4)'!$D$5:$D$594,"염",'봉락리(출력4)'!$G$5:$G$594)</f>
        <v>0</v>
      </c>
      <c r="E55" s="36" t="e">
        <f>COUNTIF('봉락리(출력4)'!#REF!,"염국")</f>
        <v>#REF!</v>
      </c>
      <c r="F55" s="37" t="s">
        <v>5</v>
      </c>
      <c r="G55" s="212" t="e">
        <f>SUMIF('봉락리(출력4)'!#REF!,"염국",'봉락리(출력4)'!$G$5:$G$594)</f>
        <v>#REF!</v>
      </c>
      <c r="H55" s="36" t="e">
        <f>COUNTIF('봉락리(출력4)'!#REF!,"염공")</f>
        <v>#REF!</v>
      </c>
      <c r="I55" s="37" t="s">
        <v>5</v>
      </c>
      <c r="J55" s="212" t="e">
        <f>SUMIF('봉락리(출력4)'!#REF!,"염공",'봉락리(출력4)'!$G$5:$G$594)</f>
        <v>#REF!</v>
      </c>
      <c r="K55" s="36" t="e">
        <f t="shared" si="2"/>
        <v>#REF!</v>
      </c>
      <c r="L55" s="37" t="s">
        <v>5</v>
      </c>
      <c r="M55" s="212" t="e">
        <f t="shared" si="3"/>
        <v>#REF!</v>
      </c>
      <c r="N55" s="39"/>
      <c r="O55" s="23"/>
      <c r="P55" s="23"/>
      <c r="Q55" s="23"/>
      <c r="R55" s="23"/>
      <c r="S55" s="23"/>
      <c r="T55" s="23"/>
      <c r="U55" s="23"/>
      <c r="V55" s="23"/>
    </row>
    <row r="56" spans="1:22" s="24" customFormat="1" ht="23.1" customHeight="1">
      <c r="A56" s="105" t="s">
        <v>26</v>
      </c>
      <c r="B56" s="36">
        <f>COUNTIF('봉락리(출력4)'!$D$5:$D$594,"공")</f>
        <v>0</v>
      </c>
      <c r="C56" s="37" t="s">
        <v>5</v>
      </c>
      <c r="D56" s="212">
        <f>SUMIF('봉락리(출력4)'!$D$5:$D$594,"공",'봉락리(출력4)'!$G$5:$G$594)</f>
        <v>0</v>
      </c>
      <c r="E56" s="36" t="e">
        <f>COUNTIF('봉락리(출력4)'!#REF!,"공국")</f>
        <v>#REF!</v>
      </c>
      <c r="F56" s="37" t="s">
        <v>5</v>
      </c>
      <c r="G56" s="212" t="e">
        <f>SUMIF('봉락리(출력4)'!#REF!,"공국",'봉락리(출력4)'!$G$5:$G$594)</f>
        <v>#REF!</v>
      </c>
      <c r="H56" s="36" t="e">
        <f>COUNTIF('봉락리(출력4)'!#REF!,"공공")</f>
        <v>#REF!</v>
      </c>
      <c r="I56" s="37" t="s">
        <v>5</v>
      </c>
      <c r="J56" s="212" t="e">
        <f>SUMIF('봉락리(출력4)'!#REF!,"공공",'봉락리(출력4)'!$G$5:$G$594)</f>
        <v>#REF!</v>
      </c>
      <c r="K56" s="36" t="e">
        <f t="shared" si="2"/>
        <v>#REF!</v>
      </c>
      <c r="L56" s="37" t="s">
        <v>5</v>
      </c>
      <c r="M56" s="212" t="e">
        <f t="shared" si="3"/>
        <v>#REF!</v>
      </c>
      <c r="N56" s="39"/>
      <c r="O56" s="23"/>
      <c r="P56" s="23"/>
      <c r="Q56" s="23"/>
      <c r="R56" s="23"/>
      <c r="S56" s="23"/>
      <c r="T56" s="23"/>
      <c r="U56" s="23"/>
      <c r="V56" s="23"/>
    </row>
    <row r="57" spans="1:22" s="24" customFormat="1" ht="23.1" customHeight="1">
      <c r="A57" s="105" t="s">
        <v>27</v>
      </c>
      <c r="B57" s="36">
        <f>COUNTIF('봉락리(출력4)'!$D$5:$D$594,"체")</f>
        <v>0</v>
      </c>
      <c r="C57" s="37" t="s">
        <v>5</v>
      </c>
      <c r="D57" s="212">
        <f>SUMIF('봉락리(출력4)'!$D$5:$D$594,"체",'봉락리(출력4)'!$G$5:$G$594)</f>
        <v>0</v>
      </c>
      <c r="E57" s="36" t="e">
        <f>COUNTIF('봉락리(출력4)'!#REF!,"체국")</f>
        <v>#REF!</v>
      </c>
      <c r="F57" s="37" t="s">
        <v>5</v>
      </c>
      <c r="G57" s="212" t="e">
        <f>SUMIF('봉락리(출력4)'!#REF!,"체국",'봉락리(출력4)'!$G$5:$G$594)</f>
        <v>#REF!</v>
      </c>
      <c r="H57" s="36" t="e">
        <f>COUNTIF('봉락리(출력4)'!#REF!,"체공")</f>
        <v>#REF!</v>
      </c>
      <c r="I57" s="37" t="s">
        <v>5</v>
      </c>
      <c r="J57" s="212" t="e">
        <f>SUMIF('봉락리(출력4)'!#REF!,"체공",'봉락리(출력4)'!$G$5:$G$594)</f>
        <v>#REF!</v>
      </c>
      <c r="K57" s="36" t="e">
        <f t="shared" si="2"/>
        <v>#REF!</v>
      </c>
      <c r="L57" s="37" t="s">
        <v>5</v>
      </c>
      <c r="M57" s="212" t="e">
        <f t="shared" si="3"/>
        <v>#REF!</v>
      </c>
      <c r="N57" s="39"/>
      <c r="O57" s="23"/>
      <c r="P57" s="23"/>
      <c r="Q57" s="23"/>
      <c r="R57" s="23"/>
      <c r="S57" s="23"/>
      <c r="T57" s="23"/>
      <c r="U57" s="23"/>
      <c r="V57" s="23"/>
    </row>
    <row r="58" spans="1:22" s="24" customFormat="1" ht="23.1" customHeight="1">
      <c r="A58" s="105" t="s">
        <v>28</v>
      </c>
      <c r="B58" s="36">
        <f>COUNTIF('봉락리(출력4)'!$D$5:$D$594,"원")</f>
        <v>0</v>
      </c>
      <c r="C58" s="37" t="s">
        <v>5</v>
      </c>
      <c r="D58" s="212">
        <f>SUMIF('봉락리(출력4)'!$D$5:$D$594,"원",'봉락리(출력4)'!$G$5:$G$594)</f>
        <v>0</v>
      </c>
      <c r="E58" s="36" t="e">
        <f>COUNTIF('봉락리(출력4)'!#REF!,"원국")</f>
        <v>#REF!</v>
      </c>
      <c r="F58" s="37" t="s">
        <v>5</v>
      </c>
      <c r="G58" s="212" t="e">
        <f>SUMIF('봉락리(출력4)'!#REF!,"원국",'봉락리(출력4)'!$G$5:$G$594)</f>
        <v>#REF!</v>
      </c>
      <c r="H58" s="36" t="e">
        <f>COUNTIF('봉락리(출력4)'!#REF!,"원공")</f>
        <v>#REF!</v>
      </c>
      <c r="I58" s="37" t="s">
        <v>5</v>
      </c>
      <c r="J58" s="212" t="e">
        <f>SUMIF('봉락리(출력4)'!#REF!,"원공",'봉락리(출력4)'!$G$5:$G$594)</f>
        <v>#REF!</v>
      </c>
      <c r="K58" s="36" t="e">
        <f t="shared" si="2"/>
        <v>#REF!</v>
      </c>
      <c r="L58" s="37" t="s">
        <v>5</v>
      </c>
      <c r="M58" s="212" t="e">
        <f t="shared" si="3"/>
        <v>#REF!</v>
      </c>
      <c r="N58" s="39"/>
      <c r="O58" s="23"/>
      <c r="P58" s="23"/>
      <c r="Q58" s="23"/>
      <c r="R58" s="23"/>
      <c r="S58" s="23"/>
      <c r="T58" s="23"/>
      <c r="U58" s="23"/>
      <c r="V58" s="23"/>
    </row>
    <row r="59" spans="1:22" s="24" customFormat="1" ht="23.1" customHeight="1">
      <c r="A59" s="105" t="s">
        <v>63</v>
      </c>
      <c r="B59" s="36">
        <f>COUNTIF('봉락리(출력4)'!$D$5:$D$594,"차")</f>
        <v>0</v>
      </c>
      <c r="C59" s="37" t="s">
        <v>5</v>
      </c>
      <c r="D59" s="212">
        <f>SUMIF('봉락리(출력4)'!$D$5:$D$594,"차",'봉락리(출력4)'!$G$5:$G$594)</f>
        <v>0</v>
      </c>
      <c r="E59" s="36" t="e">
        <f>COUNTIF('봉락리(출력4)'!#REF!,"차국")</f>
        <v>#REF!</v>
      </c>
      <c r="F59" s="37" t="s">
        <v>5</v>
      </c>
      <c r="G59" s="212" t="e">
        <f>SUMIF('봉락리(출력4)'!#REF!,"차국",'봉락리(출력4)'!$G$5:$G$594)</f>
        <v>#REF!</v>
      </c>
      <c r="H59" s="36" t="e">
        <f>COUNTIF('봉락리(출력4)'!#REF!,"차공")</f>
        <v>#REF!</v>
      </c>
      <c r="I59" s="37" t="s">
        <v>5</v>
      </c>
      <c r="J59" s="212" t="e">
        <f>SUMIF('봉락리(출력4)'!#REF!,"차공",'봉락리(출력4)'!$G$5:$G$594)</f>
        <v>#REF!</v>
      </c>
      <c r="K59" s="36" t="e">
        <f t="shared" si="2"/>
        <v>#REF!</v>
      </c>
      <c r="L59" s="37" t="s">
        <v>5</v>
      </c>
      <c r="M59" s="212" t="e">
        <f t="shared" si="3"/>
        <v>#REF!</v>
      </c>
      <c r="N59" s="39"/>
      <c r="O59" s="23"/>
      <c r="P59" s="23"/>
      <c r="Q59" s="23"/>
      <c r="R59" s="23"/>
      <c r="S59" s="23"/>
      <c r="T59" s="23"/>
      <c r="U59" s="23"/>
      <c r="V59" s="23"/>
    </row>
    <row r="60" spans="1:22" s="24" customFormat="1" ht="23.1" customHeight="1">
      <c r="A60" s="105" t="s">
        <v>70</v>
      </c>
      <c r="B60" s="36">
        <f>COUNTIF('봉락리(출력4)'!$D$5:$D$594,"창")</f>
        <v>1</v>
      </c>
      <c r="C60" s="37" t="s">
        <v>5</v>
      </c>
      <c r="D60" s="212">
        <f>SUMIF('봉락리(출력4)'!$D$5:$D$594,"창",'봉락리(출력4)'!$G$5:$G$594)</f>
        <v>436</v>
      </c>
      <c r="E60" s="36" t="e">
        <f>COUNTIF('봉락리(출력4)'!#REF!,"창국")</f>
        <v>#REF!</v>
      </c>
      <c r="F60" s="37" t="s">
        <v>5</v>
      </c>
      <c r="G60" s="212" t="e">
        <f>SUMIF('봉락리(출력4)'!#REF!,"창국",'봉락리(출력4)'!$G$5:$G$594)</f>
        <v>#REF!</v>
      </c>
      <c r="H60" s="36" t="e">
        <f>COUNTIF('봉락리(출력4)'!#REF!,"창공")</f>
        <v>#REF!</v>
      </c>
      <c r="I60" s="37" t="s">
        <v>5</v>
      </c>
      <c r="J60" s="212" t="e">
        <f>SUMIF('봉락리(출력4)'!#REF!,"창공",'봉락리(출력4)'!$G$5:$G$594)</f>
        <v>#REF!</v>
      </c>
      <c r="K60" s="36" t="e">
        <f t="shared" si="2"/>
        <v>#REF!</v>
      </c>
      <c r="L60" s="37" t="s">
        <v>5</v>
      </c>
      <c r="M60" s="212" t="e">
        <f t="shared" si="3"/>
        <v>#REF!</v>
      </c>
      <c r="N60" s="39"/>
      <c r="O60" s="23"/>
      <c r="P60" s="23"/>
      <c r="Q60" s="23"/>
      <c r="R60" s="23"/>
      <c r="S60" s="23"/>
      <c r="T60" s="23"/>
      <c r="U60" s="23"/>
      <c r="V60" s="23"/>
    </row>
    <row r="61" spans="1:22" s="24" customFormat="1" ht="23.1" customHeight="1">
      <c r="A61" s="106" t="s">
        <v>64</v>
      </c>
      <c r="B61" s="40">
        <f>COUNTIF('봉락리(출력4)'!$D$5:$D$594,"가")</f>
        <v>3</v>
      </c>
      <c r="C61" s="41" t="s">
        <v>5</v>
      </c>
      <c r="D61" s="213">
        <f>SUMIF('봉락리(출력4)'!$D$5:$D$594,"가",'봉락리(출력4)'!$G$5:$G$594)</f>
        <v>1408</v>
      </c>
      <c r="E61" s="40" t="e">
        <f>COUNTIF('봉락리(출력4)'!#REF!," 국")</f>
        <v>#REF!</v>
      </c>
      <c r="F61" s="41" t="s">
        <v>5</v>
      </c>
      <c r="G61" s="213" t="e">
        <f>SUMIF('봉락리(출력4)'!#REF!," 국",'봉락리(출력4)'!$G$5:$G$594)</f>
        <v>#REF!</v>
      </c>
      <c r="H61" s="40" t="e">
        <f>COUNTIF('봉락리(출력4)'!#REF!," 공")</f>
        <v>#REF!</v>
      </c>
      <c r="I61" s="41" t="s">
        <v>5</v>
      </c>
      <c r="J61" s="213" t="e">
        <f>SUMIF('봉락리(출력4)'!#REF!," 공",'봉락리(출력4)'!$G$5:$G$594)</f>
        <v>#REF!</v>
      </c>
      <c r="K61" s="40" t="e">
        <f t="shared" si="2"/>
        <v>#REF!</v>
      </c>
      <c r="L61" s="41" t="s">
        <v>5</v>
      </c>
      <c r="M61" s="213" t="e">
        <f t="shared" si="3"/>
        <v>#REF!</v>
      </c>
      <c r="N61" s="43"/>
      <c r="O61" s="23"/>
      <c r="P61" s="23"/>
      <c r="Q61" s="23"/>
      <c r="R61" s="23"/>
      <c r="S61" s="23"/>
      <c r="T61" s="23"/>
      <c r="U61" s="23"/>
      <c r="V61" s="23"/>
    </row>
    <row r="62" spans="1:22" s="17" customFormat="1" ht="20.100000000000001" customHeight="1">
      <c r="A62" s="11" t="e">
        <f>IF(EXACT(O66,O67),,"검산확인요!!!")</f>
        <v>#REF!</v>
      </c>
      <c r="B62" s="12"/>
      <c r="C62" s="12"/>
      <c r="D62" s="12"/>
      <c r="E62" s="12"/>
      <c r="F62" s="12"/>
      <c r="G62" s="12"/>
      <c r="H62" s="12"/>
      <c r="I62" s="12"/>
      <c r="J62" s="12"/>
      <c r="K62" s="13" t="str">
        <f>IF(ISBLANK('칠전리(출력5)'!M2),,'칠전리(출력5)'!M2)</f>
        <v>서산시 부석면 칠전리</v>
      </c>
      <c r="L62" s="14"/>
      <c r="M62" s="15"/>
      <c r="N62" s="16"/>
    </row>
    <row r="63" spans="1:22" s="17" customFormat="1" ht="9.9499999999999993" customHeight="1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spans="1:22" s="24" customFormat="1" ht="27.95" customHeight="1">
      <c r="A64" s="199" t="s">
        <v>3</v>
      </c>
      <c r="B64" s="489" t="s">
        <v>2</v>
      </c>
      <c r="C64" s="490"/>
      <c r="D64" s="490"/>
      <c r="E64" s="214" t="s">
        <v>29</v>
      </c>
      <c r="F64" s="215"/>
      <c r="G64" s="216"/>
      <c r="H64" s="214" t="s">
        <v>57</v>
      </c>
      <c r="I64" s="215"/>
      <c r="J64" s="216"/>
      <c r="K64" s="214" t="s">
        <v>30</v>
      </c>
      <c r="L64" s="215"/>
      <c r="M64" s="216"/>
      <c r="N64" s="22" t="s">
        <v>31</v>
      </c>
      <c r="O64" s="23"/>
      <c r="S64" s="23"/>
      <c r="T64" s="23"/>
      <c r="U64" s="23"/>
      <c r="V64" s="23"/>
    </row>
    <row r="65" spans="1:22" s="24" customFormat="1" ht="27.95" customHeight="1">
      <c r="A65" s="25"/>
      <c r="B65" s="26" t="s">
        <v>4</v>
      </c>
      <c r="C65" s="27" t="s">
        <v>5</v>
      </c>
      <c r="D65" s="28" t="s">
        <v>32</v>
      </c>
      <c r="E65" s="185" t="s">
        <v>4</v>
      </c>
      <c r="F65" s="186" t="s">
        <v>5</v>
      </c>
      <c r="G65" s="184" t="s">
        <v>32</v>
      </c>
      <c r="H65" s="185" t="s">
        <v>4</v>
      </c>
      <c r="I65" s="186" t="s">
        <v>5</v>
      </c>
      <c r="J65" s="184" t="s">
        <v>32</v>
      </c>
      <c r="K65" s="185" t="s">
        <v>4</v>
      </c>
      <c r="L65" s="186" t="s">
        <v>5</v>
      </c>
      <c r="M65" s="184" t="s">
        <v>32</v>
      </c>
      <c r="N65" s="29"/>
      <c r="P65" s="23"/>
      <c r="Q65" s="30" t="s">
        <v>33</v>
      </c>
      <c r="R65" s="30" t="s">
        <v>34</v>
      </c>
      <c r="S65" s="30" t="s">
        <v>35</v>
      </c>
      <c r="T65" s="30" t="s">
        <v>36</v>
      </c>
      <c r="U65" s="23"/>
      <c r="V65" s="23"/>
    </row>
    <row r="66" spans="1:22" s="24" customFormat="1" ht="23.1" customHeight="1">
      <c r="A66" s="103" t="s">
        <v>2</v>
      </c>
      <c r="B66" s="31">
        <f>SUM(B67:B91)</f>
        <v>228</v>
      </c>
      <c r="C66" s="32" t="s">
        <v>5</v>
      </c>
      <c r="D66" s="211">
        <f>SUM(D67:D91)</f>
        <v>92654.5</v>
      </c>
      <c r="E66" s="31" t="e">
        <f>SUM(E67:E91)</f>
        <v>#REF!</v>
      </c>
      <c r="F66" s="32" t="s">
        <v>5</v>
      </c>
      <c r="G66" s="211" t="e">
        <f>SUM(G67:G91)</f>
        <v>#REF!</v>
      </c>
      <c r="H66" s="31" t="e">
        <f>SUM(H67:H91)</f>
        <v>#REF!</v>
      </c>
      <c r="I66" s="32" t="s">
        <v>5</v>
      </c>
      <c r="J66" s="211" t="e">
        <f>SUM(J67:J91)</f>
        <v>#REF!</v>
      </c>
      <c r="K66" s="31" t="e">
        <f>SUM(K67:K91)</f>
        <v>#REF!</v>
      </c>
      <c r="L66" s="32" t="s">
        <v>5</v>
      </c>
      <c r="M66" s="211" t="e">
        <f>SUM(M67:M91)</f>
        <v>#REF!</v>
      </c>
      <c r="N66" s="34"/>
      <c r="O66" s="23" t="e">
        <f>IF(EXACT(Q66,T66),"맞음","틀림")</f>
        <v>#REF!</v>
      </c>
      <c r="P66" s="23" t="s">
        <v>4</v>
      </c>
      <c r="Q66" s="35">
        <f>SUM(B67:B91)</f>
        <v>228</v>
      </c>
      <c r="R66" s="35" t="e">
        <f>SUM(E67:E91)</f>
        <v>#REF!</v>
      </c>
      <c r="S66" s="35" t="e">
        <f>SUM(K67:K91)</f>
        <v>#REF!</v>
      </c>
      <c r="T66" s="35" t="e">
        <f>K66+E66</f>
        <v>#REF!</v>
      </c>
      <c r="U66" s="23"/>
      <c r="V66" s="23"/>
    </row>
    <row r="67" spans="1:22" s="24" customFormat="1" ht="23.1" customHeight="1">
      <c r="A67" s="104" t="s">
        <v>7</v>
      </c>
      <c r="B67" s="36">
        <f>COUNTIF('칠전리(출력5)'!$D$5:$D$526,"전")</f>
        <v>43</v>
      </c>
      <c r="C67" s="37" t="s">
        <v>5</v>
      </c>
      <c r="D67" s="212">
        <f>SUMIF('칠전리(출력5)'!$D$5:$D$526,"전",'칠전리(출력5)'!$G$5:$G$526)</f>
        <v>13678</v>
      </c>
      <c r="E67" s="36" t="e">
        <f>COUNTIF('칠전리(출력5)'!#REF!,"전국")</f>
        <v>#REF!</v>
      </c>
      <c r="F67" s="37" t="s">
        <v>5</v>
      </c>
      <c r="G67" s="212" t="e">
        <f>SUMIF('칠전리(출력5)'!#REF!,"전국",'칠전리(출력5)'!$G$5:$G$526)</f>
        <v>#REF!</v>
      </c>
      <c r="H67" s="36" t="e">
        <f>COUNTIF('칠전리(출력5)'!#REF!,"전공")</f>
        <v>#REF!</v>
      </c>
      <c r="I67" s="37" t="s">
        <v>5</v>
      </c>
      <c r="J67" s="212" t="e">
        <f>SUMIF('칠전리(출력5)'!#REF!,"전공",'칠전리(출력5)'!$G$5:$G$526)</f>
        <v>#REF!</v>
      </c>
      <c r="K67" s="36" t="e">
        <f t="shared" ref="K67:K91" si="4">SUM(B67-E67-H67)</f>
        <v>#REF!</v>
      </c>
      <c r="L67" s="37" t="s">
        <v>5</v>
      </c>
      <c r="M67" s="212" t="e">
        <f t="shared" ref="M67:M91" si="5">SUM(D67-G67-J67)</f>
        <v>#REF!</v>
      </c>
      <c r="N67" s="39"/>
      <c r="O67" s="23" t="e">
        <f>IF(EXACT(Q67,T67),"맞음","틀림")</f>
        <v>#REF!</v>
      </c>
      <c r="P67" s="23" t="s">
        <v>37</v>
      </c>
      <c r="Q67" s="35">
        <f>SUM(D67:D91)</f>
        <v>92654.5</v>
      </c>
      <c r="R67" s="35" t="e">
        <f>SUM(G67:G91)</f>
        <v>#REF!</v>
      </c>
      <c r="S67" s="35" t="e">
        <f>SUM(M67:M91)</f>
        <v>#REF!</v>
      </c>
      <c r="T67" s="35" t="e">
        <f>G66+M66</f>
        <v>#REF!</v>
      </c>
      <c r="U67" s="23"/>
      <c r="V67" s="23"/>
    </row>
    <row r="68" spans="1:22" s="24" customFormat="1" ht="23.1" customHeight="1">
      <c r="A68" s="104" t="s">
        <v>8</v>
      </c>
      <c r="B68" s="36">
        <f>COUNTIF('칠전리(출력5)'!$D$5:$D$526,"답")</f>
        <v>33</v>
      </c>
      <c r="C68" s="37" t="s">
        <v>5</v>
      </c>
      <c r="D68" s="212">
        <f>SUMIF('칠전리(출력5)'!$D$5:$D$526,"답",'칠전리(출력5)'!$G$5:$G$526)</f>
        <v>19354.400000000001</v>
      </c>
      <c r="E68" s="36" t="e">
        <f>COUNTIF('칠전리(출력5)'!#REF!,"답국")</f>
        <v>#REF!</v>
      </c>
      <c r="F68" s="37" t="s">
        <v>5</v>
      </c>
      <c r="G68" s="212" t="e">
        <f>SUMIF('칠전리(출력5)'!#REF!,"답국",'칠전리(출력5)'!$G$5:$G$526)</f>
        <v>#REF!</v>
      </c>
      <c r="H68" s="36" t="e">
        <f>COUNTIF('칠전리(출력5)'!#REF!,"답공")</f>
        <v>#REF!</v>
      </c>
      <c r="I68" s="37" t="s">
        <v>5</v>
      </c>
      <c r="J68" s="212" t="e">
        <f>SUMIF('칠전리(출력5)'!#REF!,"답공",'칠전리(출력5)'!$G$5:$G$526)</f>
        <v>#REF!</v>
      </c>
      <c r="K68" s="36" t="e">
        <f t="shared" si="4"/>
        <v>#REF!</v>
      </c>
      <c r="L68" s="37" t="s">
        <v>5</v>
      </c>
      <c r="M68" s="212" t="e">
        <f t="shared" si="5"/>
        <v>#REF!</v>
      </c>
      <c r="N68" s="39"/>
      <c r="Q68" s="23"/>
      <c r="S68" s="23"/>
      <c r="U68" s="23"/>
      <c r="V68" s="23"/>
    </row>
    <row r="69" spans="1:22" s="24" customFormat="1" ht="23.1" customHeight="1">
      <c r="A69" s="104" t="s">
        <v>9</v>
      </c>
      <c r="B69" s="36">
        <f>COUNTIF('칠전리(출력5)'!$D$5:$D$526,"임")</f>
        <v>46</v>
      </c>
      <c r="C69" s="37" t="s">
        <v>5</v>
      </c>
      <c r="D69" s="212">
        <f>SUMIF('칠전리(출력5)'!$D$5:$D$526,"임",'칠전리(출력5)'!$G$5:$G$526)</f>
        <v>30895</v>
      </c>
      <c r="E69" s="36" t="e">
        <f>COUNTIF('칠전리(출력5)'!#REF!,"임국")</f>
        <v>#REF!</v>
      </c>
      <c r="F69" s="37" t="s">
        <v>5</v>
      </c>
      <c r="G69" s="212" t="e">
        <f>SUMIF('칠전리(출력5)'!#REF!,"임국",'칠전리(출력5)'!$G$5:$G$526)</f>
        <v>#REF!</v>
      </c>
      <c r="H69" s="36" t="e">
        <f>COUNTIF('칠전리(출력5)'!#REF!,"임공")</f>
        <v>#REF!</v>
      </c>
      <c r="I69" s="37" t="s">
        <v>5</v>
      </c>
      <c r="J69" s="212" t="e">
        <f>SUMIF('칠전리(출력5)'!#REF!,"임공",'칠전리(출력5)'!$G$5:$G$526)</f>
        <v>#REF!</v>
      </c>
      <c r="K69" s="36" t="e">
        <f t="shared" si="4"/>
        <v>#REF!</v>
      </c>
      <c r="L69" s="37" t="s">
        <v>5</v>
      </c>
      <c r="M69" s="212" t="e">
        <f t="shared" si="5"/>
        <v>#REF!</v>
      </c>
      <c r="N69" s="39"/>
      <c r="Q69" s="23"/>
      <c r="S69" s="23"/>
      <c r="U69" s="23"/>
      <c r="V69" s="23"/>
    </row>
    <row r="70" spans="1:22" s="24" customFormat="1" ht="23.1" customHeight="1">
      <c r="A70" s="104" t="s">
        <v>10</v>
      </c>
      <c r="B70" s="36">
        <f>COUNTIF('칠전리(출력5)'!$D$5:$D$526,"대")</f>
        <v>9</v>
      </c>
      <c r="C70" s="37" t="s">
        <v>5</v>
      </c>
      <c r="D70" s="212">
        <f>SUMIF('칠전리(출력5)'!$D$5:$D$526,"대",'칠전리(출력5)'!$G$5:$G$526)</f>
        <v>1449</v>
      </c>
      <c r="E70" s="36" t="e">
        <f>COUNTIF('칠전리(출력5)'!#REF!,"대국")</f>
        <v>#REF!</v>
      </c>
      <c r="F70" s="37" t="s">
        <v>5</v>
      </c>
      <c r="G70" s="212" t="e">
        <f>SUMIF('칠전리(출력5)'!#REF!,"대국",'칠전리(출력5)'!$G$5:$G$526)</f>
        <v>#REF!</v>
      </c>
      <c r="H70" s="36" t="e">
        <f>COUNTIF('칠전리(출력5)'!#REF!,"대공")</f>
        <v>#REF!</v>
      </c>
      <c r="I70" s="37" t="s">
        <v>5</v>
      </c>
      <c r="J70" s="212" t="e">
        <f>SUMIF('칠전리(출력5)'!#REF!,"대공",'칠전리(출력5)'!$G$5:$G$526)</f>
        <v>#REF!</v>
      </c>
      <c r="K70" s="36" t="e">
        <f t="shared" si="4"/>
        <v>#REF!</v>
      </c>
      <c r="L70" s="37" t="s">
        <v>5</v>
      </c>
      <c r="M70" s="212" t="e">
        <f t="shared" si="5"/>
        <v>#REF!</v>
      </c>
      <c r="N70" s="39"/>
      <c r="O70" s="23"/>
      <c r="P70" s="23"/>
      <c r="Q70" s="23"/>
      <c r="R70" s="23"/>
      <c r="S70" s="23"/>
      <c r="T70" s="23"/>
      <c r="U70" s="23"/>
      <c r="V70" s="23"/>
    </row>
    <row r="71" spans="1:22" s="24" customFormat="1" ht="23.1" customHeight="1">
      <c r="A71" s="104" t="s">
        <v>11</v>
      </c>
      <c r="B71" s="36">
        <f>COUNTIF('칠전리(출력5)'!$D$5:$D$526,"도")</f>
        <v>80</v>
      </c>
      <c r="C71" s="37" t="s">
        <v>5</v>
      </c>
      <c r="D71" s="212">
        <f>SUMIF('칠전리(출력5)'!$D$5:$D$526,"도",'칠전리(출력5)'!$G$5:$G$526)</f>
        <v>22240.9</v>
      </c>
      <c r="E71" s="36" t="e">
        <f>COUNTIF('칠전리(출력5)'!#REF!,"도국")</f>
        <v>#REF!</v>
      </c>
      <c r="F71" s="37" t="s">
        <v>5</v>
      </c>
      <c r="G71" s="212" t="e">
        <f>SUMIF('칠전리(출력5)'!#REF!,"도국",'칠전리(출력5)'!$G$5:$G$526)</f>
        <v>#REF!</v>
      </c>
      <c r="H71" s="36" t="e">
        <f>COUNTIF('칠전리(출력5)'!#REF!,"도공")</f>
        <v>#REF!</v>
      </c>
      <c r="I71" s="37" t="s">
        <v>5</v>
      </c>
      <c r="J71" s="212" t="e">
        <f>SUMIF('칠전리(출력5)'!#REF!,"도공",'칠전리(출력5)'!$G$5:$G$526)</f>
        <v>#REF!</v>
      </c>
      <c r="K71" s="36" t="e">
        <f t="shared" si="4"/>
        <v>#REF!</v>
      </c>
      <c r="L71" s="37" t="s">
        <v>5</v>
      </c>
      <c r="M71" s="212" t="e">
        <f t="shared" si="5"/>
        <v>#REF!</v>
      </c>
      <c r="N71" s="39"/>
      <c r="O71" s="23"/>
      <c r="P71" s="23"/>
      <c r="Q71" s="23"/>
      <c r="R71" s="23"/>
      <c r="S71" s="23"/>
      <c r="T71" s="23"/>
      <c r="U71" s="23"/>
      <c r="V71" s="23"/>
    </row>
    <row r="72" spans="1:22" s="24" customFormat="1" ht="23.1" customHeight="1">
      <c r="A72" s="104" t="s">
        <v>12</v>
      </c>
      <c r="B72" s="36">
        <f>COUNTIF('칠전리(출력5)'!$D$5:$D$526,"구")</f>
        <v>12</v>
      </c>
      <c r="C72" s="37" t="s">
        <v>5</v>
      </c>
      <c r="D72" s="212">
        <f>SUMIF('칠전리(출력5)'!$D$5:$D$526,"구",'칠전리(출력5)'!$G$5:$G$526)</f>
        <v>4652.2</v>
      </c>
      <c r="E72" s="36" t="e">
        <f>COUNTIF('칠전리(출력5)'!#REF!,"구국")</f>
        <v>#REF!</v>
      </c>
      <c r="F72" s="37" t="s">
        <v>5</v>
      </c>
      <c r="G72" s="212" t="e">
        <f>SUMIF('칠전리(출력5)'!#REF!,"구국",'칠전리(출력5)'!$G$5:$G$526)</f>
        <v>#REF!</v>
      </c>
      <c r="H72" s="36" t="e">
        <f>COUNTIF('칠전리(출력5)'!#REF!,"구공")</f>
        <v>#REF!</v>
      </c>
      <c r="I72" s="37" t="s">
        <v>5</v>
      </c>
      <c r="J72" s="212" t="e">
        <f>SUMIF('칠전리(출력5)'!#REF!,"구공",'칠전리(출력5)'!$G$5:$G$526)</f>
        <v>#REF!</v>
      </c>
      <c r="K72" s="36" t="e">
        <f t="shared" si="4"/>
        <v>#REF!</v>
      </c>
      <c r="L72" s="37" t="s">
        <v>5</v>
      </c>
      <c r="M72" s="212" t="e">
        <f t="shared" si="5"/>
        <v>#REF!</v>
      </c>
      <c r="N72" s="39"/>
      <c r="O72" s="23"/>
      <c r="P72" s="23"/>
      <c r="Q72" s="23"/>
      <c r="R72" s="23"/>
      <c r="S72" s="23"/>
      <c r="T72" s="23"/>
      <c r="U72" s="23"/>
      <c r="V72" s="23"/>
    </row>
    <row r="73" spans="1:22" s="24" customFormat="1" ht="23.1" customHeight="1">
      <c r="A73" s="104" t="s">
        <v>13</v>
      </c>
      <c r="B73" s="36">
        <f>COUNTIF('칠전리(출력5)'!$D$5:$D$526,"천")</f>
        <v>0</v>
      </c>
      <c r="C73" s="37" t="s">
        <v>5</v>
      </c>
      <c r="D73" s="212">
        <f>SUMIF('칠전리(출력5)'!$D$5:$D$526,"천",'칠전리(출력5)'!$G$5:$G$526)</f>
        <v>0</v>
      </c>
      <c r="E73" s="36" t="e">
        <f>COUNTIF('칠전리(출력5)'!#REF!,"천국")</f>
        <v>#REF!</v>
      </c>
      <c r="F73" s="37" t="s">
        <v>5</v>
      </c>
      <c r="G73" s="212" t="e">
        <f>SUMIF('칠전리(출력5)'!#REF!,"천국",'칠전리(출력5)'!$G$5:$G$526)</f>
        <v>#REF!</v>
      </c>
      <c r="H73" s="36" t="e">
        <f>COUNTIF('칠전리(출력5)'!#REF!,"천공")</f>
        <v>#REF!</v>
      </c>
      <c r="I73" s="37" t="s">
        <v>5</v>
      </c>
      <c r="J73" s="212" t="e">
        <f>SUMIF('칠전리(출력5)'!#REF!,"천공",'칠전리(출력5)'!$G$5:$G$526)</f>
        <v>#REF!</v>
      </c>
      <c r="K73" s="36" t="e">
        <f t="shared" si="4"/>
        <v>#REF!</v>
      </c>
      <c r="L73" s="37" t="s">
        <v>5</v>
      </c>
      <c r="M73" s="212" t="e">
        <f t="shared" si="5"/>
        <v>#REF!</v>
      </c>
      <c r="N73" s="39"/>
      <c r="O73" s="23"/>
      <c r="P73" s="23"/>
      <c r="Q73" s="23"/>
      <c r="R73" s="23"/>
      <c r="S73" s="23"/>
      <c r="T73" s="23"/>
      <c r="U73" s="23"/>
      <c r="V73" s="23"/>
    </row>
    <row r="74" spans="1:22" s="24" customFormat="1" ht="23.1" customHeight="1">
      <c r="A74" s="104" t="s">
        <v>14</v>
      </c>
      <c r="B74" s="36">
        <f>COUNTIF('칠전리(출력5)'!$D$5:$D$526,"유")</f>
        <v>2</v>
      </c>
      <c r="C74" s="37" t="s">
        <v>5</v>
      </c>
      <c r="D74" s="212">
        <f>SUMIF('칠전리(출력5)'!$D$5:$D$526,"유",'칠전리(출력5)'!$G$5:$G$526)</f>
        <v>252</v>
      </c>
      <c r="E74" s="36" t="e">
        <f>COUNTIF('칠전리(출력5)'!#REF!,"유국")</f>
        <v>#REF!</v>
      </c>
      <c r="F74" s="37" t="s">
        <v>5</v>
      </c>
      <c r="G74" s="212" t="e">
        <f>SUMIF('칠전리(출력5)'!#REF!,"유국",'칠전리(출력5)'!$G$5:$G$526)</f>
        <v>#REF!</v>
      </c>
      <c r="H74" s="36" t="e">
        <f>COUNTIF('칠전리(출력5)'!#REF!,"유공")</f>
        <v>#REF!</v>
      </c>
      <c r="I74" s="37" t="s">
        <v>5</v>
      </c>
      <c r="J74" s="212" t="e">
        <f>SUMIF('칠전리(출력5)'!#REF!,"유공",'칠전리(출력5)'!$G$5:$G$526)</f>
        <v>#REF!</v>
      </c>
      <c r="K74" s="36" t="e">
        <f t="shared" si="4"/>
        <v>#REF!</v>
      </c>
      <c r="L74" s="37" t="s">
        <v>5</v>
      </c>
      <c r="M74" s="212" t="e">
        <f t="shared" si="5"/>
        <v>#REF!</v>
      </c>
      <c r="N74" s="39"/>
      <c r="O74" s="23"/>
      <c r="P74" s="23"/>
      <c r="Q74" s="23"/>
      <c r="R74" s="23"/>
      <c r="S74" s="23"/>
      <c r="T74" s="23"/>
      <c r="U74" s="23"/>
      <c r="V74" s="23"/>
    </row>
    <row r="75" spans="1:22" s="24" customFormat="1" ht="23.1" customHeight="1">
      <c r="A75" s="104" t="s">
        <v>15</v>
      </c>
      <c r="B75" s="36">
        <f>COUNTIF('칠전리(출력5)'!$D$5:$D$526,"제")</f>
        <v>2</v>
      </c>
      <c r="C75" s="37" t="s">
        <v>5</v>
      </c>
      <c r="D75" s="212">
        <f>SUMIF('칠전리(출력5)'!$D$5:$D$526,"제",'칠전리(출력5)'!$G$5:$G$526)</f>
        <v>117</v>
      </c>
      <c r="E75" s="36" t="e">
        <f>COUNTIF('칠전리(출력5)'!#REF!,"제국")</f>
        <v>#REF!</v>
      </c>
      <c r="F75" s="37" t="s">
        <v>5</v>
      </c>
      <c r="G75" s="212" t="e">
        <f>SUMIF('칠전리(출력5)'!#REF!,"제국",'칠전리(출력5)'!$G$5:$G$526)</f>
        <v>#REF!</v>
      </c>
      <c r="H75" s="36" t="e">
        <f>COUNTIF('칠전리(출력5)'!#REF!,"제공")</f>
        <v>#REF!</v>
      </c>
      <c r="I75" s="37" t="s">
        <v>5</v>
      </c>
      <c r="J75" s="212" t="e">
        <f>SUMIF('칠전리(출력5)'!#REF!,"제공",'칠전리(출력5)'!$G$5:$G$526)</f>
        <v>#REF!</v>
      </c>
      <c r="K75" s="36" t="e">
        <f t="shared" si="4"/>
        <v>#REF!</v>
      </c>
      <c r="L75" s="37" t="s">
        <v>5</v>
      </c>
      <c r="M75" s="212" t="e">
        <f t="shared" si="5"/>
        <v>#REF!</v>
      </c>
      <c r="N75" s="39"/>
      <c r="O75" s="23"/>
      <c r="P75" s="23"/>
      <c r="Q75" s="23"/>
      <c r="R75" s="23"/>
      <c r="S75" s="23"/>
      <c r="T75" s="23"/>
      <c r="U75" s="23"/>
      <c r="V75" s="23"/>
    </row>
    <row r="76" spans="1:22" s="24" customFormat="1" ht="23.1" customHeight="1">
      <c r="A76" s="104" t="s">
        <v>16</v>
      </c>
      <c r="B76" s="36">
        <f>COUNTIF('칠전리(출력5)'!$D$5:$D$526,"과")</f>
        <v>0</v>
      </c>
      <c r="C76" s="37" t="s">
        <v>5</v>
      </c>
      <c r="D76" s="212">
        <f>SUMIF('칠전리(출력5)'!$D$5:$D$526,"과",'칠전리(출력5)'!$G$5:$G$526)</f>
        <v>0</v>
      </c>
      <c r="E76" s="36" t="e">
        <f>COUNTIF('칠전리(출력5)'!#REF!,"과국")</f>
        <v>#REF!</v>
      </c>
      <c r="F76" s="37" t="s">
        <v>5</v>
      </c>
      <c r="G76" s="212" t="e">
        <f>SUMIF('칠전리(출력5)'!#REF!,"과국",'칠전리(출력5)'!$G$5:$G$526)</f>
        <v>#REF!</v>
      </c>
      <c r="H76" s="36" t="e">
        <f>COUNTIF('칠전리(출력5)'!#REF!,"과공")</f>
        <v>#REF!</v>
      </c>
      <c r="I76" s="37" t="s">
        <v>5</v>
      </c>
      <c r="J76" s="212" t="e">
        <f>SUMIF('칠전리(출력5)'!#REF!,"과공",'칠전리(출력5)'!$G$5:$G$526)</f>
        <v>#REF!</v>
      </c>
      <c r="K76" s="36" t="e">
        <f t="shared" si="4"/>
        <v>#REF!</v>
      </c>
      <c r="L76" s="37" t="s">
        <v>5</v>
      </c>
      <c r="M76" s="212" t="e">
        <f t="shared" si="5"/>
        <v>#REF!</v>
      </c>
      <c r="N76" s="39"/>
      <c r="O76" s="23"/>
      <c r="P76" s="23"/>
      <c r="Q76" s="23"/>
      <c r="R76" s="23"/>
      <c r="S76" s="23"/>
      <c r="T76" s="23"/>
      <c r="U76" s="23"/>
      <c r="V76" s="23"/>
    </row>
    <row r="77" spans="1:22" s="24" customFormat="1" ht="23.1" customHeight="1">
      <c r="A77" s="104" t="s">
        <v>17</v>
      </c>
      <c r="B77" s="36">
        <f>COUNTIF('칠전리(출력5)'!$D$5:$D$526,"장")</f>
        <v>0</v>
      </c>
      <c r="C77" s="37" t="s">
        <v>5</v>
      </c>
      <c r="D77" s="212">
        <f>SUMIF('칠전리(출력5)'!$D$5:$D$526,"장",'칠전리(출력5)'!$G$5:$G$526)</f>
        <v>0</v>
      </c>
      <c r="E77" s="36" t="e">
        <f>COUNTIF('칠전리(출력5)'!#REF!,"장국")</f>
        <v>#REF!</v>
      </c>
      <c r="F77" s="37" t="s">
        <v>5</v>
      </c>
      <c r="G77" s="212" t="e">
        <f>SUMIF('칠전리(출력5)'!#REF!,"장국",'칠전리(출력5)'!$G$5:$G$526)</f>
        <v>#REF!</v>
      </c>
      <c r="H77" s="36" t="e">
        <f>COUNTIF('칠전리(출력5)'!#REF!,"장공")</f>
        <v>#REF!</v>
      </c>
      <c r="I77" s="37" t="s">
        <v>5</v>
      </c>
      <c r="J77" s="212" t="e">
        <f>SUMIF('칠전리(출력5)'!#REF!,"장공",'칠전리(출력5)'!$G$5:$G$526)</f>
        <v>#REF!</v>
      </c>
      <c r="K77" s="36" t="e">
        <f t="shared" si="4"/>
        <v>#REF!</v>
      </c>
      <c r="L77" s="37" t="s">
        <v>5</v>
      </c>
      <c r="M77" s="212" t="e">
        <f t="shared" si="5"/>
        <v>#REF!</v>
      </c>
      <c r="N77" s="39"/>
      <c r="O77" s="23"/>
      <c r="P77" s="23"/>
      <c r="Q77" s="23"/>
      <c r="R77" s="23"/>
      <c r="S77" s="23"/>
      <c r="T77" s="23"/>
      <c r="U77" s="23"/>
      <c r="V77" s="23"/>
    </row>
    <row r="78" spans="1:22" s="24" customFormat="1" ht="23.1" customHeight="1">
      <c r="A78" s="104" t="s">
        <v>18</v>
      </c>
      <c r="B78" s="36">
        <f>COUNTIF('칠전리(출력5)'!$D$5:$D$526,"목")</f>
        <v>0</v>
      </c>
      <c r="C78" s="37" t="s">
        <v>5</v>
      </c>
      <c r="D78" s="212">
        <f>SUMIF('칠전리(출력5)'!$D$5:$D$526,"목",'칠전리(출력5)'!$G$5:$G$526)</f>
        <v>0</v>
      </c>
      <c r="E78" s="36" t="e">
        <f>COUNTIF('칠전리(출력5)'!#REF!,"목국")</f>
        <v>#REF!</v>
      </c>
      <c r="F78" s="37" t="s">
        <v>5</v>
      </c>
      <c r="G78" s="212" t="e">
        <f>SUMIF('칠전리(출력5)'!#REF!,"목국",'칠전리(출력5)'!$G$5:$G$526)</f>
        <v>#REF!</v>
      </c>
      <c r="H78" s="36" t="e">
        <f>COUNTIF('칠전리(출력5)'!#REF!,"목공")</f>
        <v>#REF!</v>
      </c>
      <c r="I78" s="37" t="s">
        <v>5</v>
      </c>
      <c r="J78" s="212" t="e">
        <f>SUMIF('칠전리(출력5)'!#REF!,"목공",'칠전리(출력5)'!$G$5:$G$526)</f>
        <v>#REF!</v>
      </c>
      <c r="K78" s="36" t="e">
        <f t="shared" si="4"/>
        <v>#REF!</v>
      </c>
      <c r="L78" s="37" t="s">
        <v>5</v>
      </c>
      <c r="M78" s="212" t="e">
        <f t="shared" si="5"/>
        <v>#REF!</v>
      </c>
      <c r="N78" s="39"/>
      <c r="O78" s="23"/>
      <c r="P78" s="23"/>
      <c r="Q78" s="23"/>
      <c r="R78" s="23"/>
      <c r="S78" s="23"/>
      <c r="T78" s="23"/>
      <c r="U78" s="23"/>
      <c r="V78" s="23"/>
    </row>
    <row r="79" spans="1:22" s="24" customFormat="1" ht="23.1" customHeight="1">
      <c r="A79" s="104" t="s">
        <v>19</v>
      </c>
      <c r="B79" s="36">
        <f>COUNTIF('칠전리(출력5)'!$D$5:$D$526,"학")</f>
        <v>0</v>
      </c>
      <c r="C79" s="37" t="s">
        <v>5</v>
      </c>
      <c r="D79" s="212">
        <f>SUMIF('칠전리(출력5)'!$D$5:$D$526,"학",'칠전리(출력5)'!$G$5:$G$526)</f>
        <v>0</v>
      </c>
      <c r="E79" s="36" t="e">
        <f>COUNTIF('칠전리(출력5)'!#REF!,"학국")</f>
        <v>#REF!</v>
      </c>
      <c r="F79" s="37" t="s">
        <v>5</v>
      </c>
      <c r="G79" s="212" t="e">
        <f>SUMIF('칠전리(출력5)'!#REF!,"학국",'칠전리(출력5)'!$G$5:$G$526)</f>
        <v>#REF!</v>
      </c>
      <c r="H79" s="36" t="e">
        <f>COUNTIF('칠전리(출력5)'!#REF!,"학공")</f>
        <v>#REF!</v>
      </c>
      <c r="I79" s="37" t="s">
        <v>5</v>
      </c>
      <c r="J79" s="212" t="e">
        <f>SUMIF('칠전리(출력5)'!#REF!,"학공",'칠전리(출력5)'!$G$5:$G$526)</f>
        <v>#REF!</v>
      </c>
      <c r="K79" s="36" t="e">
        <f t="shared" si="4"/>
        <v>#REF!</v>
      </c>
      <c r="L79" s="37" t="s">
        <v>5</v>
      </c>
      <c r="M79" s="212" t="e">
        <f t="shared" si="5"/>
        <v>#REF!</v>
      </c>
      <c r="N79" s="39"/>
      <c r="O79" s="23"/>
      <c r="P79" s="23"/>
      <c r="Q79" s="23"/>
      <c r="R79" s="23"/>
      <c r="S79" s="23"/>
      <c r="T79" s="23"/>
      <c r="U79" s="23"/>
      <c r="V79" s="23"/>
    </row>
    <row r="80" spans="1:22" s="24" customFormat="1" ht="23.1" customHeight="1">
      <c r="A80" s="104" t="s">
        <v>20</v>
      </c>
      <c r="B80" s="36">
        <f>COUNTIF('칠전리(출력5)'!$D$5:$D$526,"철")</f>
        <v>0</v>
      </c>
      <c r="C80" s="37" t="s">
        <v>5</v>
      </c>
      <c r="D80" s="212">
        <f>SUMIF('칠전리(출력5)'!$D$5:$D$526,"철",'칠전리(출력5)'!$G$5:$G$526)</f>
        <v>0</v>
      </c>
      <c r="E80" s="36" t="e">
        <f>COUNTIF('칠전리(출력5)'!#REF!,"철국")</f>
        <v>#REF!</v>
      </c>
      <c r="F80" s="37" t="s">
        <v>5</v>
      </c>
      <c r="G80" s="212" t="e">
        <f>SUMIF('칠전리(출력5)'!#REF!,"철국",'칠전리(출력5)'!$G$5:$G$526)</f>
        <v>#REF!</v>
      </c>
      <c r="H80" s="36" t="e">
        <f>COUNTIF('칠전리(출력5)'!#REF!,"철공")</f>
        <v>#REF!</v>
      </c>
      <c r="I80" s="37" t="s">
        <v>5</v>
      </c>
      <c r="J80" s="212" t="e">
        <f>SUMIF('칠전리(출력5)'!#REF!,"철공",'칠전리(출력5)'!$G$5:$G$526)</f>
        <v>#REF!</v>
      </c>
      <c r="K80" s="36" t="e">
        <f t="shared" si="4"/>
        <v>#REF!</v>
      </c>
      <c r="L80" s="37" t="s">
        <v>5</v>
      </c>
      <c r="M80" s="212" t="e">
        <f t="shared" si="5"/>
        <v>#REF!</v>
      </c>
      <c r="N80" s="39"/>
      <c r="O80" s="23"/>
      <c r="P80" s="23"/>
      <c r="Q80" s="23"/>
      <c r="R80" s="23"/>
      <c r="S80" s="23"/>
      <c r="T80" s="23"/>
      <c r="U80" s="23"/>
      <c r="V80" s="23"/>
    </row>
    <row r="81" spans="1:22" s="24" customFormat="1" ht="23.1" customHeight="1">
      <c r="A81" s="104" t="s">
        <v>21</v>
      </c>
      <c r="B81" s="36">
        <f>COUNTIF('칠전리(출력5)'!$D$5:$D$526,"묘")</f>
        <v>0</v>
      </c>
      <c r="C81" s="37" t="s">
        <v>5</v>
      </c>
      <c r="D81" s="212">
        <f>SUMIF('칠전리(출력5)'!$D$5:$D$526,"묘",'칠전리(출력5)'!$G$5:$G$526)</f>
        <v>0</v>
      </c>
      <c r="E81" s="36" t="e">
        <f>COUNTIF('칠전리(출력5)'!#REF!,"묘국")</f>
        <v>#REF!</v>
      </c>
      <c r="F81" s="37" t="s">
        <v>5</v>
      </c>
      <c r="G81" s="212" t="e">
        <f>SUMIF('칠전리(출력5)'!#REF!,"묘국",'칠전리(출력5)'!$G$5:$G$526)</f>
        <v>#REF!</v>
      </c>
      <c r="H81" s="36" t="e">
        <f>COUNTIF('칠전리(출력5)'!#REF!,"묘공")</f>
        <v>#REF!</v>
      </c>
      <c r="I81" s="37" t="s">
        <v>5</v>
      </c>
      <c r="J81" s="212" t="e">
        <f>SUMIF('칠전리(출력5)'!#REF!,"묘공",'칠전리(출력5)'!$G$5:$G$526)</f>
        <v>#REF!</v>
      </c>
      <c r="K81" s="36" t="e">
        <f t="shared" si="4"/>
        <v>#REF!</v>
      </c>
      <c r="L81" s="37" t="s">
        <v>5</v>
      </c>
      <c r="M81" s="212" t="e">
        <f t="shared" si="5"/>
        <v>#REF!</v>
      </c>
      <c r="N81" s="39"/>
      <c r="O81" s="23"/>
      <c r="P81" s="23"/>
      <c r="Q81" s="23"/>
      <c r="R81" s="23"/>
      <c r="S81" s="23"/>
      <c r="T81" s="23"/>
      <c r="U81" s="23"/>
      <c r="V81" s="23"/>
    </row>
    <row r="82" spans="1:22" s="24" customFormat="1" ht="23.1" customHeight="1">
      <c r="A82" s="104" t="s">
        <v>22</v>
      </c>
      <c r="B82" s="36">
        <f>COUNTIF('칠전리(출력5)'!$D$5:$D$526,"수")</f>
        <v>0</v>
      </c>
      <c r="C82" s="37" t="s">
        <v>5</v>
      </c>
      <c r="D82" s="212">
        <f>SUMIF('칠전리(출력5)'!$D$5:$D$526,"수",'칠전리(출력5)'!$G$5:$G$526)</f>
        <v>0</v>
      </c>
      <c r="E82" s="36" t="e">
        <f>COUNTIF('칠전리(출력5)'!#REF!,"수국")</f>
        <v>#REF!</v>
      </c>
      <c r="F82" s="37" t="s">
        <v>5</v>
      </c>
      <c r="G82" s="212" t="e">
        <f>SUMIF('칠전리(출력5)'!#REF!,"수국",'칠전리(출력5)'!$G$5:$G$526)</f>
        <v>#REF!</v>
      </c>
      <c r="H82" s="36" t="e">
        <f>COUNTIF('칠전리(출력5)'!#REF!,"수공")</f>
        <v>#REF!</v>
      </c>
      <c r="I82" s="37" t="s">
        <v>5</v>
      </c>
      <c r="J82" s="212" t="e">
        <f>SUMIF('칠전리(출력5)'!#REF!,"수공",'칠전리(출력5)'!$G$5:$G$526)</f>
        <v>#REF!</v>
      </c>
      <c r="K82" s="36" t="e">
        <f t="shared" si="4"/>
        <v>#REF!</v>
      </c>
      <c r="L82" s="37" t="s">
        <v>5</v>
      </c>
      <c r="M82" s="212" t="e">
        <f t="shared" si="5"/>
        <v>#REF!</v>
      </c>
      <c r="N82" s="39"/>
      <c r="O82" s="23"/>
      <c r="P82" s="23"/>
      <c r="Q82" s="23"/>
      <c r="R82" s="23"/>
      <c r="S82" s="23"/>
      <c r="T82" s="23"/>
      <c r="U82" s="23"/>
      <c r="V82" s="23"/>
    </row>
    <row r="83" spans="1:22" s="24" customFormat="1" ht="23.1" customHeight="1">
      <c r="A83" s="104" t="s">
        <v>23</v>
      </c>
      <c r="B83" s="36">
        <f>COUNTIF('칠전리(출력5)'!$D$5:$D$526,"잡")</f>
        <v>0</v>
      </c>
      <c r="C83" s="37" t="s">
        <v>5</v>
      </c>
      <c r="D83" s="212">
        <f>SUMIF('칠전리(출력5)'!$D$5:$D$526,"잡",'칠전리(출력5)'!$G$5:$G$526)</f>
        <v>0</v>
      </c>
      <c r="E83" s="36" t="e">
        <f>COUNTIF('칠전리(출력5)'!#REF!,"잡국")</f>
        <v>#REF!</v>
      </c>
      <c r="F83" s="37" t="s">
        <v>5</v>
      </c>
      <c r="G83" s="212" t="e">
        <f>SUMIF('칠전리(출력5)'!#REF!,"잡국",'칠전리(출력5)'!$G$5:$G$526)</f>
        <v>#REF!</v>
      </c>
      <c r="H83" s="36" t="e">
        <f>COUNTIF('칠전리(출력5)'!#REF!,"잡공")</f>
        <v>#REF!</v>
      </c>
      <c r="I83" s="37" t="s">
        <v>5</v>
      </c>
      <c r="J83" s="212" t="e">
        <f>SUMIF('칠전리(출력5)'!#REF!,"잡공",'칠전리(출력5)'!$G$5:$G$526)</f>
        <v>#REF!</v>
      </c>
      <c r="K83" s="36" t="e">
        <f t="shared" si="4"/>
        <v>#REF!</v>
      </c>
      <c r="L83" s="37" t="s">
        <v>5</v>
      </c>
      <c r="M83" s="212" t="e">
        <f t="shared" si="5"/>
        <v>#REF!</v>
      </c>
      <c r="N83" s="39"/>
      <c r="O83" s="23"/>
      <c r="P83" s="23"/>
      <c r="Q83" s="23"/>
      <c r="R83" s="23"/>
      <c r="S83" s="23"/>
      <c r="T83" s="23"/>
      <c r="U83" s="23"/>
      <c r="V83" s="23"/>
    </row>
    <row r="84" spans="1:22" s="24" customFormat="1" ht="23.1" customHeight="1">
      <c r="A84" s="105" t="s">
        <v>24</v>
      </c>
      <c r="B84" s="36">
        <f>COUNTIF('칠전리(출력5)'!$D$5:$D$526,"종")</f>
        <v>0</v>
      </c>
      <c r="C84" s="37" t="s">
        <v>5</v>
      </c>
      <c r="D84" s="212">
        <f>SUMIF('칠전리(출력5)'!$D$5:$D$526,"종",'칠전리(출력5)'!$G$5:$G$526)</f>
        <v>0</v>
      </c>
      <c r="E84" s="36" t="e">
        <f>COUNTIF('칠전리(출력5)'!#REF!,"종국")</f>
        <v>#REF!</v>
      </c>
      <c r="F84" s="37" t="s">
        <v>5</v>
      </c>
      <c r="G84" s="212" t="e">
        <f>SUMIF('칠전리(출력5)'!#REF!,"종국",'칠전리(출력5)'!$G$5:$G$526)</f>
        <v>#REF!</v>
      </c>
      <c r="H84" s="36" t="e">
        <f>COUNTIF('칠전리(출력5)'!#REF!,"종공")</f>
        <v>#REF!</v>
      </c>
      <c r="I84" s="37" t="s">
        <v>5</v>
      </c>
      <c r="J84" s="212" t="e">
        <f>SUMIF('칠전리(출력5)'!#REF!,"종공",'칠전리(출력5)'!$G$5:$G$526)</f>
        <v>#REF!</v>
      </c>
      <c r="K84" s="36" t="e">
        <f t="shared" si="4"/>
        <v>#REF!</v>
      </c>
      <c r="L84" s="37" t="s">
        <v>5</v>
      </c>
      <c r="M84" s="212" t="e">
        <f t="shared" si="5"/>
        <v>#REF!</v>
      </c>
      <c r="N84" s="39"/>
      <c r="O84" s="23"/>
      <c r="P84" s="23"/>
      <c r="Q84" s="23"/>
      <c r="R84" s="23"/>
      <c r="S84" s="23"/>
      <c r="T84" s="23"/>
      <c r="U84" s="23"/>
      <c r="V84" s="23"/>
    </row>
    <row r="85" spans="1:22" s="24" customFormat="1" ht="23.1" customHeight="1">
      <c r="A85" s="105" t="s">
        <v>614</v>
      </c>
      <c r="B85" s="36">
        <f>COUNTIF('칠전리(출력5)'!$D$5:$D$526,"염")</f>
        <v>0</v>
      </c>
      <c r="C85" s="37" t="s">
        <v>5</v>
      </c>
      <c r="D85" s="212">
        <f>SUMIF('칠전리(출력5)'!$D$5:$D$526,"염",'칠전리(출력5)'!$G$5:$G$526)</f>
        <v>0</v>
      </c>
      <c r="E85" s="36" t="e">
        <f>COUNTIF('칠전리(출력5)'!#REF!,"염국")</f>
        <v>#REF!</v>
      </c>
      <c r="F85" s="37" t="s">
        <v>5</v>
      </c>
      <c r="G85" s="212" t="e">
        <f>SUMIF('칠전리(출력5)'!#REF!,"염국",'칠전리(출력5)'!$G$5:$G$526)</f>
        <v>#REF!</v>
      </c>
      <c r="H85" s="36" t="e">
        <f>COUNTIF('칠전리(출력5)'!#REF!,"염공")</f>
        <v>#REF!</v>
      </c>
      <c r="I85" s="37" t="s">
        <v>5</v>
      </c>
      <c r="J85" s="212" t="e">
        <f>SUMIF('칠전리(출력5)'!#REF!,"염공",'칠전리(출력5)'!$G$5:$G$526)</f>
        <v>#REF!</v>
      </c>
      <c r="K85" s="36" t="e">
        <f t="shared" si="4"/>
        <v>#REF!</v>
      </c>
      <c r="L85" s="37" t="s">
        <v>5</v>
      </c>
      <c r="M85" s="212" t="e">
        <f t="shared" si="5"/>
        <v>#REF!</v>
      </c>
      <c r="N85" s="39"/>
      <c r="O85" s="23"/>
      <c r="P85" s="23"/>
      <c r="Q85" s="23"/>
      <c r="R85" s="23"/>
      <c r="S85" s="23"/>
      <c r="T85" s="23"/>
      <c r="U85" s="23"/>
      <c r="V85" s="23"/>
    </row>
    <row r="86" spans="1:22" s="24" customFormat="1" ht="23.1" customHeight="1">
      <c r="A86" s="105" t="s">
        <v>26</v>
      </c>
      <c r="B86" s="36">
        <f>COUNTIF('칠전리(출력5)'!$D$5:$D$526,"공")</f>
        <v>0</v>
      </c>
      <c r="C86" s="37" t="s">
        <v>5</v>
      </c>
      <c r="D86" s="212">
        <f>SUMIF('칠전리(출력5)'!$D$5:$D$526,"공",'칠전리(출력5)'!$G$5:$G$526)</f>
        <v>0</v>
      </c>
      <c r="E86" s="36" t="e">
        <f>COUNTIF('칠전리(출력5)'!#REF!,"공국")</f>
        <v>#REF!</v>
      </c>
      <c r="F86" s="37" t="s">
        <v>5</v>
      </c>
      <c r="G86" s="212" t="e">
        <f>SUMIF('칠전리(출력5)'!#REF!,"공국",'칠전리(출력5)'!$G$5:$G$526)</f>
        <v>#REF!</v>
      </c>
      <c r="H86" s="36" t="e">
        <f>COUNTIF('칠전리(출력5)'!#REF!,"공공")</f>
        <v>#REF!</v>
      </c>
      <c r="I86" s="37" t="s">
        <v>5</v>
      </c>
      <c r="J86" s="212" t="e">
        <f>SUMIF('칠전리(출력5)'!#REF!,"공공",'칠전리(출력5)'!$G$5:$G$526)</f>
        <v>#REF!</v>
      </c>
      <c r="K86" s="36" t="e">
        <f t="shared" si="4"/>
        <v>#REF!</v>
      </c>
      <c r="L86" s="37" t="s">
        <v>5</v>
      </c>
      <c r="M86" s="212" t="e">
        <f t="shared" si="5"/>
        <v>#REF!</v>
      </c>
      <c r="N86" s="39"/>
      <c r="O86" s="23"/>
      <c r="P86" s="23"/>
      <c r="Q86" s="23"/>
      <c r="R86" s="23"/>
      <c r="S86" s="23"/>
      <c r="T86" s="23"/>
      <c r="U86" s="23"/>
      <c r="V86" s="23"/>
    </row>
    <row r="87" spans="1:22" s="24" customFormat="1" ht="23.1" customHeight="1">
      <c r="A87" s="105" t="s">
        <v>27</v>
      </c>
      <c r="B87" s="36">
        <f>COUNTIF('칠전리(출력5)'!$D$5:$D$526,"체")</f>
        <v>0</v>
      </c>
      <c r="C87" s="37" t="s">
        <v>5</v>
      </c>
      <c r="D87" s="212">
        <f>SUMIF('칠전리(출력5)'!$D$5:$D$526,"체",'칠전리(출력5)'!$G$5:$G$526)</f>
        <v>0</v>
      </c>
      <c r="E87" s="36" t="e">
        <f>COUNTIF('칠전리(출력5)'!#REF!,"체국")</f>
        <v>#REF!</v>
      </c>
      <c r="F87" s="37" t="s">
        <v>5</v>
      </c>
      <c r="G87" s="212" t="e">
        <f>SUMIF('칠전리(출력5)'!#REF!,"체국",'칠전리(출력5)'!$G$5:$G$526)</f>
        <v>#REF!</v>
      </c>
      <c r="H87" s="36" t="e">
        <f>COUNTIF('칠전리(출력5)'!#REF!,"체공")</f>
        <v>#REF!</v>
      </c>
      <c r="I87" s="37" t="s">
        <v>5</v>
      </c>
      <c r="J87" s="212" t="e">
        <f>SUMIF('칠전리(출력5)'!#REF!,"체공",'칠전리(출력5)'!$G$5:$G$526)</f>
        <v>#REF!</v>
      </c>
      <c r="K87" s="36" t="e">
        <f t="shared" si="4"/>
        <v>#REF!</v>
      </c>
      <c r="L87" s="37" t="s">
        <v>5</v>
      </c>
      <c r="M87" s="212" t="e">
        <f t="shared" si="5"/>
        <v>#REF!</v>
      </c>
      <c r="N87" s="39"/>
      <c r="O87" s="23"/>
      <c r="P87" s="23"/>
      <c r="Q87" s="23"/>
      <c r="R87" s="23"/>
      <c r="S87" s="23"/>
      <c r="T87" s="23"/>
      <c r="U87" s="23"/>
      <c r="V87" s="23"/>
    </row>
    <row r="88" spans="1:22" s="24" customFormat="1" ht="23.1" customHeight="1">
      <c r="A88" s="105" t="s">
        <v>28</v>
      </c>
      <c r="B88" s="36">
        <f>COUNTIF('칠전리(출력5)'!$D$5:$D$526,"원")</f>
        <v>0</v>
      </c>
      <c r="C88" s="37" t="s">
        <v>5</v>
      </c>
      <c r="D88" s="212">
        <f>SUMIF('칠전리(출력5)'!$D$5:$D$526,"원",'칠전리(출력5)'!$G$5:$G$526)</f>
        <v>0</v>
      </c>
      <c r="E88" s="36" t="e">
        <f>COUNTIF('칠전리(출력5)'!#REF!,"원국")</f>
        <v>#REF!</v>
      </c>
      <c r="F88" s="37" t="s">
        <v>5</v>
      </c>
      <c r="G88" s="212" t="e">
        <f>SUMIF('칠전리(출력5)'!#REF!,"원국",'칠전리(출력5)'!$G$5:$G$526)</f>
        <v>#REF!</v>
      </c>
      <c r="H88" s="36" t="e">
        <f>COUNTIF('칠전리(출력5)'!#REF!,"원공")</f>
        <v>#REF!</v>
      </c>
      <c r="I88" s="37" t="s">
        <v>5</v>
      </c>
      <c r="J88" s="212" t="e">
        <f>SUMIF('칠전리(출력5)'!#REF!,"원공",'칠전리(출력5)'!$G$5:$G$526)</f>
        <v>#REF!</v>
      </c>
      <c r="K88" s="36" t="e">
        <f t="shared" si="4"/>
        <v>#REF!</v>
      </c>
      <c r="L88" s="37" t="s">
        <v>5</v>
      </c>
      <c r="M88" s="212" t="e">
        <f t="shared" si="5"/>
        <v>#REF!</v>
      </c>
      <c r="N88" s="39"/>
      <c r="O88" s="23"/>
      <c r="P88" s="23"/>
      <c r="Q88" s="23"/>
      <c r="R88" s="23"/>
      <c r="S88" s="23"/>
      <c r="T88" s="23"/>
      <c r="U88" s="23"/>
      <c r="V88" s="23"/>
    </row>
    <row r="89" spans="1:22" s="24" customFormat="1" ht="23.1" customHeight="1">
      <c r="A89" s="105" t="s">
        <v>65</v>
      </c>
      <c r="B89" s="36">
        <f>COUNTIF('칠전리(출력5)'!$D$5:$D$526,"차")</f>
        <v>0</v>
      </c>
      <c r="C89" s="37" t="s">
        <v>5</v>
      </c>
      <c r="D89" s="212">
        <f>SUMIF('칠전리(출력5)'!$D$5:$D$526,"차",'칠전리(출력5)'!$G$5:$G$526)</f>
        <v>0</v>
      </c>
      <c r="E89" s="36" t="e">
        <f>COUNTIF('칠전리(출력5)'!#REF!,"차국")</f>
        <v>#REF!</v>
      </c>
      <c r="F89" s="37" t="s">
        <v>5</v>
      </c>
      <c r="G89" s="212" t="e">
        <f>SUMIF('칠전리(출력5)'!#REF!,"차국",'칠전리(출력5)'!$G$5:$G$526)</f>
        <v>#REF!</v>
      </c>
      <c r="H89" s="36" t="e">
        <f>COUNTIF('칠전리(출력5)'!#REF!,"차공")</f>
        <v>#REF!</v>
      </c>
      <c r="I89" s="37" t="s">
        <v>5</v>
      </c>
      <c r="J89" s="212" t="e">
        <f>SUMIF('칠전리(출력5)'!#REF!,"차공",'칠전리(출력5)'!$G$5:$G$526)</f>
        <v>#REF!</v>
      </c>
      <c r="K89" s="36" t="e">
        <f t="shared" si="4"/>
        <v>#REF!</v>
      </c>
      <c r="L89" s="37" t="s">
        <v>5</v>
      </c>
      <c r="M89" s="212" t="e">
        <f t="shared" si="5"/>
        <v>#REF!</v>
      </c>
      <c r="N89" s="39"/>
      <c r="O89" s="23"/>
      <c r="P89" s="23"/>
      <c r="Q89" s="23"/>
      <c r="R89" s="23"/>
      <c r="S89" s="23"/>
      <c r="T89" s="23"/>
      <c r="U89" s="23"/>
      <c r="V89" s="23"/>
    </row>
    <row r="90" spans="1:22" s="24" customFormat="1" ht="23.1" customHeight="1">
      <c r="A90" s="105" t="s">
        <v>70</v>
      </c>
      <c r="B90" s="36">
        <f>COUNTIF('칠전리(출력5)'!$D$5:$D$526,"창")</f>
        <v>1</v>
      </c>
      <c r="C90" s="37" t="s">
        <v>5</v>
      </c>
      <c r="D90" s="212">
        <f>SUMIF('칠전리(출력5)'!$D$5:$D$526,"창",'칠전리(출력5)'!$G$5:$G$526)</f>
        <v>16</v>
      </c>
      <c r="E90" s="36" t="e">
        <f>COUNTIF('칠전리(출력5)'!#REF!,"주국")</f>
        <v>#REF!</v>
      </c>
      <c r="F90" s="37" t="s">
        <v>5</v>
      </c>
      <c r="G90" s="212" t="e">
        <f>SUMIF('칠전리(출력5)'!#REF!,"주국",'칠전리(출력5)'!$G$5:$G$526)</f>
        <v>#REF!</v>
      </c>
      <c r="H90" s="36" t="e">
        <f>COUNTIF('칠전리(출력5)'!#REF!,"창공")</f>
        <v>#REF!</v>
      </c>
      <c r="I90" s="37" t="s">
        <v>5</v>
      </c>
      <c r="J90" s="212" t="e">
        <f>SUMIF('칠전리(출력5)'!#REF!,"창공",'칠전리(출력5)'!$G$5:$G$526)</f>
        <v>#REF!</v>
      </c>
      <c r="K90" s="36" t="e">
        <f t="shared" si="4"/>
        <v>#REF!</v>
      </c>
      <c r="L90" s="37" t="s">
        <v>5</v>
      </c>
      <c r="M90" s="212" t="e">
        <f t="shared" si="5"/>
        <v>#REF!</v>
      </c>
      <c r="N90" s="39"/>
      <c r="O90" s="23"/>
      <c r="P90" s="23"/>
      <c r="Q90" s="23"/>
      <c r="R90" s="23"/>
      <c r="S90" s="23"/>
      <c r="T90" s="23"/>
      <c r="U90" s="23"/>
      <c r="V90" s="23"/>
    </row>
    <row r="91" spans="1:22" s="24" customFormat="1" ht="23.1" customHeight="1">
      <c r="A91" s="106" t="s">
        <v>66</v>
      </c>
      <c r="B91" s="40">
        <f>COUNTIF('칠전리(출력5)'!$D$5:$D$526,"가")</f>
        <v>0</v>
      </c>
      <c r="C91" s="41" t="s">
        <v>5</v>
      </c>
      <c r="D91" s="213">
        <f>SUMIF('칠전리(출력5)'!$D$5:$D$526,"가",'칠전리(출력5)'!$G$5:$G$526)</f>
        <v>0</v>
      </c>
      <c r="E91" s="40" t="e">
        <f>COUNTIF('칠전리(출력5)'!#REF!," 국")</f>
        <v>#REF!</v>
      </c>
      <c r="F91" s="41" t="s">
        <v>5</v>
      </c>
      <c r="G91" s="213" t="e">
        <f>SUMIF('칠전리(출력5)'!#REF!," 국",'칠전리(출력5)'!$G$5:$G$526)</f>
        <v>#REF!</v>
      </c>
      <c r="H91" s="40" t="e">
        <f>COUNTIF('칠전리(출력5)'!#REF!," 공")</f>
        <v>#REF!</v>
      </c>
      <c r="I91" s="41" t="s">
        <v>5</v>
      </c>
      <c r="J91" s="213" t="e">
        <f>SUMIF('칠전리(출력5)'!#REF!," 공",'칠전리(출력5)'!$G$5:$G$526)</f>
        <v>#REF!</v>
      </c>
      <c r="K91" s="40" t="e">
        <f t="shared" si="4"/>
        <v>#REF!</v>
      </c>
      <c r="L91" s="41" t="s">
        <v>5</v>
      </c>
      <c r="M91" s="213" t="e">
        <f t="shared" si="5"/>
        <v>#REF!</v>
      </c>
      <c r="N91" s="43"/>
      <c r="O91" s="23"/>
      <c r="P91" s="23"/>
      <c r="Q91" s="23"/>
      <c r="R91" s="23"/>
      <c r="S91" s="23"/>
      <c r="T91" s="23"/>
      <c r="U91" s="23"/>
      <c r="V91" s="23"/>
    </row>
    <row r="92" spans="1:22" s="17" customFormat="1" ht="20.100000000000001" customHeight="1">
      <c r="A92" s="11" t="e">
        <f>IF(EXACT(O96,O97),,"검산확인요!!!")</f>
        <v>#REF!</v>
      </c>
      <c r="B92" s="12"/>
      <c r="C92" s="12"/>
      <c r="D92" s="12"/>
      <c r="E92" s="12"/>
      <c r="F92" s="12"/>
      <c r="G92" s="12"/>
      <c r="H92" s="12"/>
      <c r="I92" s="12"/>
      <c r="J92" s="12"/>
      <c r="K92" s="13" t="str">
        <f>IF(ISBLANK('마룡리(출력6)'!M2),,'마룡리(출력6)'!M2)</f>
        <v>서산시 부석면 마룡리</v>
      </c>
      <c r="L92" s="14"/>
      <c r="M92" s="15"/>
      <c r="N92" s="16"/>
    </row>
    <row r="93" spans="1:22" s="17" customFormat="1" ht="9.75" customHeight="1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1:22" s="24" customFormat="1" ht="27.95" customHeight="1">
      <c r="A94" s="199" t="s">
        <v>3</v>
      </c>
      <c r="B94" s="489" t="s">
        <v>2</v>
      </c>
      <c r="C94" s="490"/>
      <c r="D94" s="490"/>
      <c r="E94" s="214" t="s">
        <v>29</v>
      </c>
      <c r="F94" s="215"/>
      <c r="G94" s="216"/>
      <c r="H94" s="214" t="s">
        <v>57</v>
      </c>
      <c r="I94" s="215"/>
      <c r="J94" s="216"/>
      <c r="K94" s="214" t="s">
        <v>30</v>
      </c>
      <c r="L94" s="215"/>
      <c r="M94" s="216"/>
      <c r="N94" s="22" t="s">
        <v>31</v>
      </c>
      <c r="O94" s="23"/>
      <c r="S94" s="23"/>
      <c r="T94" s="23"/>
      <c r="U94" s="23"/>
      <c r="V94" s="23"/>
    </row>
    <row r="95" spans="1:22" s="24" customFormat="1" ht="27.95" customHeight="1">
      <c r="A95" s="25"/>
      <c r="B95" s="26" t="s">
        <v>4</v>
      </c>
      <c r="C95" s="27" t="s">
        <v>5</v>
      </c>
      <c r="D95" s="28" t="s">
        <v>32</v>
      </c>
      <c r="E95" s="185" t="s">
        <v>4</v>
      </c>
      <c r="F95" s="186" t="s">
        <v>5</v>
      </c>
      <c r="G95" s="184" t="s">
        <v>32</v>
      </c>
      <c r="H95" s="185" t="s">
        <v>4</v>
      </c>
      <c r="I95" s="186" t="s">
        <v>5</v>
      </c>
      <c r="J95" s="184" t="s">
        <v>32</v>
      </c>
      <c r="K95" s="185" t="s">
        <v>4</v>
      </c>
      <c r="L95" s="186" t="s">
        <v>5</v>
      </c>
      <c r="M95" s="184" t="s">
        <v>32</v>
      </c>
      <c r="N95" s="29"/>
      <c r="P95" s="23"/>
      <c r="Q95" s="30" t="s">
        <v>33</v>
      </c>
      <c r="R95" s="30" t="s">
        <v>34</v>
      </c>
      <c r="S95" s="30" t="s">
        <v>35</v>
      </c>
      <c r="T95" s="30" t="s">
        <v>36</v>
      </c>
      <c r="U95" s="23"/>
      <c r="V95" s="23"/>
    </row>
    <row r="96" spans="1:22" s="24" customFormat="1" ht="23.1" customHeight="1">
      <c r="A96" s="103" t="s">
        <v>2</v>
      </c>
      <c r="B96" s="31">
        <f>SUM(B97:B121)</f>
        <v>123</v>
      </c>
      <c r="C96" s="32" t="s">
        <v>5</v>
      </c>
      <c r="D96" s="211">
        <f>SUM(D97:D121)</f>
        <v>124209.39999999997</v>
      </c>
      <c r="E96" s="31" t="e">
        <f>SUM(E97:E121)</f>
        <v>#REF!</v>
      </c>
      <c r="F96" s="32" t="s">
        <v>5</v>
      </c>
      <c r="G96" s="211" t="e">
        <f>SUM(G97:G121)</f>
        <v>#REF!</v>
      </c>
      <c r="H96" s="31" t="e">
        <f>SUM(H97:H121)</f>
        <v>#REF!</v>
      </c>
      <c r="I96" s="32" t="s">
        <v>5</v>
      </c>
      <c r="J96" s="211" t="e">
        <f>SUM(J97:J121)</f>
        <v>#REF!</v>
      </c>
      <c r="K96" s="31" t="e">
        <f>SUM(K97:K121)</f>
        <v>#REF!</v>
      </c>
      <c r="L96" s="32" t="s">
        <v>5</v>
      </c>
      <c r="M96" s="211" t="e">
        <f>SUM(M97:M121)</f>
        <v>#REF!</v>
      </c>
      <c r="N96" s="34"/>
      <c r="O96" s="23" t="e">
        <f>IF(EXACT(Q96,T96),"맞음","틀림")</f>
        <v>#REF!</v>
      </c>
      <c r="P96" s="23" t="s">
        <v>4</v>
      </c>
      <c r="Q96" s="35">
        <f>SUM(B97:B121)</f>
        <v>123</v>
      </c>
      <c r="R96" s="35" t="e">
        <f>SUM(E97:E121)</f>
        <v>#REF!</v>
      </c>
      <c r="S96" s="35" t="e">
        <f>SUM(K97:K121)</f>
        <v>#REF!</v>
      </c>
      <c r="T96" s="35" t="e">
        <f>K96+E96</f>
        <v>#REF!</v>
      </c>
      <c r="U96" s="23"/>
      <c r="V96" s="23"/>
    </row>
    <row r="97" spans="1:22" s="24" customFormat="1" ht="23.1" customHeight="1">
      <c r="A97" s="104" t="s">
        <v>7</v>
      </c>
      <c r="B97" s="36">
        <f>COUNTIF('마룡리(출력6)'!$D$5:$D$590,"전")</f>
        <v>7</v>
      </c>
      <c r="C97" s="37" t="s">
        <v>5</v>
      </c>
      <c r="D97" s="212">
        <f>SUMIF('마룡리(출력6)'!$D$5:$D$590,"전",'마룡리(출력6)'!$G$5:$G$590)</f>
        <v>3505</v>
      </c>
      <c r="E97" s="36" t="e">
        <f>COUNTIF('마룡리(출력6)'!#REF!,"전국")</f>
        <v>#REF!</v>
      </c>
      <c r="F97" s="37" t="s">
        <v>5</v>
      </c>
      <c r="G97" s="212" t="e">
        <f>SUMIF('마룡리(출력6)'!#REF!,"전국",'마룡리(출력6)'!$G$5:$G$590)</f>
        <v>#REF!</v>
      </c>
      <c r="H97" s="36" t="e">
        <f>COUNTIF('마룡리(출력6)'!#REF!,"전공")</f>
        <v>#REF!</v>
      </c>
      <c r="I97" s="37" t="s">
        <v>5</v>
      </c>
      <c r="J97" s="212" t="e">
        <f>SUMIF('마룡리(출력6)'!#REF!,"전공",'마룡리(출력6)'!$G$5:$G$590)</f>
        <v>#REF!</v>
      </c>
      <c r="K97" s="36" t="e">
        <f t="shared" ref="K97:K121" si="6">SUM(B97-E97-H97)</f>
        <v>#REF!</v>
      </c>
      <c r="L97" s="37" t="s">
        <v>5</v>
      </c>
      <c r="M97" s="212" t="e">
        <f t="shared" ref="M97:M121" si="7">SUM(D97-G97-J97)</f>
        <v>#REF!</v>
      </c>
      <c r="N97" s="39"/>
      <c r="O97" s="23" t="e">
        <f>IF(EXACT(Q97,T97),"맞음","틀림")</f>
        <v>#REF!</v>
      </c>
      <c r="P97" s="23" t="s">
        <v>37</v>
      </c>
      <c r="Q97" s="35">
        <f>SUM(D97:D121)</f>
        <v>124209.39999999997</v>
      </c>
      <c r="R97" s="35" t="e">
        <f>SUM(G97:G121)</f>
        <v>#REF!</v>
      </c>
      <c r="S97" s="35" t="e">
        <f>SUM(M97:M121)</f>
        <v>#REF!</v>
      </c>
      <c r="T97" s="35" t="e">
        <f>G96+M96</f>
        <v>#REF!</v>
      </c>
      <c r="U97" s="23"/>
      <c r="V97" s="23"/>
    </row>
    <row r="98" spans="1:22" s="24" customFormat="1" ht="23.1" customHeight="1">
      <c r="A98" s="104" t="s">
        <v>8</v>
      </c>
      <c r="B98" s="36">
        <f>COUNTIF('마룡리(출력6)'!$D$5:$D$590,"답")</f>
        <v>44</v>
      </c>
      <c r="C98" s="37" t="s">
        <v>5</v>
      </c>
      <c r="D98" s="212">
        <f>SUMIF('마룡리(출력6)'!$D$5:$D$590,"답",'마룡리(출력6)'!$G$5:$G$590)</f>
        <v>46694.599999999984</v>
      </c>
      <c r="E98" s="36" t="e">
        <f>COUNTIF('마룡리(출력6)'!#REF!,"답국")</f>
        <v>#REF!</v>
      </c>
      <c r="F98" s="37" t="s">
        <v>5</v>
      </c>
      <c r="G98" s="212" t="e">
        <f>SUMIF('마룡리(출력6)'!#REF!,"답국",'마룡리(출력6)'!$G$5:$G$590)</f>
        <v>#REF!</v>
      </c>
      <c r="H98" s="36" t="e">
        <f>COUNTIF('마룡리(출력6)'!#REF!,"답공")</f>
        <v>#REF!</v>
      </c>
      <c r="I98" s="37" t="s">
        <v>5</v>
      </c>
      <c r="J98" s="212" t="e">
        <f>SUMIF('마룡리(출력6)'!#REF!,"답공",'마룡리(출력6)'!$G$5:$G$590)</f>
        <v>#REF!</v>
      </c>
      <c r="K98" s="36" t="e">
        <f t="shared" si="6"/>
        <v>#REF!</v>
      </c>
      <c r="L98" s="37" t="s">
        <v>5</v>
      </c>
      <c r="M98" s="212" t="e">
        <f t="shared" si="7"/>
        <v>#REF!</v>
      </c>
      <c r="N98" s="39"/>
      <c r="Q98" s="23"/>
      <c r="S98" s="23"/>
      <c r="U98" s="23"/>
      <c r="V98" s="23"/>
    </row>
    <row r="99" spans="1:22" s="24" customFormat="1" ht="23.1" customHeight="1">
      <c r="A99" s="104" t="s">
        <v>9</v>
      </c>
      <c r="B99" s="36">
        <f>COUNTIF('마룡리(출력6)'!$D$5:$D$590,"임")</f>
        <v>41</v>
      </c>
      <c r="C99" s="37" t="s">
        <v>5</v>
      </c>
      <c r="D99" s="212">
        <f>SUMIF('마룡리(출력6)'!$D$5:$D$590,"임",'마룡리(출력6)'!$G$5:$G$590)</f>
        <v>49066</v>
      </c>
      <c r="E99" s="36" t="e">
        <f>COUNTIF('마룡리(출력6)'!#REF!,"임국")</f>
        <v>#REF!</v>
      </c>
      <c r="F99" s="37" t="s">
        <v>5</v>
      </c>
      <c r="G99" s="212" t="e">
        <f>SUMIF('마룡리(출력6)'!#REF!,"임국",'마룡리(출력6)'!$G$5:$G$590)</f>
        <v>#REF!</v>
      </c>
      <c r="H99" s="36" t="e">
        <f>COUNTIF('마룡리(출력6)'!#REF!,"임공")</f>
        <v>#REF!</v>
      </c>
      <c r="I99" s="37" t="s">
        <v>5</v>
      </c>
      <c r="J99" s="212" t="e">
        <f>SUMIF('마룡리(출력6)'!#REF!,"임공",'마룡리(출력6)'!$G$5:$G$590)</f>
        <v>#REF!</v>
      </c>
      <c r="K99" s="36" t="e">
        <f t="shared" si="6"/>
        <v>#REF!</v>
      </c>
      <c r="L99" s="37" t="s">
        <v>5</v>
      </c>
      <c r="M99" s="212" t="e">
        <f t="shared" si="7"/>
        <v>#REF!</v>
      </c>
      <c r="N99" s="39"/>
      <c r="Q99" s="23"/>
      <c r="S99" s="23"/>
      <c r="U99" s="23"/>
      <c r="V99" s="23"/>
    </row>
    <row r="100" spans="1:22" s="24" customFormat="1" ht="23.1" customHeight="1">
      <c r="A100" s="104" t="s">
        <v>10</v>
      </c>
      <c r="B100" s="36">
        <f>COUNTIF('마룡리(출력6)'!$D$5:$D$590,"대")</f>
        <v>1</v>
      </c>
      <c r="C100" s="37" t="s">
        <v>5</v>
      </c>
      <c r="D100" s="212">
        <f>SUMIF('마룡리(출력6)'!$D$5:$D$590,"대",'마룡리(출력6)'!$G$5:$G$590)</f>
        <v>61</v>
      </c>
      <c r="E100" s="36" t="e">
        <f>COUNTIF('마룡리(출력6)'!#REF!,"대국")</f>
        <v>#REF!</v>
      </c>
      <c r="F100" s="37" t="s">
        <v>5</v>
      </c>
      <c r="G100" s="212" t="e">
        <f>SUMIF('마룡리(출력6)'!#REF!,"대국",'마룡리(출력6)'!$G$5:$G$590)</f>
        <v>#REF!</v>
      </c>
      <c r="H100" s="36" t="e">
        <f>COUNTIF('마룡리(출력6)'!#REF!,"대공")</f>
        <v>#REF!</v>
      </c>
      <c r="I100" s="37" t="s">
        <v>5</v>
      </c>
      <c r="J100" s="212" t="e">
        <f>SUMIF('마룡리(출력6)'!#REF!,"대공",'마룡리(출력6)'!$G$5:$G$590)</f>
        <v>#REF!</v>
      </c>
      <c r="K100" s="36" t="e">
        <f t="shared" si="6"/>
        <v>#REF!</v>
      </c>
      <c r="L100" s="37" t="s">
        <v>5</v>
      </c>
      <c r="M100" s="212" t="e">
        <f t="shared" si="7"/>
        <v>#REF!</v>
      </c>
      <c r="N100" s="39"/>
      <c r="O100" s="23"/>
      <c r="P100" s="23"/>
      <c r="Q100" s="23"/>
      <c r="R100" s="23"/>
      <c r="S100" s="23"/>
      <c r="T100" s="23"/>
      <c r="U100" s="23"/>
      <c r="V100" s="23"/>
    </row>
    <row r="101" spans="1:22" s="24" customFormat="1" ht="23.1" customHeight="1">
      <c r="A101" s="104" t="s">
        <v>11</v>
      </c>
      <c r="B101" s="36">
        <f>COUNTIF('마룡리(출력6)'!$D$5:$D$590,"도")</f>
        <v>20</v>
      </c>
      <c r="C101" s="37" t="s">
        <v>5</v>
      </c>
      <c r="D101" s="212">
        <f>SUMIF('마룡리(출력6)'!$D$5:$D$590,"도",'마룡리(출력6)'!$G$5:$G$590)</f>
        <v>21503.9</v>
      </c>
      <c r="E101" s="36" t="e">
        <f>COUNTIF('마룡리(출력6)'!#REF!,"도국")</f>
        <v>#REF!</v>
      </c>
      <c r="F101" s="37" t="s">
        <v>5</v>
      </c>
      <c r="G101" s="212" t="e">
        <f>SUMIF('마룡리(출력6)'!#REF!,"도국",'마룡리(출력6)'!$G$5:$G$590)</f>
        <v>#REF!</v>
      </c>
      <c r="H101" s="36" t="e">
        <f>COUNTIF('마룡리(출력6)'!#REF!,"도공")</f>
        <v>#REF!</v>
      </c>
      <c r="I101" s="37" t="s">
        <v>5</v>
      </c>
      <c r="J101" s="212" t="e">
        <f>SUMIF('마룡리(출력6)'!#REF!,"도공",'마룡리(출력6)'!$G$5:$G$590)</f>
        <v>#REF!</v>
      </c>
      <c r="K101" s="36" t="e">
        <f t="shared" si="6"/>
        <v>#REF!</v>
      </c>
      <c r="L101" s="37" t="s">
        <v>5</v>
      </c>
      <c r="M101" s="212" t="e">
        <f t="shared" si="7"/>
        <v>#REF!</v>
      </c>
      <c r="N101" s="39"/>
      <c r="O101" s="23"/>
      <c r="P101" s="23"/>
      <c r="Q101" s="23"/>
      <c r="R101" s="23"/>
      <c r="S101" s="23"/>
      <c r="T101" s="23"/>
      <c r="U101" s="23"/>
      <c r="V101" s="23"/>
    </row>
    <row r="102" spans="1:22" s="24" customFormat="1" ht="23.1" customHeight="1">
      <c r="A102" s="104" t="s">
        <v>12</v>
      </c>
      <c r="B102" s="36">
        <f>COUNTIF('마룡리(출력6)'!$D$5:$D$590,"구")</f>
        <v>7</v>
      </c>
      <c r="C102" s="37" t="s">
        <v>5</v>
      </c>
      <c r="D102" s="212">
        <f>SUMIF('마룡리(출력6)'!$D$5:$D$590,"구",'마룡리(출력6)'!$G$5:$G$590)</f>
        <v>2679</v>
      </c>
      <c r="E102" s="36" t="e">
        <f>COUNTIF('마룡리(출력6)'!#REF!,"구국")</f>
        <v>#REF!</v>
      </c>
      <c r="F102" s="37" t="s">
        <v>5</v>
      </c>
      <c r="G102" s="212" t="e">
        <f>SUMIF('마룡리(출력6)'!#REF!,"구국",'마룡리(출력6)'!$G$5:$G$590)</f>
        <v>#REF!</v>
      </c>
      <c r="H102" s="36" t="e">
        <f>COUNTIF('마룡리(출력6)'!#REF!,"구공")</f>
        <v>#REF!</v>
      </c>
      <c r="I102" s="37" t="s">
        <v>5</v>
      </c>
      <c r="J102" s="212" t="e">
        <f>SUMIF('마룡리(출력6)'!#REF!,"구공",'마룡리(출력6)'!$G$5:$G$590)</f>
        <v>#REF!</v>
      </c>
      <c r="K102" s="36" t="e">
        <f t="shared" si="6"/>
        <v>#REF!</v>
      </c>
      <c r="L102" s="37" t="s">
        <v>5</v>
      </c>
      <c r="M102" s="212" t="e">
        <f t="shared" si="7"/>
        <v>#REF!</v>
      </c>
      <c r="N102" s="39"/>
      <c r="O102" s="23"/>
      <c r="P102" s="23"/>
      <c r="Q102" s="23"/>
      <c r="R102" s="23"/>
      <c r="S102" s="23"/>
      <c r="T102" s="23"/>
      <c r="U102" s="23"/>
      <c r="V102" s="23"/>
    </row>
    <row r="103" spans="1:22" s="24" customFormat="1" ht="23.1" customHeight="1">
      <c r="A103" s="104" t="s">
        <v>13</v>
      </c>
      <c r="B103" s="36">
        <f>COUNTIF('마룡리(출력6)'!$D$5:$D$590,"천")</f>
        <v>1</v>
      </c>
      <c r="C103" s="37" t="s">
        <v>5</v>
      </c>
      <c r="D103" s="212">
        <f>SUMIF('마룡리(출력6)'!$D$5:$D$590,"천",'마룡리(출력6)'!$G$5:$G$590)</f>
        <v>597.9</v>
      </c>
      <c r="E103" s="36" t="e">
        <f>COUNTIF('마룡리(출력6)'!#REF!,"천국")</f>
        <v>#REF!</v>
      </c>
      <c r="F103" s="37" t="s">
        <v>5</v>
      </c>
      <c r="G103" s="212" t="e">
        <f>SUMIF('마룡리(출력6)'!#REF!,"천국",'마룡리(출력6)'!$G$5:$G$590)</f>
        <v>#REF!</v>
      </c>
      <c r="H103" s="36" t="e">
        <f>COUNTIF('마룡리(출력6)'!#REF!,"천공")</f>
        <v>#REF!</v>
      </c>
      <c r="I103" s="37" t="s">
        <v>5</v>
      </c>
      <c r="J103" s="212" t="e">
        <f>SUMIF('마룡리(출력6)'!#REF!,"천공",'마룡리(출력6)'!$G$5:$G$590)</f>
        <v>#REF!</v>
      </c>
      <c r="K103" s="36" t="e">
        <f t="shared" si="6"/>
        <v>#REF!</v>
      </c>
      <c r="L103" s="37" t="s">
        <v>5</v>
      </c>
      <c r="M103" s="212" t="e">
        <f t="shared" si="7"/>
        <v>#REF!</v>
      </c>
      <c r="N103" s="39"/>
      <c r="O103" s="23"/>
      <c r="P103" s="23"/>
      <c r="Q103" s="23"/>
      <c r="R103" s="23"/>
      <c r="S103" s="23"/>
      <c r="T103" s="23"/>
      <c r="U103" s="23"/>
      <c r="V103" s="23"/>
    </row>
    <row r="104" spans="1:22" s="24" customFormat="1" ht="23.1" customHeight="1">
      <c r="A104" s="104" t="s">
        <v>14</v>
      </c>
      <c r="B104" s="36">
        <f>COUNTIF('마룡리(출력6)'!$D$5:$D$590,"유")</f>
        <v>0</v>
      </c>
      <c r="C104" s="37" t="s">
        <v>5</v>
      </c>
      <c r="D104" s="212">
        <f>SUMIF('마룡리(출력6)'!$D$5:$D$590,"유",'마룡리(출력6)'!$G$5:$G$590)</f>
        <v>0</v>
      </c>
      <c r="E104" s="36" t="e">
        <f>COUNTIF('마룡리(출력6)'!#REF!,"유국")</f>
        <v>#REF!</v>
      </c>
      <c r="F104" s="37" t="s">
        <v>5</v>
      </c>
      <c r="G104" s="212" t="e">
        <f>SUMIF('마룡리(출력6)'!#REF!,"유국",'마룡리(출력6)'!$G$5:$G$590)</f>
        <v>#REF!</v>
      </c>
      <c r="H104" s="36" t="e">
        <f>COUNTIF('마룡리(출력6)'!#REF!,"유공")</f>
        <v>#REF!</v>
      </c>
      <c r="I104" s="37" t="s">
        <v>5</v>
      </c>
      <c r="J104" s="212" t="e">
        <f>SUMIF('마룡리(출력6)'!#REF!,"유공",'마룡리(출력6)'!$G$5:$G$590)</f>
        <v>#REF!</v>
      </c>
      <c r="K104" s="36" t="e">
        <f t="shared" si="6"/>
        <v>#REF!</v>
      </c>
      <c r="L104" s="37" t="s">
        <v>5</v>
      </c>
      <c r="M104" s="212" t="e">
        <f t="shared" si="7"/>
        <v>#REF!</v>
      </c>
      <c r="N104" s="39"/>
      <c r="O104" s="23"/>
      <c r="P104" s="23"/>
      <c r="Q104" s="23"/>
      <c r="R104" s="23"/>
      <c r="S104" s="23"/>
      <c r="T104" s="23"/>
      <c r="U104" s="23"/>
      <c r="V104" s="23"/>
    </row>
    <row r="105" spans="1:22" s="24" customFormat="1" ht="23.1" customHeight="1">
      <c r="A105" s="104" t="s">
        <v>15</v>
      </c>
      <c r="B105" s="36">
        <f>COUNTIF('마룡리(출력6)'!$D$5:$D$590,"제")</f>
        <v>0</v>
      </c>
      <c r="C105" s="37" t="s">
        <v>5</v>
      </c>
      <c r="D105" s="212">
        <f>SUMIF('마룡리(출력6)'!$D$5:$D$590,"제",'마룡리(출력6)'!$G$5:$G$590)</f>
        <v>0</v>
      </c>
      <c r="E105" s="36" t="e">
        <f>COUNTIF('마룡리(출력6)'!#REF!,"제국")</f>
        <v>#REF!</v>
      </c>
      <c r="F105" s="37" t="s">
        <v>5</v>
      </c>
      <c r="G105" s="212" t="e">
        <f>SUMIF('마룡리(출력6)'!#REF!,"제국",'마룡리(출력6)'!$G$5:$G$590)</f>
        <v>#REF!</v>
      </c>
      <c r="H105" s="36" t="e">
        <f>COUNTIF('마룡리(출력6)'!#REF!,"제공")</f>
        <v>#REF!</v>
      </c>
      <c r="I105" s="37" t="s">
        <v>5</v>
      </c>
      <c r="J105" s="212" t="e">
        <f>SUMIF('마룡리(출력6)'!#REF!,"제공",'마룡리(출력6)'!$G$5:$G$590)</f>
        <v>#REF!</v>
      </c>
      <c r="K105" s="36" t="e">
        <f t="shared" si="6"/>
        <v>#REF!</v>
      </c>
      <c r="L105" s="37" t="s">
        <v>5</v>
      </c>
      <c r="M105" s="212" t="e">
        <f t="shared" si="7"/>
        <v>#REF!</v>
      </c>
      <c r="N105" s="39"/>
      <c r="O105" s="23"/>
      <c r="P105" s="23"/>
      <c r="Q105" s="23"/>
      <c r="R105" s="23"/>
      <c r="S105" s="23"/>
      <c r="T105" s="23"/>
      <c r="U105" s="23"/>
      <c r="V105" s="23"/>
    </row>
    <row r="106" spans="1:22" s="24" customFormat="1" ht="23.1" customHeight="1">
      <c r="A106" s="104" t="s">
        <v>16</v>
      </c>
      <c r="B106" s="36">
        <f>COUNTIF('마룡리(출력6)'!$D$5:$D$590,"과")</f>
        <v>0</v>
      </c>
      <c r="C106" s="37" t="s">
        <v>5</v>
      </c>
      <c r="D106" s="212">
        <f>SUMIF('마룡리(출력6)'!$D$5:$D$590,"과",'마룡리(출력6)'!$G$5:$G$590)</f>
        <v>0</v>
      </c>
      <c r="E106" s="36" t="e">
        <f>COUNTIF('마룡리(출력6)'!#REF!,"과국")</f>
        <v>#REF!</v>
      </c>
      <c r="F106" s="37" t="s">
        <v>5</v>
      </c>
      <c r="G106" s="212" t="e">
        <f>SUMIF('마룡리(출력6)'!#REF!,"과국",'마룡리(출력6)'!$G$5:$G$590)</f>
        <v>#REF!</v>
      </c>
      <c r="H106" s="36" t="e">
        <f>COUNTIF('마룡리(출력6)'!#REF!,"과공")</f>
        <v>#REF!</v>
      </c>
      <c r="I106" s="37" t="s">
        <v>5</v>
      </c>
      <c r="J106" s="212" t="e">
        <f>SUMIF('마룡리(출력6)'!#REF!,"과공",'마룡리(출력6)'!$G$5:$G$590)</f>
        <v>#REF!</v>
      </c>
      <c r="K106" s="36" t="e">
        <f t="shared" si="6"/>
        <v>#REF!</v>
      </c>
      <c r="L106" s="37" t="s">
        <v>5</v>
      </c>
      <c r="M106" s="212" t="e">
        <f t="shared" si="7"/>
        <v>#REF!</v>
      </c>
      <c r="N106" s="39"/>
      <c r="O106" s="23"/>
      <c r="P106" s="23"/>
      <c r="Q106" s="23"/>
      <c r="R106" s="23"/>
      <c r="S106" s="23"/>
      <c r="T106" s="23"/>
      <c r="U106" s="23"/>
      <c r="V106" s="23"/>
    </row>
    <row r="107" spans="1:22" s="24" customFormat="1" ht="23.1" customHeight="1">
      <c r="A107" s="104" t="s">
        <v>17</v>
      </c>
      <c r="B107" s="36">
        <f>COUNTIF('마룡리(출력6)'!$D$5:$D$590,"장")</f>
        <v>0</v>
      </c>
      <c r="C107" s="37" t="s">
        <v>5</v>
      </c>
      <c r="D107" s="212">
        <f>SUMIF('마룡리(출력6)'!$D$5:$D$590,"장",'마룡리(출력6)'!$G$5:$G$590)</f>
        <v>0</v>
      </c>
      <c r="E107" s="36" t="e">
        <f>COUNTIF('마룡리(출력6)'!#REF!,"장국")</f>
        <v>#REF!</v>
      </c>
      <c r="F107" s="37" t="s">
        <v>5</v>
      </c>
      <c r="G107" s="212" t="e">
        <f>SUMIF('마룡리(출력6)'!#REF!,"장국",'마룡리(출력6)'!$G$5:$G$590)</f>
        <v>#REF!</v>
      </c>
      <c r="H107" s="36" t="e">
        <f>COUNTIF('마룡리(출력6)'!#REF!,"장공")</f>
        <v>#REF!</v>
      </c>
      <c r="I107" s="37" t="s">
        <v>5</v>
      </c>
      <c r="J107" s="212" t="e">
        <f>SUMIF('마룡리(출력6)'!#REF!,"장공",'마룡리(출력6)'!$G$5:$G$590)</f>
        <v>#REF!</v>
      </c>
      <c r="K107" s="36" t="e">
        <f t="shared" si="6"/>
        <v>#REF!</v>
      </c>
      <c r="L107" s="37" t="s">
        <v>5</v>
      </c>
      <c r="M107" s="212" t="e">
        <f t="shared" si="7"/>
        <v>#REF!</v>
      </c>
      <c r="N107" s="39"/>
      <c r="O107" s="23"/>
      <c r="P107" s="23"/>
      <c r="Q107" s="23"/>
      <c r="R107" s="23"/>
      <c r="S107" s="23"/>
      <c r="T107" s="23"/>
      <c r="U107" s="23"/>
      <c r="V107" s="23"/>
    </row>
    <row r="108" spans="1:22" s="24" customFormat="1" ht="23.1" customHeight="1">
      <c r="A108" s="104" t="s">
        <v>18</v>
      </c>
      <c r="B108" s="36">
        <f>COUNTIF('마룡리(출력6)'!$D$5:$D$590,"목")</f>
        <v>0</v>
      </c>
      <c r="C108" s="37" t="s">
        <v>5</v>
      </c>
      <c r="D108" s="212">
        <f>SUMIF('마룡리(출력6)'!$D$5:$D$590,"목",'마룡리(출력6)'!$G$5:$G$590)</f>
        <v>0</v>
      </c>
      <c r="E108" s="36" t="e">
        <f>COUNTIF('마룡리(출력6)'!#REF!,"목국")</f>
        <v>#REF!</v>
      </c>
      <c r="F108" s="37" t="s">
        <v>5</v>
      </c>
      <c r="G108" s="212" t="e">
        <f>SUMIF('마룡리(출력6)'!#REF!,"목국",'마룡리(출력6)'!$G$5:$G$590)</f>
        <v>#REF!</v>
      </c>
      <c r="H108" s="36" t="e">
        <f>COUNTIF('마룡리(출력6)'!#REF!,"목공")</f>
        <v>#REF!</v>
      </c>
      <c r="I108" s="37" t="s">
        <v>5</v>
      </c>
      <c r="J108" s="212" t="e">
        <f>SUMIF('마룡리(출력6)'!#REF!,"목공",'마룡리(출력6)'!$G$5:$G$590)</f>
        <v>#REF!</v>
      </c>
      <c r="K108" s="36" t="e">
        <f t="shared" si="6"/>
        <v>#REF!</v>
      </c>
      <c r="L108" s="37" t="s">
        <v>5</v>
      </c>
      <c r="M108" s="212" t="e">
        <f t="shared" si="7"/>
        <v>#REF!</v>
      </c>
      <c r="N108" s="39"/>
      <c r="O108" s="23"/>
      <c r="P108" s="23"/>
      <c r="Q108" s="23"/>
      <c r="R108" s="23"/>
      <c r="S108" s="23"/>
      <c r="T108" s="23"/>
      <c r="U108" s="23"/>
      <c r="V108" s="23"/>
    </row>
    <row r="109" spans="1:22" s="24" customFormat="1" ht="23.1" customHeight="1">
      <c r="A109" s="104" t="s">
        <v>19</v>
      </c>
      <c r="B109" s="36">
        <f>COUNTIF('마룡리(출력6)'!$D$5:$D$590,"학")</f>
        <v>0</v>
      </c>
      <c r="C109" s="37" t="s">
        <v>5</v>
      </c>
      <c r="D109" s="212">
        <f>SUMIF('마룡리(출력6)'!$D$5:$D$590,"학",'마룡리(출력6)'!$G$5:$G$590)</f>
        <v>0</v>
      </c>
      <c r="E109" s="36" t="e">
        <f>COUNTIF('마룡리(출력6)'!#REF!,"학국")</f>
        <v>#REF!</v>
      </c>
      <c r="F109" s="37" t="s">
        <v>5</v>
      </c>
      <c r="G109" s="212" t="e">
        <f>SUMIF('마룡리(출력6)'!#REF!,"학국",'마룡리(출력6)'!$G$5:$G$590)</f>
        <v>#REF!</v>
      </c>
      <c r="H109" s="36" t="e">
        <f>COUNTIF('마룡리(출력6)'!#REF!,"학공")</f>
        <v>#REF!</v>
      </c>
      <c r="I109" s="37" t="s">
        <v>5</v>
      </c>
      <c r="J109" s="212" t="e">
        <f>SUMIF('마룡리(출력6)'!#REF!,"학공",'마룡리(출력6)'!$G$5:$G$590)</f>
        <v>#REF!</v>
      </c>
      <c r="K109" s="36" t="e">
        <f t="shared" si="6"/>
        <v>#REF!</v>
      </c>
      <c r="L109" s="37" t="s">
        <v>5</v>
      </c>
      <c r="M109" s="212" t="e">
        <f t="shared" si="7"/>
        <v>#REF!</v>
      </c>
      <c r="N109" s="39"/>
      <c r="O109" s="23"/>
      <c r="P109" s="23"/>
      <c r="Q109" s="23"/>
      <c r="R109" s="23"/>
      <c r="S109" s="23"/>
      <c r="T109" s="23"/>
      <c r="U109" s="23"/>
      <c r="V109" s="23"/>
    </row>
    <row r="110" spans="1:22" s="24" customFormat="1" ht="23.1" customHeight="1">
      <c r="A110" s="104" t="s">
        <v>20</v>
      </c>
      <c r="B110" s="36">
        <f>COUNTIF('마룡리(출력6)'!$D$5:$D$590,"철")</f>
        <v>0</v>
      </c>
      <c r="C110" s="37" t="s">
        <v>5</v>
      </c>
      <c r="D110" s="212">
        <f>SUMIF('마룡리(출력6)'!$D$5:$D$590,"철",'마룡리(출력6)'!$G$5:$G$590)</f>
        <v>0</v>
      </c>
      <c r="E110" s="36" t="e">
        <f>COUNTIF('마룡리(출력6)'!#REF!,"철국")</f>
        <v>#REF!</v>
      </c>
      <c r="F110" s="37" t="s">
        <v>5</v>
      </c>
      <c r="G110" s="212" t="e">
        <f>SUMIF('마룡리(출력6)'!#REF!,"철국",'마룡리(출력6)'!$G$5:$G$590)</f>
        <v>#REF!</v>
      </c>
      <c r="H110" s="36" t="e">
        <f>COUNTIF('마룡리(출력6)'!#REF!,"철공")</f>
        <v>#REF!</v>
      </c>
      <c r="I110" s="37" t="s">
        <v>5</v>
      </c>
      <c r="J110" s="212" t="e">
        <f>SUMIF('마룡리(출력6)'!#REF!,"철공",'마룡리(출력6)'!$G$5:$G$590)</f>
        <v>#REF!</v>
      </c>
      <c r="K110" s="36" t="e">
        <f t="shared" si="6"/>
        <v>#REF!</v>
      </c>
      <c r="L110" s="37" t="s">
        <v>5</v>
      </c>
      <c r="M110" s="212" t="e">
        <f t="shared" si="7"/>
        <v>#REF!</v>
      </c>
      <c r="N110" s="39"/>
      <c r="O110" s="23"/>
      <c r="P110" s="23"/>
      <c r="Q110" s="23"/>
      <c r="R110" s="23"/>
      <c r="S110" s="23"/>
      <c r="T110" s="23"/>
      <c r="U110" s="23"/>
      <c r="V110" s="23"/>
    </row>
    <row r="111" spans="1:22" s="24" customFormat="1" ht="23.1" customHeight="1">
      <c r="A111" s="104" t="s">
        <v>21</v>
      </c>
      <c r="B111" s="36">
        <f>COUNTIF('마룡리(출력6)'!$D$5:$D$590,"묘")</f>
        <v>0</v>
      </c>
      <c r="C111" s="37" t="s">
        <v>5</v>
      </c>
      <c r="D111" s="212">
        <f>SUMIF('마룡리(출력6)'!$D$5:$D$590,"묘",'마룡리(출력6)'!$G$5:$G$590)</f>
        <v>0</v>
      </c>
      <c r="E111" s="36" t="e">
        <f>COUNTIF('마룡리(출력6)'!#REF!,"묘국")</f>
        <v>#REF!</v>
      </c>
      <c r="F111" s="37" t="s">
        <v>5</v>
      </c>
      <c r="G111" s="212" t="e">
        <f>SUMIF('마룡리(출력6)'!#REF!,"묘국",'마룡리(출력6)'!$G$5:$G$590)</f>
        <v>#REF!</v>
      </c>
      <c r="H111" s="36" t="e">
        <f>COUNTIF('마룡리(출력6)'!#REF!,"묘공")</f>
        <v>#REF!</v>
      </c>
      <c r="I111" s="37" t="s">
        <v>5</v>
      </c>
      <c r="J111" s="212" t="e">
        <f>SUMIF('마룡리(출력6)'!#REF!,"묘공",'마룡리(출력6)'!$G$5:$G$590)</f>
        <v>#REF!</v>
      </c>
      <c r="K111" s="36" t="e">
        <f t="shared" si="6"/>
        <v>#REF!</v>
      </c>
      <c r="L111" s="37" t="s">
        <v>5</v>
      </c>
      <c r="M111" s="212" t="e">
        <f t="shared" si="7"/>
        <v>#REF!</v>
      </c>
      <c r="N111" s="39"/>
      <c r="O111" s="23"/>
      <c r="P111" s="23"/>
      <c r="Q111" s="23"/>
      <c r="R111" s="23"/>
      <c r="S111" s="23"/>
      <c r="T111" s="23"/>
      <c r="U111" s="23"/>
      <c r="V111" s="23"/>
    </row>
    <row r="112" spans="1:22" s="24" customFormat="1" ht="23.1" customHeight="1">
      <c r="A112" s="104" t="s">
        <v>22</v>
      </c>
      <c r="B112" s="36">
        <f>COUNTIF('마룡리(출력6)'!$D$5:$D$590,"수")</f>
        <v>0</v>
      </c>
      <c r="C112" s="37" t="s">
        <v>5</v>
      </c>
      <c r="D112" s="212">
        <f>SUMIF('마룡리(출력6)'!$D$5:$D$590,"수",'마룡리(출력6)'!$G$5:$G$590)</f>
        <v>0</v>
      </c>
      <c r="E112" s="36" t="e">
        <f>COUNTIF('마룡리(출력6)'!#REF!,"수국")</f>
        <v>#REF!</v>
      </c>
      <c r="F112" s="37" t="s">
        <v>5</v>
      </c>
      <c r="G112" s="212" t="e">
        <f>SUMIF('마룡리(출력6)'!#REF!,"수국",'마룡리(출력6)'!$G$5:$G$590)</f>
        <v>#REF!</v>
      </c>
      <c r="H112" s="36" t="e">
        <f>COUNTIF('마룡리(출력6)'!#REF!,"수공")</f>
        <v>#REF!</v>
      </c>
      <c r="I112" s="37" t="s">
        <v>5</v>
      </c>
      <c r="J112" s="212" t="e">
        <f>SUMIF('마룡리(출력6)'!#REF!,"수공",'마룡리(출력6)'!$G$5:$G$590)</f>
        <v>#REF!</v>
      </c>
      <c r="K112" s="36" t="e">
        <f t="shared" si="6"/>
        <v>#REF!</v>
      </c>
      <c r="L112" s="37" t="s">
        <v>5</v>
      </c>
      <c r="M112" s="212" t="e">
        <f t="shared" si="7"/>
        <v>#REF!</v>
      </c>
      <c r="N112" s="39"/>
      <c r="O112" s="23"/>
      <c r="P112" s="23"/>
      <c r="Q112" s="23"/>
      <c r="R112" s="23"/>
      <c r="S112" s="23"/>
      <c r="T112" s="23"/>
      <c r="U112" s="23"/>
      <c r="V112" s="23"/>
    </row>
    <row r="113" spans="1:22" s="24" customFormat="1" ht="23.1" customHeight="1">
      <c r="A113" s="104" t="s">
        <v>23</v>
      </c>
      <c r="B113" s="36">
        <f>COUNTIF('마룡리(출력6)'!$D$5:$D$590,"잡")</f>
        <v>0</v>
      </c>
      <c r="C113" s="37" t="s">
        <v>5</v>
      </c>
      <c r="D113" s="212">
        <f>SUMIF('마룡리(출력6)'!$D$5:$D$590,"잡",'마룡리(출력6)'!$G$5:$G$590)</f>
        <v>0</v>
      </c>
      <c r="E113" s="36" t="e">
        <f>COUNTIF('마룡리(출력6)'!#REF!,"잡국")</f>
        <v>#REF!</v>
      </c>
      <c r="F113" s="37" t="s">
        <v>5</v>
      </c>
      <c r="G113" s="212" t="e">
        <f>SUMIF('마룡리(출력6)'!#REF!,"잡국",'마룡리(출력6)'!$G$5:$G$590)</f>
        <v>#REF!</v>
      </c>
      <c r="H113" s="36" t="e">
        <f>COUNTIF('마룡리(출력6)'!#REF!,"잡공")</f>
        <v>#REF!</v>
      </c>
      <c r="I113" s="37" t="s">
        <v>5</v>
      </c>
      <c r="J113" s="212" t="e">
        <f>SUMIF('마룡리(출력6)'!#REF!,"잡공",'마룡리(출력6)'!$G$5:$G$590)</f>
        <v>#REF!</v>
      </c>
      <c r="K113" s="36" t="e">
        <f t="shared" si="6"/>
        <v>#REF!</v>
      </c>
      <c r="L113" s="37" t="s">
        <v>5</v>
      </c>
      <c r="M113" s="212" t="e">
        <f t="shared" si="7"/>
        <v>#REF!</v>
      </c>
      <c r="N113" s="39"/>
      <c r="O113" s="23"/>
      <c r="P113" s="23"/>
      <c r="Q113" s="23"/>
      <c r="R113" s="23"/>
      <c r="S113" s="23"/>
      <c r="T113" s="23"/>
      <c r="U113" s="23"/>
      <c r="V113" s="23"/>
    </row>
    <row r="114" spans="1:22" s="24" customFormat="1" ht="23.1" customHeight="1">
      <c r="A114" s="105" t="s">
        <v>24</v>
      </c>
      <c r="B114" s="36">
        <f>COUNTIF('마룡리(출력6)'!$D$5:$D$590,"종")</f>
        <v>0</v>
      </c>
      <c r="C114" s="37" t="s">
        <v>5</v>
      </c>
      <c r="D114" s="212">
        <f>SUMIF('마룡리(출력6)'!$D$5:$D$590,"종",'마룡리(출력6)'!$G$5:$G$590)</f>
        <v>0</v>
      </c>
      <c r="E114" s="36" t="e">
        <f>COUNTIF('마룡리(출력6)'!#REF!,"종국")</f>
        <v>#REF!</v>
      </c>
      <c r="F114" s="37" t="s">
        <v>5</v>
      </c>
      <c r="G114" s="212" t="e">
        <f>SUMIF('마룡리(출력6)'!#REF!,"종국",'마룡리(출력6)'!$G$5:$G$590)</f>
        <v>#REF!</v>
      </c>
      <c r="H114" s="36" t="e">
        <f>COUNTIF('마룡리(출력6)'!#REF!,"종공")</f>
        <v>#REF!</v>
      </c>
      <c r="I114" s="37" t="s">
        <v>5</v>
      </c>
      <c r="J114" s="212" t="e">
        <f>SUMIF('마룡리(출력6)'!#REF!,"종공",'마룡리(출력6)'!$G$5:$G$590)</f>
        <v>#REF!</v>
      </c>
      <c r="K114" s="36" t="e">
        <f t="shared" si="6"/>
        <v>#REF!</v>
      </c>
      <c r="L114" s="37" t="s">
        <v>5</v>
      </c>
      <c r="M114" s="212" t="e">
        <f t="shared" si="7"/>
        <v>#REF!</v>
      </c>
      <c r="N114" s="39"/>
      <c r="O114" s="23"/>
      <c r="P114" s="23"/>
      <c r="Q114" s="23"/>
      <c r="R114" s="23"/>
      <c r="S114" s="23"/>
      <c r="T114" s="23"/>
      <c r="U114" s="23"/>
      <c r="V114" s="23"/>
    </row>
    <row r="115" spans="1:22" s="24" customFormat="1" ht="23.1" customHeight="1">
      <c r="A115" s="105" t="s">
        <v>25</v>
      </c>
      <c r="B115" s="36">
        <f>COUNTIF('마룡리(출력6)'!$D$5:$D$590,"염")</f>
        <v>0</v>
      </c>
      <c r="C115" s="37" t="s">
        <v>5</v>
      </c>
      <c r="D115" s="212">
        <f>SUMIF('마룡리(출력6)'!$D$5:$D$590,"염",'마룡리(출력6)'!$G$5:$G$590)</f>
        <v>0</v>
      </c>
      <c r="E115" s="36" t="e">
        <f>COUNTIF('마룡리(출력6)'!#REF!,"염국")</f>
        <v>#REF!</v>
      </c>
      <c r="F115" s="37" t="s">
        <v>5</v>
      </c>
      <c r="G115" s="212" t="e">
        <f>SUMIF('마룡리(출력6)'!#REF!,"염국",'마룡리(출력6)'!$G$5:$G$590)</f>
        <v>#REF!</v>
      </c>
      <c r="H115" s="36" t="e">
        <f>COUNTIF('마룡리(출력6)'!#REF!,"염공")</f>
        <v>#REF!</v>
      </c>
      <c r="I115" s="37" t="s">
        <v>5</v>
      </c>
      <c r="J115" s="212" t="e">
        <f>SUMIF('마룡리(출력6)'!#REF!,"염공",'마룡리(출력6)'!$G$5:$G$590)</f>
        <v>#REF!</v>
      </c>
      <c r="K115" s="36" t="e">
        <f t="shared" si="6"/>
        <v>#REF!</v>
      </c>
      <c r="L115" s="37" t="s">
        <v>5</v>
      </c>
      <c r="M115" s="212" t="e">
        <f t="shared" si="7"/>
        <v>#REF!</v>
      </c>
      <c r="N115" s="39"/>
      <c r="O115" s="23"/>
      <c r="P115" s="23"/>
      <c r="Q115" s="23"/>
      <c r="R115" s="23"/>
      <c r="S115" s="23"/>
      <c r="T115" s="23"/>
      <c r="U115" s="23"/>
      <c r="V115" s="23"/>
    </row>
    <row r="116" spans="1:22" s="24" customFormat="1" ht="23.1" customHeight="1">
      <c r="A116" s="105" t="s">
        <v>26</v>
      </c>
      <c r="B116" s="36">
        <f>COUNTIF('마룡리(출력6)'!$D$5:$D$590,"공")</f>
        <v>0</v>
      </c>
      <c r="C116" s="37" t="s">
        <v>5</v>
      </c>
      <c r="D116" s="212">
        <f>SUMIF('마룡리(출력6)'!$D$5:$D$590,"공",'마룡리(출력6)'!$G$5:$G$590)</f>
        <v>0</v>
      </c>
      <c r="E116" s="36" t="e">
        <f>COUNTIF('마룡리(출력6)'!#REF!,"공국")</f>
        <v>#REF!</v>
      </c>
      <c r="F116" s="37" t="s">
        <v>5</v>
      </c>
      <c r="G116" s="212" t="e">
        <f>SUMIF('마룡리(출력6)'!#REF!,"공국",'마룡리(출력6)'!$G$5:$G$590)</f>
        <v>#REF!</v>
      </c>
      <c r="H116" s="36" t="e">
        <f>COUNTIF('마룡리(출력6)'!#REF!,"공공")</f>
        <v>#REF!</v>
      </c>
      <c r="I116" s="37" t="s">
        <v>5</v>
      </c>
      <c r="J116" s="212" t="e">
        <f>SUMIF('마룡리(출력6)'!#REF!,"공공",'마룡리(출력6)'!$G$5:$G$590)</f>
        <v>#REF!</v>
      </c>
      <c r="K116" s="36" t="e">
        <f t="shared" si="6"/>
        <v>#REF!</v>
      </c>
      <c r="L116" s="37" t="s">
        <v>5</v>
      </c>
      <c r="M116" s="212" t="e">
        <f t="shared" si="7"/>
        <v>#REF!</v>
      </c>
      <c r="N116" s="39"/>
      <c r="O116" s="23"/>
      <c r="P116" s="23"/>
      <c r="Q116" s="23"/>
      <c r="R116" s="23"/>
      <c r="S116" s="23"/>
      <c r="T116" s="23"/>
      <c r="U116" s="23"/>
      <c r="V116" s="23"/>
    </row>
    <row r="117" spans="1:22" s="24" customFormat="1" ht="23.1" customHeight="1">
      <c r="A117" s="105" t="s">
        <v>27</v>
      </c>
      <c r="B117" s="36">
        <f>COUNTIF('마룡리(출력6)'!$D$5:$D$590,"체")</f>
        <v>0</v>
      </c>
      <c r="C117" s="37" t="s">
        <v>5</v>
      </c>
      <c r="D117" s="212">
        <f>SUMIF('마룡리(출력6)'!$D$5:$D$590,"체",'마룡리(출력6)'!$G$5:$G$590)</f>
        <v>0</v>
      </c>
      <c r="E117" s="36" t="e">
        <f>COUNTIF('마룡리(출력6)'!#REF!,"체국")</f>
        <v>#REF!</v>
      </c>
      <c r="F117" s="37" t="s">
        <v>5</v>
      </c>
      <c r="G117" s="212" t="e">
        <f>SUMIF('마룡리(출력6)'!#REF!,"체국",'마룡리(출력6)'!$G$5:$G$590)</f>
        <v>#REF!</v>
      </c>
      <c r="H117" s="36" t="e">
        <f>COUNTIF('마룡리(출력6)'!#REF!,"체공")</f>
        <v>#REF!</v>
      </c>
      <c r="I117" s="37" t="s">
        <v>5</v>
      </c>
      <c r="J117" s="212" t="e">
        <f>SUMIF('마룡리(출력6)'!#REF!,"체공",'마룡리(출력6)'!$G$5:$G$590)</f>
        <v>#REF!</v>
      </c>
      <c r="K117" s="36" t="e">
        <f t="shared" si="6"/>
        <v>#REF!</v>
      </c>
      <c r="L117" s="37" t="s">
        <v>5</v>
      </c>
      <c r="M117" s="212" t="e">
        <f t="shared" si="7"/>
        <v>#REF!</v>
      </c>
      <c r="N117" s="39"/>
      <c r="O117" s="23"/>
      <c r="P117" s="23"/>
      <c r="Q117" s="23"/>
      <c r="R117" s="23"/>
      <c r="S117" s="23"/>
      <c r="T117" s="23"/>
      <c r="U117" s="23"/>
      <c r="V117" s="23"/>
    </row>
    <row r="118" spans="1:22" s="24" customFormat="1" ht="23.1" customHeight="1">
      <c r="A118" s="105" t="s">
        <v>28</v>
      </c>
      <c r="B118" s="36">
        <f>COUNTIF('마룡리(출력6)'!$D$5:$D$590,"원")</f>
        <v>0</v>
      </c>
      <c r="C118" s="37" t="s">
        <v>5</v>
      </c>
      <c r="D118" s="212">
        <f>SUMIF('마룡리(출력6)'!$D$5:$D$590,"원",'마룡리(출력6)'!$G$5:$G$590)</f>
        <v>0</v>
      </c>
      <c r="E118" s="36" t="e">
        <f>COUNTIF('마룡리(출력6)'!#REF!,"원국")</f>
        <v>#REF!</v>
      </c>
      <c r="F118" s="37" t="s">
        <v>5</v>
      </c>
      <c r="G118" s="212" t="e">
        <f>SUMIF('마룡리(출력6)'!#REF!,"원국",'마룡리(출력6)'!$G$5:$G$590)</f>
        <v>#REF!</v>
      </c>
      <c r="H118" s="36" t="e">
        <f>COUNTIF('마룡리(출력6)'!#REF!,"원공")</f>
        <v>#REF!</v>
      </c>
      <c r="I118" s="37" t="s">
        <v>5</v>
      </c>
      <c r="J118" s="212" t="e">
        <f>SUMIF('마룡리(출력6)'!#REF!,"원공",'마룡리(출력6)'!$G$5:$G$590)</f>
        <v>#REF!</v>
      </c>
      <c r="K118" s="36" t="e">
        <f t="shared" si="6"/>
        <v>#REF!</v>
      </c>
      <c r="L118" s="37" t="s">
        <v>5</v>
      </c>
      <c r="M118" s="212" t="e">
        <f t="shared" si="7"/>
        <v>#REF!</v>
      </c>
      <c r="N118" s="39"/>
      <c r="O118" s="23"/>
      <c r="P118" s="23"/>
      <c r="Q118" s="23"/>
      <c r="R118" s="23"/>
      <c r="S118" s="23"/>
      <c r="T118" s="23"/>
      <c r="U118" s="23"/>
      <c r="V118" s="23"/>
    </row>
    <row r="119" spans="1:22" s="24" customFormat="1" ht="23.1" customHeight="1">
      <c r="A119" s="105" t="s">
        <v>60</v>
      </c>
      <c r="B119" s="36">
        <f>COUNTIF('마룡리(출력6)'!$D$5:$D$590,"차")</f>
        <v>0</v>
      </c>
      <c r="C119" s="37" t="s">
        <v>5</v>
      </c>
      <c r="D119" s="212">
        <f>SUMIF('마룡리(출력6)'!$D$5:$D$590,"차",'마룡리(출력6)'!$G$5:$G$590)</f>
        <v>0</v>
      </c>
      <c r="E119" s="36" t="e">
        <f>COUNTIF('마룡리(출력6)'!#REF!,"차국")</f>
        <v>#REF!</v>
      </c>
      <c r="F119" s="37" t="s">
        <v>5</v>
      </c>
      <c r="G119" s="212" t="e">
        <f>SUMIF('마룡리(출력6)'!#REF!,"차국",'마룡리(출력6)'!$G$5:$G$590)</f>
        <v>#REF!</v>
      </c>
      <c r="H119" s="36" t="e">
        <f>COUNTIF('마룡리(출력6)'!#REF!,"차공")</f>
        <v>#REF!</v>
      </c>
      <c r="I119" s="37" t="s">
        <v>5</v>
      </c>
      <c r="J119" s="212" t="e">
        <f>SUMIF('마룡리(출력6)'!#REF!,"차공",'마룡리(출력6)'!$G$5:$G$590)</f>
        <v>#REF!</v>
      </c>
      <c r="K119" s="36" t="e">
        <f t="shared" si="6"/>
        <v>#REF!</v>
      </c>
      <c r="L119" s="37" t="s">
        <v>5</v>
      </c>
      <c r="M119" s="212" t="e">
        <f t="shared" si="7"/>
        <v>#REF!</v>
      </c>
      <c r="N119" s="39"/>
      <c r="O119" s="23"/>
      <c r="P119" s="23"/>
      <c r="Q119" s="23"/>
      <c r="R119" s="23"/>
      <c r="S119" s="23"/>
      <c r="T119" s="23"/>
      <c r="U119" s="23"/>
      <c r="V119" s="23"/>
    </row>
    <row r="120" spans="1:22" s="24" customFormat="1" ht="23.1" customHeight="1">
      <c r="A120" s="105" t="s">
        <v>70</v>
      </c>
      <c r="B120" s="36">
        <f>COUNTIF('마룡리(출력6)'!$D$5:$D$590,"주")</f>
        <v>0</v>
      </c>
      <c r="C120" s="37" t="s">
        <v>5</v>
      </c>
      <c r="D120" s="212">
        <f>SUMIF('마룡리(출력6)'!$D$5:$D$590,"주",'마룡리(출력6)'!$G$5:$G$590)</f>
        <v>0</v>
      </c>
      <c r="E120" s="36" t="e">
        <f>COUNTIF('마룡리(출력6)'!#REF!,"주국")</f>
        <v>#REF!</v>
      </c>
      <c r="F120" s="37" t="s">
        <v>5</v>
      </c>
      <c r="G120" s="212" t="e">
        <f>SUMIF('마룡리(출력6)'!#REF!,"주국",'마룡리(출력6)'!$G$5:$G$590)</f>
        <v>#REF!</v>
      </c>
      <c r="H120" s="36" t="e">
        <f>COUNTIF('마룡리(출력6)'!#REF!,"주공")</f>
        <v>#REF!</v>
      </c>
      <c r="I120" s="37" t="s">
        <v>5</v>
      </c>
      <c r="J120" s="212" t="e">
        <f>SUMIF('마룡리(출력6)'!#REF!,"주공",'마룡리(출력6)'!$G$5:$G$590)</f>
        <v>#REF!</v>
      </c>
      <c r="K120" s="36" t="e">
        <f t="shared" si="6"/>
        <v>#REF!</v>
      </c>
      <c r="L120" s="37" t="s">
        <v>5</v>
      </c>
      <c r="M120" s="212" t="e">
        <f t="shared" si="7"/>
        <v>#REF!</v>
      </c>
      <c r="N120" s="39"/>
      <c r="O120" s="23"/>
      <c r="P120" s="23"/>
      <c r="Q120" s="23"/>
      <c r="R120" s="23"/>
      <c r="S120" s="23"/>
      <c r="T120" s="23"/>
      <c r="U120" s="23"/>
      <c r="V120" s="23"/>
    </row>
    <row r="121" spans="1:22" s="24" customFormat="1" ht="23.1" customHeight="1">
      <c r="A121" s="106" t="s">
        <v>62</v>
      </c>
      <c r="B121" s="40">
        <f>COUNTIF('마룡리(출력6)'!$D$5:$D$590,"가")</f>
        <v>2</v>
      </c>
      <c r="C121" s="41" t="s">
        <v>5</v>
      </c>
      <c r="D121" s="213">
        <f>SUMIF('마룡리(출력6)'!$D$5:$D$590,"가",'마룡리(출력6)'!$G$5:$G$590)</f>
        <v>102</v>
      </c>
      <c r="E121" s="40" t="e">
        <f>COUNTIF('마룡리(출력6)'!#REF!," 국")</f>
        <v>#REF!</v>
      </c>
      <c r="F121" s="41" t="s">
        <v>5</v>
      </c>
      <c r="G121" s="213" t="e">
        <f>SUMIF('마룡리(출력6)'!#REF!," 국",'마룡리(출력6)'!$G$5:$G$590)</f>
        <v>#REF!</v>
      </c>
      <c r="H121" s="40" t="e">
        <f>COUNTIF('마룡리(출력6)'!#REF!," 공")</f>
        <v>#REF!</v>
      </c>
      <c r="I121" s="41" t="s">
        <v>5</v>
      </c>
      <c r="J121" s="213" t="e">
        <f>SUMIF('마룡리(출력6)'!#REF!," 공",'마룡리(출력6)'!$G$5:$G$590)</f>
        <v>#REF!</v>
      </c>
      <c r="K121" s="40" t="e">
        <f t="shared" si="6"/>
        <v>#REF!</v>
      </c>
      <c r="L121" s="41" t="s">
        <v>5</v>
      </c>
      <c r="M121" s="213" t="e">
        <f t="shared" si="7"/>
        <v>#REF!</v>
      </c>
      <c r="N121" s="43"/>
      <c r="O121" s="23"/>
      <c r="P121" s="23"/>
      <c r="Q121" s="23"/>
      <c r="R121" s="23"/>
      <c r="S121" s="23"/>
      <c r="T121" s="23"/>
      <c r="U121" s="23"/>
      <c r="V121" s="23"/>
    </row>
    <row r="122" spans="1:22" s="17" customFormat="1" ht="20.100000000000001" customHeight="1">
      <c r="A122" s="11" t="e">
        <f>IF(EXACT(O126,O127),,"검산확인요!!!")</f>
        <v>#REF!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3" t="str">
        <f>IF(ISBLANK('창리(출력7)'!M2),,'창리(출력7)'!M2)</f>
        <v>서산시 부석면 창리</v>
      </c>
      <c r="L122" s="14"/>
      <c r="M122" s="15"/>
      <c r="N122" s="16"/>
    </row>
    <row r="123" spans="1:22" s="17" customFormat="1" ht="9.9499999999999993" customHeight="1">
      <c r="A123" s="1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 spans="1:22" s="24" customFormat="1" ht="27.95" customHeight="1">
      <c r="A124" s="18" t="s">
        <v>3</v>
      </c>
      <c r="B124" s="19" t="s">
        <v>2</v>
      </c>
      <c r="C124" s="20"/>
      <c r="D124" s="21"/>
      <c r="E124" s="19" t="s">
        <v>29</v>
      </c>
      <c r="F124" s="20"/>
      <c r="G124" s="21"/>
      <c r="H124" s="19" t="s">
        <v>38</v>
      </c>
      <c r="I124" s="20"/>
      <c r="J124" s="21"/>
      <c r="K124" s="19" t="s">
        <v>30</v>
      </c>
      <c r="L124" s="20"/>
      <c r="M124" s="21"/>
      <c r="N124" s="22" t="s">
        <v>31</v>
      </c>
      <c r="O124" s="23"/>
      <c r="S124" s="23"/>
      <c r="T124" s="23"/>
      <c r="U124" s="23"/>
      <c r="V124" s="23"/>
    </row>
    <row r="125" spans="1:22" s="24" customFormat="1" ht="27.95" customHeight="1">
      <c r="A125" s="25"/>
      <c r="B125" s="26" t="s">
        <v>4</v>
      </c>
      <c r="C125" s="27" t="s">
        <v>5</v>
      </c>
      <c r="D125" s="28" t="s">
        <v>32</v>
      </c>
      <c r="E125" s="26" t="s">
        <v>4</v>
      </c>
      <c r="F125" s="27" t="s">
        <v>5</v>
      </c>
      <c r="G125" s="28" t="s">
        <v>32</v>
      </c>
      <c r="H125" s="26" t="s">
        <v>4</v>
      </c>
      <c r="I125" s="27" t="s">
        <v>5</v>
      </c>
      <c r="J125" s="28" t="s">
        <v>32</v>
      </c>
      <c r="K125" s="26" t="s">
        <v>4</v>
      </c>
      <c r="L125" s="27" t="s">
        <v>5</v>
      </c>
      <c r="M125" s="28" t="s">
        <v>32</v>
      </c>
      <c r="N125" s="29"/>
      <c r="P125" s="23"/>
      <c r="Q125" s="30" t="s">
        <v>33</v>
      </c>
      <c r="R125" s="30" t="s">
        <v>34</v>
      </c>
      <c r="S125" s="30" t="s">
        <v>35</v>
      </c>
      <c r="T125" s="30" t="s">
        <v>36</v>
      </c>
      <c r="U125" s="23"/>
      <c r="V125" s="23"/>
    </row>
    <row r="126" spans="1:22" s="24" customFormat="1" ht="23.1" customHeight="1">
      <c r="A126" s="103" t="s">
        <v>2</v>
      </c>
      <c r="B126" s="31">
        <f>SUM(B127:B151)</f>
        <v>157</v>
      </c>
      <c r="C126" s="32" t="s">
        <v>5</v>
      </c>
      <c r="D126" s="211">
        <f>SUM(D127:D151)</f>
        <v>96327</v>
      </c>
      <c r="E126" s="31" t="e">
        <f>SUM(E127:E151)</f>
        <v>#REF!</v>
      </c>
      <c r="F126" s="32" t="s">
        <v>5</v>
      </c>
      <c r="G126" s="211" t="e">
        <f>SUM(G127:G151)</f>
        <v>#REF!</v>
      </c>
      <c r="H126" s="31" t="e">
        <f>SUM(H127:H151)</f>
        <v>#REF!</v>
      </c>
      <c r="I126" s="32" t="s">
        <v>5</v>
      </c>
      <c r="J126" s="211" t="e">
        <f>SUM(J127:J151)</f>
        <v>#REF!</v>
      </c>
      <c r="K126" s="31" t="e">
        <f>SUM(K127:K151)</f>
        <v>#REF!</v>
      </c>
      <c r="L126" s="32" t="s">
        <v>5</v>
      </c>
      <c r="M126" s="211" t="e">
        <f>SUM(M127:M151)</f>
        <v>#REF!</v>
      </c>
      <c r="N126" s="34"/>
      <c r="O126" s="23" t="e">
        <f>IF(EXACT(Q126,T126),"맞음","틀림")</f>
        <v>#REF!</v>
      </c>
      <c r="P126" s="23" t="s">
        <v>4</v>
      </c>
      <c r="Q126" s="35">
        <f>SUM(B127:B151)</f>
        <v>157</v>
      </c>
      <c r="R126" s="35" t="e">
        <f>SUM(E127:E151)</f>
        <v>#REF!</v>
      </c>
      <c r="S126" s="35" t="e">
        <f>SUM(K127:K151)</f>
        <v>#REF!</v>
      </c>
      <c r="T126" s="35" t="e">
        <f>K126+E126</f>
        <v>#REF!</v>
      </c>
      <c r="U126" s="23"/>
      <c r="V126" s="23"/>
    </row>
    <row r="127" spans="1:22" s="24" customFormat="1" ht="23.1" customHeight="1">
      <c r="A127" s="104" t="s">
        <v>7</v>
      </c>
      <c r="B127" s="36">
        <f>COUNTIF('창리(출력7)'!$D$5:$D$594,"전")</f>
        <v>24</v>
      </c>
      <c r="C127" s="37" t="s">
        <v>5</v>
      </c>
      <c r="D127" s="212">
        <f>SUMIF('창리(출력7)'!$D$5:$D$594,"전",'창리(출력7)'!$G$5:$G$594)</f>
        <v>7192</v>
      </c>
      <c r="E127" s="36" t="e">
        <f>COUNTIF('창리(출력7)'!#REF!,"전국")</f>
        <v>#REF!</v>
      </c>
      <c r="F127" s="37" t="s">
        <v>5</v>
      </c>
      <c r="G127" s="212" t="e">
        <f>SUMIF('창리(출력7)'!#REF!,"전국",'창리(출력7)'!$G$5:$G$594)</f>
        <v>#REF!</v>
      </c>
      <c r="H127" s="36" t="e">
        <f>COUNTIF('창리(출력7)'!#REF!,"전공")</f>
        <v>#REF!</v>
      </c>
      <c r="I127" s="37" t="s">
        <v>5</v>
      </c>
      <c r="J127" s="212" t="e">
        <f>SUMIF('창리(출력7)'!#REF!,"전공",'창리(출력7)'!$G$5:$G$594)</f>
        <v>#REF!</v>
      </c>
      <c r="K127" s="36" t="e">
        <f t="shared" ref="K127:K151" si="8">SUM(B127-E127-H127)</f>
        <v>#REF!</v>
      </c>
      <c r="L127" s="37" t="s">
        <v>5</v>
      </c>
      <c r="M127" s="212" t="e">
        <f t="shared" ref="M127:M151" si="9">SUM(D127-G127-J127)</f>
        <v>#REF!</v>
      </c>
      <c r="N127" s="39"/>
      <c r="O127" s="23" t="e">
        <f>IF(EXACT(Q127,T127),"맞음","틀림")</f>
        <v>#REF!</v>
      </c>
      <c r="P127" s="23" t="s">
        <v>37</v>
      </c>
      <c r="Q127" s="35">
        <f>SUM(D127:D151)</f>
        <v>96327</v>
      </c>
      <c r="R127" s="35" t="e">
        <f>SUM(G127:G151)</f>
        <v>#REF!</v>
      </c>
      <c r="S127" s="35" t="e">
        <f>SUM(M127:M151)</f>
        <v>#REF!</v>
      </c>
      <c r="T127" s="35" t="e">
        <f>G126+M126</f>
        <v>#REF!</v>
      </c>
      <c r="U127" s="23"/>
      <c r="V127" s="23"/>
    </row>
    <row r="128" spans="1:22" s="24" customFormat="1" ht="23.1" customHeight="1">
      <c r="A128" s="104" t="s">
        <v>8</v>
      </c>
      <c r="B128" s="36">
        <f>COUNTIF('창리(출력7)'!$D$5:$D$594,"답")</f>
        <v>27</v>
      </c>
      <c r="C128" s="37" t="s">
        <v>5</v>
      </c>
      <c r="D128" s="212">
        <f>SUMIF('창리(출력7)'!$D$5:$D$594,"답",'창리(출력7)'!$G$5:$G$594)</f>
        <v>12118</v>
      </c>
      <c r="E128" s="36" t="e">
        <f>COUNTIF('창리(출력7)'!#REF!,"답국")</f>
        <v>#REF!</v>
      </c>
      <c r="F128" s="37" t="s">
        <v>5</v>
      </c>
      <c r="G128" s="212" t="e">
        <f>SUMIF('창리(출력7)'!#REF!,"답국",'창리(출력7)'!$G$5:$G$594)</f>
        <v>#REF!</v>
      </c>
      <c r="H128" s="36" t="e">
        <f>COUNTIF('창리(출력7)'!#REF!,"답공")</f>
        <v>#REF!</v>
      </c>
      <c r="I128" s="37" t="s">
        <v>5</v>
      </c>
      <c r="J128" s="212" t="e">
        <f>SUMIF('창리(출력7)'!#REF!,"답공",'창리(출력7)'!$G$5:$G$594)</f>
        <v>#REF!</v>
      </c>
      <c r="K128" s="36" t="e">
        <f t="shared" si="8"/>
        <v>#REF!</v>
      </c>
      <c r="L128" s="37" t="s">
        <v>5</v>
      </c>
      <c r="M128" s="212" t="e">
        <f t="shared" si="9"/>
        <v>#REF!</v>
      </c>
      <c r="N128" s="39"/>
      <c r="Q128" s="23"/>
      <c r="S128" s="23"/>
      <c r="U128" s="23"/>
      <c r="V128" s="23"/>
    </row>
    <row r="129" spans="1:22" s="24" customFormat="1" ht="23.1" customHeight="1">
      <c r="A129" s="104" t="s">
        <v>9</v>
      </c>
      <c r="B129" s="36">
        <f>COUNTIF('창리(출력7)'!$D$5:$D$594,"임")</f>
        <v>44</v>
      </c>
      <c r="C129" s="37" t="s">
        <v>5</v>
      </c>
      <c r="D129" s="212">
        <f>SUMIF('창리(출력7)'!$D$5:$D$594,"임",'창리(출력7)'!$G$5:$G$594)</f>
        <v>61578</v>
      </c>
      <c r="E129" s="36" t="e">
        <f>COUNTIF('창리(출력7)'!#REF!,"임국")</f>
        <v>#REF!</v>
      </c>
      <c r="F129" s="37" t="s">
        <v>5</v>
      </c>
      <c r="G129" s="212" t="e">
        <f>SUMIF('창리(출력7)'!#REF!,"임국",'창리(출력7)'!$G$5:$G$594)</f>
        <v>#REF!</v>
      </c>
      <c r="H129" s="36" t="e">
        <f>COUNTIF('창리(출력7)'!#REF!,"임공")</f>
        <v>#REF!</v>
      </c>
      <c r="I129" s="37" t="s">
        <v>5</v>
      </c>
      <c r="J129" s="212" t="e">
        <f>SUMIF('창리(출력7)'!#REF!,"임공",'창리(출력7)'!$G$5:$G$594)</f>
        <v>#REF!</v>
      </c>
      <c r="K129" s="36" t="e">
        <f t="shared" si="8"/>
        <v>#REF!</v>
      </c>
      <c r="L129" s="37" t="s">
        <v>5</v>
      </c>
      <c r="M129" s="212" t="e">
        <f t="shared" si="9"/>
        <v>#REF!</v>
      </c>
      <c r="N129" s="39"/>
      <c r="Q129" s="23"/>
      <c r="S129" s="23"/>
      <c r="U129" s="23"/>
      <c r="V129" s="23"/>
    </row>
    <row r="130" spans="1:22" s="24" customFormat="1" ht="23.1" customHeight="1">
      <c r="A130" s="104" t="s">
        <v>10</v>
      </c>
      <c r="B130" s="36">
        <f>COUNTIF('창리(출력7)'!$D$5:$D$594,"대")</f>
        <v>10</v>
      </c>
      <c r="C130" s="37" t="s">
        <v>5</v>
      </c>
      <c r="D130" s="212">
        <f>SUMIF('창리(출력7)'!$D$5:$D$594,"대",'창리(출력7)'!$G$5:$G$594)</f>
        <v>983</v>
      </c>
      <c r="E130" s="36" t="e">
        <f>COUNTIF('창리(출력7)'!#REF!,"대국")</f>
        <v>#REF!</v>
      </c>
      <c r="F130" s="37" t="s">
        <v>5</v>
      </c>
      <c r="G130" s="212" t="e">
        <f>SUMIF('창리(출력7)'!#REF!,"대국",'창리(출력7)'!$G$5:$G$594)</f>
        <v>#REF!</v>
      </c>
      <c r="H130" s="36" t="e">
        <f>COUNTIF('창리(출력7)'!#REF!,"대공")</f>
        <v>#REF!</v>
      </c>
      <c r="I130" s="37" t="s">
        <v>5</v>
      </c>
      <c r="J130" s="212" t="e">
        <f>SUMIF('창리(출력7)'!#REF!,"대공",'창리(출력7)'!$G$5:$G$594)</f>
        <v>#REF!</v>
      </c>
      <c r="K130" s="36" t="e">
        <f t="shared" si="8"/>
        <v>#REF!</v>
      </c>
      <c r="L130" s="37" t="s">
        <v>5</v>
      </c>
      <c r="M130" s="212" t="e">
        <f t="shared" si="9"/>
        <v>#REF!</v>
      </c>
      <c r="N130" s="39"/>
      <c r="O130" s="23"/>
      <c r="P130" s="23"/>
      <c r="Q130" s="23"/>
      <c r="R130" s="23"/>
      <c r="S130" s="23"/>
      <c r="T130" s="23"/>
      <c r="U130" s="23"/>
      <c r="V130" s="23"/>
    </row>
    <row r="131" spans="1:22" s="24" customFormat="1" ht="23.1" customHeight="1">
      <c r="A131" s="104" t="s">
        <v>11</v>
      </c>
      <c r="B131" s="36">
        <f>COUNTIF('창리(출력7)'!$D$5:$D$594,"도")</f>
        <v>38</v>
      </c>
      <c r="C131" s="37" t="s">
        <v>5</v>
      </c>
      <c r="D131" s="212">
        <f>SUMIF('창리(출력7)'!$D$5:$D$594,"도",'창리(출력7)'!$G$5:$G$594)</f>
        <v>7427</v>
      </c>
      <c r="E131" s="36" t="e">
        <f>COUNTIF('창리(출력7)'!#REF!,"도국")</f>
        <v>#REF!</v>
      </c>
      <c r="F131" s="37" t="s">
        <v>5</v>
      </c>
      <c r="G131" s="212" t="e">
        <f>SUMIF('창리(출력7)'!#REF!,"도국",'창리(출력7)'!$G$5:$G$594)</f>
        <v>#REF!</v>
      </c>
      <c r="H131" s="36" t="e">
        <f>COUNTIF('창리(출력7)'!#REF!,"도공")</f>
        <v>#REF!</v>
      </c>
      <c r="I131" s="37" t="s">
        <v>5</v>
      </c>
      <c r="J131" s="212" t="e">
        <f>SUMIF('창리(출력7)'!#REF!,"도공",'창리(출력7)'!$G$5:$G$594)</f>
        <v>#REF!</v>
      </c>
      <c r="K131" s="36" t="e">
        <f t="shared" si="8"/>
        <v>#REF!</v>
      </c>
      <c r="L131" s="37" t="s">
        <v>5</v>
      </c>
      <c r="M131" s="212" t="e">
        <f t="shared" si="9"/>
        <v>#REF!</v>
      </c>
      <c r="N131" s="39"/>
      <c r="O131" s="23"/>
      <c r="P131" s="23"/>
      <c r="Q131" s="23"/>
      <c r="R131" s="23"/>
      <c r="S131" s="23"/>
      <c r="T131" s="23"/>
      <c r="U131" s="23"/>
      <c r="V131" s="23"/>
    </row>
    <row r="132" spans="1:22" s="24" customFormat="1" ht="23.1" customHeight="1">
      <c r="A132" s="104" t="s">
        <v>12</v>
      </c>
      <c r="B132" s="36">
        <f>COUNTIF('창리(출력7)'!$D$5:$D$594,"구")</f>
        <v>0</v>
      </c>
      <c r="C132" s="37" t="s">
        <v>5</v>
      </c>
      <c r="D132" s="212">
        <f>SUMIF('창리(출력7)'!$D$5:$D$594,"구",'창리(출력7)'!$G$5:$G$594)</f>
        <v>0</v>
      </c>
      <c r="E132" s="36" t="e">
        <f>COUNTIF('창리(출력7)'!#REF!,"구국")</f>
        <v>#REF!</v>
      </c>
      <c r="F132" s="37" t="s">
        <v>5</v>
      </c>
      <c r="G132" s="212" t="e">
        <f>SUMIF('창리(출력7)'!#REF!,"구국",'창리(출력7)'!$G$5:$G$594)</f>
        <v>#REF!</v>
      </c>
      <c r="H132" s="36" t="e">
        <f>COUNTIF('창리(출력7)'!#REF!,"구공")</f>
        <v>#REF!</v>
      </c>
      <c r="I132" s="37" t="s">
        <v>5</v>
      </c>
      <c r="J132" s="212" t="e">
        <f>SUMIF('창리(출력7)'!#REF!,"구공",'창리(출력7)'!$G$5:$G$594)</f>
        <v>#REF!</v>
      </c>
      <c r="K132" s="36" t="e">
        <f t="shared" si="8"/>
        <v>#REF!</v>
      </c>
      <c r="L132" s="37" t="s">
        <v>5</v>
      </c>
      <c r="M132" s="212" t="e">
        <f t="shared" si="9"/>
        <v>#REF!</v>
      </c>
      <c r="N132" s="39"/>
      <c r="O132" s="23"/>
      <c r="P132" s="23"/>
      <c r="Q132" s="23"/>
      <c r="R132" s="23"/>
      <c r="S132" s="23"/>
      <c r="T132" s="23"/>
      <c r="U132" s="23"/>
      <c r="V132" s="23"/>
    </row>
    <row r="133" spans="1:22" s="24" customFormat="1" ht="23.1" customHeight="1">
      <c r="A133" s="104" t="s">
        <v>13</v>
      </c>
      <c r="B133" s="36">
        <f>COUNTIF('창리(출력7)'!$D$5:$D$594,"천")</f>
        <v>0</v>
      </c>
      <c r="C133" s="37" t="s">
        <v>5</v>
      </c>
      <c r="D133" s="212">
        <f>SUMIF('창리(출력7)'!$D$5:$D$594,"천",'창리(출력7)'!$G$5:$G$594)</f>
        <v>0</v>
      </c>
      <c r="E133" s="36" t="e">
        <f>COUNTIF('창리(출력7)'!#REF!,"천국")</f>
        <v>#REF!</v>
      </c>
      <c r="F133" s="37" t="s">
        <v>5</v>
      </c>
      <c r="G133" s="212" t="e">
        <f>SUMIF('창리(출력7)'!#REF!,"천국",'창리(출력7)'!$G$5:$G$594)</f>
        <v>#REF!</v>
      </c>
      <c r="H133" s="36" t="e">
        <f>COUNTIF('창리(출력7)'!#REF!,"천공")</f>
        <v>#REF!</v>
      </c>
      <c r="I133" s="37" t="s">
        <v>5</v>
      </c>
      <c r="J133" s="212" t="e">
        <f>SUMIF('창리(출력7)'!#REF!,"천공",'창리(출력7)'!$G$5:$G$594)</f>
        <v>#REF!</v>
      </c>
      <c r="K133" s="36" t="e">
        <f t="shared" si="8"/>
        <v>#REF!</v>
      </c>
      <c r="L133" s="37" t="s">
        <v>5</v>
      </c>
      <c r="M133" s="212" t="e">
        <f t="shared" si="9"/>
        <v>#REF!</v>
      </c>
      <c r="N133" s="39"/>
      <c r="O133" s="23"/>
      <c r="P133" s="23"/>
      <c r="Q133" s="23"/>
      <c r="R133" s="23"/>
      <c r="S133" s="23"/>
      <c r="T133" s="23"/>
      <c r="U133" s="23"/>
      <c r="V133" s="23"/>
    </row>
    <row r="134" spans="1:22" s="24" customFormat="1" ht="23.1" customHeight="1">
      <c r="A134" s="104" t="s">
        <v>14</v>
      </c>
      <c r="B134" s="36">
        <f>COUNTIF('창리(출력7)'!$D$5:$D$594,"유")</f>
        <v>0</v>
      </c>
      <c r="C134" s="37" t="s">
        <v>5</v>
      </c>
      <c r="D134" s="212">
        <f>SUMIF('창리(출력7)'!$D$5:$D$594,"유",'창리(출력7)'!$G$5:$G$594)</f>
        <v>0</v>
      </c>
      <c r="E134" s="36" t="e">
        <f>COUNTIF('창리(출력7)'!#REF!,"유국")</f>
        <v>#REF!</v>
      </c>
      <c r="F134" s="37" t="s">
        <v>5</v>
      </c>
      <c r="G134" s="212" t="e">
        <f>SUMIF('창리(출력7)'!#REF!,"유국",'창리(출력7)'!$G$5:$G$594)</f>
        <v>#REF!</v>
      </c>
      <c r="H134" s="36" t="e">
        <f>COUNTIF('창리(출력7)'!#REF!,"유공")</f>
        <v>#REF!</v>
      </c>
      <c r="I134" s="37" t="s">
        <v>5</v>
      </c>
      <c r="J134" s="212" t="e">
        <f>SUMIF('창리(출력7)'!#REF!,"유공",'창리(출력7)'!$G$5:$G$594)</f>
        <v>#REF!</v>
      </c>
      <c r="K134" s="36" t="e">
        <f t="shared" si="8"/>
        <v>#REF!</v>
      </c>
      <c r="L134" s="37" t="s">
        <v>5</v>
      </c>
      <c r="M134" s="212" t="e">
        <f t="shared" si="9"/>
        <v>#REF!</v>
      </c>
      <c r="N134" s="39"/>
      <c r="O134" s="23"/>
      <c r="P134" s="23"/>
      <c r="Q134" s="23"/>
      <c r="R134" s="23"/>
      <c r="S134" s="23"/>
      <c r="T134" s="23"/>
      <c r="U134" s="23"/>
      <c r="V134" s="23"/>
    </row>
    <row r="135" spans="1:22" s="24" customFormat="1" ht="23.1" customHeight="1">
      <c r="A135" s="104" t="s">
        <v>15</v>
      </c>
      <c r="B135" s="36">
        <f>COUNTIF('창리(출력7)'!$D$5:$D$594,"제")</f>
        <v>1</v>
      </c>
      <c r="C135" s="37" t="s">
        <v>5</v>
      </c>
      <c r="D135" s="212">
        <f>SUMIF('창리(출력7)'!$D$5:$D$594,"제",'창리(출력7)'!$G$5:$G$594)</f>
        <v>546</v>
      </c>
      <c r="E135" s="36" t="e">
        <f>COUNTIF('창리(출력7)'!#REF!,"제국")</f>
        <v>#REF!</v>
      </c>
      <c r="F135" s="37" t="s">
        <v>5</v>
      </c>
      <c r="G135" s="212" t="e">
        <f>SUMIF('창리(출력7)'!#REF!,"제국",'창리(출력7)'!$G$5:$G$594)</f>
        <v>#REF!</v>
      </c>
      <c r="H135" s="36" t="e">
        <f>COUNTIF('창리(출력7)'!#REF!,"제공")</f>
        <v>#REF!</v>
      </c>
      <c r="I135" s="37" t="s">
        <v>5</v>
      </c>
      <c r="J135" s="212" t="e">
        <f>SUMIF('창리(출력7)'!#REF!,"제공",'창리(출력7)'!$G$5:$G$594)</f>
        <v>#REF!</v>
      </c>
      <c r="K135" s="36" t="e">
        <f t="shared" si="8"/>
        <v>#REF!</v>
      </c>
      <c r="L135" s="37" t="s">
        <v>5</v>
      </c>
      <c r="M135" s="212" t="e">
        <f t="shared" si="9"/>
        <v>#REF!</v>
      </c>
      <c r="N135" s="39"/>
      <c r="O135" s="23"/>
      <c r="P135" s="23"/>
      <c r="Q135" s="23"/>
      <c r="R135" s="23"/>
      <c r="S135" s="23"/>
      <c r="T135" s="23"/>
      <c r="U135" s="23"/>
      <c r="V135" s="23"/>
    </row>
    <row r="136" spans="1:22" s="24" customFormat="1" ht="23.1" customHeight="1">
      <c r="A136" s="104" t="s">
        <v>16</v>
      </c>
      <c r="B136" s="36">
        <f>COUNTIF('창리(출력7)'!$D$5:$D$594,"과")</f>
        <v>0</v>
      </c>
      <c r="C136" s="37" t="s">
        <v>5</v>
      </c>
      <c r="D136" s="212">
        <f>SUMIF('창리(출력7)'!$D$5:$D$594,"과",'창리(출력7)'!$G$5:$G$594)</f>
        <v>0</v>
      </c>
      <c r="E136" s="36" t="e">
        <f>COUNTIF('창리(출력7)'!#REF!,"과국")</f>
        <v>#REF!</v>
      </c>
      <c r="F136" s="37" t="s">
        <v>5</v>
      </c>
      <c r="G136" s="212" t="e">
        <f>SUMIF('창리(출력7)'!#REF!,"과국",'창리(출력7)'!$G$5:$G$594)</f>
        <v>#REF!</v>
      </c>
      <c r="H136" s="36" t="e">
        <f>COUNTIF('창리(출력7)'!#REF!,"과공")</f>
        <v>#REF!</v>
      </c>
      <c r="I136" s="37" t="s">
        <v>5</v>
      </c>
      <c r="J136" s="212" t="e">
        <f>SUMIF('창리(출력7)'!#REF!,"과공",'창리(출력7)'!$G$5:$G$594)</f>
        <v>#REF!</v>
      </c>
      <c r="K136" s="36" t="e">
        <f t="shared" si="8"/>
        <v>#REF!</v>
      </c>
      <c r="L136" s="37" t="s">
        <v>5</v>
      </c>
      <c r="M136" s="212" t="e">
        <f t="shared" si="9"/>
        <v>#REF!</v>
      </c>
      <c r="N136" s="39"/>
      <c r="O136" s="23"/>
      <c r="P136" s="23"/>
      <c r="Q136" s="23"/>
      <c r="R136" s="23"/>
      <c r="S136" s="23"/>
      <c r="T136" s="23"/>
      <c r="U136" s="23"/>
      <c r="V136" s="23"/>
    </row>
    <row r="137" spans="1:22" s="24" customFormat="1" ht="23.1" customHeight="1">
      <c r="A137" s="104" t="s">
        <v>17</v>
      </c>
      <c r="B137" s="36">
        <f>COUNTIF('창리(출력7)'!$D$5:$D$594,"장")</f>
        <v>0</v>
      </c>
      <c r="C137" s="37" t="s">
        <v>5</v>
      </c>
      <c r="D137" s="212">
        <f>SUMIF('창리(출력7)'!$D$5:$D$594,"장",'창리(출력7)'!$G$5:$G$594)</f>
        <v>0</v>
      </c>
      <c r="E137" s="36" t="e">
        <f>COUNTIF('창리(출력7)'!#REF!,"장국")</f>
        <v>#REF!</v>
      </c>
      <c r="F137" s="37" t="s">
        <v>5</v>
      </c>
      <c r="G137" s="212" t="e">
        <f>SUMIF('창리(출력7)'!#REF!,"장국",'창리(출력7)'!$G$5:$G$594)</f>
        <v>#REF!</v>
      </c>
      <c r="H137" s="36" t="e">
        <f>COUNTIF('창리(출력7)'!#REF!,"장공")</f>
        <v>#REF!</v>
      </c>
      <c r="I137" s="37" t="s">
        <v>5</v>
      </c>
      <c r="J137" s="212" t="e">
        <f>SUMIF('창리(출력7)'!#REF!,"장공",'창리(출력7)'!$G$5:$G$594)</f>
        <v>#REF!</v>
      </c>
      <c r="K137" s="36" t="e">
        <f t="shared" si="8"/>
        <v>#REF!</v>
      </c>
      <c r="L137" s="37" t="s">
        <v>5</v>
      </c>
      <c r="M137" s="212" t="e">
        <f t="shared" si="9"/>
        <v>#REF!</v>
      </c>
      <c r="N137" s="39"/>
      <c r="O137" s="23"/>
      <c r="P137" s="23"/>
      <c r="Q137" s="23"/>
      <c r="R137" s="23"/>
      <c r="S137" s="23"/>
      <c r="T137" s="23"/>
      <c r="U137" s="23"/>
      <c r="V137" s="23"/>
    </row>
    <row r="138" spans="1:22" s="24" customFormat="1" ht="23.1" customHeight="1">
      <c r="A138" s="104" t="s">
        <v>18</v>
      </c>
      <c r="B138" s="36">
        <f>COUNTIF('창리(출력7)'!$D$5:$D$594,"목")</f>
        <v>0</v>
      </c>
      <c r="C138" s="37" t="s">
        <v>5</v>
      </c>
      <c r="D138" s="212">
        <f>SUMIF('창리(출력7)'!$D$5:$D$594,"목",'창리(출력7)'!$G$5:$G$594)</f>
        <v>0</v>
      </c>
      <c r="E138" s="36" t="e">
        <f>COUNTIF('창리(출력7)'!#REF!,"목국")</f>
        <v>#REF!</v>
      </c>
      <c r="F138" s="37" t="s">
        <v>5</v>
      </c>
      <c r="G138" s="212" t="e">
        <f>SUMIF('창리(출력7)'!#REF!,"목국",'창리(출력7)'!$G$5:$G$594)</f>
        <v>#REF!</v>
      </c>
      <c r="H138" s="36" t="e">
        <f>COUNTIF('창리(출력7)'!#REF!,"목공")</f>
        <v>#REF!</v>
      </c>
      <c r="I138" s="37" t="s">
        <v>5</v>
      </c>
      <c r="J138" s="212" t="e">
        <f>SUMIF('창리(출력7)'!#REF!,"목공",'창리(출력7)'!$G$5:$G$594)</f>
        <v>#REF!</v>
      </c>
      <c r="K138" s="36" t="e">
        <f t="shared" si="8"/>
        <v>#REF!</v>
      </c>
      <c r="L138" s="37" t="s">
        <v>5</v>
      </c>
      <c r="M138" s="212" t="e">
        <f t="shared" si="9"/>
        <v>#REF!</v>
      </c>
      <c r="N138" s="39"/>
      <c r="O138" s="23"/>
      <c r="P138" s="23"/>
      <c r="Q138" s="23"/>
      <c r="R138" s="23"/>
      <c r="S138" s="23"/>
      <c r="T138" s="23"/>
      <c r="U138" s="23"/>
      <c r="V138" s="23"/>
    </row>
    <row r="139" spans="1:22" s="24" customFormat="1" ht="23.1" customHeight="1">
      <c r="A139" s="104" t="s">
        <v>19</v>
      </c>
      <c r="B139" s="36">
        <f>COUNTIF('창리(출력7)'!$D$5:$D$594,"학")</f>
        <v>0</v>
      </c>
      <c r="C139" s="37" t="s">
        <v>5</v>
      </c>
      <c r="D139" s="212">
        <f>SUMIF('창리(출력7)'!$D$5:$D$594,"학",'창리(출력7)'!$G$5:$G$594)</f>
        <v>0</v>
      </c>
      <c r="E139" s="36" t="e">
        <f>COUNTIF('창리(출력7)'!#REF!,"학국")</f>
        <v>#REF!</v>
      </c>
      <c r="F139" s="37" t="s">
        <v>5</v>
      </c>
      <c r="G139" s="212" t="e">
        <f>SUMIF('창리(출력7)'!#REF!,"학국",'창리(출력7)'!$G$5:$G$594)</f>
        <v>#REF!</v>
      </c>
      <c r="H139" s="36" t="e">
        <f>COUNTIF('창리(출력7)'!#REF!,"학공")</f>
        <v>#REF!</v>
      </c>
      <c r="I139" s="37" t="s">
        <v>5</v>
      </c>
      <c r="J139" s="212" t="e">
        <f>SUMIF('창리(출력7)'!#REF!,"학공",'창리(출력7)'!$G$5:$G$594)</f>
        <v>#REF!</v>
      </c>
      <c r="K139" s="36" t="e">
        <f t="shared" si="8"/>
        <v>#REF!</v>
      </c>
      <c r="L139" s="37" t="s">
        <v>5</v>
      </c>
      <c r="M139" s="212" t="e">
        <f t="shared" si="9"/>
        <v>#REF!</v>
      </c>
      <c r="N139" s="39"/>
      <c r="O139" s="23"/>
      <c r="P139" s="23"/>
      <c r="Q139" s="23"/>
      <c r="R139" s="23"/>
      <c r="S139" s="23"/>
      <c r="T139" s="23"/>
      <c r="U139" s="23"/>
      <c r="V139" s="23"/>
    </row>
    <row r="140" spans="1:22" s="24" customFormat="1" ht="23.1" customHeight="1">
      <c r="A140" s="104" t="s">
        <v>20</v>
      </c>
      <c r="B140" s="36">
        <f>COUNTIF('창리(출력7)'!$D$5:$D$594,"철")</f>
        <v>0</v>
      </c>
      <c r="C140" s="37" t="s">
        <v>5</v>
      </c>
      <c r="D140" s="212">
        <f>SUMIF('창리(출력7)'!$D$5:$D$594,"철",'창리(출력7)'!$G$5:$G$594)</f>
        <v>0</v>
      </c>
      <c r="E140" s="36" t="e">
        <f>COUNTIF('창리(출력7)'!#REF!,"철국")</f>
        <v>#REF!</v>
      </c>
      <c r="F140" s="37" t="s">
        <v>5</v>
      </c>
      <c r="G140" s="212" t="e">
        <f>SUMIF('창리(출력7)'!#REF!,"철국",'창리(출력7)'!$G$5:$G$594)</f>
        <v>#REF!</v>
      </c>
      <c r="H140" s="36" t="e">
        <f>COUNTIF('창리(출력7)'!#REF!,"철공")</f>
        <v>#REF!</v>
      </c>
      <c r="I140" s="37" t="s">
        <v>5</v>
      </c>
      <c r="J140" s="212" t="e">
        <f>SUMIF('창리(출력7)'!#REF!,"철공",'창리(출력7)'!$G$5:$G$594)</f>
        <v>#REF!</v>
      </c>
      <c r="K140" s="36" t="e">
        <f t="shared" si="8"/>
        <v>#REF!</v>
      </c>
      <c r="L140" s="37" t="s">
        <v>5</v>
      </c>
      <c r="M140" s="212" t="e">
        <f t="shared" si="9"/>
        <v>#REF!</v>
      </c>
      <c r="N140" s="39"/>
      <c r="O140" s="23"/>
      <c r="P140" s="23"/>
      <c r="Q140" s="23"/>
      <c r="R140" s="23"/>
      <c r="S140" s="23"/>
      <c r="T140" s="23"/>
      <c r="U140" s="23"/>
      <c r="V140" s="23"/>
    </row>
    <row r="141" spans="1:22" s="24" customFormat="1" ht="23.1" customHeight="1">
      <c r="A141" s="104" t="s">
        <v>21</v>
      </c>
      <c r="B141" s="36">
        <f>COUNTIF('창리(출력7)'!$D$5:$D$594,"묘")</f>
        <v>0</v>
      </c>
      <c r="C141" s="37" t="s">
        <v>5</v>
      </c>
      <c r="D141" s="212">
        <f>SUMIF('창리(출력7)'!$D$5:$D$594,"묘",'창리(출력7)'!$G$5:$G$594)</f>
        <v>0</v>
      </c>
      <c r="E141" s="36" t="e">
        <f>COUNTIF('창리(출력7)'!#REF!,"묘국")</f>
        <v>#REF!</v>
      </c>
      <c r="F141" s="37" t="s">
        <v>5</v>
      </c>
      <c r="G141" s="212" t="e">
        <f>SUMIF('창리(출력7)'!#REF!,"묘국",'창리(출력7)'!$G$5:$G$594)</f>
        <v>#REF!</v>
      </c>
      <c r="H141" s="36" t="e">
        <f>COUNTIF('창리(출력7)'!#REF!,"묘공")</f>
        <v>#REF!</v>
      </c>
      <c r="I141" s="37" t="s">
        <v>5</v>
      </c>
      <c r="J141" s="212" t="e">
        <f>SUMIF('창리(출력7)'!#REF!,"묘공",'창리(출력7)'!$G$5:$G$594)</f>
        <v>#REF!</v>
      </c>
      <c r="K141" s="36" t="e">
        <f t="shared" si="8"/>
        <v>#REF!</v>
      </c>
      <c r="L141" s="37" t="s">
        <v>5</v>
      </c>
      <c r="M141" s="212" t="e">
        <f t="shared" si="9"/>
        <v>#REF!</v>
      </c>
      <c r="N141" s="39"/>
      <c r="O141" s="23"/>
      <c r="P141" s="23"/>
      <c r="Q141" s="23"/>
      <c r="R141" s="23"/>
      <c r="S141" s="23"/>
      <c r="T141" s="23"/>
      <c r="U141" s="23"/>
      <c r="V141" s="23"/>
    </row>
    <row r="142" spans="1:22" s="24" customFormat="1" ht="23.1" customHeight="1">
      <c r="A142" s="104" t="s">
        <v>22</v>
      </c>
      <c r="B142" s="36">
        <f>COUNTIF('창리(출력7)'!$D$5:$D$594,"수")</f>
        <v>0</v>
      </c>
      <c r="C142" s="37" t="s">
        <v>5</v>
      </c>
      <c r="D142" s="212">
        <f>SUMIF('창리(출력7)'!$D$5:$D$594,"수",'창리(출력7)'!$G$5:$G$594)</f>
        <v>0</v>
      </c>
      <c r="E142" s="36" t="e">
        <f>COUNTIF('창리(출력7)'!#REF!,"수국")</f>
        <v>#REF!</v>
      </c>
      <c r="F142" s="37" t="s">
        <v>5</v>
      </c>
      <c r="G142" s="212" t="e">
        <f>SUMIF('창리(출력7)'!#REF!,"수국",'창리(출력7)'!$G$5:$G$594)</f>
        <v>#REF!</v>
      </c>
      <c r="H142" s="36" t="e">
        <f>COUNTIF('창리(출력7)'!#REF!,"수공")</f>
        <v>#REF!</v>
      </c>
      <c r="I142" s="37" t="s">
        <v>5</v>
      </c>
      <c r="J142" s="212" t="e">
        <f>SUMIF('창리(출력7)'!#REF!,"수공",'창리(출력7)'!$G$5:$G$594)</f>
        <v>#REF!</v>
      </c>
      <c r="K142" s="36" t="e">
        <f t="shared" si="8"/>
        <v>#REF!</v>
      </c>
      <c r="L142" s="37" t="s">
        <v>5</v>
      </c>
      <c r="M142" s="212" t="e">
        <f t="shared" si="9"/>
        <v>#REF!</v>
      </c>
      <c r="N142" s="39"/>
      <c r="O142" s="23"/>
      <c r="P142" s="23"/>
      <c r="Q142" s="23"/>
      <c r="R142" s="23"/>
      <c r="S142" s="23"/>
      <c r="T142" s="23"/>
      <c r="U142" s="23"/>
      <c r="V142" s="23"/>
    </row>
    <row r="143" spans="1:22" s="24" customFormat="1" ht="23.1" customHeight="1">
      <c r="A143" s="104" t="s">
        <v>23</v>
      </c>
      <c r="B143" s="36">
        <f>COUNTIF('창리(출력7)'!$D$5:$D$594,"잡")</f>
        <v>13</v>
      </c>
      <c r="C143" s="37" t="s">
        <v>5</v>
      </c>
      <c r="D143" s="212">
        <f>SUMIF('창리(출력7)'!$D$5:$D$594,"잡",'창리(출력7)'!$G$5:$G$594)</f>
        <v>6483</v>
      </c>
      <c r="E143" s="36" t="e">
        <f>COUNTIF('창리(출력7)'!#REF!,"잡국")</f>
        <v>#REF!</v>
      </c>
      <c r="F143" s="37" t="s">
        <v>5</v>
      </c>
      <c r="G143" s="212" t="e">
        <f>SUMIF('창리(출력7)'!#REF!,"잡국",'창리(출력7)'!$G$5:$G$594)</f>
        <v>#REF!</v>
      </c>
      <c r="H143" s="36" t="e">
        <f>COUNTIF('창리(출력7)'!#REF!,"잡공")</f>
        <v>#REF!</v>
      </c>
      <c r="I143" s="37" t="s">
        <v>5</v>
      </c>
      <c r="J143" s="212" t="e">
        <f>SUMIF('창리(출력7)'!#REF!,"잡공",'창리(출력7)'!$G$5:$G$594)</f>
        <v>#REF!</v>
      </c>
      <c r="K143" s="36" t="e">
        <f t="shared" si="8"/>
        <v>#REF!</v>
      </c>
      <c r="L143" s="37" t="s">
        <v>5</v>
      </c>
      <c r="M143" s="212" t="e">
        <f t="shared" si="9"/>
        <v>#REF!</v>
      </c>
      <c r="N143" s="39"/>
      <c r="O143" s="23"/>
      <c r="P143" s="23"/>
      <c r="Q143" s="23"/>
      <c r="R143" s="23"/>
      <c r="S143" s="23"/>
      <c r="T143" s="23"/>
      <c r="U143" s="23"/>
      <c r="V143" s="23"/>
    </row>
    <row r="144" spans="1:22" s="24" customFormat="1" ht="23.1" customHeight="1">
      <c r="A144" s="105" t="s">
        <v>24</v>
      </c>
      <c r="B144" s="36">
        <f>COUNTIF('창리(출력7)'!$D$5:$D$594,"종")</f>
        <v>0</v>
      </c>
      <c r="C144" s="37" t="s">
        <v>5</v>
      </c>
      <c r="D144" s="212">
        <f>SUMIF('창리(출력7)'!$D$5:$D$594,"종",'창리(출력7)'!$G$5:$G$594)</f>
        <v>0</v>
      </c>
      <c r="E144" s="36" t="e">
        <f>COUNTIF('창리(출력7)'!#REF!,"종국")</f>
        <v>#REF!</v>
      </c>
      <c r="F144" s="37" t="s">
        <v>5</v>
      </c>
      <c r="G144" s="212" t="e">
        <f>SUMIF('창리(출력7)'!#REF!,"종국",'창리(출력7)'!$G$5:$G$594)</f>
        <v>#REF!</v>
      </c>
      <c r="H144" s="36" t="e">
        <f>COUNTIF('창리(출력7)'!#REF!,"종공")</f>
        <v>#REF!</v>
      </c>
      <c r="I144" s="37" t="s">
        <v>5</v>
      </c>
      <c r="J144" s="212" t="e">
        <f>SUMIF('창리(출력7)'!#REF!,"종공",'창리(출력7)'!$G$5:$G$594)</f>
        <v>#REF!</v>
      </c>
      <c r="K144" s="36" t="e">
        <f t="shared" si="8"/>
        <v>#REF!</v>
      </c>
      <c r="L144" s="37" t="s">
        <v>5</v>
      </c>
      <c r="M144" s="212" t="e">
        <f t="shared" si="9"/>
        <v>#REF!</v>
      </c>
      <c r="N144" s="39"/>
      <c r="O144" s="23"/>
      <c r="P144" s="23"/>
      <c r="Q144" s="23"/>
      <c r="R144" s="23"/>
      <c r="S144" s="23"/>
      <c r="T144" s="23"/>
      <c r="U144" s="23"/>
      <c r="V144" s="23"/>
    </row>
    <row r="145" spans="1:22" s="24" customFormat="1" ht="23.1" customHeight="1">
      <c r="A145" s="105" t="s">
        <v>25</v>
      </c>
      <c r="B145" s="36">
        <f>COUNTIF('창리(출력7)'!$D$5:$D$594,"염")</f>
        <v>0</v>
      </c>
      <c r="C145" s="37" t="s">
        <v>5</v>
      </c>
      <c r="D145" s="212">
        <f>SUMIF('창리(출력7)'!$D$5:$D$594,"염",'창리(출력7)'!$G$5:$G$594)</f>
        <v>0</v>
      </c>
      <c r="E145" s="36" t="e">
        <f>COUNTIF('창리(출력7)'!#REF!,"염국")</f>
        <v>#REF!</v>
      </c>
      <c r="F145" s="37" t="s">
        <v>5</v>
      </c>
      <c r="G145" s="212" t="e">
        <f>SUMIF('창리(출력7)'!#REF!,"염국",'창리(출력7)'!$G$5:$G$594)</f>
        <v>#REF!</v>
      </c>
      <c r="H145" s="36" t="e">
        <f>COUNTIF('창리(출력7)'!#REF!,"염공")</f>
        <v>#REF!</v>
      </c>
      <c r="I145" s="37" t="s">
        <v>5</v>
      </c>
      <c r="J145" s="212" t="e">
        <f>SUMIF('창리(출력7)'!#REF!,"염공",'창리(출력7)'!$G$5:$G$594)</f>
        <v>#REF!</v>
      </c>
      <c r="K145" s="36" t="e">
        <f t="shared" si="8"/>
        <v>#REF!</v>
      </c>
      <c r="L145" s="37" t="s">
        <v>5</v>
      </c>
      <c r="M145" s="212" t="e">
        <f t="shared" si="9"/>
        <v>#REF!</v>
      </c>
      <c r="N145" s="39"/>
      <c r="O145" s="23"/>
      <c r="P145" s="23"/>
      <c r="Q145" s="23"/>
      <c r="R145" s="23"/>
      <c r="S145" s="23"/>
      <c r="T145" s="23"/>
      <c r="U145" s="23"/>
      <c r="V145" s="23"/>
    </row>
    <row r="146" spans="1:22" s="24" customFormat="1" ht="23.1" customHeight="1">
      <c r="A146" s="105" t="s">
        <v>26</v>
      </c>
      <c r="B146" s="36">
        <f>COUNTIF('창리(출력7)'!$D$5:$D$594,"공")</f>
        <v>0</v>
      </c>
      <c r="C146" s="37" t="s">
        <v>5</v>
      </c>
      <c r="D146" s="212">
        <f>SUMIF('창리(출력7)'!$D$5:$D$594,"공",'창리(출력7)'!$G$5:$G$594)</f>
        <v>0</v>
      </c>
      <c r="E146" s="36" t="e">
        <f>COUNTIF('창리(출력7)'!#REF!,"공국")</f>
        <v>#REF!</v>
      </c>
      <c r="F146" s="37" t="s">
        <v>5</v>
      </c>
      <c r="G146" s="212" t="e">
        <f>SUMIF('창리(출력7)'!#REF!,"공국",'창리(출력7)'!$G$5:$G$594)</f>
        <v>#REF!</v>
      </c>
      <c r="H146" s="36" t="e">
        <f>COUNTIF('창리(출력7)'!#REF!,"공공")</f>
        <v>#REF!</v>
      </c>
      <c r="I146" s="37" t="s">
        <v>5</v>
      </c>
      <c r="J146" s="212" t="e">
        <f>SUMIF('창리(출력7)'!#REF!,"공공",'창리(출력7)'!$G$5:$G$594)</f>
        <v>#REF!</v>
      </c>
      <c r="K146" s="36" t="e">
        <f t="shared" si="8"/>
        <v>#REF!</v>
      </c>
      <c r="L146" s="37" t="s">
        <v>5</v>
      </c>
      <c r="M146" s="212" t="e">
        <f t="shared" si="9"/>
        <v>#REF!</v>
      </c>
      <c r="N146" s="39"/>
      <c r="O146" s="23"/>
      <c r="P146" s="23"/>
      <c r="Q146" s="23"/>
      <c r="R146" s="23"/>
      <c r="S146" s="23"/>
      <c r="T146" s="23"/>
      <c r="U146" s="23"/>
      <c r="V146" s="23"/>
    </row>
    <row r="147" spans="1:22" s="24" customFormat="1" ht="23.1" customHeight="1">
      <c r="A147" s="105" t="s">
        <v>27</v>
      </c>
      <c r="B147" s="36">
        <f>COUNTIF('창리(출력7)'!$D$5:$D$594,"체")</f>
        <v>0</v>
      </c>
      <c r="C147" s="37" t="s">
        <v>5</v>
      </c>
      <c r="D147" s="212">
        <f>SUMIF('창리(출력7)'!$D$5:$D$594,"체",'창리(출력7)'!$G$5:$G$594)</f>
        <v>0</v>
      </c>
      <c r="E147" s="36" t="e">
        <f>COUNTIF('창리(출력7)'!#REF!,"체국")</f>
        <v>#REF!</v>
      </c>
      <c r="F147" s="37" t="s">
        <v>5</v>
      </c>
      <c r="G147" s="212" t="e">
        <f>SUMIF('창리(출력7)'!#REF!,"체국",'창리(출력7)'!$G$5:$G$594)</f>
        <v>#REF!</v>
      </c>
      <c r="H147" s="36" t="e">
        <f>COUNTIF('창리(출력7)'!#REF!,"체공")</f>
        <v>#REF!</v>
      </c>
      <c r="I147" s="37" t="s">
        <v>5</v>
      </c>
      <c r="J147" s="212" t="e">
        <f>SUMIF('창리(출력7)'!#REF!,"체공",'창리(출력7)'!$G$5:$G$594)</f>
        <v>#REF!</v>
      </c>
      <c r="K147" s="36" t="e">
        <f t="shared" si="8"/>
        <v>#REF!</v>
      </c>
      <c r="L147" s="37" t="s">
        <v>5</v>
      </c>
      <c r="M147" s="212" t="e">
        <f t="shared" si="9"/>
        <v>#REF!</v>
      </c>
      <c r="N147" s="39"/>
      <c r="O147" s="23"/>
      <c r="P147" s="23"/>
      <c r="Q147" s="23"/>
      <c r="R147" s="23"/>
      <c r="S147" s="23"/>
      <c r="T147" s="23"/>
      <c r="U147" s="23"/>
      <c r="V147" s="23"/>
    </row>
    <row r="148" spans="1:22" s="24" customFormat="1" ht="23.1" customHeight="1">
      <c r="A148" s="105" t="s">
        <v>28</v>
      </c>
      <c r="B148" s="36">
        <f>COUNTIF('창리(출력7)'!$D$5:$D$594,"원")</f>
        <v>0</v>
      </c>
      <c r="C148" s="37" t="s">
        <v>5</v>
      </c>
      <c r="D148" s="212">
        <f>SUMIF('창리(출력7)'!$D$5:$D$594,"원",'창리(출력7)'!$G$5:$G$594)</f>
        <v>0</v>
      </c>
      <c r="E148" s="36" t="e">
        <f>COUNTIF('창리(출력7)'!#REF!,"원국")</f>
        <v>#REF!</v>
      </c>
      <c r="F148" s="37" t="s">
        <v>5</v>
      </c>
      <c r="G148" s="212" t="e">
        <f>SUMIF('창리(출력7)'!#REF!,"원국",'창리(출력7)'!$G$5:$G$594)</f>
        <v>#REF!</v>
      </c>
      <c r="H148" s="36" t="e">
        <f>COUNTIF('창리(출력7)'!#REF!,"원공")</f>
        <v>#REF!</v>
      </c>
      <c r="I148" s="37" t="s">
        <v>5</v>
      </c>
      <c r="J148" s="212" t="e">
        <f>SUMIF('창리(출력7)'!#REF!,"원공",'창리(출력7)'!$G$5:$G$594)</f>
        <v>#REF!</v>
      </c>
      <c r="K148" s="36" t="e">
        <f t="shared" si="8"/>
        <v>#REF!</v>
      </c>
      <c r="L148" s="37" t="s">
        <v>5</v>
      </c>
      <c r="M148" s="212" t="e">
        <f t="shared" si="9"/>
        <v>#REF!</v>
      </c>
      <c r="N148" s="39"/>
      <c r="O148" s="23"/>
      <c r="P148" s="23"/>
      <c r="Q148" s="23"/>
      <c r="R148" s="23"/>
      <c r="S148" s="23"/>
      <c r="T148" s="23"/>
      <c r="U148" s="23"/>
      <c r="V148" s="23"/>
    </row>
    <row r="149" spans="1:22" s="24" customFormat="1" ht="23.1" customHeight="1">
      <c r="A149" s="105" t="s">
        <v>60</v>
      </c>
      <c r="B149" s="36">
        <f>COUNTIF('창리(출력7)'!$D$5:$D$594,"차")</f>
        <v>0</v>
      </c>
      <c r="C149" s="37" t="s">
        <v>5</v>
      </c>
      <c r="D149" s="212">
        <f>SUMIF('창리(출력7)'!$D$5:$D$594,"차",'창리(출력7)'!$G$5:$G$594)</f>
        <v>0</v>
      </c>
      <c r="E149" s="36" t="e">
        <f>COUNTIF('창리(출력7)'!#REF!,"차국")</f>
        <v>#REF!</v>
      </c>
      <c r="F149" s="37" t="s">
        <v>5</v>
      </c>
      <c r="G149" s="212" t="e">
        <f>SUMIF('창리(출력7)'!#REF!,"차국",'창리(출력7)'!$G$5:$G$594)</f>
        <v>#REF!</v>
      </c>
      <c r="H149" s="36" t="e">
        <f>COUNTIF('창리(출력7)'!#REF!,"차공")</f>
        <v>#REF!</v>
      </c>
      <c r="I149" s="37" t="s">
        <v>5</v>
      </c>
      <c r="J149" s="212" t="e">
        <f>SUMIF('창리(출력7)'!#REF!,"차공",'창리(출력7)'!$G$5:$G$594)</f>
        <v>#REF!</v>
      </c>
      <c r="K149" s="36" t="e">
        <f t="shared" si="8"/>
        <v>#REF!</v>
      </c>
      <c r="L149" s="37" t="s">
        <v>5</v>
      </c>
      <c r="M149" s="212" t="e">
        <f t="shared" si="9"/>
        <v>#REF!</v>
      </c>
      <c r="N149" s="39"/>
      <c r="O149" s="23"/>
      <c r="P149" s="23"/>
      <c r="Q149" s="23"/>
      <c r="R149" s="23"/>
      <c r="S149" s="23"/>
      <c r="T149" s="23"/>
      <c r="U149" s="23"/>
      <c r="V149" s="23"/>
    </row>
    <row r="150" spans="1:22" s="24" customFormat="1" ht="23.1" customHeight="1">
      <c r="A150" s="105" t="s">
        <v>70</v>
      </c>
      <c r="B150" s="36">
        <f>COUNTIF('창리(출력7)'!$D$5:$D$594,"주")</f>
        <v>0</v>
      </c>
      <c r="C150" s="37" t="s">
        <v>5</v>
      </c>
      <c r="D150" s="212">
        <f>SUMIF('창리(출력7)'!$D$5:$D$594,"주",'창리(출력7)'!$G$5:$G$594)</f>
        <v>0</v>
      </c>
      <c r="E150" s="36" t="e">
        <f>COUNTIF('창리(출력7)'!#REF!,"주국")</f>
        <v>#REF!</v>
      </c>
      <c r="F150" s="37" t="s">
        <v>5</v>
      </c>
      <c r="G150" s="212" t="e">
        <f>SUMIF('창리(출력7)'!#REF!,"주국",'창리(출력7)'!$G$5:$G$594)</f>
        <v>#REF!</v>
      </c>
      <c r="H150" s="36" t="e">
        <f>COUNTIF('창리(출력7)'!#REF!,"주공")</f>
        <v>#REF!</v>
      </c>
      <c r="I150" s="37" t="s">
        <v>5</v>
      </c>
      <c r="J150" s="212" t="e">
        <f>SUMIF('창리(출력7)'!#REF!,"주공",'창리(출력7)'!$G$5:$G$594)</f>
        <v>#REF!</v>
      </c>
      <c r="K150" s="36" t="e">
        <f t="shared" si="8"/>
        <v>#REF!</v>
      </c>
      <c r="L150" s="37" t="s">
        <v>5</v>
      </c>
      <c r="M150" s="212" t="e">
        <f t="shared" si="9"/>
        <v>#REF!</v>
      </c>
      <c r="N150" s="39"/>
      <c r="O150" s="23"/>
      <c r="P150" s="23"/>
      <c r="Q150" s="23"/>
      <c r="R150" s="23"/>
      <c r="S150" s="23"/>
      <c r="T150" s="23"/>
      <c r="U150" s="23"/>
      <c r="V150" s="23"/>
    </row>
    <row r="151" spans="1:22" s="24" customFormat="1" ht="23.1" customHeight="1">
      <c r="A151" s="106" t="s">
        <v>62</v>
      </c>
      <c r="B151" s="40">
        <f>COUNTIF('창리(출력7)'!$D$5:$D$594,"가")</f>
        <v>0</v>
      </c>
      <c r="C151" s="41" t="s">
        <v>5</v>
      </c>
      <c r="D151" s="213">
        <f>SUMIF('창리(출력7)'!$D$5:$D$594,"가",'창리(출력7)'!$G$5:$G$594)</f>
        <v>0</v>
      </c>
      <c r="E151" s="40" t="e">
        <f>COUNTIF('창리(출력7)'!#REF!," 국")</f>
        <v>#REF!</v>
      </c>
      <c r="F151" s="41" t="s">
        <v>5</v>
      </c>
      <c r="G151" s="213" t="e">
        <f>SUMIF('창리(출력7)'!#REF!," 국",'창리(출력7)'!$G$5:$G$594)</f>
        <v>#REF!</v>
      </c>
      <c r="H151" s="40" t="e">
        <f>COUNTIF('창리(출력7)'!#REF!," 공")</f>
        <v>#REF!</v>
      </c>
      <c r="I151" s="41" t="s">
        <v>5</v>
      </c>
      <c r="J151" s="213" t="e">
        <f>SUMIF('창리(출력7)'!#REF!," 공",'창리(출력7)'!$G$5:$G$594)</f>
        <v>#REF!</v>
      </c>
      <c r="K151" s="40" t="e">
        <f t="shared" si="8"/>
        <v>#REF!</v>
      </c>
      <c r="L151" s="41" t="s">
        <v>5</v>
      </c>
      <c r="M151" s="213" t="e">
        <f t="shared" si="9"/>
        <v>#REF!</v>
      </c>
      <c r="N151" s="43"/>
      <c r="O151" s="23"/>
      <c r="P151" s="23"/>
      <c r="Q151" s="23"/>
      <c r="R151" s="23"/>
      <c r="S151" s="23"/>
      <c r="T151" s="23"/>
      <c r="U151" s="23"/>
      <c r="V151" s="23"/>
    </row>
    <row r="152" spans="1:22" s="17" customFormat="1" ht="20.100000000000001" customHeight="1">
      <c r="A152" s="11">
        <f>IF(EXACT(O156,O157),,"검산확인요!!!")</f>
        <v>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3">
        <f>IF(ISBLANK('6'!K2),,'6'!K2)</f>
        <v>3</v>
      </c>
      <c r="L152" s="14"/>
      <c r="M152" s="15"/>
      <c r="N152" s="16"/>
    </row>
    <row r="153" spans="1:22" s="17" customFormat="1" ht="9.9499999999999993" customHeight="1">
      <c r="A153" s="1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</row>
    <row r="154" spans="1:22" s="24" customFormat="1" ht="27.95" customHeight="1">
      <c r="A154" s="18" t="s">
        <v>3</v>
      </c>
      <c r="B154" s="19" t="s">
        <v>2</v>
      </c>
      <c r="C154" s="20"/>
      <c r="D154" s="21"/>
      <c r="E154" s="19" t="s">
        <v>29</v>
      </c>
      <c r="F154" s="20"/>
      <c r="G154" s="21"/>
      <c r="H154" s="19" t="s">
        <v>38</v>
      </c>
      <c r="I154" s="20"/>
      <c r="J154" s="21"/>
      <c r="K154" s="19" t="s">
        <v>30</v>
      </c>
      <c r="L154" s="20"/>
      <c r="M154" s="21"/>
      <c r="N154" s="22" t="s">
        <v>31</v>
      </c>
      <c r="O154" s="23"/>
      <c r="S154" s="23"/>
      <c r="T154" s="23"/>
      <c r="U154" s="23"/>
      <c r="V154" s="23"/>
    </row>
    <row r="155" spans="1:22" s="24" customFormat="1" ht="27.95" customHeight="1">
      <c r="A155" s="25"/>
      <c r="B155" s="26" t="s">
        <v>4</v>
      </c>
      <c r="C155" s="27" t="s">
        <v>5</v>
      </c>
      <c r="D155" s="28" t="s">
        <v>32</v>
      </c>
      <c r="E155" s="26" t="s">
        <v>4</v>
      </c>
      <c r="F155" s="27" t="s">
        <v>5</v>
      </c>
      <c r="G155" s="28" t="s">
        <v>32</v>
      </c>
      <c r="H155" s="26" t="s">
        <v>4</v>
      </c>
      <c r="I155" s="27" t="s">
        <v>5</v>
      </c>
      <c r="J155" s="28" t="s">
        <v>32</v>
      </c>
      <c r="K155" s="26" t="s">
        <v>4</v>
      </c>
      <c r="L155" s="27" t="s">
        <v>5</v>
      </c>
      <c r="M155" s="28" t="s">
        <v>32</v>
      </c>
      <c r="N155" s="29"/>
      <c r="P155" s="23"/>
      <c r="Q155" s="30" t="s">
        <v>33</v>
      </c>
      <c r="R155" s="30" t="s">
        <v>34</v>
      </c>
      <c r="S155" s="30" t="s">
        <v>35</v>
      </c>
      <c r="T155" s="30" t="s">
        <v>36</v>
      </c>
      <c r="U155" s="23"/>
      <c r="V155" s="23"/>
    </row>
    <row r="156" spans="1:22" s="24" customFormat="1" ht="23.1" customHeight="1">
      <c r="A156" s="103" t="s">
        <v>2</v>
      </c>
      <c r="B156" s="31">
        <f>SUM(B157:B181)</f>
        <v>0</v>
      </c>
      <c r="C156" s="32" t="s">
        <v>5</v>
      </c>
      <c r="D156" s="33">
        <f>SUM(D157:D181)</f>
        <v>0</v>
      </c>
      <c r="E156" s="31">
        <f>SUM(E157:E181)</f>
        <v>0</v>
      </c>
      <c r="F156" s="32" t="s">
        <v>5</v>
      </c>
      <c r="G156" s="33">
        <f>SUM(G157:G181)</f>
        <v>0</v>
      </c>
      <c r="H156" s="31">
        <f>SUM(H157:H181)</f>
        <v>0</v>
      </c>
      <c r="I156" s="32" t="s">
        <v>5</v>
      </c>
      <c r="J156" s="33">
        <f>SUM(J157:J181)</f>
        <v>0</v>
      </c>
      <c r="K156" s="31">
        <f>SUM(K157:K181)</f>
        <v>0</v>
      </c>
      <c r="L156" s="32" t="s">
        <v>5</v>
      </c>
      <c r="M156" s="33">
        <f>SUM(M157:M181)</f>
        <v>0</v>
      </c>
      <c r="N156" s="34"/>
      <c r="O156" s="23" t="str">
        <f>IF(EXACT(Q156,T156),"맞음","틀림")</f>
        <v>맞음</v>
      </c>
      <c r="P156" s="23" t="s">
        <v>4</v>
      </c>
      <c r="Q156" s="35">
        <f>SUM(B157:B181)</f>
        <v>0</v>
      </c>
      <c r="R156" s="35">
        <f>SUM(E157:E181)</f>
        <v>0</v>
      </c>
      <c r="S156" s="35">
        <f>SUM(K157:K181)</f>
        <v>0</v>
      </c>
      <c r="T156" s="35">
        <f>K156+E156</f>
        <v>0</v>
      </c>
      <c r="U156" s="23"/>
      <c r="V156" s="23"/>
    </row>
    <row r="157" spans="1:22" s="24" customFormat="1" ht="23.1" customHeight="1">
      <c r="A157" s="104" t="s">
        <v>7</v>
      </c>
      <c r="B157" s="36">
        <f>COUNTIF('6'!$C$6:$C$529,"전")</f>
        <v>0</v>
      </c>
      <c r="C157" s="37" t="s">
        <v>5</v>
      </c>
      <c r="D157" s="38">
        <f>SUMIF('6'!$C$6:$C$529,"전",'6'!$E$6:$E$529)</f>
        <v>0</v>
      </c>
      <c r="E157" s="36">
        <f>COUNTIF('6'!$N$6:$N$529,"전국")</f>
        <v>0</v>
      </c>
      <c r="F157" s="37" t="s">
        <v>5</v>
      </c>
      <c r="G157" s="38">
        <f>SUMIF('6'!$N$6:$N$529,"전국",'6'!$E$6:$E$529)</f>
        <v>0</v>
      </c>
      <c r="H157" s="36">
        <f>COUNTIF('6'!$N$6:$N$529,"전공")</f>
        <v>0</v>
      </c>
      <c r="I157" s="37" t="s">
        <v>5</v>
      </c>
      <c r="J157" s="38">
        <f>SUMIF('6'!$N$6:$N$529,"전공",'6'!$E$6:$E$529)</f>
        <v>0</v>
      </c>
      <c r="K157" s="36">
        <f t="shared" ref="K157:K181" si="10">SUM(B157-E157-H157)</f>
        <v>0</v>
      </c>
      <c r="L157" s="37" t="s">
        <v>5</v>
      </c>
      <c r="M157" s="38">
        <f t="shared" ref="M157:M181" si="11">SUM(D157-G157-J157)</f>
        <v>0</v>
      </c>
      <c r="N157" s="39"/>
      <c r="O157" s="23" t="str">
        <f>IF(EXACT(Q157,T157),"맞음","틀림")</f>
        <v>맞음</v>
      </c>
      <c r="P157" s="23" t="s">
        <v>37</v>
      </c>
      <c r="Q157" s="35">
        <f>SUM(D157:D181)</f>
        <v>0</v>
      </c>
      <c r="R157" s="35">
        <f>SUM(G157:G181)</f>
        <v>0</v>
      </c>
      <c r="S157" s="35">
        <f>SUM(M157:M181)</f>
        <v>0</v>
      </c>
      <c r="T157" s="35">
        <f>G156+M156</f>
        <v>0</v>
      </c>
      <c r="U157" s="23"/>
      <c r="V157" s="23"/>
    </row>
    <row r="158" spans="1:22" s="24" customFormat="1" ht="23.1" customHeight="1">
      <c r="A158" s="104" t="s">
        <v>8</v>
      </c>
      <c r="B158" s="36">
        <f>COUNTIF('6'!$C$6:$C$529,"답")</f>
        <v>0</v>
      </c>
      <c r="C158" s="37" t="s">
        <v>5</v>
      </c>
      <c r="D158" s="38">
        <f>SUMIF('6'!$C$6:$C$529,"답",'6'!$E$6:$E$529)</f>
        <v>0</v>
      </c>
      <c r="E158" s="36">
        <f>COUNTIF('6'!$N$6:$N$529,"답국")</f>
        <v>0</v>
      </c>
      <c r="F158" s="37" t="s">
        <v>5</v>
      </c>
      <c r="G158" s="38">
        <f>SUMIF('6'!$N$6:$N$529,"답국",'6'!$E$6:$E$529)</f>
        <v>0</v>
      </c>
      <c r="H158" s="36">
        <f>COUNTIF('6'!$N$6:$N$529,"답공")</f>
        <v>0</v>
      </c>
      <c r="I158" s="37" t="s">
        <v>5</v>
      </c>
      <c r="J158" s="38">
        <f>SUMIF('6'!$N$6:$N$529,"답공",'6'!$E$6:$E$529)</f>
        <v>0</v>
      </c>
      <c r="K158" s="36">
        <f t="shared" si="10"/>
        <v>0</v>
      </c>
      <c r="L158" s="37" t="s">
        <v>5</v>
      </c>
      <c r="M158" s="38">
        <f t="shared" si="11"/>
        <v>0</v>
      </c>
      <c r="N158" s="39"/>
      <c r="Q158" s="23"/>
      <c r="S158" s="23"/>
      <c r="U158" s="23"/>
      <c r="V158" s="23"/>
    </row>
    <row r="159" spans="1:22" s="24" customFormat="1" ht="23.1" customHeight="1">
      <c r="A159" s="104" t="s">
        <v>9</v>
      </c>
      <c r="B159" s="36">
        <f>COUNTIF('6'!$C$6:$C$529,"임")</f>
        <v>0</v>
      </c>
      <c r="C159" s="37" t="s">
        <v>5</v>
      </c>
      <c r="D159" s="38">
        <f>SUMIF('6'!$C$6:$C$529,"임",'6'!$E$6:$E$529)</f>
        <v>0</v>
      </c>
      <c r="E159" s="36">
        <f>COUNTIF('6'!$N$6:$N$529,"임국")</f>
        <v>0</v>
      </c>
      <c r="F159" s="37" t="s">
        <v>5</v>
      </c>
      <c r="G159" s="38">
        <f>SUMIF('6'!$N$6:$N$529,"임국",'6'!$E$6:$E$529)</f>
        <v>0</v>
      </c>
      <c r="H159" s="36">
        <f>COUNTIF('6'!$N$6:$N$529,"임공")</f>
        <v>0</v>
      </c>
      <c r="I159" s="37" t="s">
        <v>5</v>
      </c>
      <c r="J159" s="38">
        <f>SUMIF('6'!$N$6:$N$529,"임공",'6'!$E$6:$E$529)</f>
        <v>0</v>
      </c>
      <c r="K159" s="36">
        <f t="shared" si="10"/>
        <v>0</v>
      </c>
      <c r="L159" s="37" t="s">
        <v>5</v>
      </c>
      <c r="M159" s="38">
        <f t="shared" si="11"/>
        <v>0</v>
      </c>
      <c r="N159" s="39"/>
      <c r="Q159" s="23"/>
      <c r="S159" s="23"/>
      <c r="U159" s="23"/>
      <c r="V159" s="23"/>
    </row>
    <row r="160" spans="1:22" s="24" customFormat="1" ht="23.1" customHeight="1">
      <c r="A160" s="104" t="s">
        <v>10</v>
      </c>
      <c r="B160" s="36">
        <f>COUNTIF('6'!$C$6:$C$529,"대")</f>
        <v>0</v>
      </c>
      <c r="C160" s="37" t="s">
        <v>5</v>
      </c>
      <c r="D160" s="38">
        <f>SUMIF('6'!$C$6:$C$529,"대",'6'!$E$6:$E$529)</f>
        <v>0</v>
      </c>
      <c r="E160" s="36">
        <f>COUNTIF('6'!$N$6:$N$529,"대국")</f>
        <v>0</v>
      </c>
      <c r="F160" s="37" t="s">
        <v>5</v>
      </c>
      <c r="G160" s="38">
        <f>SUMIF('6'!$N$6:$N$529,"대국",'6'!$E$6:$E$529)</f>
        <v>0</v>
      </c>
      <c r="H160" s="36">
        <f>COUNTIF('6'!$N$6:$N$529,"대공")</f>
        <v>0</v>
      </c>
      <c r="I160" s="37" t="s">
        <v>5</v>
      </c>
      <c r="J160" s="38">
        <f>SUMIF('6'!$N$6:$N$529,"대공",'6'!$E$6:$E$529)</f>
        <v>0</v>
      </c>
      <c r="K160" s="36">
        <f t="shared" si="10"/>
        <v>0</v>
      </c>
      <c r="L160" s="37" t="s">
        <v>5</v>
      </c>
      <c r="M160" s="38">
        <f t="shared" si="11"/>
        <v>0</v>
      </c>
      <c r="N160" s="39"/>
      <c r="O160" s="23"/>
      <c r="P160" s="23"/>
      <c r="Q160" s="23"/>
      <c r="R160" s="23"/>
      <c r="S160" s="23"/>
      <c r="T160" s="23"/>
      <c r="U160" s="23"/>
      <c r="V160" s="23"/>
    </row>
    <row r="161" spans="1:22" s="24" customFormat="1" ht="23.1" customHeight="1">
      <c r="A161" s="104" t="s">
        <v>11</v>
      </c>
      <c r="B161" s="36">
        <f>COUNTIF('6'!$C$6:$C$529,"도")</f>
        <v>0</v>
      </c>
      <c r="C161" s="37" t="s">
        <v>5</v>
      </c>
      <c r="D161" s="38">
        <f>SUMIF('6'!$C$6:$C$529,"도",'6'!$E$6:$E$529)</f>
        <v>0</v>
      </c>
      <c r="E161" s="36">
        <f>COUNTIF('6'!$N$6:$N$529,"도국")</f>
        <v>0</v>
      </c>
      <c r="F161" s="37" t="s">
        <v>5</v>
      </c>
      <c r="G161" s="38">
        <f>SUMIF('6'!$N$6:$N$529,"도국",'6'!$E$6:$E$529)</f>
        <v>0</v>
      </c>
      <c r="H161" s="36">
        <f>COUNTIF('6'!$N$6:$N$529,"도공")</f>
        <v>0</v>
      </c>
      <c r="I161" s="37" t="s">
        <v>5</v>
      </c>
      <c r="J161" s="38">
        <f>SUMIF('6'!$N$6:$N$529,"도공",'6'!$E$6:$E$529)</f>
        <v>0</v>
      </c>
      <c r="K161" s="36">
        <f t="shared" si="10"/>
        <v>0</v>
      </c>
      <c r="L161" s="37" t="s">
        <v>5</v>
      </c>
      <c r="M161" s="38">
        <f t="shared" si="11"/>
        <v>0</v>
      </c>
      <c r="N161" s="39"/>
      <c r="O161" s="23"/>
      <c r="P161" s="23"/>
      <c r="Q161" s="23"/>
      <c r="R161" s="23"/>
      <c r="S161" s="23"/>
      <c r="T161" s="23"/>
      <c r="U161" s="23"/>
      <c r="V161" s="23"/>
    </row>
    <row r="162" spans="1:22" s="24" customFormat="1" ht="23.1" customHeight="1">
      <c r="A162" s="104" t="s">
        <v>12</v>
      </c>
      <c r="B162" s="36">
        <f>COUNTIF('6'!$C$6:$C$529,"구")</f>
        <v>0</v>
      </c>
      <c r="C162" s="37" t="s">
        <v>5</v>
      </c>
      <c r="D162" s="38">
        <f>SUMIF('6'!$C$6:$C$529,"구",'6'!$E$6:$E$529)</f>
        <v>0</v>
      </c>
      <c r="E162" s="36">
        <f>COUNTIF('6'!$N$6:$N$529,"구국")</f>
        <v>0</v>
      </c>
      <c r="F162" s="37" t="s">
        <v>5</v>
      </c>
      <c r="G162" s="38">
        <f>SUMIF('6'!$N$6:$N$529,"구국",'6'!$E$6:$E$529)</f>
        <v>0</v>
      </c>
      <c r="H162" s="36">
        <f>COUNTIF('6'!$N$6:$N$529,"구공")</f>
        <v>0</v>
      </c>
      <c r="I162" s="37" t="s">
        <v>5</v>
      </c>
      <c r="J162" s="38">
        <f>SUMIF('6'!$N$6:$N$529,"구공",'6'!$E$6:$E$529)</f>
        <v>0</v>
      </c>
      <c r="K162" s="36">
        <f t="shared" si="10"/>
        <v>0</v>
      </c>
      <c r="L162" s="37" t="s">
        <v>5</v>
      </c>
      <c r="M162" s="38">
        <f t="shared" si="11"/>
        <v>0</v>
      </c>
      <c r="N162" s="39"/>
      <c r="O162" s="23"/>
      <c r="P162" s="23"/>
      <c r="Q162" s="23"/>
      <c r="R162" s="23"/>
      <c r="S162" s="23"/>
      <c r="T162" s="23"/>
      <c r="U162" s="23"/>
      <c r="V162" s="23"/>
    </row>
    <row r="163" spans="1:22" s="24" customFormat="1" ht="23.1" customHeight="1">
      <c r="A163" s="104" t="s">
        <v>13</v>
      </c>
      <c r="B163" s="36">
        <f>COUNTIF('6'!$C$6:$C$529,"천")</f>
        <v>0</v>
      </c>
      <c r="C163" s="37" t="s">
        <v>5</v>
      </c>
      <c r="D163" s="38">
        <f>SUMIF('6'!$C$6:$C$529,"천",'6'!$E$6:$E$529)</f>
        <v>0</v>
      </c>
      <c r="E163" s="36">
        <f>COUNTIF('6'!$N$6:$N$529,"천국")</f>
        <v>0</v>
      </c>
      <c r="F163" s="37" t="s">
        <v>5</v>
      </c>
      <c r="G163" s="38">
        <f>SUMIF('6'!$N$6:$N$529,"천국",'6'!$E$6:$E$529)</f>
        <v>0</v>
      </c>
      <c r="H163" s="36">
        <f>COUNTIF('6'!$N$6:$N$529,"천공")</f>
        <v>0</v>
      </c>
      <c r="I163" s="37" t="s">
        <v>5</v>
      </c>
      <c r="J163" s="38">
        <f>SUMIF('6'!$N$6:$N$529,"천공",'6'!$E$6:$E$529)</f>
        <v>0</v>
      </c>
      <c r="K163" s="36">
        <f t="shared" si="10"/>
        <v>0</v>
      </c>
      <c r="L163" s="37" t="s">
        <v>5</v>
      </c>
      <c r="M163" s="38">
        <f t="shared" si="11"/>
        <v>0</v>
      </c>
      <c r="N163" s="39"/>
      <c r="O163" s="23"/>
      <c r="P163" s="23"/>
      <c r="Q163" s="23"/>
      <c r="R163" s="23"/>
      <c r="S163" s="23"/>
      <c r="T163" s="23"/>
      <c r="U163" s="23"/>
      <c r="V163" s="23"/>
    </row>
    <row r="164" spans="1:22" s="24" customFormat="1" ht="23.1" customHeight="1">
      <c r="A164" s="104" t="s">
        <v>14</v>
      </c>
      <c r="B164" s="36">
        <f>COUNTIF('6'!$C$6:$C$529,"유")</f>
        <v>0</v>
      </c>
      <c r="C164" s="37" t="s">
        <v>5</v>
      </c>
      <c r="D164" s="38">
        <f>SUMIF('6'!$C$6:$C$529,"유",'6'!$E$6:$E$529)</f>
        <v>0</v>
      </c>
      <c r="E164" s="36">
        <f>COUNTIF('6'!$N$6:$N$529,"유국")</f>
        <v>0</v>
      </c>
      <c r="F164" s="37" t="s">
        <v>5</v>
      </c>
      <c r="G164" s="38">
        <f>SUMIF('6'!$N$6:$N$529,"유국",'6'!$E$6:$E$529)</f>
        <v>0</v>
      </c>
      <c r="H164" s="36">
        <f>COUNTIF('6'!$N$6:$N$529,"유공")</f>
        <v>0</v>
      </c>
      <c r="I164" s="37" t="s">
        <v>5</v>
      </c>
      <c r="J164" s="38">
        <f>SUMIF('6'!$N$6:$N$529,"유공",'6'!$E$6:$E$529)</f>
        <v>0</v>
      </c>
      <c r="K164" s="36">
        <f t="shared" si="10"/>
        <v>0</v>
      </c>
      <c r="L164" s="37" t="s">
        <v>5</v>
      </c>
      <c r="M164" s="38">
        <f t="shared" si="11"/>
        <v>0</v>
      </c>
      <c r="N164" s="39"/>
      <c r="O164" s="23"/>
      <c r="P164" s="23"/>
      <c r="Q164" s="23"/>
      <c r="R164" s="23"/>
      <c r="S164" s="23"/>
      <c r="T164" s="23"/>
      <c r="U164" s="23"/>
      <c r="V164" s="23"/>
    </row>
    <row r="165" spans="1:22" s="24" customFormat="1" ht="23.1" customHeight="1">
      <c r="A165" s="104" t="s">
        <v>15</v>
      </c>
      <c r="B165" s="36">
        <f>COUNTIF('6'!$C$6:$C$529,"제")</f>
        <v>0</v>
      </c>
      <c r="C165" s="37" t="s">
        <v>5</v>
      </c>
      <c r="D165" s="38">
        <f>SUMIF('6'!$C$6:$C$529,"제",'6'!$E$6:$E$529)</f>
        <v>0</v>
      </c>
      <c r="E165" s="36">
        <f>COUNTIF('6'!$N$6:$N$529,"제국")</f>
        <v>0</v>
      </c>
      <c r="F165" s="37" t="s">
        <v>5</v>
      </c>
      <c r="G165" s="38">
        <f>SUMIF('6'!$N$6:$N$529,"제국",'6'!$E$6:$E$529)</f>
        <v>0</v>
      </c>
      <c r="H165" s="36">
        <f>COUNTIF('6'!$N$6:$N$529,"제공")</f>
        <v>0</v>
      </c>
      <c r="I165" s="37" t="s">
        <v>5</v>
      </c>
      <c r="J165" s="38">
        <f>SUMIF('6'!$N$6:$N$529,"제공",'6'!$E$6:$E$529)</f>
        <v>0</v>
      </c>
      <c r="K165" s="36">
        <f t="shared" si="10"/>
        <v>0</v>
      </c>
      <c r="L165" s="37" t="s">
        <v>5</v>
      </c>
      <c r="M165" s="38">
        <f t="shared" si="11"/>
        <v>0</v>
      </c>
      <c r="N165" s="39"/>
      <c r="O165" s="23"/>
      <c r="P165" s="23"/>
      <c r="Q165" s="23"/>
      <c r="R165" s="23"/>
      <c r="S165" s="23"/>
      <c r="T165" s="23"/>
      <c r="U165" s="23"/>
      <c r="V165" s="23"/>
    </row>
    <row r="166" spans="1:22" s="24" customFormat="1" ht="23.1" customHeight="1">
      <c r="A166" s="104" t="s">
        <v>16</v>
      </c>
      <c r="B166" s="36">
        <f>COUNTIF('6'!$C$6:$C$529,"과")</f>
        <v>0</v>
      </c>
      <c r="C166" s="37" t="s">
        <v>5</v>
      </c>
      <c r="D166" s="38">
        <f>SUMIF('6'!$C$6:$C$529,"과",'6'!$E$6:$E$529)</f>
        <v>0</v>
      </c>
      <c r="E166" s="36">
        <f>COUNTIF('6'!$N$6:$N$529,"과국")</f>
        <v>0</v>
      </c>
      <c r="F166" s="37" t="s">
        <v>5</v>
      </c>
      <c r="G166" s="38">
        <f>SUMIF('6'!$N$6:$N$529,"과국",'6'!$E$6:$E$529)</f>
        <v>0</v>
      </c>
      <c r="H166" s="36">
        <f>COUNTIF('6'!$N$6:$N$529,"과공")</f>
        <v>0</v>
      </c>
      <c r="I166" s="37" t="s">
        <v>5</v>
      </c>
      <c r="J166" s="38">
        <f>SUMIF('6'!$N$6:$N$529,"과공",'6'!$E$6:$E$529)</f>
        <v>0</v>
      </c>
      <c r="K166" s="36">
        <f t="shared" si="10"/>
        <v>0</v>
      </c>
      <c r="L166" s="37" t="s">
        <v>5</v>
      </c>
      <c r="M166" s="38">
        <f t="shared" si="11"/>
        <v>0</v>
      </c>
      <c r="N166" s="39"/>
      <c r="O166" s="23"/>
      <c r="P166" s="23"/>
      <c r="Q166" s="23"/>
      <c r="R166" s="23"/>
      <c r="S166" s="23"/>
      <c r="T166" s="23"/>
      <c r="U166" s="23"/>
      <c r="V166" s="23"/>
    </row>
    <row r="167" spans="1:22" s="24" customFormat="1" ht="23.1" customHeight="1">
      <c r="A167" s="104" t="s">
        <v>17</v>
      </c>
      <c r="B167" s="36">
        <f>COUNTIF('6'!$C$6:$C$529,"장")</f>
        <v>0</v>
      </c>
      <c r="C167" s="37" t="s">
        <v>5</v>
      </c>
      <c r="D167" s="38">
        <f>SUMIF('6'!$C$6:$C$529,"장",'6'!$E$6:$E$529)</f>
        <v>0</v>
      </c>
      <c r="E167" s="36">
        <f>COUNTIF('6'!$N$6:$N$529,"장국")</f>
        <v>0</v>
      </c>
      <c r="F167" s="37" t="s">
        <v>5</v>
      </c>
      <c r="G167" s="38">
        <f>SUMIF('6'!$N$6:$N$529,"장국",'6'!$E$6:$E$529)</f>
        <v>0</v>
      </c>
      <c r="H167" s="36">
        <f>COUNTIF('6'!$N$6:$N$529,"장공")</f>
        <v>0</v>
      </c>
      <c r="I167" s="37" t="s">
        <v>5</v>
      </c>
      <c r="J167" s="38">
        <f>SUMIF('6'!$N$6:$N$529,"장공",'6'!$E$6:$E$529)</f>
        <v>0</v>
      </c>
      <c r="K167" s="36">
        <f t="shared" si="10"/>
        <v>0</v>
      </c>
      <c r="L167" s="37" t="s">
        <v>5</v>
      </c>
      <c r="M167" s="38">
        <f t="shared" si="11"/>
        <v>0</v>
      </c>
      <c r="N167" s="39"/>
      <c r="O167" s="23"/>
      <c r="P167" s="23"/>
      <c r="Q167" s="23"/>
      <c r="R167" s="23"/>
      <c r="S167" s="23"/>
      <c r="T167" s="23"/>
      <c r="U167" s="23"/>
      <c r="V167" s="23"/>
    </row>
    <row r="168" spans="1:22" s="24" customFormat="1" ht="23.1" customHeight="1">
      <c r="A168" s="104" t="s">
        <v>18</v>
      </c>
      <c r="B168" s="36">
        <f>COUNTIF('6'!$C$6:$C$529,"목")</f>
        <v>0</v>
      </c>
      <c r="C168" s="37" t="s">
        <v>5</v>
      </c>
      <c r="D168" s="38">
        <f>SUMIF('6'!$C$6:$C$529,"목",'6'!$E$6:$E$529)</f>
        <v>0</v>
      </c>
      <c r="E168" s="36">
        <f>COUNTIF('6'!$N$6:$N$529,"목국")</f>
        <v>0</v>
      </c>
      <c r="F168" s="37" t="s">
        <v>5</v>
      </c>
      <c r="G168" s="38">
        <f>SUMIF('6'!$N$6:$N$529,"목국",'6'!$E$6:$E$529)</f>
        <v>0</v>
      </c>
      <c r="H168" s="36">
        <f>COUNTIF('6'!$N$6:$N$529,"목공")</f>
        <v>0</v>
      </c>
      <c r="I168" s="37" t="s">
        <v>5</v>
      </c>
      <c r="J168" s="38">
        <f>SUMIF('6'!$N$6:$N$529,"목공",'6'!$E$6:$E$529)</f>
        <v>0</v>
      </c>
      <c r="K168" s="36">
        <f t="shared" si="10"/>
        <v>0</v>
      </c>
      <c r="L168" s="37" t="s">
        <v>5</v>
      </c>
      <c r="M168" s="38">
        <f t="shared" si="11"/>
        <v>0</v>
      </c>
      <c r="N168" s="39"/>
      <c r="O168" s="23"/>
      <c r="P168" s="23"/>
      <c r="Q168" s="23"/>
      <c r="R168" s="23"/>
      <c r="S168" s="23"/>
      <c r="T168" s="23"/>
      <c r="U168" s="23"/>
      <c r="V168" s="23"/>
    </row>
    <row r="169" spans="1:22" s="24" customFormat="1" ht="23.1" customHeight="1">
      <c r="A169" s="104" t="s">
        <v>19</v>
      </c>
      <c r="B169" s="36">
        <f>COUNTIF('6'!$C$6:$C$529,"학")</f>
        <v>0</v>
      </c>
      <c r="C169" s="37" t="s">
        <v>5</v>
      </c>
      <c r="D169" s="38">
        <f>SUMIF('6'!$C$6:$C$529,"학",'6'!$E$6:$E$529)</f>
        <v>0</v>
      </c>
      <c r="E169" s="36">
        <f>COUNTIF('6'!$N$6:$N$529,"학국")</f>
        <v>0</v>
      </c>
      <c r="F169" s="37" t="s">
        <v>5</v>
      </c>
      <c r="G169" s="38">
        <f>SUMIF('6'!$N$6:$N$529,"학국",'6'!$E$6:$E$529)</f>
        <v>0</v>
      </c>
      <c r="H169" s="36">
        <f>COUNTIF('6'!$N$6:$N$529,"학공")</f>
        <v>0</v>
      </c>
      <c r="I169" s="37" t="s">
        <v>5</v>
      </c>
      <c r="J169" s="38">
        <f>SUMIF('6'!$N$6:$N$529,"학공",'6'!$E$6:$E$529)</f>
        <v>0</v>
      </c>
      <c r="K169" s="36">
        <f t="shared" si="10"/>
        <v>0</v>
      </c>
      <c r="L169" s="37" t="s">
        <v>5</v>
      </c>
      <c r="M169" s="38">
        <f t="shared" si="11"/>
        <v>0</v>
      </c>
      <c r="N169" s="39"/>
      <c r="O169" s="23"/>
      <c r="P169" s="23"/>
      <c r="Q169" s="23"/>
      <c r="R169" s="23"/>
      <c r="S169" s="23"/>
      <c r="T169" s="23"/>
      <c r="U169" s="23"/>
      <c r="V169" s="23"/>
    </row>
    <row r="170" spans="1:22" s="24" customFormat="1" ht="23.1" customHeight="1">
      <c r="A170" s="104" t="s">
        <v>20</v>
      </c>
      <c r="B170" s="36">
        <f>COUNTIF('6'!$C$6:$C$529,"철")</f>
        <v>0</v>
      </c>
      <c r="C170" s="37" t="s">
        <v>5</v>
      </c>
      <c r="D170" s="38">
        <f>SUMIF('6'!$C$6:$C$529,"철",'6'!$E$6:$E$529)</f>
        <v>0</v>
      </c>
      <c r="E170" s="36">
        <f>COUNTIF('6'!$N$6:$N$529,"철국")</f>
        <v>0</v>
      </c>
      <c r="F170" s="37" t="s">
        <v>5</v>
      </c>
      <c r="G170" s="38">
        <f>SUMIF('6'!$N$6:$N$529,"철국",'6'!$E$6:$E$529)</f>
        <v>0</v>
      </c>
      <c r="H170" s="36">
        <f>COUNTIF('6'!$N$6:$N$529,"철공")</f>
        <v>0</v>
      </c>
      <c r="I170" s="37" t="s">
        <v>5</v>
      </c>
      <c r="J170" s="38">
        <f>SUMIF('6'!$N$6:$N$529,"철공",'6'!$E$6:$E$529)</f>
        <v>0</v>
      </c>
      <c r="K170" s="36">
        <f t="shared" si="10"/>
        <v>0</v>
      </c>
      <c r="L170" s="37" t="s">
        <v>5</v>
      </c>
      <c r="M170" s="38">
        <f t="shared" si="11"/>
        <v>0</v>
      </c>
      <c r="N170" s="39"/>
      <c r="O170" s="23"/>
      <c r="P170" s="23"/>
      <c r="Q170" s="23"/>
      <c r="R170" s="23"/>
      <c r="S170" s="23"/>
      <c r="T170" s="23"/>
      <c r="U170" s="23"/>
      <c r="V170" s="23"/>
    </row>
    <row r="171" spans="1:22" s="24" customFormat="1" ht="23.1" customHeight="1">
      <c r="A171" s="104" t="s">
        <v>21</v>
      </c>
      <c r="B171" s="36">
        <f>COUNTIF('6'!$C$6:$C$529,"묘")</f>
        <v>0</v>
      </c>
      <c r="C171" s="37" t="s">
        <v>5</v>
      </c>
      <c r="D171" s="38">
        <f>SUMIF('6'!$C$6:$C$529,"묘",'6'!$E$6:$E$529)</f>
        <v>0</v>
      </c>
      <c r="E171" s="36">
        <f>COUNTIF('6'!$N$6:$N$529,"묘국")</f>
        <v>0</v>
      </c>
      <c r="F171" s="37" t="s">
        <v>5</v>
      </c>
      <c r="G171" s="38">
        <f>SUMIF('6'!$N$6:$N$529,"묘국",'6'!$E$6:$E$529)</f>
        <v>0</v>
      </c>
      <c r="H171" s="36">
        <f>COUNTIF('6'!$N$6:$N$529,"묘공")</f>
        <v>0</v>
      </c>
      <c r="I171" s="37" t="s">
        <v>5</v>
      </c>
      <c r="J171" s="38">
        <f>SUMIF('6'!$N$6:$N$529,"묘공",'6'!$E$6:$E$529)</f>
        <v>0</v>
      </c>
      <c r="K171" s="36">
        <f t="shared" si="10"/>
        <v>0</v>
      </c>
      <c r="L171" s="37" t="s">
        <v>5</v>
      </c>
      <c r="M171" s="38">
        <f t="shared" si="11"/>
        <v>0</v>
      </c>
      <c r="N171" s="39"/>
      <c r="O171" s="23"/>
      <c r="P171" s="23"/>
      <c r="Q171" s="23"/>
      <c r="R171" s="23"/>
      <c r="S171" s="23"/>
      <c r="T171" s="23"/>
      <c r="U171" s="23"/>
      <c r="V171" s="23"/>
    </row>
    <row r="172" spans="1:22" s="24" customFormat="1" ht="23.1" customHeight="1">
      <c r="A172" s="104" t="s">
        <v>22</v>
      </c>
      <c r="B172" s="36">
        <f>COUNTIF('6'!$C$6:$C$529,"수")</f>
        <v>0</v>
      </c>
      <c r="C172" s="37" t="s">
        <v>5</v>
      </c>
      <c r="D172" s="38">
        <f>SUMIF('6'!$C$6:$C$529,"수",'6'!$E$6:$E$529)</f>
        <v>0</v>
      </c>
      <c r="E172" s="36">
        <f>COUNTIF('6'!$N$6:$N$529,"수국")</f>
        <v>0</v>
      </c>
      <c r="F172" s="37" t="s">
        <v>5</v>
      </c>
      <c r="G172" s="38">
        <f>SUMIF('6'!$N$6:$N$529,"수국",'6'!$E$6:$E$529)</f>
        <v>0</v>
      </c>
      <c r="H172" s="36">
        <f>COUNTIF('6'!$N$6:$N$529,"수공")</f>
        <v>0</v>
      </c>
      <c r="I172" s="37" t="s">
        <v>5</v>
      </c>
      <c r="J172" s="38">
        <f>SUMIF('6'!$N$6:$N$529,"수공",'6'!$E$6:$E$529)</f>
        <v>0</v>
      </c>
      <c r="K172" s="36">
        <f t="shared" si="10"/>
        <v>0</v>
      </c>
      <c r="L172" s="37" t="s">
        <v>5</v>
      </c>
      <c r="M172" s="38">
        <f t="shared" si="11"/>
        <v>0</v>
      </c>
      <c r="N172" s="39"/>
      <c r="O172" s="23"/>
      <c r="P172" s="23"/>
      <c r="Q172" s="23"/>
      <c r="R172" s="23"/>
      <c r="S172" s="23"/>
      <c r="T172" s="23"/>
      <c r="U172" s="23"/>
      <c r="V172" s="23"/>
    </row>
    <row r="173" spans="1:22" s="24" customFormat="1" ht="23.1" customHeight="1">
      <c r="A173" s="104" t="s">
        <v>23</v>
      </c>
      <c r="B173" s="36">
        <f>COUNTIF('6'!$C$6:$C$529,"잡")</f>
        <v>0</v>
      </c>
      <c r="C173" s="37" t="s">
        <v>5</v>
      </c>
      <c r="D173" s="38">
        <f>SUMIF('6'!$C$6:$C$529,"잡",'6'!$E$6:$E$529)</f>
        <v>0</v>
      </c>
      <c r="E173" s="36">
        <f>COUNTIF('6'!$N$6:$N$529,"잡국")</f>
        <v>0</v>
      </c>
      <c r="F173" s="37" t="s">
        <v>5</v>
      </c>
      <c r="G173" s="38">
        <f>SUMIF('6'!$N$6:$N$529,"잡국",'6'!$E$6:$E$529)</f>
        <v>0</v>
      </c>
      <c r="H173" s="36">
        <f>COUNTIF('6'!$N$6:$N$529,"잡공")</f>
        <v>0</v>
      </c>
      <c r="I173" s="37" t="s">
        <v>5</v>
      </c>
      <c r="J173" s="38">
        <f>SUMIF('6'!$N$6:$N$529,"잡공",'6'!$E$6:$E$529)</f>
        <v>0</v>
      </c>
      <c r="K173" s="36">
        <f t="shared" si="10"/>
        <v>0</v>
      </c>
      <c r="L173" s="37" t="s">
        <v>5</v>
      </c>
      <c r="M173" s="38">
        <f t="shared" si="11"/>
        <v>0</v>
      </c>
      <c r="N173" s="39"/>
      <c r="O173" s="23"/>
      <c r="P173" s="23"/>
      <c r="Q173" s="23"/>
      <c r="R173" s="23"/>
      <c r="S173" s="23"/>
      <c r="T173" s="23"/>
      <c r="U173" s="23"/>
      <c r="V173" s="23"/>
    </row>
    <row r="174" spans="1:22" s="24" customFormat="1" ht="23.1" customHeight="1">
      <c r="A174" s="105" t="s">
        <v>24</v>
      </c>
      <c r="B174" s="36">
        <f>COUNTIF('6'!$C$6:$C$529,"종")</f>
        <v>0</v>
      </c>
      <c r="C174" s="37" t="s">
        <v>5</v>
      </c>
      <c r="D174" s="38">
        <f>SUMIF('6'!$C$6:$C$529,"종",'6'!$E$6:$E$529)</f>
        <v>0</v>
      </c>
      <c r="E174" s="36">
        <f>COUNTIF('6'!$N$6:$N$529,"종국")</f>
        <v>0</v>
      </c>
      <c r="F174" s="37" t="s">
        <v>5</v>
      </c>
      <c r="G174" s="38">
        <f>SUMIF('6'!$N$6:$N$529,"종국",'6'!$E$6:$E$529)</f>
        <v>0</v>
      </c>
      <c r="H174" s="36">
        <f>COUNTIF('6'!$N$6:$N$529,"종공")</f>
        <v>0</v>
      </c>
      <c r="I174" s="37" t="s">
        <v>5</v>
      </c>
      <c r="J174" s="38">
        <f>SUMIF('6'!$N$6:$N$529,"종공",'6'!$E$6:$E$529)</f>
        <v>0</v>
      </c>
      <c r="K174" s="36">
        <f t="shared" si="10"/>
        <v>0</v>
      </c>
      <c r="L174" s="37" t="s">
        <v>5</v>
      </c>
      <c r="M174" s="38">
        <f t="shared" si="11"/>
        <v>0</v>
      </c>
      <c r="N174" s="39"/>
      <c r="O174" s="23"/>
      <c r="P174" s="23"/>
      <c r="Q174" s="23"/>
      <c r="R174" s="23"/>
      <c r="S174" s="23"/>
      <c r="T174" s="23"/>
      <c r="U174" s="23"/>
      <c r="V174" s="23"/>
    </row>
    <row r="175" spans="1:22" s="24" customFormat="1" ht="23.1" customHeight="1">
      <c r="A175" s="105" t="s">
        <v>25</v>
      </c>
      <c r="B175" s="36">
        <f>COUNTIF('6'!$C$6:$C$529,"염")</f>
        <v>0</v>
      </c>
      <c r="C175" s="37" t="s">
        <v>5</v>
      </c>
      <c r="D175" s="38">
        <f>SUMIF('6'!$C$6:$C$529,"염",'6'!$E$6:$E$529)</f>
        <v>0</v>
      </c>
      <c r="E175" s="36">
        <f>COUNTIF('6'!$N$6:$N$529,"염국")</f>
        <v>0</v>
      </c>
      <c r="F175" s="37" t="s">
        <v>5</v>
      </c>
      <c r="G175" s="38">
        <f>SUMIF('6'!$N$6:$N$529,"염국",'6'!$E$6:$E$529)</f>
        <v>0</v>
      </c>
      <c r="H175" s="36">
        <f>COUNTIF('6'!$N$6:$N$529,"염공")</f>
        <v>0</v>
      </c>
      <c r="I175" s="37" t="s">
        <v>5</v>
      </c>
      <c r="J175" s="38">
        <f>SUMIF('6'!$N$6:$N$529,"염공",'6'!$E$6:$E$529)</f>
        <v>0</v>
      </c>
      <c r="K175" s="36">
        <f t="shared" si="10"/>
        <v>0</v>
      </c>
      <c r="L175" s="37" t="s">
        <v>5</v>
      </c>
      <c r="M175" s="38">
        <f t="shared" si="11"/>
        <v>0</v>
      </c>
      <c r="N175" s="39"/>
      <c r="O175" s="23"/>
      <c r="P175" s="23"/>
      <c r="Q175" s="23"/>
      <c r="R175" s="23"/>
      <c r="S175" s="23"/>
      <c r="T175" s="23"/>
      <c r="U175" s="23"/>
      <c r="V175" s="23"/>
    </row>
    <row r="176" spans="1:22" s="24" customFormat="1" ht="23.1" customHeight="1">
      <c r="A176" s="105" t="s">
        <v>26</v>
      </c>
      <c r="B176" s="36">
        <f>COUNTIF('6'!$C$6:$C$529,"공")</f>
        <v>0</v>
      </c>
      <c r="C176" s="37" t="s">
        <v>5</v>
      </c>
      <c r="D176" s="38">
        <f>SUMIF('6'!$C$6:$C$529,"공",'6'!$E$6:$E$529)</f>
        <v>0</v>
      </c>
      <c r="E176" s="36">
        <f>COUNTIF('6'!$N$6:$N$529,"공국")</f>
        <v>0</v>
      </c>
      <c r="F176" s="37" t="s">
        <v>5</v>
      </c>
      <c r="G176" s="38">
        <f>SUMIF('6'!$N$6:$N$529,"공국",'6'!$E$6:$E$529)</f>
        <v>0</v>
      </c>
      <c r="H176" s="36">
        <f>COUNTIF('6'!$N$6:$N$529,"공공")</f>
        <v>0</v>
      </c>
      <c r="I176" s="37" t="s">
        <v>5</v>
      </c>
      <c r="J176" s="38">
        <f>SUMIF('6'!$N$6:$N$529,"공공",'6'!$E$6:$E$529)</f>
        <v>0</v>
      </c>
      <c r="K176" s="36">
        <f t="shared" si="10"/>
        <v>0</v>
      </c>
      <c r="L176" s="37" t="s">
        <v>5</v>
      </c>
      <c r="M176" s="38">
        <f t="shared" si="11"/>
        <v>0</v>
      </c>
      <c r="N176" s="39"/>
      <c r="O176" s="23"/>
      <c r="P176" s="23"/>
      <c r="Q176" s="23"/>
      <c r="R176" s="23"/>
      <c r="S176" s="23"/>
      <c r="T176" s="23"/>
      <c r="U176" s="23"/>
      <c r="V176" s="23"/>
    </row>
    <row r="177" spans="1:22" s="24" customFormat="1" ht="23.1" customHeight="1">
      <c r="A177" s="105" t="s">
        <v>27</v>
      </c>
      <c r="B177" s="36">
        <f>COUNTIF('6'!$C$6:$C$529,"체")</f>
        <v>0</v>
      </c>
      <c r="C177" s="37" t="s">
        <v>5</v>
      </c>
      <c r="D177" s="38">
        <f>SUMIF('6'!$C$6:$C$529,"체",'6'!$E$6:$E$529)</f>
        <v>0</v>
      </c>
      <c r="E177" s="36">
        <f>COUNTIF('6'!$N$6:$N$529,"체국")</f>
        <v>0</v>
      </c>
      <c r="F177" s="37" t="s">
        <v>5</v>
      </c>
      <c r="G177" s="38">
        <f>SUMIF('6'!$N$6:$N$529,"체국",'6'!$E$6:$E$529)</f>
        <v>0</v>
      </c>
      <c r="H177" s="36">
        <f>COUNTIF('6'!$N$6:$N$529,"체공")</f>
        <v>0</v>
      </c>
      <c r="I177" s="37" t="s">
        <v>5</v>
      </c>
      <c r="J177" s="38">
        <f>SUMIF('6'!$N$6:$N$529,"체공",'6'!$E$6:$E$529)</f>
        <v>0</v>
      </c>
      <c r="K177" s="36">
        <f t="shared" si="10"/>
        <v>0</v>
      </c>
      <c r="L177" s="37" t="s">
        <v>5</v>
      </c>
      <c r="M177" s="38">
        <f t="shared" si="11"/>
        <v>0</v>
      </c>
      <c r="N177" s="39"/>
      <c r="O177" s="23"/>
      <c r="P177" s="23"/>
      <c r="Q177" s="23"/>
      <c r="R177" s="23"/>
      <c r="S177" s="23"/>
      <c r="T177" s="23"/>
      <c r="U177" s="23"/>
      <c r="V177" s="23"/>
    </row>
    <row r="178" spans="1:22" s="24" customFormat="1" ht="23.1" customHeight="1">
      <c r="A178" s="105" t="s">
        <v>28</v>
      </c>
      <c r="B178" s="36">
        <f>COUNTIF('6'!$C$6:$C$529,"원")</f>
        <v>0</v>
      </c>
      <c r="C178" s="37" t="s">
        <v>5</v>
      </c>
      <c r="D178" s="38">
        <f>SUMIF('6'!$C$6:$C$529,"원",'6'!$E$6:$E$529)</f>
        <v>0</v>
      </c>
      <c r="E178" s="36">
        <f>COUNTIF('6'!$N$6:$N$529,"원국")</f>
        <v>0</v>
      </c>
      <c r="F178" s="37" t="s">
        <v>5</v>
      </c>
      <c r="G178" s="38">
        <f>SUMIF('6'!$N$6:$N$529,"원국",'6'!$E$6:$E$529)</f>
        <v>0</v>
      </c>
      <c r="H178" s="36">
        <f>COUNTIF('6'!$N$6:$N$529,"원공")</f>
        <v>0</v>
      </c>
      <c r="I178" s="37" t="s">
        <v>5</v>
      </c>
      <c r="J178" s="38">
        <f>SUMIF('6'!$N$6:$N$529,"원공",'6'!$E$6:$E$529)</f>
        <v>0</v>
      </c>
      <c r="K178" s="36">
        <f t="shared" si="10"/>
        <v>0</v>
      </c>
      <c r="L178" s="37" t="s">
        <v>5</v>
      </c>
      <c r="M178" s="38">
        <f t="shared" si="11"/>
        <v>0</v>
      </c>
      <c r="N178" s="39"/>
      <c r="O178" s="23"/>
      <c r="P178" s="23"/>
      <c r="Q178" s="23"/>
      <c r="R178" s="23"/>
      <c r="S178" s="23"/>
      <c r="T178" s="23"/>
      <c r="U178" s="23"/>
      <c r="V178" s="23"/>
    </row>
    <row r="179" spans="1:22" s="24" customFormat="1" ht="23.1" customHeight="1">
      <c r="A179" s="105" t="s">
        <v>60</v>
      </c>
      <c r="B179" s="36">
        <f>COUNTIF('6'!$C$6:$C$529,"차")</f>
        <v>0</v>
      </c>
      <c r="C179" s="37" t="s">
        <v>5</v>
      </c>
      <c r="D179" s="38">
        <f>SUMIF('6'!$C$6:$C$529,"차",'6'!$E$6:$E$529)</f>
        <v>0</v>
      </c>
      <c r="E179" s="36">
        <f>COUNTIF('6'!$N$6:$N$529,"차국")</f>
        <v>0</v>
      </c>
      <c r="F179" s="37" t="s">
        <v>5</v>
      </c>
      <c r="G179" s="38">
        <f>SUMIF('6'!$N$6:$N$529,"차국",'6'!$E$6:$E$529)</f>
        <v>0</v>
      </c>
      <c r="H179" s="36">
        <f>COUNTIF('6'!$N$6:$N$529,"차공")</f>
        <v>0</v>
      </c>
      <c r="I179" s="37" t="s">
        <v>5</v>
      </c>
      <c r="J179" s="38">
        <f>SUMIF('6'!$N$6:$N$529,"차공",'6'!$E$6:$E$529)</f>
        <v>0</v>
      </c>
      <c r="K179" s="36">
        <f t="shared" si="10"/>
        <v>0</v>
      </c>
      <c r="L179" s="37" t="s">
        <v>5</v>
      </c>
      <c r="M179" s="38">
        <f t="shared" si="11"/>
        <v>0</v>
      </c>
      <c r="N179" s="39"/>
      <c r="O179" s="23"/>
      <c r="P179" s="23"/>
      <c r="Q179" s="23"/>
      <c r="R179" s="23"/>
      <c r="S179" s="23"/>
      <c r="T179" s="23"/>
      <c r="U179" s="23"/>
      <c r="V179" s="23"/>
    </row>
    <row r="180" spans="1:22" s="24" customFormat="1" ht="23.1" customHeight="1">
      <c r="A180" s="105" t="s">
        <v>61</v>
      </c>
      <c r="B180" s="36">
        <f>COUNTIF('6'!$C$6:$C$529,"주")</f>
        <v>0</v>
      </c>
      <c r="C180" s="37" t="s">
        <v>5</v>
      </c>
      <c r="D180" s="38">
        <f>SUMIF('6'!$C$6:$C$529,"주",'6'!$E$6:$E$529)</f>
        <v>0</v>
      </c>
      <c r="E180" s="36">
        <f>COUNTIF('6'!$N$6:$N$529,"주국")</f>
        <v>0</v>
      </c>
      <c r="F180" s="37" t="s">
        <v>5</v>
      </c>
      <c r="G180" s="38">
        <f>SUMIF('6'!$N$6:$N$529,"주국",'6'!$E$6:$E$529)</f>
        <v>0</v>
      </c>
      <c r="H180" s="36">
        <f>COUNTIF('6'!$N$6:$N$529,"주공")</f>
        <v>0</v>
      </c>
      <c r="I180" s="37" t="s">
        <v>5</v>
      </c>
      <c r="J180" s="38">
        <f>SUMIF('6'!$N$6:$N$529,"주공",'6'!$E$6:$E$529)</f>
        <v>0</v>
      </c>
      <c r="K180" s="36">
        <f t="shared" si="10"/>
        <v>0</v>
      </c>
      <c r="L180" s="37" t="s">
        <v>5</v>
      </c>
      <c r="M180" s="38">
        <f t="shared" si="11"/>
        <v>0</v>
      </c>
      <c r="N180" s="39"/>
      <c r="O180" s="23"/>
      <c r="P180" s="23"/>
      <c r="Q180" s="23"/>
      <c r="R180" s="23"/>
      <c r="S180" s="23"/>
      <c r="T180" s="23"/>
      <c r="U180" s="23"/>
      <c r="V180" s="23"/>
    </row>
    <row r="181" spans="1:22" s="24" customFormat="1" ht="23.1" customHeight="1">
      <c r="A181" s="106" t="s">
        <v>62</v>
      </c>
      <c r="B181" s="40">
        <f>COUNTIF('6'!$C$6:$C$529," ")</f>
        <v>0</v>
      </c>
      <c r="C181" s="41" t="s">
        <v>5</v>
      </c>
      <c r="D181" s="42">
        <f>SUMIF('6'!$C$6:$C$529," ",'6'!$E$6:$E$529)</f>
        <v>0</v>
      </c>
      <c r="E181" s="40">
        <f>COUNTIF('6'!$N$6:$N$529," 국")</f>
        <v>0</v>
      </c>
      <c r="F181" s="41" t="s">
        <v>5</v>
      </c>
      <c r="G181" s="42">
        <f>SUMIF('6'!$N$6:$N$529," 국",'6'!$E$6:$E$529)</f>
        <v>0</v>
      </c>
      <c r="H181" s="40">
        <f>COUNTIF('6'!$N$6:$N$529," 공")</f>
        <v>0</v>
      </c>
      <c r="I181" s="41" t="s">
        <v>5</v>
      </c>
      <c r="J181" s="42">
        <f>SUMIF('6'!$N$6:$N$529," 공",'6'!$E$6:$E$529)</f>
        <v>0</v>
      </c>
      <c r="K181" s="40">
        <f t="shared" si="10"/>
        <v>0</v>
      </c>
      <c r="L181" s="41" t="s">
        <v>5</v>
      </c>
      <c r="M181" s="42">
        <f t="shared" si="11"/>
        <v>0</v>
      </c>
      <c r="N181" s="43"/>
      <c r="O181" s="23"/>
      <c r="P181" s="23"/>
      <c r="Q181" s="23"/>
      <c r="R181" s="23"/>
      <c r="S181" s="23"/>
      <c r="T181" s="23"/>
      <c r="U181" s="23"/>
      <c r="V181" s="23"/>
    </row>
    <row r="182" spans="1:22" s="17" customFormat="1" ht="20.100000000000001" customHeight="1">
      <c r="A182" s="11">
        <f>IF(EXACT(O186,O187),,"검산확인요!!!")</f>
        <v>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3">
        <f>IF(ISBLANK('7'!K2),,'7'!K2)</f>
        <v>3</v>
      </c>
      <c r="L182" s="14"/>
      <c r="M182" s="15"/>
      <c r="N182" s="16"/>
    </row>
    <row r="183" spans="1:22" s="17" customFormat="1" ht="9.9499999999999993" customHeight="1">
      <c r="A183" s="1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</row>
    <row r="184" spans="1:22" s="24" customFormat="1" ht="27.95" customHeight="1">
      <c r="A184" s="18" t="s">
        <v>3</v>
      </c>
      <c r="B184" s="19" t="s">
        <v>2</v>
      </c>
      <c r="C184" s="20"/>
      <c r="D184" s="21"/>
      <c r="E184" s="19" t="s">
        <v>29</v>
      </c>
      <c r="F184" s="20"/>
      <c r="G184" s="21"/>
      <c r="H184" s="19" t="s">
        <v>38</v>
      </c>
      <c r="I184" s="20"/>
      <c r="J184" s="21"/>
      <c r="K184" s="19" t="s">
        <v>30</v>
      </c>
      <c r="L184" s="20"/>
      <c r="M184" s="21"/>
      <c r="N184" s="22" t="s">
        <v>31</v>
      </c>
      <c r="O184" s="23"/>
      <c r="S184" s="23"/>
      <c r="T184" s="23"/>
      <c r="U184" s="23"/>
      <c r="V184" s="23"/>
    </row>
    <row r="185" spans="1:22" s="24" customFormat="1" ht="27.95" customHeight="1">
      <c r="A185" s="25"/>
      <c r="B185" s="26" t="s">
        <v>4</v>
      </c>
      <c r="C185" s="27" t="s">
        <v>5</v>
      </c>
      <c r="D185" s="28" t="s">
        <v>32</v>
      </c>
      <c r="E185" s="26" t="s">
        <v>4</v>
      </c>
      <c r="F185" s="27" t="s">
        <v>5</v>
      </c>
      <c r="G185" s="28" t="s">
        <v>32</v>
      </c>
      <c r="H185" s="26" t="s">
        <v>4</v>
      </c>
      <c r="I185" s="27" t="s">
        <v>5</v>
      </c>
      <c r="J185" s="28" t="s">
        <v>32</v>
      </c>
      <c r="K185" s="26" t="s">
        <v>4</v>
      </c>
      <c r="L185" s="27" t="s">
        <v>5</v>
      </c>
      <c r="M185" s="28" t="s">
        <v>32</v>
      </c>
      <c r="N185" s="29"/>
      <c r="P185" s="23"/>
      <c r="Q185" s="30" t="s">
        <v>33</v>
      </c>
      <c r="R185" s="30" t="s">
        <v>34</v>
      </c>
      <c r="S185" s="30" t="s">
        <v>35</v>
      </c>
      <c r="T185" s="30" t="s">
        <v>36</v>
      </c>
      <c r="U185" s="23"/>
      <c r="V185" s="23"/>
    </row>
    <row r="186" spans="1:22" s="24" customFormat="1" ht="23.1" customHeight="1">
      <c r="A186" s="103" t="s">
        <v>2</v>
      </c>
      <c r="B186" s="31">
        <f>SUM(B187:B211)</f>
        <v>0</v>
      </c>
      <c r="C186" s="32" t="s">
        <v>5</v>
      </c>
      <c r="D186" s="33">
        <f>SUM(D187:D211)</f>
        <v>0</v>
      </c>
      <c r="E186" s="31">
        <f>SUM(E187:E211)</f>
        <v>0</v>
      </c>
      <c r="F186" s="32" t="s">
        <v>5</v>
      </c>
      <c r="G186" s="33">
        <f>SUM(G187:G211)</f>
        <v>0</v>
      </c>
      <c r="H186" s="31">
        <f>SUM(H187:H211)</f>
        <v>0</v>
      </c>
      <c r="I186" s="32" t="s">
        <v>5</v>
      </c>
      <c r="J186" s="33">
        <f>SUM(J187:J211)</f>
        <v>0</v>
      </c>
      <c r="K186" s="31">
        <f>SUM(K187:K211)</f>
        <v>0</v>
      </c>
      <c r="L186" s="32" t="s">
        <v>5</v>
      </c>
      <c r="M186" s="33">
        <f>SUM(M187:M211)</f>
        <v>0</v>
      </c>
      <c r="N186" s="34"/>
      <c r="O186" s="23" t="str">
        <f>IF(EXACT(Q186,T186),"맞음","틀림")</f>
        <v>맞음</v>
      </c>
      <c r="P186" s="23" t="s">
        <v>4</v>
      </c>
      <c r="Q186" s="35">
        <f>SUM(B187:B211)</f>
        <v>0</v>
      </c>
      <c r="R186" s="35">
        <f>SUM(E187:E211)</f>
        <v>0</v>
      </c>
      <c r="S186" s="35">
        <f>SUM(K187:K211)</f>
        <v>0</v>
      </c>
      <c r="T186" s="35">
        <f>K186+E186</f>
        <v>0</v>
      </c>
      <c r="U186" s="23"/>
      <c r="V186" s="23"/>
    </row>
    <row r="187" spans="1:22" s="24" customFormat="1" ht="23.1" customHeight="1">
      <c r="A187" s="104" t="s">
        <v>7</v>
      </c>
      <c r="B187" s="36">
        <f>COUNTIF('7'!$C$6:$C$529,"전")</f>
        <v>0</v>
      </c>
      <c r="C187" s="37" t="s">
        <v>5</v>
      </c>
      <c r="D187" s="38">
        <f>SUMIF('7'!$C$6:$C$529,"전",'7'!$E$6:$E$529)</f>
        <v>0</v>
      </c>
      <c r="E187" s="36">
        <f>COUNTIF('7'!$N$6:$N$529,"전국")</f>
        <v>0</v>
      </c>
      <c r="F187" s="37" t="s">
        <v>5</v>
      </c>
      <c r="G187" s="38">
        <f>SUMIF('7'!$N$6:$N$529,"전국",'7'!$E$6:$E$529)</f>
        <v>0</v>
      </c>
      <c r="H187" s="36">
        <f>COUNTIF('7'!$N$6:$N$529,"전공")</f>
        <v>0</v>
      </c>
      <c r="I187" s="37" t="s">
        <v>5</v>
      </c>
      <c r="J187" s="38">
        <f>SUMIF('7'!$N$6:$N$529,"전공",'7'!$E$6:$E$529)</f>
        <v>0</v>
      </c>
      <c r="K187" s="36">
        <f t="shared" ref="K187:K211" si="12">SUM(B187-E187-H187)</f>
        <v>0</v>
      </c>
      <c r="L187" s="37" t="s">
        <v>5</v>
      </c>
      <c r="M187" s="38">
        <f t="shared" ref="M187:M211" si="13">SUM(D187-G187-J187)</f>
        <v>0</v>
      </c>
      <c r="N187" s="39"/>
      <c r="O187" s="23" t="str">
        <f>IF(EXACT(Q187,T187),"맞음","틀림")</f>
        <v>맞음</v>
      </c>
      <c r="P187" s="23" t="s">
        <v>37</v>
      </c>
      <c r="Q187" s="35">
        <f>SUM(D187:D211)</f>
        <v>0</v>
      </c>
      <c r="R187" s="35">
        <f>SUM(G187:G211)</f>
        <v>0</v>
      </c>
      <c r="S187" s="35">
        <f>SUM(M187:M211)</f>
        <v>0</v>
      </c>
      <c r="T187" s="35">
        <f>G186+M186</f>
        <v>0</v>
      </c>
      <c r="U187" s="23"/>
      <c r="V187" s="23"/>
    </row>
    <row r="188" spans="1:22" s="24" customFormat="1" ht="23.1" customHeight="1">
      <c r="A188" s="104" t="s">
        <v>8</v>
      </c>
      <c r="B188" s="36">
        <f>COUNTIF('7'!$C$6:$C$529,"답")</f>
        <v>0</v>
      </c>
      <c r="C188" s="37" t="s">
        <v>5</v>
      </c>
      <c r="D188" s="38">
        <f>SUMIF('7'!$C$6:$C$529,"답",'7'!$E$6:$E$529)</f>
        <v>0</v>
      </c>
      <c r="E188" s="36">
        <f>COUNTIF('7'!$N$6:$N$529,"답국")</f>
        <v>0</v>
      </c>
      <c r="F188" s="37" t="s">
        <v>5</v>
      </c>
      <c r="G188" s="38">
        <f>SUMIF('7'!$N$6:$N$529,"답국",'7'!$E$6:$E$529)</f>
        <v>0</v>
      </c>
      <c r="H188" s="36">
        <f>COUNTIF('7'!$N$6:$N$529,"답공")</f>
        <v>0</v>
      </c>
      <c r="I188" s="37" t="s">
        <v>5</v>
      </c>
      <c r="J188" s="38">
        <f>SUMIF('7'!$N$6:$N$529,"답공",'7'!$E$6:$E$529)</f>
        <v>0</v>
      </c>
      <c r="K188" s="36">
        <f t="shared" si="12"/>
        <v>0</v>
      </c>
      <c r="L188" s="37" t="s">
        <v>5</v>
      </c>
      <c r="M188" s="38">
        <f t="shared" si="13"/>
        <v>0</v>
      </c>
      <c r="N188" s="39"/>
      <c r="Q188" s="23"/>
      <c r="S188" s="23"/>
      <c r="U188" s="23"/>
      <c r="V188" s="23"/>
    </row>
    <row r="189" spans="1:22" s="24" customFormat="1" ht="23.1" customHeight="1">
      <c r="A189" s="104" t="s">
        <v>9</v>
      </c>
      <c r="B189" s="36">
        <f>COUNTIF('7'!$C$6:$C$529,"임")</f>
        <v>0</v>
      </c>
      <c r="C189" s="37" t="s">
        <v>5</v>
      </c>
      <c r="D189" s="38">
        <f>SUMIF('7'!$C$6:$C$529,"임",'7'!$E$6:$E$529)</f>
        <v>0</v>
      </c>
      <c r="E189" s="36">
        <f>COUNTIF('7'!$N$6:$N$529,"임국")</f>
        <v>0</v>
      </c>
      <c r="F189" s="37" t="s">
        <v>5</v>
      </c>
      <c r="G189" s="38">
        <f>SUMIF('7'!$N$6:$N$529,"임국",'7'!$E$6:$E$529)</f>
        <v>0</v>
      </c>
      <c r="H189" s="36">
        <f>COUNTIF('7'!$N$6:$N$529,"임공")</f>
        <v>0</v>
      </c>
      <c r="I189" s="37" t="s">
        <v>5</v>
      </c>
      <c r="J189" s="38">
        <f>SUMIF('7'!$N$6:$N$529,"임공",'7'!$E$6:$E$529)</f>
        <v>0</v>
      </c>
      <c r="K189" s="36">
        <f t="shared" si="12"/>
        <v>0</v>
      </c>
      <c r="L189" s="37" t="s">
        <v>5</v>
      </c>
      <c r="M189" s="38">
        <f t="shared" si="13"/>
        <v>0</v>
      </c>
      <c r="N189" s="39"/>
      <c r="Q189" s="23"/>
      <c r="S189" s="23"/>
      <c r="U189" s="23"/>
      <c r="V189" s="23"/>
    </row>
    <row r="190" spans="1:22" s="24" customFormat="1" ht="23.1" customHeight="1">
      <c r="A190" s="104" t="s">
        <v>10</v>
      </c>
      <c r="B190" s="36">
        <f>COUNTIF('7'!$C$6:$C$529,"대")</f>
        <v>0</v>
      </c>
      <c r="C190" s="37" t="s">
        <v>5</v>
      </c>
      <c r="D190" s="38">
        <f>SUMIF('7'!$C$6:$C$529,"대",'7'!$E$6:$E$529)</f>
        <v>0</v>
      </c>
      <c r="E190" s="36">
        <f>COUNTIF('7'!$N$6:$N$529,"대국")</f>
        <v>0</v>
      </c>
      <c r="F190" s="37" t="s">
        <v>5</v>
      </c>
      <c r="G190" s="38">
        <f>SUMIF('7'!$N$6:$N$529,"대국",'7'!$E$6:$E$529)</f>
        <v>0</v>
      </c>
      <c r="H190" s="36">
        <f>COUNTIF('7'!$N$6:$N$529,"대공")</f>
        <v>0</v>
      </c>
      <c r="I190" s="37" t="s">
        <v>5</v>
      </c>
      <c r="J190" s="38">
        <f>SUMIF('7'!$N$6:$N$529,"대공",'7'!$E$6:$E$529)</f>
        <v>0</v>
      </c>
      <c r="K190" s="36">
        <f t="shared" si="12"/>
        <v>0</v>
      </c>
      <c r="L190" s="37" t="s">
        <v>5</v>
      </c>
      <c r="M190" s="38">
        <f t="shared" si="13"/>
        <v>0</v>
      </c>
      <c r="N190" s="39"/>
      <c r="O190" s="23"/>
      <c r="P190" s="23"/>
      <c r="Q190" s="23"/>
      <c r="R190" s="23"/>
      <c r="S190" s="23"/>
      <c r="T190" s="23"/>
      <c r="U190" s="23"/>
      <c r="V190" s="23"/>
    </row>
    <row r="191" spans="1:22" s="24" customFormat="1" ht="23.1" customHeight="1">
      <c r="A191" s="104" t="s">
        <v>11</v>
      </c>
      <c r="B191" s="36">
        <f>COUNTIF('7'!$C$6:$C$529,"도")</f>
        <v>0</v>
      </c>
      <c r="C191" s="37" t="s">
        <v>5</v>
      </c>
      <c r="D191" s="38">
        <f>SUMIF('7'!$C$6:$C$529,"도",'7'!$E$6:$E$529)</f>
        <v>0</v>
      </c>
      <c r="E191" s="36">
        <f>COUNTIF('7'!$N$6:$N$529,"도국")</f>
        <v>0</v>
      </c>
      <c r="F191" s="37" t="s">
        <v>5</v>
      </c>
      <c r="G191" s="38">
        <f>SUMIF('7'!$N$6:$N$529,"도국",'7'!$E$6:$E$529)</f>
        <v>0</v>
      </c>
      <c r="H191" s="36">
        <f>COUNTIF('7'!$N$6:$N$529,"도공")</f>
        <v>0</v>
      </c>
      <c r="I191" s="37" t="s">
        <v>5</v>
      </c>
      <c r="J191" s="38">
        <f>SUMIF('7'!$N$6:$N$529,"도공",'7'!$E$6:$E$529)</f>
        <v>0</v>
      </c>
      <c r="K191" s="36">
        <f t="shared" si="12"/>
        <v>0</v>
      </c>
      <c r="L191" s="37" t="s">
        <v>5</v>
      </c>
      <c r="M191" s="38">
        <f t="shared" si="13"/>
        <v>0</v>
      </c>
      <c r="N191" s="39"/>
      <c r="O191" s="23"/>
      <c r="P191" s="23"/>
      <c r="Q191" s="23"/>
      <c r="R191" s="23"/>
      <c r="S191" s="23"/>
      <c r="T191" s="23"/>
      <c r="U191" s="23"/>
      <c r="V191" s="23"/>
    </row>
    <row r="192" spans="1:22" s="24" customFormat="1" ht="23.1" customHeight="1">
      <c r="A192" s="104" t="s">
        <v>12</v>
      </c>
      <c r="B192" s="36">
        <f>COUNTIF('7'!$C$6:$C$529,"구")</f>
        <v>0</v>
      </c>
      <c r="C192" s="37" t="s">
        <v>5</v>
      </c>
      <c r="D192" s="38">
        <f>SUMIF('7'!$C$6:$C$529,"구",'7'!$E$6:$E$529)</f>
        <v>0</v>
      </c>
      <c r="E192" s="36">
        <f>COUNTIF('7'!$N$6:$N$529,"구국")</f>
        <v>0</v>
      </c>
      <c r="F192" s="37" t="s">
        <v>5</v>
      </c>
      <c r="G192" s="38">
        <f>SUMIF('7'!$N$6:$N$529,"구국",'7'!$E$6:$E$529)</f>
        <v>0</v>
      </c>
      <c r="H192" s="36">
        <f>COUNTIF('7'!$N$6:$N$529,"구공")</f>
        <v>0</v>
      </c>
      <c r="I192" s="37" t="s">
        <v>5</v>
      </c>
      <c r="J192" s="38">
        <f>SUMIF('7'!$N$6:$N$529,"구공",'7'!$E$6:$E$529)</f>
        <v>0</v>
      </c>
      <c r="K192" s="36">
        <f t="shared" si="12"/>
        <v>0</v>
      </c>
      <c r="L192" s="37" t="s">
        <v>5</v>
      </c>
      <c r="M192" s="38">
        <f t="shared" si="13"/>
        <v>0</v>
      </c>
      <c r="N192" s="39"/>
      <c r="O192" s="23"/>
      <c r="P192" s="23"/>
      <c r="Q192" s="23"/>
      <c r="R192" s="23"/>
      <c r="S192" s="23"/>
      <c r="T192" s="23"/>
      <c r="U192" s="23"/>
      <c r="V192" s="23"/>
    </row>
    <row r="193" spans="1:22" s="24" customFormat="1" ht="23.1" customHeight="1">
      <c r="A193" s="104" t="s">
        <v>13</v>
      </c>
      <c r="B193" s="36">
        <f>COUNTIF('7'!$C$6:$C$529,"천")</f>
        <v>0</v>
      </c>
      <c r="C193" s="37" t="s">
        <v>5</v>
      </c>
      <c r="D193" s="38">
        <f>SUMIF('7'!$C$6:$C$529,"천",'7'!$E$6:$E$529)</f>
        <v>0</v>
      </c>
      <c r="E193" s="36">
        <f>COUNTIF('7'!$N$6:$N$529,"천국")</f>
        <v>0</v>
      </c>
      <c r="F193" s="37" t="s">
        <v>5</v>
      </c>
      <c r="G193" s="38">
        <f>SUMIF('7'!$N$6:$N$529,"천국",'7'!$E$6:$E$529)</f>
        <v>0</v>
      </c>
      <c r="H193" s="36">
        <f>COUNTIF('7'!$N$6:$N$529,"천공")</f>
        <v>0</v>
      </c>
      <c r="I193" s="37" t="s">
        <v>5</v>
      </c>
      <c r="J193" s="38">
        <f>SUMIF('7'!$N$6:$N$529,"천공",'7'!$E$6:$E$529)</f>
        <v>0</v>
      </c>
      <c r="K193" s="36">
        <f t="shared" si="12"/>
        <v>0</v>
      </c>
      <c r="L193" s="37" t="s">
        <v>5</v>
      </c>
      <c r="M193" s="38">
        <f t="shared" si="13"/>
        <v>0</v>
      </c>
      <c r="N193" s="39"/>
      <c r="O193" s="23"/>
      <c r="P193" s="23"/>
      <c r="Q193" s="23"/>
      <c r="R193" s="23"/>
      <c r="S193" s="23"/>
      <c r="T193" s="23"/>
      <c r="U193" s="23"/>
      <c r="V193" s="23"/>
    </row>
    <row r="194" spans="1:22" s="24" customFormat="1" ht="23.1" customHeight="1">
      <c r="A194" s="104" t="s">
        <v>14</v>
      </c>
      <c r="B194" s="36">
        <f>COUNTIF('7'!$C$6:$C$529,"유")</f>
        <v>0</v>
      </c>
      <c r="C194" s="37" t="s">
        <v>5</v>
      </c>
      <c r="D194" s="38">
        <f>SUMIF('7'!$C$6:$C$529,"유",'7'!$E$6:$E$529)</f>
        <v>0</v>
      </c>
      <c r="E194" s="36">
        <f>COUNTIF('7'!$N$6:$N$529,"유국")</f>
        <v>0</v>
      </c>
      <c r="F194" s="37" t="s">
        <v>5</v>
      </c>
      <c r="G194" s="38">
        <f>SUMIF('7'!$N$6:$N$529,"유국",'7'!$E$6:$E$529)</f>
        <v>0</v>
      </c>
      <c r="H194" s="36">
        <f>COUNTIF('7'!$N$6:$N$529,"유공")</f>
        <v>0</v>
      </c>
      <c r="I194" s="37" t="s">
        <v>5</v>
      </c>
      <c r="J194" s="38">
        <f>SUMIF('7'!$N$6:$N$529,"유공",'7'!$E$6:$E$529)</f>
        <v>0</v>
      </c>
      <c r="K194" s="36">
        <f t="shared" si="12"/>
        <v>0</v>
      </c>
      <c r="L194" s="37" t="s">
        <v>5</v>
      </c>
      <c r="M194" s="38">
        <f t="shared" si="13"/>
        <v>0</v>
      </c>
      <c r="N194" s="39"/>
      <c r="O194" s="23"/>
      <c r="P194" s="23"/>
      <c r="Q194" s="23"/>
      <c r="R194" s="23"/>
      <c r="S194" s="23"/>
      <c r="T194" s="23"/>
      <c r="U194" s="23"/>
      <c r="V194" s="23"/>
    </row>
    <row r="195" spans="1:22" s="24" customFormat="1" ht="23.1" customHeight="1">
      <c r="A195" s="104" t="s">
        <v>15</v>
      </c>
      <c r="B195" s="36">
        <f>COUNTIF('7'!$C$6:$C$529,"제")</f>
        <v>0</v>
      </c>
      <c r="C195" s="37" t="s">
        <v>5</v>
      </c>
      <c r="D195" s="38">
        <f>SUMIF('7'!$C$6:$C$529,"제",'7'!$E$6:$E$529)</f>
        <v>0</v>
      </c>
      <c r="E195" s="36">
        <f>COUNTIF('7'!$N$6:$N$529,"제국")</f>
        <v>0</v>
      </c>
      <c r="F195" s="37" t="s">
        <v>5</v>
      </c>
      <c r="G195" s="38">
        <f>SUMIF('7'!$N$6:$N$529,"제국",'7'!$E$6:$E$529)</f>
        <v>0</v>
      </c>
      <c r="H195" s="36">
        <f>COUNTIF('7'!$N$6:$N$529,"제공")</f>
        <v>0</v>
      </c>
      <c r="I195" s="37" t="s">
        <v>5</v>
      </c>
      <c r="J195" s="38">
        <f>SUMIF('7'!$N$6:$N$529,"제공",'7'!$E$6:$E$529)</f>
        <v>0</v>
      </c>
      <c r="K195" s="36">
        <f t="shared" si="12"/>
        <v>0</v>
      </c>
      <c r="L195" s="37" t="s">
        <v>5</v>
      </c>
      <c r="M195" s="38">
        <f t="shared" si="13"/>
        <v>0</v>
      </c>
      <c r="N195" s="39"/>
      <c r="O195" s="23"/>
      <c r="P195" s="23"/>
      <c r="Q195" s="23"/>
      <c r="R195" s="23"/>
      <c r="S195" s="23"/>
      <c r="T195" s="23"/>
      <c r="U195" s="23"/>
      <c r="V195" s="23"/>
    </row>
    <row r="196" spans="1:22" s="24" customFormat="1" ht="23.1" customHeight="1">
      <c r="A196" s="104" t="s">
        <v>16</v>
      </c>
      <c r="B196" s="36">
        <f>COUNTIF('7'!$C$6:$C$529,"과")</f>
        <v>0</v>
      </c>
      <c r="C196" s="37" t="s">
        <v>5</v>
      </c>
      <c r="D196" s="38">
        <f>SUMIF('7'!$C$6:$C$529,"과",'7'!$E$6:$E$529)</f>
        <v>0</v>
      </c>
      <c r="E196" s="36">
        <f>COUNTIF('7'!$N$6:$N$529,"과국")</f>
        <v>0</v>
      </c>
      <c r="F196" s="37" t="s">
        <v>5</v>
      </c>
      <c r="G196" s="38">
        <f>SUMIF('7'!$N$6:$N$529,"과국",'7'!$E$6:$E$529)</f>
        <v>0</v>
      </c>
      <c r="H196" s="36">
        <f>COUNTIF('7'!$N$6:$N$529,"과공")</f>
        <v>0</v>
      </c>
      <c r="I196" s="37" t="s">
        <v>5</v>
      </c>
      <c r="J196" s="38">
        <f>SUMIF('7'!$N$6:$N$529,"과공",'7'!$E$6:$E$529)</f>
        <v>0</v>
      </c>
      <c r="K196" s="36">
        <f t="shared" si="12"/>
        <v>0</v>
      </c>
      <c r="L196" s="37" t="s">
        <v>5</v>
      </c>
      <c r="M196" s="38">
        <f t="shared" si="13"/>
        <v>0</v>
      </c>
      <c r="N196" s="39"/>
      <c r="O196" s="23"/>
      <c r="P196" s="23"/>
      <c r="Q196" s="23"/>
      <c r="R196" s="23"/>
      <c r="S196" s="23"/>
      <c r="T196" s="23"/>
      <c r="U196" s="23"/>
      <c r="V196" s="23"/>
    </row>
    <row r="197" spans="1:22" s="24" customFormat="1" ht="23.1" customHeight="1">
      <c r="A197" s="104" t="s">
        <v>17</v>
      </c>
      <c r="B197" s="36">
        <f>COUNTIF('7'!$C$6:$C$529,"장")</f>
        <v>0</v>
      </c>
      <c r="C197" s="37" t="s">
        <v>5</v>
      </c>
      <c r="D197" s="38">
        <f>SUMIF('7'!$C$6:$C$529,"장",'7'!$E$6:$E$529)</f>
        <v>0</v>
      </c>
      <c r="E197" s="36">
        <f>COUNTIF('7'!$N$6:$N$529,"장국")</f>
        <v>0</v>
      </c>
      <c r="F197" s="37" t="s">
        <v>5</v>
      </c>
      <c r="G197" s="38">
        <f>SUMIF('7'!$N$6:$N$529,"장국",'7'!$E$6:$E$529)</f>
        <v>0</v>
      </c>
      <c r="H197" s="36">
        <f>COUNTIF('7'!$N$6:$N$529,"장공")</f>
        <v>0</v>
      </c>
      <c r="I197" s="37" t="s">
        <v>5</v>
      </c>
      <c r="J197" s="38">
        <f>SUMIF('7'!$N$6:$N$529,"장공",'7'!$E$6:$E$529)</f>
        <v>0</v>
      </c>
      <c r="K197" s="36">
        <f t="shared" si="12"/>
        <v>0</v>
      </c>
      <c r="L197" s="37" t="s">
        <v>5</v>
      </c>
      <c r="M197" s="38">
        <f t="shared" si="13"/>
        <v>0</v>
      </c>
      <c r="N197" s="39"/>
      <c r="O197" s="23"/>
      <c r="P197" s="23"/>
      <c r="Q197" s="23"/>
      <c r="R197" s="23"/>
      <c r="S197" s="23"/>
      <c r="T197" s="23"/>
      <c r="U197" s="23"/>
      <c r="V197" s="23"/>
    </row>
    <row r="198" spans="1:22" s="24" customFormat="1" ht="23.1" customHeight="1">
      <c r="A198" s="104" t="s">
        <v>18</v>
      </c>
      <c r="B198" s="36">
        <f>COUNTIF('7'!$C$6:$C$529,"목")</f>
        <v>0</v>
      </c>
      <c r="C198" s="37" t="s">
        <v>5</v>
      </c>
      <c r="D198" s="38">
        <f>SUMIF('7'!$C$6:$C$529,"목",'7'!$E$6:$E$529)</f>
        <v>0</v>
      </c>
      <c r="E198" s="36">
        <f>COUNTIF('7'!$N$6:$N$529,"목국")</f>
        <v>0</v>
      </c>
      <c r="F198" s="37" t="s">
        <v>5</v>
      </c>
      <c r="G198" s="38">
        <f>SUMIF('7'!$N$6:$N$529,"목국",'7'!$E$6:$E$529)</f>
        <v>0</v>
      </c>
      <c r="H198" s="36">
        <f>COUNTIF('7'!$N$6:$N$529,"목공")</f>
        <v>0</v>
      </c>
      <c r="I198" s="37" t="s">
        <v>5</v>
      </c>
      <c r="J198" s="38">
        <f>SUMIF('7'!$N$6:$N$529,"목공",'7'!$E$6:$E$529)</f>
        <v>0</v>
      </c>
      <c r="K198" s="36">
        <f t="shared" si="12"/>
        <v>0</v>
      </c>
      <c r="L198" s="37" t="s">
        <v>5</v>
      </c>
      <c r="M198" s="38">
        <f t="shared" si="13"/>
        <v>0</v>
      </c>
      <c r="N198" s="39"/>
      <c r="O198" s="23"/>
      <c r="P198" s="23"/>
      <c r="Q198" s="23"/>
      <c r="R198" s="23"/>
      <c r="S198" s="23"/>
      <c r="T198" s="23"/>
      <c r="U198" s="23"/>
      <c r="V198" s="23"/>
    </row>
    <row r="199" spans="1:22" s="24" customFormat="1" ht="23.1" customHeight="1">
      <c r="A199" s="104" t="s">
        <v>19</v>
      </c>
      <c r="B199" s="36">
        <f>COUNTIF('7'!$C$6:$C$529,"학")</f>
        <v>0</v>
      </c>
      <c r="C199" s="37" t="s">
        <v>5</v>
      </c>
      <c r="D199" s="38">
        <f>SUMIF('7'!$C$6:$C$529,"학",'7'!$E$6:$E$529)</f>
        <v>0</v>
      </c>
      <c r="E199" s="36">
        <f>COUNTIF('7'!$N$6:$N$529,"학국")</f>
        <v>0</v>
      </c>
      <c r="F199" s="37" t="s">
        <v>5</v>
      </c>
      <c r="G199" s="38">
        <f>SUMIF('7'!$N$6:$N$529,"학국",'7'!$E$6:$E$529)</f>
        <v>0</v>
      </c>
      <c r="H199" s="36">
        <f>COUNTIF('7'!$N$6:$N$529,"학공")</f>
        <v>0</v>
      </c>
      <c r="I199" s="37" t="s">
        <v>5</v>
      </c>
      <c r="J199" s="38">
        <f>SUMIF('7'!$N$6:$N$529,"학공",'7'!$E$6:$E$529)</f>
        <v>0</v>
      </c>
      <c r="K199" s="36">
        <f t="shared" si="12"/>
        <v>0</v>
      </c>
      <c r="L199" s="37" t="s">
        <v>5</v>
      </c>
      <c r="M199" s="38">
        <f t="shared" si="13"/>
        <v>0</v>
      </c>
      <c r="N199" s="39"/>
      <c r="O199" s="23"/>
      <c r="P199" s="23"/>
      <c r="Q199" s="23"/>
      <c r="R199" s="23"/>
      <c r="S199" s="23"/>
      <c r="T199" s="23"/>
      <c r="U199" s="23"/>
      <c r="V199" s="23"/>
    </row>
    <row r="200" spans="1:22" s="24" customFormat="1" ht="23.1" customHeight="1">
      <c r="A200" s="104" t="s">
        <v>20</v>
      </c>
      <c r="B200" s="36">
        <f>COUNTIF('7'!$C$6:$C$529,"철")</f>
        <v>0</v>
      </c>
      <c r="C200" s="37" t="s">
        <v>5</v>
      </c>
      <c r="D200" s="38">
        <f>SUMIF('7'!$C$6:$C$529,"철",'7'!$E$6:$E$529)</f>
        <v>0</v>
      </c>
      <c r="E200" s="36">
        <f>COUNTIF('7'!$N$6:$N$529,"철국")</f>
        <v>0</v>
      </c>
      <c r="F200" s="37" t="s">
        <v>5</v>
      </c>
      <c r="G200" s="38">
        <f>SUMIF('7'!$N$6:$N$529,"철국",'7'!$E$6:$E$529)</f>
        <v>0</v>
      </c>
      <c r="H200" s="36">
        <f>COUNTIF('7'!$N$6:$N$529,"철공")</f>
        <v>0</v>
      </c>
      <c r="I200" s="37" t="s">
        <v>5</v>
      </c>
      <c r="J200" s="38">
        <f>SUMIF('7'!$N$6:$N$529,"철공",'7'!$E$6:$E$529)</f>
        <v>0</v>
      </c>
      <c r="K200" s="36">
        <f t="shared" si="12"/>
        <v>0</v>
      </c>
      <c r="L200" s="37" t="s">
        <v>5</v>
      </c>
      <c r="M200" s="38">
        <f t="shared" si="13"/>
        <v>0</v>
      </c>
      <c r="N200" s="39"/>
      <c r="O200" s="23"/>
      <c r="P200" s="23"/>
      <c r="Q200" s="23"/>
      <c r="R200" s="23"/>
      <c r="S200" s="23"/>
      <c r="T200" s="23"/>
      <c r="U200" s="23"/>
      <c r="V200" s="23"/>
    </row>
    <row r="201" spans="1:22" s="24" customFormat="1" ht="23.1" customHeight="1">
      <c r="A201" s="104" t="s">
        <v>21</v>
      </c>
      <c r="B201" s="36">
        <f>COUNTIF('7'!$C$6:$C$529,"묘")</f>
        <v>0</v>
      </c>
      <c r="C201" s="37" t="s">
        <v>5</v>
      </c>
      <c r="D201" s="38">
        <f>SUMIF('7'!$C$6:$C$529,"묘",'7'!$E$6:$E$529)</f>
        <v>0</v>
      </c>
      <c r="E201" s="36">
        <f>COUNTIF('7'!$N$6:$N$529,"묘국")</f>
        <v>0</v>
      </c>
      <c r="F201" s="37" t="s">
        <v>5</v>
      </c>
      <c r="G201" s="38">
        <f>SUMIF('7'!$N$6:$N$529,"묘국",'7'!$E$6:$E$529)</f>
        <v>0</v>
      </c>
      <c r="H201" s="36">
        <f>COUNTIF('7'!$N$6:$N$529,"묘공")</f>
        <v>0</v>
      </c>
      <c r="I201" s="37" t="s">
        <v>5</v>
      </c>
      <c r="J201" s="38">
        <f>SUMIF('7'!$N$6:$N$529,"묘공",'7'!$E$6:$E$529)</f>
        <v>0</v>
      </c>
      <c r="K201" s="36">
        <f t="shared" si="12"/>
        <v>0</v>
      </c>
      <c r="L201" s="37" t="s">
        <v>5</v>
      </c>
      <c r="M201" s="38">
        <f t="shared" si="13"/>
        <v>0</v>
      </c>
      <c r="N201" s="39"/>
      <c r="O201" s="23"/>
      <c r="P201" s="23"/>
      <c r="Q201" s="23"/>
      <c r="R201" s="23"/>
      <c r="S201" s="23"/>
      <c r="T201" s="23"/>
      <c r="U201" s="23"/>
      <c r="V201" s="23"/>
    </row>
    <row r="202" spans="1:22" s="24" customFormat="1" ht="23.1" customHeight="1">
      <c r="A202" s="104" t="s">
        <v>22</v>
      </c>
      <c r="B202" s="36">
        <f>COUNTIF('7'!$C$6:$C$529,"수")</f>
        <v>0</v>
      </c>
      <c r="C202" s="37" t="s">
        <v>5</v>
      </c>
      <c r="D202" s="38">
        <f>SUMIF('7'!$C$6:$C$529,"수",'7'!$E$6:$E$529)</f>
        <v>0</v>
      </c>
      <c r="E202" s="36">
        <f>COUNTIF('7'!$N$6:$N$529,"수국")</f>
        <v>0</v>
      </c>
      <c r="F202" s="37" t="s">
        <v>5</v>
      </c>
      <c r="G202" s="38">
        <f>SUMIF('7'!$N$6:$N$529,"수국",'7'!$E$6:$E$529)</f>
        <v>0</v>
      </c>
      <c r="H202" s="36">
        <f>COUNTIF('7'!$N$6:$N$529,"수공")</f>
        <v>0</v>
      </c>
      <c r="I202" s="37" t="s">
        <v>5</v>
      </c>
      <c r="J202" s="38">
        <f>SUMIF('7'!$N$6:$N$529,"수공",'7'!$E$6:$E$529)</f>
        <v>0</v>
      </c>
      <c r="K202" s="36">
        <f t="shared" si="12"/>
        <v>0</v>
      </c>
      <c r="L202" s="37" t="s">
        <v>5</v>
      </c>
      <c r="M202" s="38">
        <f t="shared" si="13"/>
        <v>0</v>
      </c>
      <c r="N202" s="39"/>
      <c r="O202" s="23"/>
      <c r="P202" s="23"/>
      <c r="Q202" s="23"/>
      <c r="R202" s="23"/>
      <c r="S202" s="23"/>
      <c r="T202" s="23"/>
      <c r="U202" s="23"/>
      <c r="V202" s="23"/>
    </row>
    <row r="203" spans="1:22" s="24" customFormat="1" ht="23.1" customHeight="1">
      <c r="A203" s="104" t="s">
        <v>23</v>
      </c>
      <c r="B203" s="36">
        <f>COUNTIF('7'!$C$6:$C$529,"잡")</f>
        <v>0</v>
      </c>
      <c r="C203" s="37" t="s">
        <v>5</v>
      </c>
      <c r="D203" s="38">
        <f>SUMIF('7'!$C$6:$C$529,"잡",'7'!$E$6:$E$529)</f>
        <v>0</v>
      </c>
      <c r="E203" s="36">
        <f>COUNTIF('7'!$N$6:$N$529,"잡국")</f>
        <v>0</v>
      </c>
      <c r="F203" s="37" t="s">
        <v>5</v>
      </c>
      <c r="G203" s="38">
        <f>SUMIF('7'!$N$6:$N$529,"잡국",'7'!$E$6:$E$529)</f>
        <v>0</v>
      </c>
      <c r="H203" s="36">
        <f>COUNTIF('7'!$N$6:$N$529,"잡공")</f>
        <v>0</v>
      </c>
      <c r="I203" s="37" t="s">
        <v>5</v>
      </c>
      <c r="J203" s="38">
        <f>SUMIF('7'!$N$6:$N$529,"잡공",'7'!$E$6:$E$529)</f>
        <v>0</v>
      </c>
      <c r="K203" s="36">
        <f t="shared" si="12"/>
        <v>0</v>
      </c>
      <c r="L203" s="37" t="s">
        <v>5</v>
      </c>
      <c r="M203" s="38">
        <f t="shared" si="13"/>
        <v>0</v>
      </c>
      <c r="N203" s="39"/>
      <c r="O203" s="23"/>
      <c r="P203" s="23"/>
      <c r="Q203" s="23"/>
      <c r="R203" s="23"/>
      <c r="S203" s="23"/>
      <c r="T203" s="23"/>
      <c r="U203" s="23"/>
      <c r="V203" s="23"/>
    </row>
    <row r="204" spans="1:22" s="24" customFormat="1" ht="23.1" customHeight="1">
      <c r="A204" s="105" t="s">
        <v>24</v>
      </c>
      <c r="B204" s="36">
        <f>COUNTIF('7'!$C$6:$C$529,"종")</f>
        <v>0</v>
      </c>
      <c r="C204" s="37" t="s">
        <v>5</v>
      </c>
      <c r="D204" s="38">
        <f>SUMIF('7'!$C$6:$C$529,"종",'7'!$E$6:$E$529)</f>
        <v>0</v>
      </c>
      <c r="E204" s="36">
        <f>COUNTIF('7'!$N$6:$N$529,"종국")</f>
        <v>0</v>
      </c>
      <c r="F204" s="37" t="s">
        <v>5</v>
      </c>
      <c r="G204" s="38">
        <f>SUMIF('7'!$N$6:$N$529,"종국",'7'!$E$6:$E$529)</f>
        <v>0</v>
      </c>
      <c r="H204" s="36">
        <f>COUNTIF('7'!$N$6:$N$529,"종공")</f>
        <v>0</v>
      </c>
      <c r="I204" s="37" t="s">
        <v>5</v>
      </c>
      <c r="J204" s="38">
        <f>SUMIF('7'!$N$6:$N$529,"종공",'7'!$E$6:$E$529)</f>
        <v>0</v>
      </c>
      <c r="K204" s="36">
        <f t="shared" si="12"/>
        <v>0</v>
      </c>
      <c r="L204" s="37" t="s">
        <v>5</v>
      </c>
      <c r="M204" s="38">
        <f t="shared" si="13"/>
        <v>0</v>
      </c>
      <c r="N204" s="39"/>
      <c r="O204" s="23"/>
      <c r="P204" s="23"/>
      <c r="Q204" s="23"/>
      <c r="R204" s="23"/>
      <c r="S204" s="23"/>
      <c r="T204" s="23"/>
      <c r="U204" s="23"/>
      <c r="V204" s="23"/>
    </row>
    <row r="205" spans="1:22" s="24" customFormat="1" ht="23.1" customHeight="1">
      <c r="A205" s="105" t="s">
        <v>25</v>
      </c>
      <c r="B205" s="36">
        <f>COUNTIF('7'!$C$6:$C$529,"염")</f>
        <v>0</v>
      </c>
      <c r="C205" s="37" t="s">
        <v>5</v>
      </c>
      <c r="D205" s="38">
        <f>SUMIF('7'!$C$6:$C$529,"염",'7'!$E$6:$E$529)</f>
        <v>0</v>
      </c>
      <c r="E205" s="36">
        <f>COUNTIF('7'!$N$6:$N$529,"염국")</f>
        <v>0</v>
      </c>
      <c r="F205" s="37" t="s">
        <v>5</v>
      </c>
      <c r="G205" s="38">
        <f>SUMIF('7'!$N$6:$N$529,"염국",'7'!$E$6:$E$529)</f>
        <v>0</v>
      </c>
      <c r="H205" s="36">
        <f>COUNTIF('7'!$N$6:$N$529,"염공")</f>
        <v>0</v>
      </c>
      <c r="I205" s="37" t="s">
        <v>5</v>
      </c>
      <c r="J205" s="38">
        <f>SUMIF('7'!$N$6:$N$529,"염공",'7'!$E$6:$E$529)</f>
        <v>0</v>
      </c>
      <c r="K205" s="36">
        <f t="shared" si="12"/>
        <v>0</v>
      </c>
      <c r="L205" s="37" t="s">
        <v>5</v>
      </c>
      <c r="M205" s="38">
        <f t="shared" si="13"/>
        <v>0</v>
      </c>
      <c r="N205" s="39"/>
      <c r="O205" s="23"/>
      <c r="P205" s="23"/>
      <c r="Q205" s="23"/>
      <c r="R205" s="23"/>
      <c r="S205" s="23"/>
      <c r="T205" s="23"/>
      <c r="U205" s="23"/>
      <c r="V205" s="23"/>
    </row>
    <row r="206" spans="1:22" s="24" customFormat="1" ht="23.1" customHeight="1">
      <c r="A206" s="105" t="s">
        <v>26</v>
      </c>
      <c r="B206" s="36">
        <f>COUNTIF('7'!$C$6:$C$529,"공")</f>
        <v>0</v>
      </c>
      <c r="C206" s="37" t="s">
        <v>5</v>
      </c>
      <c r="D206" s="38">
        <f>SUMIF('7'!$C$6:$C$529,"공",'7'!$E$6:$E$529)</f>
        <v>0</v>
      </c>
      <c r="E206" s="36">
        <f>COUNTIF('7'!$N$6:$N$529,"공국")</f>
        <v>0</v>
      </c>
      <c r="F206" s="37" t="s">
        <v>5</v>
      </c>
      <c r="G206" s="38">
        <f>SUMIF('7'!$N$6:$N$529,"공국",'7'!$E$6:$E$529)</f>
        <v>0</v>
      </c>
      <c r="H206" s="36">
        <f>COUNTIF('7'!$N$6:$N$529,"공공")</f>
        <v>0</v>
      </c>
      <c r="I206" s="37" t="s">
        <v>5</v>
      </c>
      <c r="J206" s="38">
        <f>SUMIF('7'!$N$6:$N$529,"공공",'7'!$E$6:$E$529)</f>
        <v>0</v>
      </c>
      <c r="K206" s="36">
        <f t="shared" si="12"/>
        <v>0</v>
      </c>
      <c r="L206" s="37" t="s">
        <v>5</v>
      </c>
      <c r="M206" s="38">
        <f t="shared" si="13"/>
        <v>0</v>
      </c>
      <c r="N206" s="39"/>
      <c r="O206" s="23"/>
      <c r="P206" s="23"/>
      <c r="Q206" s="23"/>
      <c r="R206" s="23"/>
      <c r="S206" s="23"/>
      <c r="T206" s="23"/>
      <c r="U206" s="23"/>
      <c r="V206" s="23"/>
    </row>
    <row r="207" spans="1:22" s="24" customFormat="1" ht="23.1" customHeight="1">
      <c r="A207" s="105" t="s">
        <v>27</v>
      </c>
      <c r="B207" s="36">
        <f>COUNTIF('7'!$C$6:$C$529,"체")</f>
        <v>0</v>
      </c>
      <c r="C207" s="37" t="s">
        <v>5</v>
      </c>
      <c r="D207" s="38">
        <f>SUMIF('7'!$C$6:$C$529,"체",'7'!$E$6:$E$529)</f>
        <v>0</v>
      </c>
      <c r="E207" s="36">
        <f>COUNTIF('7'!$N$6:$N$529,"체국")</f>
        <v>0</v>
      </c>
      <c r="F207" s="37" t="s">
        <v>5</v>
      </c>
      <c r="G207" s="38">
        <f>SUMIF('7'!$N$6:$N$529,"체국",'7'!$E$6:$E$529)</f>
        <v>0</v>
      </c>
      <c r="H207" s="36">
        <f>COUNTIF('7'!$N$6:$N$529,"체공")</f>
        <v>0</v>
      </c>
      <c r="I207" s="37" t="s">
        <v>5</v>
      </c>
      <c r="J207" s="38">
        <f>SUMIF('7'!$N$6:$N$529,"체공",'7'!$E$6:$E$529)</f>
        <v>0</v>
      </c>
      <c r="K207" s="36">
        <f t="shared" si="12"/>
        <v>0</v>
      </c>
      <c r="L207" s="37" t="s">
        <v>5</v>
      </c>
      <c r="M207" s="38">
        <f t="shared" si="13"/>
        <v>0</v>
      </c>
      <c r="N207" s="39"/>
      <c r="O207" s="23"/>
      <c r="P207" s="23"/>
      <c r="Q207" s="23"/>
      <c r="R207" s="23"/>
      <c r="S207" s="23"/>
      <c r="T207" s="23"/>
      <c r="U207" s="23"/>
      <c r="V207" s="23"/>
    </row>
    <row r="208" spans="1:22" s="24" customFormat="1" ht="23.1" customHeight="1">
      <c r="A208" s="105" t="s">
        <v>28</v>
      </c>
      <c r="B208" s="36">
        <f>COUNTIF('7'!$C$6:$C$529,"원")</f>
        <v>0</v>
      </c>
      <c r="C208" s="37" t="s">
        <v>5</v>
      </c>
      <c r="D208" s="38">
        <f>SUMIF('7'!$C$6:$C$529,"원",'7'!$E$6:$E$529)</f>
        <v>0</v>
      </c>
      <c r="E208" s="36">
        <f>COUNTIF('7'!$N$6:$N$529,"원국")</f>
        <v>0</v>
      </c>
      <c r="F208" s="37" t="s">
        <v>5</v>
      </c>
      <c r="G208" s="38">
        <f>SUMIF('7'!$N$6:$N$529,"원국",'7'!$E$6:$E$529)</f>
        <v>0</v>
      </c>
      <c r="H208" s="36">
        <f>COUNTIF('7'!$N$6:$N$529,"원공")</f>
        <v>0</v>
      </c>
      <c r="I208" s="37" t="s">
        <v>5</v>
      </c>
      <c r="J208" s="38">
        <f>SUMIF('7'!$N$6:$N$529,"원공",'7'!$E$6:$E$529)</f>
        <v>0</v>
      </c>
      <c r="K208" s="36">
        <f t="shared" si="12"/>
        <v>0</v>
      </c>
      <c r="L208" s="37" t="s">
        <v>5</v>
      </c>
      <c r="M208" s="38">
        <f t="shared" si="13"/>
        <v>0</v>
      </c>
      <c r="N208" s="39"/>
      <c r="O208" s="23"/>
      <c r="P208" s="23"/>
      <c r="Q208" s="23"/>
      <c r="R208" s="23"/>
      <c r="S208" s="23"/>
      <c r="T208" s="23"/>
      <c r="U208" s="23"/>
      <c r="V208" s="23"/>
    </row>
    <row r="209" spans="1:22" s="24" customFormat="1" ht="23.1" customHeight="1">
      <c r="A209" s="105" t="s">
        <v>60</v>
      </c>
      <c r="B209" s="36">
        <f>COUNTIF('7'!$C$6:$C$529,"차")</f>
        <v>0</v>
      </c>
      <c r="C209" s="37" t="s">
        <v>5</v>
      </c>
      <c r="D209" s="38">
        <f>SUMIF('7'!$C$6:$C$529,"차",'7'!$E$6:$E$529)</f>
        <v>0</v>
      </c>
      <c r="E209" s="36">
        <f>COUNTIF('7'!$N$6:$N$529,"차국")</f>
        <v>0</v>
      </c>
      <c r="F209" s="37" t="s">
        <v>5</v>
      </c>
      <c r="G209" s="38">
        <f>SUMIF('7'!$N$6:$N$529,"차국",'7'!$E$6:$E$529)</f>
        <v>0</v>
      </c>
      <c r="H209" s="36">
        <f>COUNTIF('7'!$N$6:$N$529,"차공")</f>
        <v>0</v>
      </c>
      <c r="I209" s="37" t="s">
        <v>5</v>
      </c>
      <c r="J209" s="38">
        <f>SUMIF('7'!$N$6:$N$529,"차공",'7'!$E$6:$E$529)</f>
        <v>0</v>
      </c>
      <c r="K209" s="36">
        <f t="shared" si="12"/>
        <v>0</v>
      </c>
      <c r="L209" s="37" t="s">
        <v>5</v>
      </c>
      <c r="M209" s="38">
        <f t="shared" si="13"/>
        <v>0</v>
      </c>
      <c r="N209" s="39"/>
      <c r="O209" s="23"/>
      <c r="P209" s="23"/>
      <c r="Q209" s="23"/>
      <c r="R209" s="23"/>
      <c r="S209" s="23"/>
      <c r="T209" s="23"/>
      <c r="U209" s="23"/>
      <c r="V209" s="23"/>
    </row>
    <row r="210" spans="1:22" s="24" customFormat="1" ht="23.1" customHeight="1">
      <c r="A210" s="105" t="s">
        <v>61</v>
      </c>
      <c r="B210" s="36">
        <f>COUNTIF('7'!$C$6:$C$529,"주")</f>
        <v>0</v>
      </c>
      <c r="C210" s="37" t="s">
        <v>5</v>
      </c>
      <c r="D210" s="38">
        <f>SUMIF('7'!$C$6:$C$529,"주",'7'!$E$6:$E$529)</f>
        <v>0</v>
      </c>
      <c r="E210" s="36">
        <f>COUNTIF('7'!$N$6:$N$529,"주국")</f>
        <v>0</v>
      </c>
      <c r="F210" s="37" t="s">
        <v>5</v>
      </c>
      <c r="G210" s="38">
        <f>SUMIF('7'!$N$6:$N$529,"주국",'7'!$E$6:$E$529)</f>
        <v>0</v>
      </c>
      <c r="H210" s="36">
        <f>COUNTIF('7'!$N$6:$N$529,"주공")</f>
        <v>0</v>
      </c>
      <c r="I210" s="37" t="s">
        <v>5</v>
      </c>
      <c r="J210" s="38">
        <f>SUMIF('7'!$N$6:$N$529,"주공",'7'!$E$6:$E$529)</f>
        <v>0</v>
      </c>
      <c r="K210" s="36">
        <f t="shared" si="12"/>
        <v>0</v>
      </c>
      <c r="L210" s="37" t="s">
        <v>5</v>
      </c>
      <c r="M210" s="38">
        <f t="shared" si="13"/>
        <v>0</v>
      </c>
      <c r="N210" s="39"/>
      <c r="O210" s="23"/>
      <c r="P210" s="23"/>
      <c r="Q210" s="23"/>
      <c r="R210" s="23"/>
      <c r="S210" s="23"/>
      <c r="T210" s="23"/>
      <c r="U210" s="23"/>
      <c r="V210" s="23"/>
    </row>
    <row r="211" spans="1:22" s="24" customFormat="1" ht="23.1" customHeight="1">
      <c r="A211" s="106" t="s">
        <v>62</v>
      </c>
      <c r="B211" s="40">
        <f>COUNTIF('7'!$C$6:$C$529," ")</f>
        <v>0</v>
      </c>
      <c r="C211" s="41" t="s">
        <v>5</v>
      </c>
      <c r="D211" s="42">
        <f>SUMIF('7'!$C$6:$C$529," ",'7'!$E$6:$E$529)</f>
        <v>0</v>
      </c>
      <c r="E211" s="40">
        <f>COUNTIF('7'!$N$6:$N$529," 국")</f>
        <v>0</v>
      </c>
      <c r="F211" s="41" t="s">
        <v>5</v>
      </c>
      <c r="G211" s="42">
        <f>SUMIF('7'!$N$6:$N$529," 국",'7'!$E$6:$E$529)</f>
        <v>0</v>
      </c>
      <c r="H211" s="40">
        <f>COUNTIF('7'!$N$6:$N$529," 공")</f>
        <v>0</v>
      </c>
      <c r="I211" s="41" t="s">
        <v>5</v>
      </c>
      <c r="J211" s="42">
        <f>SUMIF('7'!$N$6:$N$529," 공",'7'!$E$6:$E$529)</f>
        <v>0</v>
      </c>
      <c r="K211" s="40">
        <f t="shared" si="12"/>
        <v>0</v>
      </c>
      <c r="L211" s="41" t="s">
        <v>5</v>
      </c>
      <c r="M211" s="42">
        <f t="shared" si="13"/>
        <v>0</v>
      </c>
      <c r="N211" s="43"/>
      <c r="O211" s="23"/>
      <c r="P211" s="23"/>
      <c r="Q211" s="23"/>
      <c r="R211" s="23"/>
      <c r="S211" s="23"/>
      <c r="T211" s="23"/>
      <c r="U211" s="23"/>
      <c r="V211" s="23"/>
    </row>
    <row r="212" spans="1:22" s="17" customFormat="1" ht="20.100000000000001" customHeight="1">
      <c r="A212" s="11">
        <f>IF(EXACT(O216,O217),,"검산확인요!!!")</f>
        <v>0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3">
        <f>IF(ISBLANK('8'!K2),,'8'!K2)</f>
        <v>3</v>
      </c>
      <c r="L212" s="14"/>
      <c r="M212" s="15"/>
      <c r="N212" s="16"/>
    </row>
    <row r="213" spans="1:22" s="17" customFormat="1" ht="9.9499999999999993" customHeight="1">
      <c r="A213" s="11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</row>
    <row r="214" spans="1:22" s="24" customFormat="1" ht="27.95" customHeight="1">
      <c r="A214" s="18" t="s">
        <v>3</v>
      </c>
      <c r="B214" s="19" t="s">
        <v>2</v>
      </c>
      <c r="C214" s="20"/>
      <c r="D214" s="21"/>
      <c r="E214" s="19" t="s">
        <v>29</v>
      </c>
      <c r="F214" s="20"/>
      <c r="G214" s="21"/>
      <c r="H214" s="19" t="s">
        <v>38</v>
      </c>
      <c r="I214" s="20"/>
      <c r="J214" s="21"/>
      <c r="K214" s="19" t="s">
        <v>30</v>
      </c>
      <c r="L214" s="20"/>
      <c r="M214" s="21"/>
      <c r="N214" s="22" t="s">
        <v>31</v>
      </c>
      <c r="O214" s="23"/>
      <c r="S214" s="23"/>
      <c r="T214" s="23"/>
      <c r="U214" s="23"/>
      <c r="V214" s="23"/>
    </row>
    <row r="215" spans="1:22" s="24" customFormat="1" ht="27.95" customHeight="1">
      <c r="A215" s="25"/>
      <c r="B215" s="26" t="s">
        <v>4</v>
      </c>
      <c r="C215" s="27" t="s">
        <v>5</v>
      </c>
      <c r="D215" s="28" t="s">
        <v>32</v>
      </c>
      <c r="E215" s="26" t="s">
        <v>4</v>
      </c>
      <c r="F215" s="27" t="s">
        <v>5</v>
      </c>
      <c r="G215" s="28" t="s">
        <v>32</v>
      </c>
      <c r="H215" s="26" t="s">
        <v>4</v>
      </c>
      <c r="I215" s="27" t="s">
        <v>5</v>
      </c>
      <c r="J215" s="28" t="s">
        <v>32</v>
      </c>
      <c r="K215" s="26" t="s">
        <v>4</v>
      </c>
      <c r="L215" s="27" t="s">
        <v>5</v>
      </c>
      <c r="M215" s="28" t="s">
        <v>32</v>
      </c>
      <c r="N215" s="29"/>
      <c r="P215" s="23"/>
      <c r="Q215" s="30" t="s">
        <v>33</v>
      </c>
      <c r="R215" s="30" t="s">
        <v>34</v>
      </c>
      <c r="S215" s="30" t="s">
        <v>35</v>
      </c>
      <c r="T215" s="30" t="s">
        <v>36</v>
      </c>
      <c r="U215" s="23"/>
      <c r="V215" s="23"/>
    </row>
    <row r="216" spans="1:22" s="24" customFormat="1" ht="23.1" customHeight="1">
      <c r="A216" s="103" t="s">
        <v>2</v>
      </c>
      <c r="B216" s="31">
        <f>SUM(B217:B241)</f>
        <v>0</v>
      </c>
      <c r="C216" s="32" t="s">
        <v>5</v>
      </c>
      <c r="D216" s="33">
        <f>SUM(D217:D241)</f>
        <v>0</v>
      </c>
      <c r="E216" s="31">
        <f>SUM(E217:E241)</f>
        <v>0</v>
      </c>
      <c r="F216" s="32" t="s">
        <v>5</v>
      </c>
      <c r="G216" s="33">
        <f>SUM(G217:G241)</f>
        <v>0</v>
      </c>
      <c r="H216" s="31">
        <f>SUM(H217:H241)</f>
        <v>0</v>
      </c>
      <c r="I216" s="32" t="s">
        <v>5</v>
      </c>
      <c r="J216" s="33">
        <f>SUM(J217:J241)</f>
        <v>0</v>
      </c>
      <c r="K216" s="31">
        <f>SUM(K217:K241)</f>
        <v>0</v>
      </c>
      <c r="L216" s="32" t="s">
        <v>5</v>
      </c>
      <c r="M216" s="33">
        <f>SUM(M217:M241)</f>
        <v>0</v>
      </c>
      <c r="N216" s="34"/>
      <c r="O216" s="23" t="str">
        <f>IF(EXACT(Q216,T216),"맞음","틀림")</f>
        <v>맞음</v>
      </c>
      <c r="P216" s="23" t="s">
        <v>4</v>
      </c>
      <c r="Q216" s="35">
        <f>SUM(B217:B241)</f>
        <v>0</v>
      </c>
      <c r="R216" s="35">
        <f>SUM(E217:E241)</f>
        <v>0</v>
      </c>
      <c r="S216" s="35">
        <f>SUM(K217:K241)</f>
        <v>0</v>
      </c>
      <c r="T216" s="35">
        <f>K216+E216</f>
        <v>0</v>
      </c>
      <c r="U216" s="23"/>
      <c r="V216" s="23"/>
    </row>
    <row r="217" spans="1:22" s="24" customFormat="1" ht="23.1" customHeight="1">
      <c r="A217" s="104" t="s">
        <v>7</v>
      </c>
      <c r="B217" s="36">
        <f>COUNTIF('8'!$C$6:$C$529,"전")</f>
        <v>0</v>
      </c>
      <c r="C217" s="37" t="s">
        <v>5</v>
      </c>
      <c r="D217" s="38">
        <f>SUMIF('8'!$C$6:$C$529,"전",'8'!$E$6:$E$529)</f>
        <v>0</v>
      </c>
      <c r="E217" s="36">
        <f>COUNTIF('8'!$N$6:$N$529,"전국")</f>
        <v>0</v>
      </c>
      <c r="F217" s="37" t="s">
        <v>5</v>
      </c>
      <c r="G217" s="38">
        <f>SUMIF('8'!$N$6:$N$529,"전국",'8'!$E$6:$E$529)</f>
        <v>0</v>
      </c>
      <c r="H217" s="36">
        <f>COUNTIF('8'!$N$6:$N$529,"전공")</f>
        <v>0</v>
      </c>
      <c r="I217" s="37" t="s">
        <v>5</v>
      </c>
      <c r="J217" s="38">
        <f>SUMIF('8'!$N$6:$N$529,"전공",'8'!$E$6:$E$529)</f>
        <v>0</v>
      </c>
      <c r="K217" s="36">
        <f t="shared" ref="K217:K241" si="14">SUM(B217-E217-H217)</f>
        <v>0</v>
      </c>
      <c r="L217" s="37" t="s">
        <v>5</v>
      </c>
      <c r="M217" s="38">
        <f t="shared" ref="M217:M241" si="15">SUM(D217-G217-J217)</f>
        <v>0</v>
      </c>
      <c r="N217" s="39"/>
      <c r="O217" s="23" t="str">
        <f>IF(EXACT(Q217,T217),"맞음","틀림")</f>
        <v>맞음</v>
      </c>
      <c r="P217" s="23" t="s">
        <v>37</v>
      </c>
      <c r="Q217" s="35">
        <f>SUM(D217:D241)</f>
        <v>0</v>
      </c>
      <c r="R217" s="35">
        <f>SUM(G217:G241)</f>
        <v>0</v>
      </c>
      <c r="S217" s="35">
        <f>SUM(M217:M241)</f>
        <v>0</v>
      </c>
      <c r="T217" s="35">
        <f>G216+M216</f>
        <v>0</v>
      </c>
      <c r="U217" s="23"/>
      <c r="V217" s="23"/>
    </row>
    <row r="218" spans="1:22" s="24" customFormat="1" ht="23.1" customHeight="1">
      <c r="A218" s="104" t="s">
        <v>8</v>
      </c>
      <c r="B218" s="36">
        <f>COUNTIF('8'!$C$6:$C$529,"답")</f>
        <v>0</v>
      </c>
      <c r="C218" s="37" t="s">
        <v>5</v>
      </c>
      <c r="D218" s="38">
        <f>SUMIF('8'!$C$6:$C$529,"답",'8'!$E$6:$E$529)</f>
        <v>0</v>
      </c>
      <c r="E218" s="36">
        <f>COUNTIF('8'!$N$6:$N$529,"답국")</f>
        <v>0</v>
      </c>
      <c r="F218" s="37" t="s">
        <v>5</v>
      </c>
      <c r="G218" s="38">
        <f>SUMIF('8'!$N$6:$N$529,"답국",'8'!$E$6:$E$529)</f>
        <v>0</v>
      </c>
      <c r="H218" s="36">
        <f>COUNTIF('8'!$N$6:$N$529,"답공")</f>
        <v>0</v>
      </c>
      <c r="I218" s="37" t="s">
        <v>5</v>
      </c>
      <c r="J218" s="38">
        <f>SUMIF('8'!$N$6:$N$529,"답공",'8'!$E$6:$E$529)</f>
        <v>0</v>
      </c>
      <c r="K218" s="36">
        <f t="shared" si="14"/>
        <v>0</v>
      </c>
      <c r="L218" s="37" t="s">
        <v>5</v>
      </c>
      <c r="M218" s="38">
        <f t="shared" si="15"/>
        <v>0</v>
      </c>
      <c r="N218" s="39"/>
      <c r="Q218" s="23"/>
      <c r="S218" s="23"/>
      <c r="U218" s="23"/>
      <c r="V218" s="23"/>
    </row>
    <row r="219" spans="1:22" s="24" customFormat="1" ht="23.1" customHeight="1">
      <c r="A219" s="104" t="s">
        <v>9</v>
      </c>
      <c r="B219" s="36">
        <f>COUNTIF('8'!$C$6:$C$529,"임")</f>
        <v>0</v>
      </c>
      <c r="C219" s="37" t="s">
        <v>5</v>
      </c>
      <c r="D219" s="38">
        <f>SUMIF('8'!$C$6:$C$529,"임",'8'!$E$6:$E$529)</f>
        <v>0</v>
      </c>
      <c r="E219" s="36">
        <f>COUNTIF('8'!$N$6:$N$529,"임국")</f>
        <v>0</v>
      </c>
      <c r="F219" s="37" t="s">
        <v>5</v>
      </c>
      <c r="G219" s="38">
        <f>SUMIF('8'!$N$6:$N$529,"임국",'8'!$E$6:$E$529)</f>
        <v>0</v>
      </c>
      <c r="H219" s="36">
        <f>COUNTIF('8'!$N$6:$N$529,"임공")</f>
        <v>0</v>
      </c>
      <c r="I219" s="37" t="s">
        <v>5</v>
      </c>
      <c r="J219" s="38">
        <f>SUMIF('8'!$N$6:$N$529,"임공",'8'!$E$6:$E$529)</f>
        <v>0</v>
      </c>
      <c r="K219" s="36">
        <f t="shared" si="14"/>
        <v>0</v>
      </c>
      <c r="L219" s="37" t="s">
        <v>5</v>
      </c>
      <c r="M219" s="38">
        <f t="shared" si="15"/>
        <v>0</v>
      </c>
      <c r="N219" s="39"/>
      <c r="Q219" s="23"/>
      <c r="S219" s="23"/>
      <c r="U219" s="23"/>
      <c r="V219" s="23"/>
    </row>
    <row r="220" spans="1:22" s="24" customFormat="1" ht="23.1" customHeight="1">
      <c r="A220" s="104" t="s">
        <v>10</v>
      </c>
      <c r="B220" s="36">
        <f>COUNTIF('8'!$C$6:$C$529,"대")</f>
        <v>0</v>
      </c>
      <c r="C220" s="37" t="s">
        <v>5</v>
      </c>
      <c r="D220" s="38">
        <f>SUMIF('8'!$C$6:$C$529,"대",'8'!$E$6:$E$529)</f>
        <v>0</v>
      </c>
      <c r="E220" s="36">
        <f>COUNTIF('8'!$N$6:$N$529,"대국")</f>
        <v>0</v>
      </c>
      <c r="F220" s="37" t="s">
        <v>5</v>
      </c>
      <c r="G220" s="38">
        <f>SUMIF('8'!$N$6:$N$529,"대국",'8'!$E$6:$E$529)</f>
        <v>0</v>
      </c>
      <c r="H220" s="36">
        <f>COUNTIF('8'!$N$6:$N$529,"대공")</f>
        <v>0</v>
      </c>
      <c r="I220" s="37" t="s">
        <v>5</v>
      </c>
      <c r="J220" s="38">
        <f>SUMIF('8'!$N$6:$N$529,"대공",'8'!$E$6:$E$529)</f>
        <v>0</v>
      </c>
      <c r="K220" s="36">
        <f t="shared" si="14"/>
        <v>0</v>
      </c>
      <c r="L220" s="37" t="s">
        <v>5</v>
      </c>
      <c r="M220" s="38">
        <f t="shared" si="15"/>
        <v>0</v>
      </c>
      <c r="N220" s="39"/>
      <c r="O220" s="23"/>
      <c r="P220" s="23"/>
      <c r="Q220" s="23"/>
      <c r="R220" s="23"/>
      <c r="S220" s="23"/>
      <c r="T220" s="23"/>
      <c r="U220" s="23"/>
      <c r="V220" s="23"/>
    </row>
    <row r="221" spans="1:22" s="24" customFormat="1" ht="23.1" customHeight="1">
      <c r="A221" s="104" t="s">
        <v>11</v>
      </c>
      <c r="B221" s="36">
        <f>COUNTIF('8'!$C$6:$C$529,"도")</f>
        <v>0</v>
      </c>
      <c r="C221" s="37" t="s">
        <v>5</v>
      </c>
      <c r="D221" s="38">
        <f>SUMIF('8'!$C$6:$C$529,"도",'8'!$E$6:$E$529)</f>
        <v>0</v>
      </c>
      <c r="E221" s="36">
        <f>COUNTIF('8'!$N$6:$N$529,"도국")</f>
        <v>0</v>
      </c>
      <c r="F221" s="37" t="s">
        <v>5</v>
      </c>
      <c r="G221" s="38">
        <f>SUMIF('8'!$N$6:$N$529,"도국",'8'!$E$6:$E$529)</f>
        <v>0</v>
      </c>
      <c r="H221" s="36">
        <f>COUNTIF('8'!$N$6:$N$529,"도공")</f>
        <v>0</v>
      </c>
      <c r="I221" s="37" t="s">
        <v>5</v>
      </c>
      <c r="J221" s="38">
        <f>SUMIF('8'!$N$6:$N$529,"도공",'8'!$E$6:$E$529)</f>
        <v>0</v>
      </c>
      <c r="K221" s="36">
        <f t="shared" si="14"/>
        <v>0</v>
      </c>
      <c r="L221" s="37" t="s">
        <v>5</v>
      </c>
      <c r="M221" s="38">
        <f t="shared" si="15"/>
        <v>0</v>
      </c>
      <c r="N221" s="39"/>
      <c r="O221" s="23"/>
      <c r="P221" s="23"/>
      <c r="Q221" s="23"/>
      <c r="R221" s="23"/>
      <c r="S221" s="23"/>
      <c r="T221" s="23"/>
      <c r="U221" s="23"/>
      <c r="V221" s="23"/>
    </row>
    <row r="222" spans="1:22" s="24" customFormat="1" ht="23.1" customHeight="1">
      <c r="A222" s="104" t="s">
        <v>12</v>
      </c>
      <c r="B222" s="36">
        <f>COUNTIF('8'!$C$6:$C$529,"구")</f>
        <v>0</v>
      </c>
      <c r="C222" s="37" t="s">
        <v>5</v>
      </c>
      <c r="D222" s="38">
        <f>SUMIF('8'!$C$6:$C$529,"구",'8'!$E$6:$E$529)</f>
        <v>0</v>
      </c>
      <c r="E222" s="36">
        <f>COUNTIF('8'!$N$6:$N$529,"구국")</f>
        <v>0</v>
      </c>
      <c r="F222" s="37" t="s">
        <v>5</v>
      </c>
      <c r="G222" s="38">
        <f>SUMIF('8'!$N$6:$N$529,"구국",'8'!$E$6:$E$529)</f>
        <v>0</v>
      </c>
      <c r="H222" s="36">
        <f>COUNTIF('8'!$N$6:$N$529,"구공")</f>
        <v>0</v>
      </c>
      <c r="I222" s="37" t="s">
        <v>5</v>
      </c>
      <c r="J222" s="38">
        <f>SUMIF('8'!$N$6:$N$529,"구공",'8'!$E$6:$E$529)</f>
        <v>0</v>
      </c>
      <c r="K222" s="36">
        <f t="shared" si="14"/>
        <v>0</v>
      </c>
      <c r="L222" s="37" t="s">
        <v>5</v>
      </c>
      <c r="M222" s="38">
        <f t="shared" si="15"/>
        <v>0</v>
      </c>
      <c r="N222" s="39"/>
      <c r="O222" s="23"/>
      <c r="P222" s="23"/>
      <c r="Q222" s="23"/>
      <c r="R222" s="23"/>
      <c r="S222" s="23"/>
      <c r="T222" s="23"/>
      <c r="U222" s="23"/>
      <c r="V222" s="23"/>
    </row>
    <row r="223" spans="1:22" s="24" customFormat="1" ht="23.1" customHeight="1">
      <c r="A223" s="104" t="s">
        <v>13</v>
      </c>
      <c r="B223" s="36">
        <f>COUNTIF('8'!$C$6:$C$529,"천")</f>
        <v>0</v>
      </c>
      <c r="C223" s="37" t="s">
        <v>5</v>
      </c>
      <c r="D223" s="38">
        <f>SUMIF('8'!$C$6:$C$529,"천",'8'!$E$6:$E$529)</f>
        <v>0</v>
      </c>
      <c r="E223" s="36">
        <f>COUNTIF('8'!$N$6:$N$529,"천국")</f>
        <v>0</v>
      </c>
      <c r="F223" s="37" t="s">
        <v>5</v>
      </c>
      <c r="G223" s="38">
        <f>SUMIF('8'!$N$6:$N$529,"천국",'8'!$E$6:$E$529)</f>
        <v>0</v>
      </c>
      <c r="H223" s="36">
        <f>COUNTIF('8'!$N$6:$N$529,"천공")</f>
        <v>0</v>
      </c>
      <c r="I223" s="37" t="s">
        <v>5</v>
      </c>
      <c r="J223" s="38">
        <f>SUMIF('8'!$N$6:$N$529,"천공",'8'!$E$6:$E$529)</f>
        <v>0</v>
      </c>
      <c r="K223" s="36">
        <f t="shared" si="14"/>
        <v>0</v>
      </c>
      <c r="L223" s="37" t="s">
        <v>5</v>
      </c>
      <c r="M223" s="38">
        <f t="shared" si="15"/>
        <v>0</v>
      </c>
      <c r="N223" s="39"/>
      <c r="O223" s="23"/>
      <c r="P223" s="23"/>
      <c r="Q223" s="23"/>
      <c r="R223" s="23"/>
      <c r="S223" s="23"/>
      <c r="T223" s="23"/>
      <c r="U223" s="23"/>
      <c r="V223" s="23"/>
    </row>
    <row r="224" spans="1:22" s="24" customFormat="1" ht="23.1" customHeight="1">
      <c r="A224" s="104" t="s">
        <v>14</v>
      </c>
      <c r="B224" s="36">
        <f>COUNTIF('8'!$C$6:$C$529,"유")</f>
        <v>0</v>
      </c>
      <c r="C224" s="37" t="s">
        <v>5</v>
      </c>
      <c r="D224" s="38">
        <f>SUMIF('8'!$C$6:$C$529,"유",'8'!$E$6:$E$529)</f>
        <v>0</v>
      </c>
      <c r="E224" s="36">
        <f>COUNTIF('8'!$N$6:$N$529,"유국")</f>
        <v>0</v>
      </c>
      <c r="F224" s="37" t="s">
        <v>5</v>
      </c>
      <c r="G224" s="38">
        <f>SUMIF('8'!$N$6:$N$529,"유국",'8'!$E$6:$E$529)</f>
        <v>0</v>
      </c>
      <c r="H224" s="36">
        <f>COUNTIF('8'!$N$6:$N$529,"유공")</f>
        <v>0</v>
      </c>
      <c r="I224" s="37" t="s">
        <v>5</v>
      </c>
      <c r="J224" s="38">
        <f>SUMIF('8'!$N$6:$N$529,"유공",'8'!$E$6:$E$529)</f>
        <v>0</v>
      </c>
      <c r="K224" s="36">
        <f t="shared" si="14"/>
        <v>0</v>
      </c>
      <c r="L224" s="37" t="s">
        <v>5</v>
      </c>
      <c r="M224" s="38">
        <f t="shared" si="15"/>
        <v>0</v>
      </c>
      <c r="N224" s="39"/>
      <c r="O224" s="23"/>
      <c r="P224" s="23"/>
      <c r="Q224" s="23"/>
      <c r="R224" s="23"/>
      <c r="S224" s="23"/>
      <c r="T224" s="23"/>
      <c r="U224" s="23"/>
      <c r="V224" s="23"/>
    </row>
    <row r="225" spans="1:22" s="24" customFormat="1" ht="23.1" customHeight="1">
      <c r="A225" s="104" t="s">
        <v>15</v>
      </c>
      <c r="B225" s="36">
        <f>COUNTIF('8'!$C$6:$C$529,"제")</f>
        <v>0</v>
      </c>
      <c r="C225" s="37" t="s">
        <v>5</v>
      </c>
      <c r="D225" s="38">
        <f>SUMIF('8'!$C$6:$C$529,"제",'8'!$E$6:$E$529)</f>
        <v>0</v>
      </c>
      <c r="E225" s="36">
        <f>COUNTIF('8'!$N$6:$N$529,"제국")</f>
        <v>0</v>
      </c>
      <c r="F225" s="37" t="s">
        <v>5</v>
      </c>
      <c r="G225" s="38">
        <f>SUMIF('8'!$N$6:$N$529,"제국",'8'!$E$6:$E$529)</f>
        <v>0</v>
      </c>
      <c r="H225" s="36">
        <f>COUNTIF('8'!$N$6:$N$529,"제공")</f>
        <v>0</v>
      </c>
      <c r="I225" s="37" t="s">
        <v>5</v>
      </c>
      <c r="J225" s="38">
        <f>SUMIF('8'!$N$6:$N$529,"제공",'8'!$E$6:$E$529)</f>
        <v>0</v>
      </c>
      <c r="K225" s="36">
        <f t="shared" si="14"/>
        <v>0</v>
      </c>
      <c r="L225" s="37" t="s">
        <v>5</v>
      </c>
      <c r="M225" s="38">
        <f t="shared" si="15"/>
        <v>0</v>
      </c>
      <c r="N225" s="39"/>
      <c r="O225" s="23"/>
      <c r="P225" s="23"/>
      <c r="Q225" s="23"/>
      <c r="R225" s="23"/>
      <c r="S225" s="23"/>
      <c r="T225" s="23"/>
      <c r="U225" s="23"/>
      <c r="V225" s="23"/>
    </row>
    <row r="226" spans="1:22" s="24" customFormat="1" ht="23.1" customHeight="1">
      <c r="A226" s="104" t="s">
        <v>16</v>
      </c>
      <c r="B226" s="36">
        <f>COUNTIF('8'!$C$6:$C$529,"과")</f>
        <v>0</v>
      </c>
      <c r="C226" s="37" t="s">
        <v>5</v>
      </c>
      <c r="D226" s="38">
        <f>SUMIF('8'!$C$6:$C$529,"과",'8'!$E$6:$E$529)</f>
        <v>0</v>
      </c>
      <c r="E226" s="36">
        <f>COUNTIF('8'!$N$6:$N$529,"과국")</f>
        <v>0</v>
      </c>
      <c r="F226" s="37" t="s">
        <v>5</v>
      </c>
      <c r="G226" s="38">
        <f>SUMIF('8'!$N$6:$N$529,"과국",'8'!$E$6:$E$529)</f>
        <v>0</v>
      </c>
      <c r="H226" s="36">
        <f>COUNTIF('8'!$N$6:$N$529,"과공")</f>
        <v>0</v>
      </c>
      <c r="I226" s="37" t="s">
        <v>5</v>
      </c>
      <c r="J226" s="38">
        <f>SUMIF('8'!$N$6:$N$529,"과공",'8'!$E$6:$E$529)</f>
        <v>0</v>
      </c>
      <c r="K226" s="36">
        <f t="shared" si="14"/>
        <v>0</v>
      </c>
      <c r="L226" s="37" t="s">
        <v>5</v>
      </c>
      <c r="M226" s="38">
        <f t="shared" si="15"/>
        <v>0</v>
      </c>
      <c r="N226" s="39"/>
      <c r="O226" s="23"/>
      <c r="P226" s="23"/>
      <c r="Q226" s="23"/>
      <c r="R226" s="23"/>
      <c r="S226" s="23"/>
      <c r="T226" s="23"/>
      <c r="U226" s="23"/>
      <c r="V226" s="23"/>
    </row>
    <row r="227" spans="1:22" s="24" customFormat="1" ht="23.1" customHeight="1">
      <c r="A227" s="104" t="s">
        <v>17</v>
      </c>
      <c r="B227" s="36">
        <f>COUNTIF('8'!$C$6:$C$529,"장")</f>
        <v>0</v>
      </c>
      <c r="C227" s="37" t="s">
        <v>5</v>
      </c>
      <c r="D227" s="38">
        <f>SUMIF('8'!$C$6:$C$529,"장",'8'!$E$6:$E$529)</f>
        <v>0</v>
      </c>
      <c r="E227" s="36">
        <f>COUNTIF('8'!$N$6:$N$529,"장국")</f>
        <v>0</v>
      </c>
      <c r="F227" s="37" t="s">
        <v>5</v>
      </c>
      <c r="G227" s="38">
        <f>SUMIF('8'!$N$6:$N$529,"장국",'8'!$E$6:$E$529)</f>
        <v>0</v>
      </c>
      <c r="H227" s="36">
        <f>COUNTIF('8'!$N$6:$N$529,"장공")</f>
        <v>0</v>
      </c>
      <c r="I227" s="37" t="s">
        <v>5</v>
      </c>
      <c r="J227" s="38">
        <f>SUMIF('8'!$N$6:$N$529,"장공",'8'!$E$6:$E$529)</f>
        <v>0</v>
      </c>
      <c r="K227" s="36">
        <f t="shared" si="14"/>
        <v>0</v>
      </c>
      <c r="L227" s="37" t="s">
        <v>5</v>
      </c>
      <c r="M227" s="38">
        <f t="shared" si="15"/>
        <v>0</v>
      </c>
      <c r="N227" s="39"/>
      <c r="O227" s="23"/>
      <c r="P227" s="23"/>
      <c r="Q227" s="23"/>
      <c r="R227" s="23"/>
      <c r="S227" s="23"/>
      <c r="T227" s="23"/>
      <c r="U227" s="23"/>
      <c r="V227" s="23"/>
    </row>
    <row r="228" spans="1:22" s="24" customFormat="1" ht="23.1" customHeight="1">
      <c r="A228" s="104" t="s">
        <v>18</v>
      </c>
      <c r="B228" s="36">
        <f>COUNTIF('8'!$C$6:$C$529,"목")</f>
        <v>0</v>
      </c>
      <c r="C228" s="37" t="s">
        <v>5</v>
      </c>
      <c r="D228" s="38">
        <f>SUMIF('8'!$C$6:$C$529,"목",'8'!$E$6:$E$529)</f>
        <v>0</v>
      </c>
      <c r="E228" s="36">
        <f>COUNTIF('8'!$N$6:$N$529,"목국")</f>
        <v>0</v>
      </c>
      <c r="F228" s="37" t="s">
        <v>5</v>
      </c>
      <c r="G228" s="38">
        <f>SUMIF('8'!$N$6:$N$529,"목국",'8'!$E$6:$E$529)</f>
        <v>0</v>
      </c>
      <c r="H228" s="36">
        <f>COUNTIF('8'!$N$6:$N$529,"목공")</f>
        <v>0</v>
      </c>
      <c r="I228" s="37" t="s">
        <v>5</v>
      </c>
      <c r="J228" s="38">
        <f>SUMIF('8'!$N$6:$N$529,"목공",'8'!$E$6:$E$529)</f>
        <v>0</v>
      </c>
      <c r="K228" s="36">
        <f t="shared" si="14"/>
        <v>0</v>
      </c>
      <c r="L228" s="37" t="s">
        <v>5</v>
      </c>
      <c r="M228" s="38">
        <f t="shared" si="15"/>
        <v>0</v>
      </c>
      <c r="N228" s="39"/>
      <c r="O228" s="23"/>
      <c r="P228" s="23"/>
      <c r="Q228" s="23"/>
      <c r="R228" s="23"/>
      <c r="S228" s="23"/>
      <c r="T228" s="23"/>
      <c r="U228" s="23"/>
      <c r="V228" s="23"/>
    </row>
    <row r="229" spans="1:22" s="24" customFormat="1" ht="23.1" customHeight="1">
      <c r="A229" s="104" t="s">
        <v>19</v>
      </c>
      <c r="B229" s="36">
        <f>COUNTIF('8'!$C$6:$C$529,"학")</f>
        <v>0</v>
      </c>
      <c r="C229" s="37" t="s">
        <v>5</v>
      </c>
      <c r="D229" s="38">
        <f>SUMIF('8'!$C$6:$C$529,"학",'8'!$E$6:$E$529)</f>
        <v>0</v>
      </c>
      <c r="E229" s="36">
        <f>COUNTIF('8'!$N$6:$N$529,"학국")</f>
        <v>0</v>
      </c>
      <c r="F229" s="37" t="s">
        <v>5</v>
      </c>
      <c r="G229" s="38">
        <f>SUMIF('8'!$N$6:$N$529,"학국",'8'!$E$6:$E$529)</f>
        <v>0</v>
      </c>
      <c r="H229" s="36">
        <f>COUNTIF('8'!$N$6:$N$529,"학공")</f>
        <v>0</v>
      </c>
      <c r="I229" s="37" t="s">
        <v>5</v>
      </c>
      <c r="J229" s="38">
        <f>SUMIF('8'!$N$6:$N$529,"학공",'8'!$E$6:$E$529)</f>
        <v>0</v>
      </c>
      <c r="K229" s="36">
        <f t="shared" si="14"/>
        <v>0</v>
      </c>
      <c r="L229" s="37" t="s">
        <v>5</v>
      </c>
      <c r="M229" s="38">
        <f t="shared" si="15"/>
        <v>0</v>
      </c>
      <c r="N229" s="39"/>
      <c r="O229" s="23"/>
      <c r="P229" s="23"/>
      <c r="Q229" s="23"/>
      <c r="R229" s="23"/>
      <c r="S229" s="23"/>
      <c r="T229" s="23"/>
      <c r="U229" s="23"/>
      <c r="V229" s="23"/>
    </row>
    <row r="230" spans="1:22" s="24" customFormat="1" ht="23.1" customHeight="1">
      <c r="A230" s="104" t="s">
        <v>20</v>
      </c>
      <c r="B230" s="36">
        <f>COUNTIF('8'!$C$6:$C$529,"철")</f>
        <v>0</v>
      </c>
      <c r="C230" s="37" t="s">
        <v>5</v>
      </c>
      <c r="D230" s="38">
        <f>SUMIF('8'!$C$6:$C$529,"철",'8'!$E$6:$E$529)</f>
        <v>0</v>
      </c>
      <c r="E230" s="36">
        <f>COUNTIF('8'!$N$6:$N$529,"철국")</f>
        <v>0</v>
      </c>
      <c r="F230" s="37" t="s">
        <v>5</v>
      </c>
      <c r="G230" s="38">
        <f>SUMIF('8'!$N$6:$N$529,"철국",'8'!$E$6:$E$529)</f>
        <v>0</v>
      </c>
      <c r="H230" s="36">
        <f>COUNTIF('8'!$N$6:$N$529,"철공")</f>
        <v>0</v>
      </c>
      <c r="I230" s="37" t="s">
        <v>5</v>
      </c>
      <c r="J230" s="38">
        <f>SUMIF('8'!$N$6:$N$529,"철공",'8'!$E$6:$E$529)</f>
        <v>0</v>
      </c>
      <c r="K230" s="36">
        <f t="shared" si="14"/>
        <v>0</v>
      </c>
      <c r="L230" s="37" t="s">
        <v>5</v>
      </c>
      <c r="M230" s="38">
        <f t="shared" si="15"/>
        <v>0</v>
      </c>
      <c r="N230" s="39"/>
      <c r="O230" s="23"/>
      <c r="P230" s="23"/>
      <c r="Q230" s="23"/>
      <c r="R230" s="23"/>
      <c r="S230" s="23"/>
      <c r="T230" s="23"/>
      <c r="U230" s="23"/>
      <c r="V230" s="23"/>
    </row>
    <row r="231" spans="1:22" s="24" customFormat="1" ht="23.1" customHeight="1">
      <c r="A231" s="104" t="s">
        <v>21</v>
      </c>
      <c r="B231" s="36">
        <f>COUNTIF('8'!$C$6:$C$529,"묘")</f>
        <v>0</v>
      </c>
      <c r="C231" s="37" t="s">
        <v>5</v>
      </c>
      <c r="D231" s="38">
        <f>SUMIF('8'!$C$6:$C$529,"묘",'8'!$E$6:$E$529)</f>
        <v>0</v>
      </c>
      <c r="E231" s="36">
        <f>COUNTIF('8'!$N$6:$N$529,"묘국")</f>
        <v>0</v>
      </c>
      <c r="F231" s="37" t="s">
        <v>5</v>
      </c>
      <c r="G231" s="38">
        <f>SUMIF('8'!$N$6:$N$529,"묘국",'8'!$E$6:$E$529)</f>
        <v>0</v>
      </c>
      <c r="H231" s="36">
        <f>COUNTIF('8'!$N$6:$N$529,"묘공")</f>
        <v>0</v>
      </c>
      <c r="I231" s="37" t="s">
        <v>5</v>
      </c>
      <c r="J231" s="38">
        <f>SUMIF('8'!$N$6:$N$529,"묘공",'8'!$E$6:$E$529)</f>
        <v>0</v>
      </c>
      <c r="K231" s="36">
        <f t="shared" si="14"/>
        <v>0</v>
      </c>
      <c r="L231" s="37" t="s">
        <v>5</v>
      </c>
      <c r="M231" s="38">
        <f t="shared" si="15"/>
        <v>0</v>
      </c>
      <c r="N231" s="39"/>
      <c r="O231" s="23"/>
      <c r="P231" s="23"/>
      <c r="Q231" s="23"/>
      <c r="R231" s="23"/>
      <c r="S231" s="23"/>
      <c r="T231" s="23"/>
      <c r="U231" s="23"/>
      <c r="V231" s="23"/>
    </row>
    <row r="232" spans="1:22" s="24" customFormat="1" ht="23.1" customHeight="1">
      <c r="A232" s="104" t="s">
        <v>22</v>
      </c>
      <c r="B232" s="36">
        <f>COUNTIF('8'!$C$6:$C$529,"수")</f>
        <v>0</v>
      </c>
      <c r="C232" s="37" t="s">
        <v>5</v>
      </c>
      <c r="D232" s="38">
        <f>SUMIF('8'!$C$6:$C$529,"수",'8'!$E$6:$E$529)</f>
        <v>0</v>
      </c>
      <c r="E232" s="36">
        <f>COUNTIF('8'!$N$6:$N$529,"수국")</f>
        <v>0</v>
      </c>
      <c r="F232" s="37" t="s">
        <v>5</v>
      </c>
      <c r="G232" s="38">
        <f>SUMIF('8'!$N$6:$N$529,"수국",'8'!$E$6:$E$529)</f>
        <v>0</v>
      </c>
      <c r="H232" s="36">
        <f>COUNTIF('8'!$N$6:$N$529,"수공")</f>
        <v>0</v>
      </c>
      <c r="I232" s="37" t="s">
        <v>5</v>
      </c>
      <c r="J232" s="38">
        <f>SUMIF('8'!$N$6:$N$529,"수공",'8'!$E$6:$E$529)</f>
        <v>0</v>
      </c>
      <c r="K232" s="36">
        <f t="shared" si="14"/>
        <v>0</v>
      </c>
      <c r="L232" s="37" t="s">
        <v>5</v>
      </c>
      <c r="M232" s="38">
        <f t="shared" si="15"/>
        <v>0</v>
      </c>
      <c r="N232" s="39"/>
      <c r="O232" s="23"/>
      <c r="P232" s="23"/>
      <c r="Q232" s="23"/>
      <c r="R232" s="23"/>
      <c r="S232" s="23"/>
      <c r="T232" s="23"/>
      <c r="U232" s="23"/>
      <c r="V232" s="23"/>
    </row>
    <row r="233" spans="1:22" s="24" customFormat="1" ht="23.1" customHeight="1">
      <c r="A233" s="104" t="s">
        <v>23</v>
      </c>
      <c r="B233" s="36">
        <f>COUNTIF('8'!$C$6:$C$529,"잡")</f>
        <v>0</v>
      </c>
      <c r="C233" s="37" t="s">
        <v>5</v>
      </c>
      <c r="D233" s="38">
        <f>SUMIF('8'!$C$6:$C$529,"잡",'8'!$E$6:$E$529)</f>
        <v>0</v>
      </c>
      <c r="E233" s="36">
        <f>COUNTIF('8'!$N$6:$N$529,"잡국")</f>
        <v>0</v>
      </c>
      <c r="F233" s="37" t="s">
        <v>5</v>
      </c>
      <c r="G233" s="38">
        <f>SUMIF('8'!$N$6:$N$529,"잡국",'8'!$E$6:$E$529)</f>
        <v>0</v>
      </c>
      <c r="H233" s="36">
        <f>COUNTIF('8'!$N$6:$N$529,"잡공")</f>
        <v>0</v>
      </c>
      <c r="I233" s="37" t="s">
        <v>5</v>
      </c>
      <c r="J233" s="38">
        <f>SUMIF('8'!$N$6:$N$529,"잡공",'8'!$E$6:$E$529)</f>
        <v>0</v>
      </c>
      <c r="K233" s="36">
        <f t="shared" si="14"/>
        <v>0</v>
      </c>
      <c r="L233" s="37" t="s">
        <v>5</v>
      </c>
      <c r="M233" s="38">
        <f t="shared" si="15"/>
        <v>0</v>
      </c>
      <c r="N233" s="39"/>
      <c r="O233" s="23"/>
      <c r="P233" s="23"/>
      <c r="Q233" s="23"/>
      <c r="R233" s="23"/>
      <c r="S233" s="23"/>
      <c r="T233" s="23"/>
      <c r="U233" s="23"/>
      <c r="V233" s="23"/>
    </row>
    <row r="234" spans="1:22" s="24" customFormat="1" ht="23.1" customHeight="1">
      <c r="A234" s="105" t="s">
        <v>24</v>
      </c>
      <c r="B234" s="36">
        <f>COUNTIF('8'!$C$6:$C$529,"종")</f>
        <v>0</v>
      </c>
      <c r="C234" s="37" t="s">
        <v>5</v>
      </c>
      <c r="D234" s="38">
        <f>SUMIF('8'!$C$6:$C$529,"종",'8'!$E$6:$E$529)</f>
        <v>0</v>
      </c>
      <c r="E234" s="36">
        <f>COUNTIF('8'!$N$6:$N$529,"종국")</f>
        <v>0</v>
      </c>
      <c r="F234" s="37" t="s">
        <v>5</v>
      </c>
      <c r="G234" s="38">
        <f>SUMIF('8'!$N$6:$N$529,"종국",'8'!$E$6:$E$529)</f>
        <v>0</v>
      </c>
      <c r="H234" s="36">
        <f>COUNTIF('8'!$N$6:$N$529,"종공")</f>
        <v>0</v>
      </c>
      <c r="I234" s="37" t="s">
        <v>5</v>
      </c>
      <c r="J234" s="38">
        <f>SUMIF('8'!$N$6:$N$529,"종공",'8'!$E$6:$E$529)</f>
        <v>0</v>
      </c>
      <c r="K234" s="36">
        <f t="shared" si="14"/>
        <v>0</v>
      </c>
      <c r="L234" s="37" t="s">
        <v>5</v>
      </c>
      <c r="M234" s="38">
        <f t="shared" si="15"/>
        <v>0</v>
      </c>
      <c r="N234" s="39"/>
      <c r="O234" s="23"/>
      <c r="P234" s="23"/>
      <c r="Q234" s="23"/>
      <c r="R234" s="23"/>
      <c r="S234" s="23"/>
      <c r="T234" s="23"/>
      <c r="U234" s="23"/>
      <c r="V234" s="23"/>
    </row>
    <row r="235" spans="1:22" s="24" customFormat="1" ht="23.1" customHeight="1">
      <c r="A235" s="105" t="s">
        <v>25</v>
      </c>
      <c r="B235" s="36">
        <f>COUNTIF('8'!$C$6:$C$529,"염")</f>
        <v>0</v>
      </c>
      <c r="C235" s="37" t="s">
        <v>5</v>
      </c>
      <c r="D235" s="38">
        <f>SUMIF('8'!$C$6:$C$529,"염",'8'!$E$6:$E$529)</f>
        <v>0</v>
      </c>
      <c r="E235" s="36">
        <f>COUNTIF('8'!$N$6:$N$529,"염국")</f>
        <v>0</v>
      </c>
      <c r="F235" s="37" t="s">
        <v>5</v>
      </c>
      <c r="G235" s="38">
        <f>SUMIF('8'!$N$6:$N$529,"염국",'8'!$E$6:$E$529)</f>
        <v>0</v>
      </c>
      <c r="H235" s="36">
        <f>COUNTIF('8'!$N$6:$N$529,"염공")</f>
        <v>0</v>
      </c>
      <c r="I235" s="37" t="s">
        <v>5</v>
      </c>
      <c r="J235" s="38">
        <f>SUMIF('8'!$N$6:$N$529,"염공",'8'!$E$6:$E$529)</f>
        <v>0</v>
      </c>
      <c r="K235" s="36">
        <f t="shared" si="14"/>
        <v>0</v>
      </c>
      <c r="L235" s="37" t="s">
        <v>5</v>
      </c>
      <c r="M235" s="38">
        <f t="shared" si="15"/>
        <v>0</v>
      </c>
      <c r="N235" s="39"/>
      <c r="O235" s="23"/>
      <c r="P235" s="23"/>
      <c r="Q235" s="23"/>
      <c r="R235" s="23"/>
      <c r="S235" s="23"/>
      <c r="T235" s="23"/>
      <c r="U235" s="23"/>
      <c r="V235" s="23"/>
    </row>
    <row r="236" spans="1:22" s="24" customFormat="1" ht="23.1" customHeight="1">
      <c r="A236" s="105" t="s">
        <v>26</v>
      </c>
      <c r="B236" s="36">
        <f>COUNTIF('8'!$C$6:$C$529,"공")</f>
        <v>0</v>
      </c>
      <c r="C236" s="37" t="s">
        <v>5</v>
      </c>
      <c r="D236" s="38">
        <f>SUMIF('8'!$C$6:$C$529,"공",'8'!$E$6:$E$529)</f>
        <v>0</v>
      </c>
      <c r="E236" s="36">
        <f>COUNTIF('8'!$N$6:$N$529,"공국")</f>
        <v>0</v>
      </c>
      <c r="F236" s="37" t="s">
        <v>5</v>
      </c>
      <c r="G236" s="38">
        <f>SUMIF('8'!$N$6:$N$529,"공국",'8'!$E$6:$E$529)</f>
        <v>0</v>
      </c>
      <c r="H236" s="36">
        <f>COUNTIF('8'!$N$6:$N$529,"공공")</f>
        <v>0</v>
      </c>
      <c r="I236" s="37" t="s">
        <v>5</v>
      </c>
      <c r="J236" s="38">
        <f>SUMIF('8'!$N$6:$N$529,"공공",'8'!$E$6:$E$529)</f>
        <v>0</v>
      </c>
      <c r="K236" s="36">
        <f t="shared" si="14"/>
        <v>0</v>
      </c>
      <c r="L236" s="37" t="s">
        <v>5</v>
      </c>
      <c r="M236" s="38">
        <f t="shared" si="15"/>
        <v>0</v>
      </c>
      <c r="N236" s="39"/>
      <c r="O236" s="23"/>
      <c r="P236" s="23"/>
      <c r="Q236" s="23"/>
      <c r="R236" s="23"/>
      <c r="S236" s="23"/>
      <c r="T236" s="23"/>
      <c r="U236" s="23"/>
      <c r="V236" s="23"/>
    </row>
    <row r="237" spans="1:22" s="24" customFormat="1" ht="23.1" customHeight="1">
      <c r="A237" s="105" t="s">
        <v>27</v>
      </c>
      <c r="B237" s="36">
        <f>COUNTIF('8'!$C$6:$C$529,"체")</f>
        <v>0</v>
      </c>
      <c r="C237" s="37" t="s">
        <v>5</v>
      </c>
      <c r="D237" s="38">
        <f>SUMIF('8'!$C$6:$C$529,"체",'8'!$E$6:$E$529)</f>
        <v>0</v>
      </c>
      <c r="E237" s="36">
        <f>COUNTIF('8'!$N$6:$N$529,"체국")</f>
        <v>0</v>
      </c>
      <c r="F237" s="37" t="s">
        <v>5</v>
      </c>
      <c r="G237" s="38">
        <f>SUMIF('8'!$N$6:$N$529,"체국",'8'!$E$6:$E$529)</f>
        <v>0</v>
      </c>
      <c r="H237" s="36">
        <f>COUNTIF('8'!$N$6:$N$529,"체공")</f>
        <v>0</v>
      </c>
      <c r="I237" s="37" t="s">
        <v>5</v>
      </c>
      <c r="J237" s="38">
        <f>SUMIF('8'!$N$6:$N$529,"체공",'8'!$E$6:$E$529)</f>
        <v>0</v>
      </c>
      <c r="K237" s="36">
        <f t="shared" si="14"/>
        <v>0</v>
      </c>
      <c r="L237" s="37" t="s">
        <v>5</v>
      </c>
      <c r="M237" s="38">
        <f t="shared" si="15"/>
        <v>0</v>
      </c>
      <c r="N237" s="39"/>
      <c r="O237" s="23"/>
      <c r="P237" s="23"/>
      <c r="Q237" s="23"/>
      <c r="R237" s="23"/>
      <c r="S237" s="23"/>
      <c r="T237" s="23"/>
      <c r="U237" s="23"/>
      <c r="V237" s="23"/>
    </row>
    <row r="238" spans="1:22" s="24" customFormat="1" ht="23.1" customHeight="1">
      <c r="A238" s="105" t="s">
        <v>28</v>
      </c>
      <c r="B238" s="36">
        <f>COUNTIF('8'!$C$6:$C$529,"원")</f>
        <v>0</v>
      </c>
      <c r="C238" s="37" t="s">
        <v>5</v>
      </c>
      <c r="D238" s="38">
        <f>SUMIF('8'!$C$6:$C$529,"원",'8'!$E$6:$E$529)</f>
        <v>0</v>
      </c>
      <c r="E238" s="36">
        <f>COUNTIF('8'!$N$6:$N$529,"원국")</f>
        <v>0</v>
      </c>
      <c r="F238" s="37" t="s">
        <v>5</v>
      </c>
      <c r="G238" s="38">
        <f>SUMIF('8'!$N$6:$N$529,"원국",'8'!$E$6:$E$529)</f>
        <v>0</v>
      </c>
      <c r="H238" s="36">
        <f>COUNTIF('8'!$N$6:$N$529,"원공")</f>
        <v>0</v>
      </c>
      <c r="I238" s="37" t="s">
        <v>5</v>
      </c>
      <c r="J238" s="38">
        <f>SUMIF('8'!$N$6:$N$529,"원공",'8'!$E$6:$E$529)</f>
        <v>0</v>
      </c>
      <c r="K238" s="36">
        <f t="shared" si="14"/>
        <v>0</v>
      </c>
      <c r="L238" s="37" t="s">
        <v>5</v>
      </c>
      <c r="M238" s="38">
        <f t="shared" si="15"/>
        <v>0</v>
      </c>
      <c r="N238" s="39"/>
      <c r="O238" s="23"/>
      <c r="P238" s="23"/>
      <c r="Q238" s="23"/>
      <c r="R238" s="23"/>
      <c r="S238" s="23"/>
      <c r="T238" s="23"/>
      <c r="U238" s="23"/>
      <c r="V238" s="23"/>
    </row>
    <row r="239" spans="1:22" s="24" customFormat="1" ht="23.1" customHeight="1">
      <c r="A239" s="105" t="s">
        <v>60</v>
      </c>
      <c r="B239" s="36">
        <f>COUNTIF('8'!$C$6:$C$529,"차")</f>
        <v>0</v>
      </c>
      <c r="C239" s="37" t="s">
        <v>5</v>
      </c>
      <c r="D239" s="38">
        <f>SUMIF('8'!$C$6:$C$529,"차",'8'!$E$6:$E$529)</f>
        <v>0</v>
      </c>
      <c r="E239" s="36">
        <f>COUNTIF('8'!$N$6:$N$529,"차국")</f>
        <v>0</v>
      </c>
      <c r="F239" s="37" t="s">
        <v>5</v>
      </c>
      <c r="G239" s="38">
        <f>SUMIF('8'!$N$6:$N$529,"차국",'8'!$E$6:$E$529)</f>
        <v>0</v>
      </c>
      <c r="H239" s="36">
        <f>COUNTIF('8'!$N$6:$N$529,"차공")</f>
        <v>0</v>
      </c>
      <c r="I239" s="37" t="s">
        <v>5</v>
      </c>
      <c r="J239" s="38">
        <f>SUMIF('8'!$N$6:$N$529,"차공",'8'!$E$6:$E$529)</f>
        <v>0</v>
      </c>
      <c r="K239" s="36">
        <f t="shared" si="14"/>
        <v>0</v>
      </c>
      <c r="L239" s="37" t="s">
        <v>5</v>
      </c>
      <c r="M239" s="38">
        <f t="shared" si="15"/>
        <v>0</v>
      </c>
      <c r="N239" s="39"/>
      <c r="O239" s="23"/>
      <c r="P239" s="23"/>
      <c r="Q239" s="23"/>
      <c r="R239" s="23"/>
      <c r="S239" s="23"/>
      <c r="T239" s="23"/>
      <c r="U239" s="23"/>
      <c r="V239" s="23"/>
    </row>
    <row r="240" spans="1:22" s="24" customFormat="1" ht="23.1" customHeight="1">
      <c r="A240" s="105" t="s">
        <v>61</v>
      </c>
      <c r="B240" s="36">
        <f>COUNTIF('8'!$C$6:$C$529,"주")</f>
        <v>0</v>
      </c>
      <c r="C240" s="37" t="s">
        <v>5</v>
      </c>
      <c r="D240" s="38">
        <f>SUMIF('8'!$C$6:$C$529,"주",'8'!$E$6:$E$529)</f>
        <v>0</v>
      </c>
      <c r="E240" s="36">
        <f>COUNTIF('8'!$N$6:$N$529,"주국")</f>
        <v>0</v>
      </c>
      <c r="F240" s="37" t="s">
        <v>5</v>
      </c>
      <c r="G240" s="38">
        <f>SUMIF('8'!$N$6:$N$529,"주국",'8'!$E$6:$E$529)</f>
        <v>0</v>
      </c>
      <c r="H240" s="36">
        <f>COUNTIF('8'!$N$6:$N$529,"주공")</f>
        <v>0</v>
      </c>
      <c r="I240" s="37" t="s">
        <v>5</v>
      </c>
      <c r="J240" s="38">
        <f>SUMIF('8'!$N$6:$N$529,"주공",'8'!$E$6:$E$529)</f>
        <v>0</v>
      </c>
      <c r="K240" s="36">
        <f t="shared" si="14"/>
        <v>0</v>
      </c>
      <c r="L240" s="37" t="s">
        <v>5</v>
      </c>
      <c r="M240" s="38">
        <f t="shared" si="15"/>
        <v>0</v>
      </c>
      <c r="N240" s="39"/>
      <c r="O240" s="23"/>
      <c r="P240" s="23"/>
      <c r="Q240" s="23"/>
      <c r="R240" s="23"/>
      <c r="S240" s="23"/>
      <c r="T240" s="23"/>
      <c r="U240" s="23"/>
      <c r="V240" s="23"/>
    </row>
    <row r="241" spans="1:22" s="24" customFormat="1" ht="23.1" customHeight="1">
      <c r="A241" s="106" t="s">
        <v>62</v>
      </c>
      <c r="B241" s="40">
        <f>COUNTIF('8'!$C$6:$C$529," ")</f>
        <v>0</v>
      </c>
      <c r="C241" s="41" t="s">
        <v>5</v>
      </c>
      <c r="D241" s="42">
        <f>SUMIF('8'!$C$6:$C$529," ",'8'!$E$6:$E$529)</f>
        <v>0</v>
      </c>
      <c r="E241" s="40">
        <f>COUNTIF('8'!$N$6:$N$529," 국")</f>
        <v>0</v>
      </c>
      <c r="F241" s="41" t="s">
        <v>5</v>
      </c>
      <c r="G241" s="42">
        <f>SUMIF('8'!$N$6:$N$529," 국",'8'!$E$6:$E$529)</f>
        <v>0</v>
      </c>
      <c r="H241" s="40">
        <f>COUNTIF('8'!$N$6:$N$529," 공")</f>
        <v>0</v>
      </c>
      <c r="I241" s="41" t="s">
        <v>5</v>
      </c>
      <c r="J241" s="42">
        <f>SUMIF('8'!$N$6:$N$529," 공",'8'!$E$6:$E$529)</f>
        <v>0</v>
      </c>
      <c r="K241" s="40">
        <f t="shared" si="14"/>
        <v>0</v>
      </c>
      <c r="L241" s="41" t="s">
        <v>5</v>
      </c>
      <c r="M241" s="42">
        <f t="shared" si="15"/>
        <v>0</v>
      </c>
      <c r="N241" s="43"/>
      <c r="O241" s="23"/>
      <c r="P241" s="23"/>
      <c r="Q241" s="23"/>
      <c r="R241" s="23"/>
      <c r="S241" s="23"/>
      <c r="T241" s="23"/>
      <c r="U241" s="23"/>
      <c r="V241" s="23"/>
    </row>
    <row r="242" spans="1:22" s="17" customFormat="1" ht="20.100000000000001" customHeight="1">
      <c r="A242" s="11">
        <f>IF(EXACT(O246,O247),,"검산확인요!!!")</f>
        <v>0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3">
        <f>IF(ISBLANK('9'!K2),,'9'!K2)</f>
        <v>3</v>
      </c>
      <c r="L242" s="14"/>
      <c r="M242" s="15"/>
      <c r="N242" s="16"/>
    </row>
    <row r="243" spans="1:22" s="17" customFormat="1" ht="9.9499999999999993" customHeight="1">
      <c r="A243" s="11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</row>
    <row r="244" spans="1:22" s="24" customFormat="1" ht="27.95" customHeight="1">
      <c r="A244" s="18" t="s">
        <v>3</v>
      </c>
      <c r="B244" s="19" t="s">
        <v>2</v>
      </c>
      <c r="C244" s="20"/>
      <c r="D244" s="21"/>
      <c r="E244" s="19" t="s">
        <v>29</v>
      </c>
      <c r="F244" s="20"/>
      <c r="G244" s="21"/>
      <c r="H244" s="19" t="s">
        <v>38</v>
      </c>
      <c r="I244" s="20"/>
      <c r="J244" s="21"/>
      <c r="K244" s="19" t="s">
        <v>30</v>
      </c>
      <c r="L244" s="20"/>
      <c r="M244" s="21"/>
      <c r="N244" s="22" t="s">
        <v>31</v>
      </c>
      <c r="O244" s="23"/>
      <c r="S244" s="23"/>
      <c r="T244" s="23"/>
      <c r="U244" s="23"/>
      <c r="V244" s="23"/>
    </row>
    <row r="245" spans="1:22" s="24" customFormat="1" ht="27.95" customHeight="1">
      <c r="A245" s="25"/>
      <c r="B245" s="26" t="s">
        <v>4</v>
      </c>
      <c r="C245" s="27" t="s">
        <v>5</v>
      </c>
      <c r="D245" s="28" t="s">
        <v>32</v>
      </c>
      <c r="E245" s="26" t="s">
        <v>4</v>
      </c>
      <c r="F245" s="27" t="s">
        <v>5</v>
      </c>
      <c r="G245" s="28" t="s">
        <v>32</v>
      </c>
      <c r="H245" s="26" t="s">
        <v>4</v>
      </c>
      <c r="I245" s="27" t="s">
        <v>5</v>
      </c>
      <c r="J245" s="28" t="s">
        <v>32</v>
      </c>
      <c r="K245" s="26" t="s">
        <v>4</v>
      </c>
      <c r="L245" s="27" t="s">
        <v>5</v>
      </c>
      <c r="M245" s="28" t="s">
        <v>32</v>
      </c>
      <c r="N245" s="29"/>
      <c r="P245" s="23"/>
      <c r="Q245" s="30" t="s">
        <v>33</v>
      </c>
      <c r="R245" s="30" t="s">
        <v>34</v>
      </c>
      <c r="S245" s="30" t="s">
        <v>35</v>
      </c>
      <c r="T245" s="30" t="s">
        <v>36</v>
      </c>
      <c r="U245" s="23"/>
      <c r="V245" s="23"/>
    </row>
    <row r="246" spans="1:22" s="24" customFormat="1" ht="23.1" customHeight="1">
      <c r="A246" s="103" t="s">
        <v>2</v>
      </c>
      <c r="B246" s="31">
        <f>SUM(B247:B271)</f>
        <v>0</v>
      </c>
      <c r="C246" s="32" t="s">
        <v>5</v>
      </c>
      <c r="D246" s="33">
        <f>SUM(D247:D271)</f>
        <v>0</v>
      </c>
      <c r="E246" s="31">
        <f>SUM(E247:E271)</f>
        <v>0</v>
      </c>
      <c r="F246" s="32" t="s">
        <v>5</v>
      </c>
      <c r="G246" s="33">
        <f>SUM(G247:G271)</f>
        <v>0</v>
      </c>
      <c r="H246" s="31">
        <f>SUM(H247:H271)</f>
        <v>0</v>
      </c>
      <c r="I246" s="32" t="s">
        <v>5</v>
      </c>
      <c r="J246" s="33">
        <f>SUM(J247:J271)</f>
        <v>0</v>
      </c>
      <c r="K246" s="31">
        <f>SUM(K247:K271)</f>
        <v>0</v>
      </c>
      <c r="L246" s="32" t="s">
        <v>5</v>
      </c>
      <c r="M246" s="33">
        <f>SUM(M247:M271)</f>
        <v>0</v>
      </c>
      <c r="N246" s="34"/>
      <c r="O246" s="23" t="str">
        <f>IF(EXACT(Q246,T246),"맞음","틀림")</f>
        <v>맞음</v>
      </c>
      <c r="P246" s="23" t="s">
        <v>4</v>
      </c>
      <c r="Q246" s="35">
        <f>SUM(B247:B271)</f>
        <v>0</v>
      </c>
      <c r="R246" s="35">
        <f>SUM(E247:E271)</f>
        <v>0</v>
      </c>
      <c r="S246" s="35">
        <f>SUM(K247:K271)</f>
        <v>0</v>
      </c>
      <c r="T246" s="35">
        <f>K246+E246</f>
        <v>0</v>
      </c>
      <c r="U246" s="23"/>
      <c r="V246" s="23"/>
    </row>
    <row r="247" spans="1:22" s="24" customFormat="1" ht="23.1" customHeight="1">
      <c r="A247" s="104" t="s">
        <v>7</v>
      </c>
      <c r="B247" s="36">
        <f>COUNTIF('9'!$C$6:$C$529,"전")</f>
        <v>0</v>
      </c>
      <c r="C247" s="37" t="s">
        <v>5</v>
      </c>
      <c r="D247" s="38">
        <f>SUMIF('9'!$C$6:$C$529,"전",'9'!$E$6:$E$529)</f>
        <v>0</v>
      </c>
      <c r="E247" s="36">
        <f>COUNTIF('9'!$N$6:$N$529,"전국")</f>
        <v>0</v>
      </c>
      <c r="F247" s="37" t="s">
        <v>5</v>
      </c>
      <c r="G247" s="38">
        <f>SUMIF('9'!$N$6:$N$529,"전국",'9'!$E$6:$E$529)</f>
        <v>0</v>
      </c>
      <c r="H247" s="36">
        <f>COUNTIF('9'!$N$6:$N$529,"전공")</f>
        <v>0</v>
      </c>
      <c r="I247" s="37" t="s">
        <v>5</v>
      </c>
      <c r="J247" s="38">
        <f>SUMIF('9'!$N$6:$N$529,"전공",'9'!$E$6:$E$529)</f>
        <v>0</v>
      </c>
      <c r="K247" s="36">
        <f t="shared" ref="K247:K271" si="16">SUM(B247-E247-H247)</f>
        <v>0</v>
      </c>
      <c r="L247" s="37" t="s">
        <v>5</v>
      </c>
      <c r="M247" s="38">
        <f t="shared" ref="M247:M271" si="17">SUM(D247-G247-J247)</f>
        <v>0</v>
      </c>
      <c r="N247" s="39"/>
      <c r="O247" s="23" t="str">
        <f>IF(EXACT(Q247,T247),"맞음","틀림")</f>
        <v>맞음</v>
      </c>
      <c r="P247" s="23" t="s">
        <v>37</v>
      </c>
      <c r="Q247" s="35">
        <f>SUM(D247:D271)</f>
        <v>0</v>
      </c>
      <c r="R247" s="35">
        <f>SUM(G247:G271)</f>
        <v>0</v>
      </c>
      <c r="S247" s="35">
        <f>SUM(M247:M271)</f>
        <v>0</v>
      </c>
      <c r="T247" s="35">
        <f>G246+M246</f>
        <v>0</v>
      </c>
      <c r="U247" s="23"/>
      <c r="V247" s="23"/>
    </row>
    <row r="248" spans="1:22" s="24" customFormat="1" ht="23.1" customHeight="1">
      <c r="A248" s="104" t="s">
        <v>8</v>
      </c>
      <c r="B248" s="36">
        <f>COUNTIF('9'!$C$6:$C$529,"답")</f>
        <v>0</v>
      </c>
      <c r="C248" s="37" t="s">
        <v>5</v>
      </c>
      <c r="D248" s="38">
        <f>SUMIF('9'!$C$6:$C$529,"답",'9'!$E$6:$E$529)</f>
        <v>0</v>
      </c>
      <c r="E248" s="36">
        <f>COUNTIF('9'!$N$6:$N$529,"답국")</f>
        <v>0</v>
      </c>
      <c r="F248" s="37" t="s">
        <v>5</v>
      </c>
      <c r="G248" s="38">
        <f>SUMIF('9'!$N$6:$N$529,"답국",'9'!$E$6:$E$529)</f>
        <v>0</v>
      </c>
      <c r="H248" s="36">
        <f>COUNTIF('9'!$N$6:$N$529,"답공")</f>
        <v>0</v>
      </c>
      <c r="I248" s="37" t="s">
        <v>5</v>
      </c>
      <c r="J248" s="38">
        <f>SUMIF('9'!$N$6:$N$529,"답공",'9'!$E$6:$E$529)</f>
        <v>0</v>
      </c>
      <c r="K248" s="36">
        <f t="shared" si="16"/>
        <v>0</v>
      </c>
      <c r="L248" s="37" t="s">
        <v>5</v>
      </c>
      <c r="M248" s="38">
        <f t="shared" si="17"/>
        <v>0</v>
      </c>
      <c r="N248" s="39"/>
      <c r="Q248" s="23"/>
      <c r="S248" s="23"/>
      <c r="U248" s="23"/>
      <c r="V248" s="23"/>
    </row>
    <row r="249" spans="1:22" s="24" customFormat="1" ht="23.1" customHeight="1">
      <c r="A249" s="104" t="s">
        <v>9</v>
      </c>
      <c r="B249" s="36">
        <f>COUNTIF('9'!$C$6:$C$529,"임")</f>
        <v>0</v>
      </c>
      <c r="C249" s="37" t="s">
        <v>5</v>
      </c>
      <c r="D249" s="38">
        <f>SUMIF('9'!$C$6:$C$529,"임",'9'!$E$6:$E$529)</f>
        <v>0</v>
      </c>
      <c r="E249" s="36">
        <f>COUNTIF('9'!$N$6:$N$529,"임국")</f>
        <v>0</v>
      </c>
      <c r="F249" s="37" t="s">
        <v>5</v>
      </c>
      <c r="G249" s="38">
        <f>SUMIF('9'!$N$6:$N$529,"임국",'9'!$E$6:$E$529)</f>
        <v>0</v>
      </c>
      <c r="H249" s="36">
        <f>COUNTIF('9'!$N$6:$N$529,"임공")</f>
        <v>0</v>
      </c>
      <c r="I249" s="37" t="s">
        <v>5</v>
      </c>
      <c r="J249" s="38">
        <f>SUMIF('9'!$N$6:$N$529,"임공",'9'!$E$6:$E$529)</f>
        <v>0</v>
      </c>
      <c r="K249" s="36">
        <f t="shared" si="16"/>
        <v>0</v>
      </c>
      <c r="L249" s="37" t="s">
        <v>5</v>
      </c>
      <c r="M249" s="38">
        <f t="shared" si="17"/>
        <v>0</v>
      </c>
      <c r="N249" s="39"/>
      <c r="Q249" s="23"/>
      <c r="S249" s="23"/>
      <c r="U249" s="23"/>
      <c r="V249" s="23"/>
    </row>
    <row r="250" spans="1:22" s="24" customFormat="1" ht="23.1" customHeight="1">
      <c r="A250" s="104" t="s">
        <v>10</v>
      </c>
      <c r="B250" s="36">
        <f>COUNTIF('9'!$C$6:$C$529,"대")</f>
        <v>0</v>
      </c>
      <c r="C250" s="37" t="s">
        <v>5</v>
      </c>
      <c r="D250" s="38">
        <f>SUMIF('9'!$C$6:$C$529,"대",'9'!$E$6:$E$529)</f>
        <v>0</v>
      </c>
      <c r="E250" s="36">
        <f>COUNTIF('9'!$N$6:$N$529,"대국")</f>
        <v>0</v>
      </c>
      <c r="F250" s="37" t="s">
        <v>5</v>
      </c>
      <c r="G250" s="38">
        <f>SUMIF('9'!$N$6:$N$529,"대국",'9'!$E$6:$E$529)</f>
        <v>0</v>
      </c>
      <c r="H250" s="36">
        <f>COUNTIF('9'!$N$6:$N$529,"대공")</f>
        <v>0</v>
      </c>
      <c r="I250" s="37" t="s">
        <v>5</v>
      </c>
      <c r="J250" s="38">
        <f>SUMIF('9'!$N$6:$N$529,"대공",'9'!$E$6:$E$529)</f>
        <v>0</v>
      </c>
      <c r="K250" s="36">
        <f t="shared" si="16"/>
        <v>0</v>
      </c>
      <c r="L250" s="37" t="s">
        <v>5</v>
      </c>
      <c r="M250" s="38">
        <f t="shared" si="17"/>
        <v>0</v>
      </c>
      <c r="N250" s="39"/>
      <c r="O250" s="23"/>
      <c r="P250" s="23"/>
      <c r="Q250" s="23"/>
      <c r="R250" s="23"/>
      <c r="S250" s="23"/>
      <c r="T250" s="23"/>
      <c r="U250" s="23"/>
      <c r="V250" s="23"/>
    </row>
    <row r="251" spans="1:22" s="24" customFormat="1" ht="23.1" customHeight="1">
      <c r="A251" s="104" t="s">
        <v>11</v>
      </c>
      <c r="B251" s="36">
        <f>COUNTIF('9'!$C$6:$C$529,"도")</f>
        <v>0</v>
      </c>
      <c r="C251" s="37" t="s">
        <v>5</v>
      </c>
      <c r="D251" s="38">
        <f>SUMIF('9'!$C$6:$C$529,"도",'9'!$E$6:$E$529)</f>
        <v>0</v>
      </c>
      <c r="E251" s="36">
        <f>COUNTIF('9'!$N$6:$N$529,"도국")</f>
        <v>0</v>
      </c>
      <c r="F251" s="37" t="s">
        <v>5</v>
      </c>
      <c r="G251" s="38">
        <f>SUMIF('9'!$N$6:$N$529,"도국",'9'!$E$6:$E$529)</f>
        <v>0</v>
      </c>
      <c r="H251" s="36">
        <f>COUNTIF('9'!$N$6:$N$529,"도공")</f>
        <v>0</v>
      </c>
      <c r="I251" s="37" t="s">
        <v>5</v>
      </c>
      <c r="J251" s="38">
        <f>SUMIF('9'!$N$6:$N$529,"도공",'9'!$E$6:$E$529)</f>
        <v>0</v>
      </c>
      <c r="K251" s="36">
        <f t="shared" si="16"/>
        <v>0</v>
      </c>
      <c r="L251" s="37" t="s">
        <v>5</v>
      </c>
      <c r="M251" s="38">
        <f t="shared" si="17"/>
        <v>0</v>
      </c>
      <c r="N251" s="39"/>
      <c r="O251" s="23"/>
      <c r="P251" s="23"/>
      <c r="Q251" s="23"/>
      <c r="R251" s="23"/>
      <c r="S251" s="23"/>
      <c r="T251" s="23"/>
      <c r="U251" s="23"/>
      <c r="V251" s="23"/>
    </row>
    <row r="252" spans="1:22" s="24" customFormat="1" ht="23.1" customHeight="1">
      <c r="A252" s="104" t="s">
        <v>12</v>
      </c>
      <c r="B252" s="36">
        <f>COUNTIF('9'!$C$6:$C$529,"구")</f>
        <v>0</v>
      </c>
      <c r="C252" s="37" t="s">
        <v>5</v>
      </c>
      <c r="D252" s="38">
        <f>SUMIF('9'!$C$6:$C$529,"구",'9'!$E$6:$E$529)</f>
        <v>0</v>
      </c>
      <c r="E252" s="36">
        <f>COUNTIF('9'!$N$6:$N$529,"구국")</f>
        <v>0</v>
      </c>
      <c r="F252" s="37" t="s">
        <v>5</v>
      </c>
      <c r="G252" s="38">
        <f>SUMIF('9'!$N$6:$N$529,"구국",'9'!$E$6:$E$529)</f>
        <v>0</v>
      </c>
      <c r="H252" s="36">
        <f>COUNTIF('9'!$N$6:$N$529,"구공")</f>
        <v>0</v>
      </c>
      <c r="I252" s="37" t="s">
        <v>5</v>
      </c>
      <c r="J252" s="38">
        <f>SUMIF('9'!$N$6:$N$529,"구공",'9'!$E$6:$E$529)</f>
        <v>0</v>
      </c>
      <c r="K252" s="36">
        <f t="shared" si="16"/>
        <v>0</v>
      </c>
      <c r="L252" s="37" t="s">
        <v>5</v>
      </c>
      <c r="M252" s="38">
        <f t="shared" si="17"/>
        <v>0</v>
      </c>
      <c r="N252" s="39"/>
      <c r="O252" s="23"/>
      <c r="P252" s="23"/>
      <c r="Q252" s="23"/>
      <c r="R252" s="23"/>
      <c r="S252" s="23"/>
      <c r="T252" s="23"/>
      <c r="U252" s="23"/>
      <c r="V252" s="23"/>
    </row>
    <row r="253" spans="1:22" s="24" customFormat="1" ht="23.1" customHeight="1">
      <c r="A253" s="104" t="s">
        <v>13</v>
      </c>
      <c r="B253" s="36">
        <f>COUNTIF('9'!$C$6:$C$529,"천")</f>
        <v>0</v>
      </c>
      <c r="C253" s="37" t="s">
        <v>5</v>
      </c>
      <c r="D253" s="38">
        <f>SUMIF('9'!$C$6:$C$529,"천",'9'!$E$6:$E$529)</f>
        <v>0</v>
      </c>
      <c r="E253" s="36">
        <f>COUNTIF('9'!$N$6:$N$529,"천국")</f>
        <v>0</v>
      </c>
      <c r="F253" s="37" t="s">
        <v>5</v>
      </c>
      <c r="G253" s="38">
        <f>SUMIF('9'!$N$6:$N$529,"천국",'9'!$E$6:$E$529)</f>
        <v>0</v>
      </c>
      <c r="H253" s="36">
        <f>COUNTIF('9'!$N$6:$N$529,"천공")</f>
        <v>0</v>
      </c>
      <c r="I253" s="37" t="s">
        <v>5</v>
      </c>
      <c r="J253" s="38">
        <f>SUMIF('9'!$N$6:$N$529,"천공",'9'!$E$6:$E$529)</f>
        <v>0</v>
      </c>
      <c r="K253" s="36">
        <f t="shared" si="16"/>
        <v>0</v>
      </c>
      <c r="L253" s="37" t="s">
        <v>5</v>
      </c>
      <c r="M253" s="38">
        <f t="shared" si="17"/>
        <v>0</v>
      </c>
      <c r="N253" s="39"/>
      <c r="O253" s="23"/>
      <c r="P253" s="23"/>
      <c r="Q253" s="23"/>
      <c r="R253" s="23"/>
      <c r="S253" s="23"/>
      <c r="T253" s="23"/>
      <c r="U253" s="23"/>
      <c r="V253" s="23"/>
    </row>
    <row r="254" spans="1:22" s="24" customFormat="1" ht="23.1" customHeight="1">
      <c r="A254" s="104" t="s">
        <v>14</v>
      </c>
      <c r="B254" s="36">
        <f>COUNTIF('9'!$C$6:$C$529,"유")</f>
        <v>0</v>
      </c>
      <c r="C254" s="37" t="s">
        <v>5</v>
      </c>
      <c r="D254" s="38">
        <f>SUMIF('9'!$C$6:$C$529,"유",'9'!$E$6:$E$529)</f>
        <v>0</v>
      </c>
      <c r="E254" s="36">
        <f>COUNTIF('9'!$N$6:$N$529,"유국")</f>
        <v>0</v>
      </c>
      <c r="F254" s="37" t="s">
        <v>5</v>
      </c>
      <c r="G254" s="38">
        <f>SUMIF('9'!$N$6:$N$529,"유국",'9'!$E$6:$E$529)</f>
        <v>0</v>
      </c>
      <c r="H254" s="36">
        <f>COUNTIF('9'!$N$6:$N$529,"유공")</f>
        <v>0</v>
      </c>
      <c r="I254" s="37" t="s">
        <v>5</v>
      </c>
      <c r="J254" s="38">
        <f>SUMIF('9'!$N$6:$N$529,"유공",'9'!$E$6:$E$529)</f>
        <v>0</v>
      </c>
      <c r="K254" s="36">
        <f t="shared" si="16"/>
        <v>0</v>
      </c>
      <c r="L254" s="37" t="s">
        <v>5</v>
      </c>
      <c r="M254" s="38">
        <f t="shared" si="17"/>
        <v>0</v>
      </c>
      <c r="N254" s="39"/>
      <c r="O254" s="23"/>
      <c r="P254" s="23"/>
      <c r="Q254" s="23"/>
      <c r="R254" s="23"/>
      <c r="S254" s="23"/>
      <c r="T254" s="23"/>
      <c r="U254" s="23"/>
      <c r="V254" s="23"/>
    </row>
    <row r="255" spans="1:22" s="24" customFormat="1" ht="23.1" customHeight="1">
      <c r="A255" s="104" t="s">
        <v>15</v>
      </c>
      <c r="B255" s="36">
        <f>COUNTIF('9'!$C$6:$C$529,"제")</f>
        <v>0</v>
      </c>
      <c r="C255" s="37" t="s">
        <v>5</v>
      </c>
      <c r="D255" s="38">
        <f>SUMIF('9'!$C$6:$C$529,"제",'9'!$E$6:$E$529)</f>
        <v>0</v>
      </c>
      <c r="E255" s="36">
        <f>COUNTIF('9'!$N$6:$N$529,"제국")</f>
        <v>0</v>
      </c>
      <c r="F255" s="37" t="s">
        <v>5</v>
      </c>
      <c r="G255" s="38">
        <f>SUMIF('9'!$N$6:$N$529,"제국",'9'!$E$6:$E$529)</f>
        <v>0</v>
      </c>
      <c r="H255" s="36">
        <f>COUNTIF('9'!$N$6:$N$529,"제공")</f>
        <v>0</v>
      </c>
      <c r="I255" s="37" t="s">
        <v>5</v>
      </c>
      <c r="J255" s="38">
        <f>SUMIF('9'!$N$6:$N$529,"제공",'9'!$E$6:$E$529)</f>
        <v>0</v>
      </c>
      <c r="K255" s="36">
        <f t="shared" si="16"/>
        <v>0</v>
      </c>
      <c r="L255" s="37" t="s">
        <v>5</v>
      </c>
      <c r="M255" s="38">
        <f t="shared" si="17"/>
        <v>0</v>
      </c>
      <c r="N255" s="39"/>
      <c r="O255" s="23"/>
      <c r="P255" s="23"/>
      <c r="Q255" s="23"/>
      <c r="R255" s="23"/>
      <c r="S255" s="23"/>
      <c r="T255" s="23"/>
      <c r="U255" s="23"/>
      <c r="V255" s="23"/>
    </row>
    <row r="256" spans="1:22" s="24" customFormat="1" ht="23.1" customHeight="1">
      <c r="A256" s="104" t="s">
        <v>16</v>
      </c>
      <c r="B256" s="36">
        <f>COUNTIF('9'!$C$6:$C$529,"과")</f>
        <v>0</v>
      </c>
      <c r="C256" s="37" t="s">
        <v>5</v>
      </c>
      <c r="D256" s="38">
        <f>SUMIF('9'!$C$6:$C$529,"과",'9'!$E$6:$E$529)</f>
        <v>0</v>
      </c>
      <c r="E256" s="36">
        <f>COUNTIF('9'!$N$6:$N$529,"과국")</f>
        <v>0</v>
      </c>
      <c r="F256" s="37" t="s">
        <v>5</v>
      </c>
      <c r="G256" s="38">
        <f>SUMIF('9'!$N$6:$N$529,"과국",'9'!$E$6:$E$529)</f>
        <v>0</v>
      </c>
      <c r="H256" s="36">
        <f>COUNTIF('9'!$N$6:$N$529,"과공")</f>
        <v>0</v>
      </c>
      <c r="I256" s="37" t="s">
        <v>5</v>
      </c>
      <c r="J256" s="38">
        <f>SUMIF('9'!$N$6:$N$529,"과공",'9'!$E$6:$E$529)</f>
        <v>0</v>
      </c>
      <c r="K256" s="36">
        <f t="shared" si="16"/>
        <v>0</v>
      </c>
      <c r="L256" s="37" t="s">
        <v>5</v>
      </c>
      <c r="M256" s="38">
        <f t="shared" si="17"/>
        <v>0</v>
      </c>
      <c r="N256" s="39"/>
      <c r="O256" s="23"/>
      <c r="P256" s="23"/>
      <c r="Q256" s="23"/>
      <c r="R256" s="23"/>
      <c r="S256" s="23"/>
      <c r="T256" s="23"/>
      <c r="U256" s="23"/>
      <c r="V256" s="23"/>
    </row>
    <row r="257" spans="1:22" s="24" customFormat="1" ht="23.1" customHeight="1">
      <c r="A257" s="104" t="s">
        <v>17</v>
      </c>
      <c r="B257" s="36">
        <f>COUNTIF('9'!$C$6:$C$529,"장")</f>
        <v>0</v>
      </c>
      <c r="C257" s="37" t="s">
        <v>5</v>
      </c>
      <c r="D257" s="38">
        <f>SUMIF('9'!$C$6:$C$529,"장",'9'!$E$6:$E$529)</f>
        <v>0</v>
      </c>
      <c r="E257" s="36">
        <f>COUNTIF('9'!$N$6:$N$529,"장국")</f>
        <v>0</v>
      </c>
      <c r="F257" s="37" t="s">
        <v>5</v>
      </c>
      <c r="G257" s="38">
        <f>SUMIF('9'!$N$6:$N$529,"장국",'9'!$E$6:$E$529)</f>
        <v>0</v>
      </c>
      <c r="H257" s="36">
        <f>COUNTIF('9'!$N$6:$N$529,"장공")</f>
        <v>0</v>
      </c>
      <c r="I257" s="37" t="s">
        <v>5</v>
      </c>
      <c r="J257" s="38">
        <f>SUMIF('9'!$N$6:$N$529,"장공",'9'!$E$6:$E$529)</f>
        <v>0</v>
      </c>
      <c r="K257" s="36">
        <f t="shared" si="16"/>
        <v>0</v>
      </c>
      <c r="L257" s="37" t="s">
        <v>5</v>
      </c>
      <c r="M257" s="38">
        <f t="shared" si="17"/>
        <v>0</v>
      </c>
      <c r="N257" s="39"/>
      <c r="O257" s="23"/>
      <c r="P257" s="23"/>
      <c r="Q257" s="23"/>
      <c r="R257" s="23"/>
      <c r="S257" s="23"/>
      <c r="T257" s="23"/>
      <c r="U257" s="23"/>
      <c r="V257" s="23"/>
    </row>
    <row r="258" spans="1:22" s="24" customFormat="1" ht="23.1" customHeight="1">
      <c r="A258" s="104" t="s">
        <v>18</v>
      </c>
      <c r="B258" s="36">
        <f>COUNTIF('9'!$C$6:$C$529,"목")</f>
        <v>0</v>
      </c>
      <c r="C258" s="37" t="s">
        <v>5</v>
      </c>
      <c r="D258" s="38">
        <f>SUMIF('9'!$C$6:$C$529,"목",'9'!$E$6:$E$529)</f>
        <v>0</v>
      </c>
      <c r="E258" s="36">
        <f>COUNTIF('9'!$N$6:$N$529,"목국")</f>
        <v>0</v>
      </c>
      <c r="F258" s="37" t="s">
        <v>5</v>
      </c>
      <c r="G258" s="38">
        <f>SUMIF('9'!$N$6:$N$529,"목국",'9'!$E$6:$E$529)</f>
        <v>0</v>
      </c>
      <c r="H258" s="36">
        <f>COUNTIF('9'!$N$6:$N$529,"목공")</f>
        <v>0</v>
      </c>
      <c r="I258" s="37" t="s">
        <v>5</v>
      </c>
      <c r="J258" s="38">
        <f>SUMIF('9'!$N$6:$N$529,"목공",'9'!$E$6:$E$529)</f>
        <v>0</v>
      </c>
      <c r="K258" s="36">
        <f t="shared" si="16"/>
        <v>0</v>
      </c>
      <c r="L258" s="37" t="s">
        <v>5</v>
      </c>
      <c r="M258" s="38">
        <f t="shared" si="17"/>
        <v>0</v>
      </c>
      <c r="N258" s="39"/>
      <c r="O258" s="23"/>
      <c r="P258" s="23"/>
      <c r="Q258" s="23"/>
      <c r="R258" s="23"/>
      <c r="S258" s="23"/>
      <c r="T258" s="23"/>
      <c r="U258" s="23"/>
      <c r="V258" s="23"/>
    </row>
    <row r="259" spans="1:22" s="24" customFormat="1" ht="23.1" customHeight="1">
      <c r="A259" s="104" t="s">
        <v>19</v>
      </c>
      <c r="B259" s="36">
        <f>COUNTIF('9'!$C$6:$C$529,"학")</f>
        <v>0</v>
      </c>
      <c r="C259" s="37" t="s">
        <v>5</v>
      </c>
      <c r="D259" s="38">
        <f>SUMIF('9'!$C$6:$C$529,"학",'9'!$E$6:$E$529)</f>
        <v>0</v>
      </c>
      <c r="E259" s="36">
        <f>COUNTIF('9'!$N$6:$N$529,"학국")</f>
        <v>0</v>
      </c>
      <c r="F259" s="37" t="s">
        <v>5</v>
      </c>
      <c r="G259" s="38">
        <f>SUMIF('9'!$N$6:$N$529,"학국",'9'!$E$6:$E$529)</f>
        <v>0</v>
      </c>
      <c r="H259" s="36">
        <f>COUNTIF('9'!$N$6:$N$529,"학공")</f>
        <v>0</v>
      </c>
      <c r="I259" s="37" t="s">
        <v>5</v>
      </c>
      <c r="J259" s="38">
        <f>SUMIF('9'!$N$6:$N$529,"학공",'9'!$E$6:$E$529)</f>
        <v>0</v>
      </c>
      <c r="K259" s="36">
        <f t="shared" si="16"/>
        <v>0</v>
      </c>
      <c r="L259" s="37" t="s">
        <v>5</v>
      </c>
      <c r="M259" s="38">
        <f t="shared" si="17"/>
        <v>0</v>
      </c>
      <c r="N259" s="39"/>
      <c r="O259" s="23"/>
      <c r="P259" s="23"/>
      <c r="Q259" s="23"/>
      <c r="R259" s="23"/>
      <c r="S259" s="23"/>
      <c r="T259" s="23"/>
      <c r="U259" s="23"/>
      <c r="V259" s="23"/>
    </row>
    <row r="260" spans="1:22" s="24" customFormat="1" ht="23.1" customHeight="1">
      <c r="A260" s="104" t="s">
        <v>20</v>
      </c>
      <c r="B260" s="36">
        <f>COUNTIF('9'!$C$6:$C$529,"철")</f>
        <v>0</v>
      </c>
      <c r="C260" s="37" t="s">
        <v>5</v>
      </c>
      <c r="D260" s="38">
        <f>SUMIF('9'!$C$6:$C$529,"철",'9'!$E$6:$E$529)</f>
        <v>0</v>
      </c>
      <c r="E260" s="36">
        <f>COUNTIF('9'!$N$6:$N$529,"철국")</f>
        <v>0</v>
      </c>
      <c r="F260" s="37" t="s">
        <v>5</v>
      </c>
      <c r="G260" s="38">
        <f>SUMIF('9'!$N$6:$N$529,"철국",'9'!$E$6:$E$529)</f>
        <v>0</v>
      </c>
      <c r="H260" s="36">
        <f>COUNTIF('9'!$N$6:$N$529,"철공")</f>
        <v>0</v>
      </c>
      <c r="I260" s="37" t="s">
        <v>5</v>
      </c>
      <c r="J260" s="38">
        <f>SUMIF('9'!$N$6:$N$529,"철공",'9'!$E$6:$E$529)</f>
        <v>0</v>
      </c>
      <c r="K260" s="36">
        <f t="shared" si="16"/>
        <v>0</v>
      </c>
      <c r="L260" s="37" t="s">
        <v>5</v>
      </c>
      <c r="M260" s="38">
        <f t="shared" si="17"/>
        <v>0</v>
      </c>
      <c r="N260" s="39"/>
      <c r="O260" s="23"/>
      <c r="P260" s="23"/>
      <c r="Q260" s="23"/>
      <c r="R260" s="23"/>
      <c r="S260" s="23"/>
      <c r="T260" s="23"/>
      <c r="U260" s="23"/>
      <c r="V260" s="23"/>
    </row>
    <row r="261" spans="1:22" s="24" customFormat="1" ht="23.1" customHeight="1">
      <c r="A261" s="104" t="s">
        <v>21</v>
      </c>
      <c r="B261" s="36">
        <f>COUNTIF('9'!$C$6:$C$529,"묘")</f>
        <v>0</v>
      </c>
      <c r="C261" s="37" t="s">
        <v>5</v>
      </c>
      <c r="D261" s="38">
        <f>SUMIF('9'!$C$6:$C$529,"묘",'9'!$E$6:$E$529)</f>
        <v>0</v>
      </c>
      <c r="E261" s="36">
        <f>COUNTIF('9'!$N$6:$N$529,"묘국")</f>
        <v>0</v>
      </c>
      <c r="F261" s="37" t="s">
        <v>5</v>
      </c>
      <c r="G261" s="38">
        <f>SUMIF('9'!$N$6:$N$529,"묘국",'9'!$E$6:$E$529)</f>
        <v>0</v>
      </c>
      <c r="H261" s="36">
        <f>COUNTIF('9'!$N$6:$N$529,"묘공")</f>
        <v>0</v>
      </c>
      <c r="I261" s="37" t="s">
        <v>5</v>
      </c>
      <c r="J261" s="38">
        <f>SUMIF('9'!$N$6:$N$529,"묘공",'9'!$E$6:$E$529)</f>
        <v>0</v>
      </c>
      <c r="K261" s="36">
        <f t="shared" si="16"/>
        <v>0</v>
      </c>
      <c r="L261" s="37" t="s">
        <v>5</v>
      </c>
      <c r="M261" s="38">
        <f t="shared" si="17"/>
        <v>0</v>
      </c>
      <c r="N261" s="39"/>
      <c r="O261" s="23"/>
      <c r="P261" s="23"/>
      <c r="Q261" s="23"/>
      <c r="R261" s="23"/>
      <c r="S261" s="23"/>
      <c r="T261" s="23"/>
      <c r="U261" s="23"/>
      <c r="V261" s="23"/>
    </row>
    <row r="262" spans="1:22" s="24" customFormat="1" ht="23.1" customHeight="1">
      <c r="A262" s="104" t="s">
        <v>22</v>
      </c>
      <c r="B262" s="36">
        <f>COUNTIF('9'!$C$6:$C$529,"수")</f>
        <v>0</v>
      </c>
      <c r="C262" s="37" t="s">
        <v>5</v>
      </c>
      <c r="D262" s="38">
        <f>SUMIF('9'!$C$6:$C$529,"수",'9'!$E$6:$E$529)</f>
        <v>0</v>
      </c>
      <c r="E262" s="36">
        <f>COUNTIF('9'!$N$6:$N$529,"수국")</f>
        <v>0</v>
      </c>
      <c r="F262" s="37" t="s">
        <v>5</v>
      </c>
      <c r="G262" s="38">
        <f>SUMIF('9'!$N$6:$N$529,"수국",'9'!$E$6:$E$529)</f>
        <v>0</v>
      </c>
      <c r="H262" s="36">
        <f>COUNTIF('9'!$N$6:$N$529,"수공")</f>
        <v>0</v>
      </c>
      <c r="I262" s="37" t="s">
        <v>5</v>
      </c>
      <c r="J262" s="38">
        <f>SUMIF('9'!$N$6:$N$529,"수공",'9'!$E$6:$E$529)</f>
        <v>0</v>
      </c>
      <c r="K262" s="36">
        <f t="shared" si="16"/>
        <v>0</v>
      </c>
      <c r="L262" s="37" t="s">
        <v>5</v>
      </c>
      <c r="M262" s="38">
        <f t="shared" si="17"/>
        <v>0</v>
      </c>
      <c r="N262" s="39"/>
      <c r="O262" s="23"/>
      <c r="P262" s="23"/>
      <c r="Q262" s="23"/>
      <c r="R262" s="23"/>
      <c r="S262" s="23"/>
      <c r="T262" s="23"/>
      <c r="U262" s="23"/>
      <c r="V262" s="23"/>
    </row>
    <row r="263" spans="1:22" s="24" customFormat="1" ht="23.1" customHeight="1">
      <c r="A263" s="104" t="s">
        <v>23</v>
      </c>
      <c r="B263" s="36">
        <f>COUNTIF('9'!$C$6:$C$529,"잡")</f>
        <v>0</v>
      </c>
      <c r="C263" s="37" t="s">
        <v>5</v>
      </c>
      <c r="D263" s="38">
        <f>SUMIF('9'!$C$6:$C$529,"잡",'9'!$E$6:$E$529)</f>
        <v>0</v>
      </c>
      <c r="E263" s="36">
        <f>COUNTIF('9'!$N$6:$N$529,"잡국")</f>
        <v>0</v>
      </c>
      <c r="F263" s="37" t="s">
        <v>5</v>
      </c>
      <c r="G263" s="38">
        <f>SUMIF('9'!$N$6:$N$529,"잡국",'9'!$E$6:$E$529)</f>
        <v>0</v>
      </c>
      <c r="H263" s="36">
        <f>COUNTIF('9'!$N$6:$N$529,"잡공")</f>
        <v>0</v>
      </c>
      <c r="I263" s="37" t="s">
        <v>5</v>
      </c>
      <c r="J263" s="38">
        <f>SUMIF('9'!$N$6:$N$529,"잡공",'9'!$E$6:$E$529)</f>
        <v>0</v>
      </c>
      <c r="K263" s="36">
        <f t="shared" si="16"/>
        <v>0</v>
      </c>
      <c r="L263" s="37" t="s">
        <v>5</v>
      </c>
      <c r="M263" s="38">
        <f t="shared" si="17"/>
        <v>0</v>
      </c>
      <c r="N263" s="39"/>
      <c r="O263" s="23"/>
      <c r="P263" s="23"/>
      <c r="Q263" s="23"/>
      <c r="R263" s="23"/>
      <c r="S263" s="23"/>
      <c r="T263" s="23"/>
      <c r="U263" s="23"/>
      <c r="V263" s="23"/>
    </row>
    <row r="264" spans="1:22" s="24" customFormat="1" ht="23.1" customHeight="1">
      <c r="A264" s="105" t="s">
        <v>24</v>
      </c>
      <c r="B264" s="36">
        <f>COUNTIF('9'!$C$6:$C$529,"종")</f>
        <v>0</v>
      </c>
      <c r="C264" s="37" t="s">
        <v>5</v>
      </c>
      <c r="D264" s="38">
        <f>SUMIF('9'!$C$6:$C$529,"종",'9'!$E$6:$E$529)</f>
        <v>0</v>
      </c>
      <c r="E264" s="36">
        <f>COUNTIF('9'!$N$6:$N$529,"종국")</f>
        <v>0</v>
      </c>
      <c r="F264" s="37" t="s">
        <v>5</v>
      </c>
      <c r="G264" s="38">
        <f>SUMIF('9'!$N$6:$N$529,"종국",'9'!$E$6:$E$529)</f>
        <v>0</v>
      </c>
      <c r="H264" s="36">
        <f>COUNTIF('9'!$N$6:$N$529,"종공")</f>
        <v>0</v>
      </c>
      <c r="I264" s="37" t="s">
        <v>5</v>
      </c>
      <c r="J264" s="38">
        <f>SUMIF('9'!$N$6:$N$529,"종공",'9'!$E$6:$E$529)</f>
        <v>0</v>
      </c>
      <c r="K264" s="36">
        <f t="shared" si="16"/>
        <v>0</v>
      </c>
      <c r="L264" s="37" t="s">
        <v>5</v>
      </c>
      <c r="M264" s="38">
        <f t="shared" si="17"/>
        <v>0</v>
      </c>
      <c r="N264" s="39"/>
      <c r="O264" s="23"/>
      <c r="P264" s="23"/>
      <c r="Q264" s="23"/>
      <c r="R264" s="23"/>
      <c r="S264" s="23"/>
      <c r="T264" s="23"/>
      <c r="U264" s="23"/>
      <c r="V264" s="23"/>
    </row>
    <row r="265" spans="1:22" s="24" customFormat="1" ht="23.1" customHeight="1">
      <c r="A265" s="105" t="s">
        <v>25</v>
      </c>
      <c r="B265" s="36">
        <f>COUNTIF('9'!$C$6:$C$529,"염")</f>
        <v>0</v>
      </c>
      <c r="C265" s="37" t="s">
        <v>5</v>
      </c>
      <c r="D265" s="38">
        <f>SUMIF('9'!$C$6:$C$529,"염",'9'!$E$6:$E$529)</f>
        <v>0</v>
      </c>
      <c r="E265" s="36">
        <f>COUNTIF('9'!$N$6:$N$529,"염국")</f>
        <v>0</v>
      </c>
      <c r="F265" s="37" t="s">
        <v>5</v>
      </c>
      <c r="G265" s="38">
        <f>SUMIF('9'!$N$6:$N$529,"염국",'9'!$E$6:$E$529)</f>
        <v>0</v>
      </c>
      <c r="H265" s="36">
        <f>COUNTIF('9'!$N$6:$N$529,"염공")</f>
        <v>0</v>
      </c>
      <c r="I265" s="37" t="s">
        <v>5</v>
      </c>
      <c r="J265" s="38">
        <f>SUMIF('9'!$N$6:$N$529,"염공",'9'!$E$6:$E$529)</f>
        <v>0</v>
      </c>
      <c r="K265" s="36">
        <f t="shared" si="16"/>
        <v>0</v>
      </c>
      <c r="L265" s="37" t="s">
        <v>5</v>
      </c>
      <c r="M265" s="38">
        <f t="shared" si="17"/>
        <v>0</v>
      </c>
      <c r="N265" s="39"/>
      <c r="O265" s="23"/>
      <c r="P265" s="23"/>
      <c r="Q265" s="23"/>
      <c r="R265" s="23"/>
      <c r="S265" s="23"/>
      <c r="T265" s="23"/>
      <c r="U265" s="23"/>
      <c r="V265" s="23"/>
    </row>
    <row r="266" spans="1:22" s="24" customFormat="1" ht="23.1" customHeight="1">
      <c r="A266" s="105" t="s">
        <v>26</v>
      </c>
      <c r="B266" s="36">
        <f>COUNTIF('9'!$C$6:$C$529,"공")</f>
        <v>0</v>
      </c>
      <c r="C266" s="37" t="s">
        <v>5</v>
      </c>
      <c r="D266" s="38">
        <f>SUMIF('9'!$C$6:$C$529,"공",'9'!$E$6:$E$529)</f>
        <v>0</v>
      </c>
      <c r="E266" s="36">
        <f>COUNTIF('9'!$N$6:$N$529,"공국")</f>
        <v>0</v>
      </c>
      <c r="F266" s="37" t="s">
        <v>5</v>
      </c>
      <c r="G266" s="38">
        <f>SUMIF('9'!$N$6:$N$529,"공국",'9'!$E$6:$E$529)</f>
        <v>0</v>
      </c>
      <c r="H266" s="36">
        <f>COUNTIF('9'!$N$6:$N$529,"공공")</f>
        <v>0</v>
      </c>
      <c r="I266" s="37" t="s">
        <v>5</v>
      </c>
      <c r="J266" s="38">
        <f>SUMIF('9'!$N$6:$N$529,"공공",'9'!$E$6:$E$529)</f>
        <v>0</v>
      </c>
      <c r="K266" s="36">
        <f t="shared" si="16"/>
        <v>0</v>
      </c>
      <c r="L266" s="37" t="s">
        <v>5</v>
      </c>
      <c r="M266" s="38">
        <f t="shared" si="17"/>
        <v>0</v>
      </c>
      <c r="N266" s="39"/>
      <c r="O266" s="23"/>
      <c r="P266" s="23"/>
      <c r="Q266" s="23"/>
      <c r="R266" s="23"/>
      <c r="S266" s="23"/>
      <c r="T266" s="23"/>
      <c r="U266" s="23"/>
      <c r="V266" s="23"/>
    </row>
    <row r="267" spans="1:22" s="24" customFormat="1" ht="23.1" customHeight="1">
      <c r="A267" s="105" t="s">
        <v>27</v>
      </c>
      <c r="B267" s="36">
        <f>COUNTIF('9'!$C$6:$C$529,"체")</f>
        <v>0</v>
      </c>
      <c r="C267" s="37" t="s">
        <v>5</v>
      </c>
      <c r="D267" s="38">
        <f>SUMIF('9'!$C$6:$C$529,"체",'9'!$E$6:$E$529)</f>
        <v>0</v>
      </c>
      <c r="E267" s="36">
        <f>COUNTIF('9'!$N$6:$N$529,"체국")</f>
        <v>0</v>
      </c>
      <c r="F267" s="37" t="s">
        <v>5</v>
      </c>
      <c r="G267" s="38">
        <f>SUMIF('9'!$N$6:$N$529,"체국",'9'!$E$6:$E$529)</f>
        <v>0</v>
      </c>
      <c r="H267" s="36">
        <f>COUNTIF('9'!$N$6:$N$529,"체공")</f>
        <v>0</v>
      </c>
      <c r="I267" s="37" t="s">
        <v>5</v>
      </c>
      <c r="J267" s="38">
        <f>SUMIF('9'!$N$6:$N$529,"체공",'9'!$E$6:$E$529)</f>
        <v>0</v>
      </c>
      <c r="K267" s="36">
        <f t="shared" si="16"/>
        <v>0</v>
      </c>
      <c r="L267" s="37" t="s">
        <v>5</v>
      </c>
      <c r="M267" s="38">
        <f t="shared" si="17"/>
        <v>0</v>
      </c>
      <c r="N267" s="39"/>
      <c r="O267" s="23"/>
      <c r="P267" s="23"/>
      <c r="Q267" s="23"/>
      <c r="R267" s="23"/>
      <c r="S267" s="23"/>
      <c r="T267" s="23"/>
      <c r="U267" s="23"/>
      <c r="V267" s="23"/>
    </row>
    <row r="268" spans="1:22" s="24" customFormat="1" ht="23.1" customHeight="1">
      <c r="A268" s="105" t="s">
        <v>28</v>
      </c>
      <c r="B268" s="36">
        <f>COUNTIF('9'!$C$6:$C$529,"원")</f>
        <v>0</v>
      </c>
      <c r="C268" s="37" t="s">
        <v>5</v>
      </c>
      <c r="D268" s="38">
        <f>SUMIF('9'!$C$6:$C$529,"원",'9'!$E$6:$E$529)</f>
        <v>0</v>
      </c>
      <c r="E268" s="36">
        <f>COUNTIF('9'!$N$6:$N$529,"원국")</f>
        <v>0</v>
      </c>
      <c r="F268" s="37" t="s">
        <v>5</v>
      </c>
      <c r="G268" s="38">
        <f>SUMIF('9'!$N$6:$N$529,"원국",'9'!$E$6:$E$529)</f>
        <v>0</v>
      </c>
      <c r="H268" s="36">
        <f>COUNTIF('9'!$N$6:$N$529,"원공")</f>
        <v>0</v>
      </c>
      <c r="I268" s="37" t="s">
        <v>5</v>
      </c>
      <c r="J268" s="38">
        <f>SUMIF('9'!$N$6:$N$529,"원공",'9'!$E$6:$E$529)</f>
        <v>0</v>
      </c>
      <c r="K268" s="36">
        <f t="shared" si="16"/>
        <v>0</v>
      </c>
      <c r="L268" s="37" t="s">
        <v>5</v>
      </c>
      <c r="M268" s="38">
        <f t="shared" si="17"/>
        <v>0</v>
      </c>
      <c r="N268" s="39"/>
      <c r="O268" s="23"/>
      <c r="P268" s="23"/>
      <c r="Q268" s="23"/>
      <c r="R268" s="23"/>
      <c r="S268" s="23"/>
      <c r="T268" s="23"/>
      <c r="U268" s="23"/>
      <c r="V268" s="23"/>
    </row>
    <row r="269" spans="1:22" s="24" customFormat="1" ht="23.1" customHeight="1">
      <c r="A269" s="105" t="s">
        <v>60</v>
      </c>
      <c r="B269" s="36">
        <f>COUNTIF('9'!$C$6:$C$529,"차")</f>
        <v>0</v>
      </c>
      <c r="C269" s="37" t="s">
        <v>5</v>
      </c>
      <c r="D269" s="38">
        <f>SUMIF('9'!$C$6:$C$529,"차",'9'!$E$6:$E$529)</f>
        <v>0</v>
      </c>
      <c r="E269" s="36">
        <f>COUNTIF('9'!$N$6:$N$529,"차국")</f>
        <v>0</v>
      </c>
      <c r="F269" s="37" t="s">
        <v>5</v>
      </c>
      <c r="G269" s="38">
        <f>SUMIF('9'!$N$6:$N$529,"차국",'9'!$E$6:$E$529)</f>
        <v>0</v>
      </c>
      <c r="H269" s="36">
        <f>COUNTIF('9'!$N$6:$N$529,"차공")</f>
        <v>0</v>
      </c>
      <c r="I269" s="37" t="s">
        <v>5</v>
      </c>
      <c r="J269" s="38">
        <f>SUMIF('9'!$N$6:$N$529,"차공",'9'!$E$6:$E$529)</f>
        <v>0</v>
      </c>
      <c r="K269" s="36">
        <f t="shared" si="16"/>
        <v>0</v>
      </c>
      <c r="L269" s="37" t="s">
        <v>5</v>
      </c>
      <c r="M269" s="38">
        <f t="shared" si="17"/>
        <v>0</v>
      </c>
      <c r="N269" s="39"/>
      <c r="O269" s="23"/>
      <c r="P269" s="23"/>
      <c r="Q269" s="23"/>
      <c r="R269" s="23"/>
      <c r="S269" s="23"/>
      <c r="T269" s="23"/>
      <c r="U269" s="23"/>
      <c r="V269" s="23"/>
    </row>
    <row r="270" spans="1:22" s="24" customFormat="1" ht="23.1" customHeight="1">
      <c r="A270" s="105" t="s">
        <v>61</v>
      </c>
      <c r="B270" s="36">
        <f>COUNTIF('9'!$C$6:$C$529,"주")</f>
        <v>0</v>
      </c>
      <c r="C270" s="37" t="s">
        <v>5</v>
      </c>
      <c r="D270" s="38">
        <f>SUMIF('9'!$C$6:$C$529,"주",'9'!$E$6:$E$529)</f>
        <v>0</v>
      </c>
      <c r="E270" s="36">
        <f>COUNTIF('9'!$N$6:$N$529,"주국")</f>
        <v>0</v>
      </c>
      <c r="F270" s="37" t="s">
        <v>5</v>
      </c>
      <c r="G270" s="38">
        <f>SUMIF('9'!$N$6:$N$529,"주국",'9'!$E$6:$E$529)</f>
        <v>0</v>
      </c>
      <c r="H270" s="36">
        <f>COUNTIF('9'!$N$6:$N$529,"주공")</f>
        <v>0</v>
      </c>
      <c r="I270" s="37" t="s">
        <v>5</v>
      </c>
      <c r="J270" s="38">
        <f>SUMIF('9'!$N$6:$N$529,"주공",'9'!$E$6:$E$529)</f>
        <v>0</v>
      </c>
      <c r="K270" s="36">
        <f t="shared" si="16"/>
        <v>0</v>
      </c>
      <c r="L270" s="37" t="s">
        <v>5</v>
      </c>
      <c r="M270" s="38">
        <f t="shared" si="17"/>
        <v>0</v>
      </c>
      <c r="N270" s="39"/>
      <c r="O270" s="23"/>
      <c r="P270" s="23"/>
      <c r="Q270" s="23"/>
      <c r="R270" s="23"/>
      <c r="S270" s="23"/>
      <c r="T270" s="23"/>
      <c r="U270" s="23"/>
      <c r="V270" s="23"/>
    </row>
    <row r="271" spans="1:22" s="24" customFormat="1" ht="23.1" customHeight="1">
      <c r="A271" s="106" t="s">
        <v>62</v>
      </c>
      <c r="B271" s="40">
        <f>COUNTIF('9'!$C$6:$C$529," ")</f>
        <v>0</v>
      </c>
      <c r="C271" s="41" t="s">
        <v>5</v>
      </c>
      <c r="D271" s="42">
        <f>SUMIF('9'!$C$6:$C$529," ",'9'!$E$6:$E$529)</f>
        <v>0</v>
      </c>
      <c r="E271" s="40">
        <f>COUNTIF('9'!$N$6:$N$529," 국")</f>
        <v>0</v>
      </c>
      <c r="F271" s="41" t="s">
        <v>5</v>
      </c>
      <c r="G271" s="42">
        <f>SUMIF('9'!$N$6:$N$529," 국",'9'!$E$6:$E$529)</f>
        <v>0</v>
      </c>
      <c r="H271" s="40">
        <f>COUNTIF('9'!$N$6:$N$529," 공")</f>
        <v>0</v>
      </c>
      <c r="I271" s="41" t="s">
        <v>5</v>
      </c>
      <c r="J271" s="42">
        <f>SUMIF('9'!$N$6:$N$529," 공",'9'!$E$6:$E$529)</f>
        <v>0</v>
      </c>
      <c r="K271" s="40">
        <f t="shared" si="16"/>
        <v>0</v>
      </c>
      <c r="L271" s="41" t="s">
        <v>5</v>
      </c>
      <c r="M271" s="42">
        <f t="shared" si="17"/>
        <v>0</v>
      </c>
      <c r="N271" s="43"/>
      <c r="O271" s="23"/>
      <c r="P271" s="23"/>
      <c r="Q271" s="23"/>
      <c r="R271" s="23"/>
      <c r="S271" s="23"/>
      <c r="T271" s="23"/>
      <c r="U271" s="23"/>
      <c r="V271" s="23"/>
    </row>
    <row r="272" spans="1:22" s="17" customFormat="1" ht="20.100000000000001" customHeight="1">
      <c r="A272" s="11">
        <f>IF(EXACT(O276,O277),,"검산확인요!!!")</f>
        <v>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3">
        <f>IF(ISBLANK('10'!K2),,'10'!K2)</f>
        <v>3</v>
      </c>
      <c r="L272" s="14"/>
      <c r="M272" s="15"/>
      <c r="N272" s="16"/>
    </row>
    <row r="273" spans="1:22" s="17" customFormat="1" ht="9.9499999999999993" customHeight="1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</row>
    <row r="274" spans="1:22" s="24" customFormat="1" ht="27.95" customHeight="1">
      <c r="A274" s="18" t="s">
        <v>3</v>
      </c>
      <c r="B274" s="19" t="s">
        <v>2</v>
      </c>
      <c r="C274" s="20"/>
      <c r="D274" s="21"/>
      <c r="E274" s="19" t="s">
        <v>29</v>
      </c>
      <c r="F274" s="20"/>
      <c r="G274" s="21"/>
      <c r="H274" s="19" t="s">
        <v>38</v>
      </c>
      <c r="I274" s="20"/>
      <c r="J274" s="21"/>
      <c r="K274" s="19" t="s">
        <v>30</v>
      </c>
      <c r="L274" s="20"/>
      <c r="M274" s="21"/>
      <c r="N274" s="22" t="s">
        <v>31</v>
      </c>
      <c r="O274" s="23"/>
      <c r="S274" s="23"/>
      <c r="T274" s="23"/>
      <c r="U274" s="23"/>
      <c r="V274" s="23"/>
    </row>
    <row r="275" spans="1:22" s="24" customFormat="1" ht="27.95" customHeight="1">
      <c r="A275" s="25"/>
      <c r="B275" s="26" t="s">
        <v>4</v>
      </c>
      <c r="C275" s="27" t="s">
        <v>5</v>
      </c>
      <c r="D275" s="28" t="s">
        <v>32</v>
      </c>
      <c r="E275" s="26" t="s">
        <v>4</v>
      </c>
      <c r="F275" s="27" t="s">
        <v>5</v>
      </c>
      <c r="G275" s="28" t="s">
        <v>32</v>
      </c>
      <c r="H275" s="26" t="s">
        <v>4</v>
      </c>
      <c r="I275" s="27" t="s">
        <v>5</v>
      </c>
      <c r="J275" s="28" t="s">
        <v>32</v>
      </c>
      <c r="K275" s="26" t="s">
        <v>4</v>
      </c>
      <c r="L275" s="27" t="s">
        <v>5</v>
      </c>
      <c r="M275" s="28" t="s">
        <v>32</v>
      </c>
      <c r="N275" s="29"/>
      <c r="P275" s="23"/>
      <c r="Q275" s="30" t="s">
        <v>33</v>
      </c>
      <c r="R275" s="30" t="s">
        <v>34</v>
      </c>
      <c r="S275" s="30" t="s">
        <v>35</v>
      </c>
      <c r="T275" s="30" t="s">
        <v>36</v>
      </c>
      <c r="U275" s="23"/>
      <c r="V275" s="23"/>
    </row>
    <row r="276" spans="1:22" s="24" customFormat="1" ht="23.1" customHeight="1">
      <c r="A276" s="103" t="s">
        <v>2</v>
      </c>
      <c r="B276" s="31">
        <f>SUM(B277:B301)</f>
        <v>0</v>
      </c>
      <c r="C276" s="32" t="s">
        <v>5</v>
      </c>
      <c r="D276" s="33">
        <f>SUM(D277:D301)</f>
        <v>0</v>
      </c>
      <c r="E276" s="31">
        <f>SUM(E277:E301)</f>
        <v>0</v>
      </c>
      <c r="F276" s="32" t="s">
        <v>5</v>
      </c>
      <c r="G276" s="33">
        <f>SUM(G277:G301)</f>
        <v>0</v>
      </c>
      <c r="H276" s="31">
        <f>SUM(H277:H301)</f>
        <v>0</v>
      </c>
      <c r="I276" s="32" t="s">
        <v>5</v>
      </c>
      <c r="J276" s="33">
        <f>SUM(J277:J301)</f>
        <v>0</v>
      </c>
      <c r="K276" s="31">
        <f>SUM(K277:K301)</f>
        <v>0</v>
      </c>
      <c r="L276" s="32" t="s">
        <v>5</v>
      </c>
      <c r="M276" s="33">
        <f>SUM(M277:M301)</f>
        <v>0</v>
      </c>
      <c r="N276" s="34"/>
      <c r="O276" s="23" t="str">
        <f>IF(EXACT(Q276,T276),"맞음","틀림")</f>
        <v>맞음</v>
      </c>
      <c r="P276" s="23" t="s">
        <v>4</v>
      </c>
      <c r="Q276" s="35">
        <f>SUM(B277:B301)</f>
        <v>0</v>
      </c>
      <c r="R276" s="35">
        <f>SUM(E277:E301)</f>
        <v>0</v>
      </c>
      <c r="S276" s="35">
        <f>SUM(K277:K301)</f>
        <v>0</v>
      </c>
      <c r="T276" s="35">
        <f>K276+E276</f>
        <v>0</v>
      </c>
      <c r="U276" s="23"/>
      <c r="V276" s="23"/>
    </row>
    <row r="277" spans="1:22" s="24" customFormat="1" ht="23.1" customHeight="1">
      <c r="A277" s="104" t="s">
        <v>7</v>
      </c>
      <c r="B277" s="36">
        <f>COUNTIF('10'!$C$6:$C$529,"전")</f>
        <v>0</v>
      </c>
      <c r="C277" s="37" t="s">
        <v>5</v>
      </c>
      <c r="D277" s="38">
        <f>SUMIF('10'!$C$6:$C$529,"전",'10'!$E$6:$E$529)</f>
        <v>0</v>
      </c>
      <c r="E277" s="36">
        <f>COUNTIF('10'!$N$6:$N$529,"전국")</f>
        <v>0</v>
      </c>
      <c r="F277" s="37" t="s">
        <v>5</v>
      </c>
      <c r="G277" s="38">
        <f>SUMIF('10'!$N$6:$N$529,"전국",'10'!$E$6:$E$529)</f>
        <v>0</v>
      </c>
      <c r="H277" s="36">
        <f>COUNTIF('10'!$N$6:$N$529,"전공")</f>
        <v>0</v>
      </c>
      <c r="I277" s="37" t="s">
        <v>5</v>
      </c>
      <c r="J277" s="38">
        <f>SUMIF('10'!$N$6:$N$529,"전공",'10'!$E$6:$E$529)</f>
        <v>0</v>
      </c>
      <c r="K277" s="36">
        <f t="shared" ref="K277:K301" si="18">SUM(B277-E277-H277)</f>
        <v>0</v>
      </c>
      <c r="L277" s="37" t="s">
        <v>5</v>
      </c>
      <c r="M277" s="38">
        <f t="shared" ref="M277:M301" si="19">SUM(D277-G277-J277)</f>
        <v>0</v>
      </c>
      <c r="N277" s="39"/>
      <c r="O277" s="23" t="str">
        <f>IF(EXACT(Q277,T277),"맞음","틀림")</f>
        <v>맞음</v>
      </c>
      <c r="P277" s="23" t="s">
        <v>37</v>
      </c>
      <c r="Q277" s="35">
        <f>SUM(D277:D301)</f>
        <v>0</v>
      </c>
      <c r="R277" s="35">
        <f>SUM(G277:G301)</f>
        <v>0</v>
      </c>
      <c r="S277" s="35">
        <f>SUM(M277:M301)</f>
        <v>0</v>
      </c>
      <c r="T277" s="35">
        <f>G276+M276</f>
        <v>0</v>
      </c>
      <c r="U277" s="23"/>
      <c r="V277" s="23"/>
    </row>
    <row r="278" spans="1:22" s="24" customFormat="1" ht="23.1" customHeight="1">
      <c r="A278" s="104" t="s">
        <v>8</v>
      </c>
      <c r="B278" s="36">
        <f>COUNTIF('10'!$C$6:$C$529,"답")</f>
        <v>0</v>
      </c>
      <c r="C278" s="37" t="s">
        <v>5</v>
      </c>
      <c r="D278" s="38">
        <f>SUMIF('10'!$C$6:$C$529,"답",'10'!$E$6:$E$529)</f>
        <v>0</v>
      </c>
      <c r="E278" s="36">
        <f>COUNTIF('10'!$N$6:$N$529,"답국")</f>
        <v>0</v>
      </c>
      <c r="F278" s="37" t="s">
        <v>5</v>
      </c>
      <c r="G278" s="38">
        <f>SUMIF('10'!$N$6:$N$529,"답국",'10'!$E$6:$E$529)</f>
        <v>0</v>
      </c>
      <c r="H278" s="36">
        <f>COUNTIF('10'!$N$6:$N$529,"답공")</f>
        <v>0</v>
      </c>
      <c r="I278" s="37" t="s">
        <v>5</v>
      </c>
      <c r="J278" s="38">
        <f>SUMIF('10'!$N$6:$N$529,"답공",'10'!$E$6:$E$529)</f>
        <v>0</v>
      </c>
      <c r="K278" s="36">
        <f t="shared" si="18"/>
        <v>0</v>
      </c>
      <c r="L278" s="37" t="s">
        <v>5</v>
      </c>
      <c r="M278" s="38">
        <f t="shared" si="19"/>
        <v>0</v>
      </c>
      <c r="N278" s="39"/>
      <c r="Q278" s="23"/>
      <c r="S278" s="23"/>
      <c r="U278" s="23"/>
      <c r="V278" s="23"/>
    </row>
    <row r="279" spans="1:22" s="24" customFormat="1" ht="23.1" customHeight="1">
      <c r="A279" s="104" t="s">
        <v>9</v>
      </c>
      <c r="B279" s="36">
        <f>COUNTIF('10'!$C$6:$C$529,"임")</f>
        <v>0</v>
      </c>
      <c r="C279" s="37" t="s">
        <v>5</v>
      </c>
      <c r="D279" s="38">
        <f>SUMIF('10'!$C$6:$C$529,"임",'10'!$E$6:$E$529)</f>
        <v>0</v>
      </c>
      <c r="E279" s="36">
        <f>COUNTIF('10'!$N$6:$N$529,"임국")</f>
        <v>0</v>
      </c>
      <c r="F279" s="37" t="s">
        <v>5</v>
      </c>
      <c r="G279" s="38">
        <f>SUMIF('10'!$N$6:$N$529,"임국",'10'!$E$6:$E$529)</f>
        <v>0</v>
      </c>
      <c r="H279" s="36">
        <f>COUNTIF('10'!$N$6:$N$529,"임공")</f>
        <v>0</v>
      </c>
      <c r="I279" s="37" t="s">
        <v>5</v>
      </c>
      <c r="J279" s="38">
        <f>SUMIF('10'!$N$6:$N$529,"임공",'10'!$E$6:$E$529)</f>
        <v>0</v>
      </c>
      <c r="K279" s="36">
        <f t="shared" si="18"/>
        <v>0</v>
      </c>
      <c r="L279" s="37" t="s">
        <v>5</v>
      </c>
      <c r="M279" s="38">
        <f t="shared" si="19"/>
        <v>0</v>
      </c>
      <c r="N279" s="39"/>
      <c r="Q279" s="23"/>
      <c r="S279" s="23"/>
      <c r="U279" s="23"/>
      <c r="V279" s="23"/>
    </row>
    <row r="280" spans="1:22" s="24" customFormat="1" ht="23.1" customHeight="1">
      <c r="A280" s="104" t="s">
        <v>10</v>
      </c>
      <c r="B280" s="36">
        <f>COUNTIF('10'!$C$6:$C$529,"대")</f>
        <v>0</v>
      </c>
      <c r="C280" s="37" t="s">
        <v>5</v>
      </c>
      <c r="D280" s="38">
        <f>SUMIF('10'!$C$6:$C$529,"대",'10'!$E$6:$E$529)</f>
        <v>0</v>
      </c>
      <c r="E280" s="36">
        <f>COUNTIF('10'!$N$6:$N$529,"대국")</f>
        <v>0</v>
      </c>
      <c r="F280" s="37" t="s">
        <v>5</v>
      </c>
      <c r="G280" s="38">
        <f>SUMIF('10'!$N$6:$N$529,"대국",'10'!$E$6:$E$529)</f>
        <v>0</v>
      </c>
      <c r="H280" s="36">
        <f>COUNTIF('10'!$N$6:$N$529,"대공")</f>
        <v>0</v>
      </c>
      <c r="I280" s="37" t="s">
        <v>5</v>
      </c>
      <c r="J280" s="38">
        <f>SUMIF('10'!$N$6:$N$529,"대공",'10'!$E$6:$E$529)</f>
        <v>0</v>
      </c>
      <c r="K280" s="36">
        <f t="shared" si="18"/>
        <v>0</v>
      </c>
      <c r="L280" s="37" t="s">
        <v>5</v>
      </c>
      <c r="M280" s="38">
        <f t="shared" si="19"/>
        <v>0</v>
      </c>
      <c r="N280" s="39"/>
      <c r="O280" s="23"/>
      <c r="P280" s="23"/>
      <c r="Q280" s="23"/>
      <c r="R280" s="23"/>
      <c r="S280" s="23"/>
      <c r="T280" s="23"/>
      <c r="U280" s="23"/>
      <c r="V280" s="23"/>
    </row>
    <row r="281" spans="1:22" s="24" customFormat="1" ht="23.1" customHeight="1">
      <c r="A281" s="104" t="s">
        <v>11</v>
      </c>
      <c r="B281" s="36">
        <f>COUNTIF('10'!$C$6:$C$529,"도")</f>
        <v>0</v>
      </c>
      <c r="C281" s="37" t="s">
        <v>5</v>
      </c>
      <c r="D281" s="38">
        <f>SUMIF('10'!$C$6:$C$529,"도",'10'!$E$6:$E$529)</f>
        <v>0</v>
      </c>
      <c r="E281" s="36">
        <f>COUNTIF('10'!$N$6:$N$529,"도국")</f>
        <v>0</v>
      </c>
      <c r="F281" s="37" t="s">
        <v>5</v>
      </c>
      <c r="G281" s="38">
        <f>SUMIF('10'!$N$6:$N$529,"도국",'10'!$E$6:$E$529)</f>
        <v>0</v>
      </c>
      <c r="H281" s="36">
        <f>COUNTIF('10'!$N$6:$N$529,"도공")</f>
        <v>0</v>
      </c>
      <c r="I281" s="37" t="s">
        <v>5</v>
      </c>
      <c r="J281" s="38">
        <f>SUMIF('10'!$N$6:$N$529,"도공",'10'!$E$6:$E$529)</f>
        <v>0</v>
      </c>
      <c r="K281" s="36">
        <f t="shared" si="18"/>
        <v>0</v>
      </c>
      <c r="L281" s="37" t="s">
        <v>5</v>
      </c>
      <c r="M281" s="38">
        <f t="shared" si="19"/>
        <v>0</v>
      </c>
      <c r="N281" s="39"/>
      <c r="O281" s="23"/>
      <c r="P281" s="23"/>
      <c r="Q281" s="23"/>
      <c r="R281" s="23"/>
      <c r="S281" s="23"/>
      <c r="T281" s="23"/>
      <c r="U281" s="23"/>
      <c r="V281" s="23"/>
    </row>
    <row r="282" spans="1:22" s="24" customFormat="1" ht="23.1" customHeight="1">
      <c r="A282" s="104" t="s">
        <v>12</v>
      </c>
      <c r="B282" s="36">
        <f>COUNTIF('10'!$C$6:$C$529,"구")</f>
        <v>0</v>
      </c>
      <c r="C282" s="37" t="s">
        <v>5</v>
      </c>
      <c r="D282" s="38">
        <f>SUMIF('10'!$C$6:$C$529,"구",'10'!$E$6:$E$529)</f>
        <v>0</v>
      </c>
      <c r="E282" s="36">
        <f>COUNTIF('10'!$N$6:$N$529,"구국")</f>
        <v>0</v>
      </c>
      <c r="F282" s="37" t="s">
        <v>5</v>
      </c>
      <c r="G282" s="38">
        <f>SUMIF('10'!$N$6:$N$529,"구국",'10'!$E$6:$E$529)</f>
        <v>0</v>
      </c>
      <c r="H282" s="36">
        <f>COUNTIF('10'!$N$6:$N$529,"구공")</f>
        <v>0</v>
      </c>
      <c r="I282" s="37" t="s">
        <v>5</v>
      </c>
      <c r="J282" s="38">
        <f>SUMIF('10'!$N$6:$N$529,"구공",'10'!$E$6:$E$529)</f>
        <v>0</v>
      </c>
      <c r="K282" s="36">
        <f t="shared" si="18"/>
        <v>0</v>
      </c>
      <c r="L282" s="37" t="s">
        <v>5</v>
      </c>
      <c r="M282" s="38">
        <f t="shared" si="19"/>
        <v>0</v>
      </c>
      <c r="N282" s="39"/>
      <c r="O282" s="23"/>
      <c r="P282" s="23"/>
      <c r="Q282" s="23"/>
      <c r="R282" s="23"/>
      <c r="S282" s="23"/>
      <c r="T282" s="23"/>
      <c r="U282" s="23"/>
      <c r="V282" s="23"/>
    </row>
    <row r="283" spans="1:22" s="24" customFormat="1" ht="23.1" customHeight="1">
      <c r="A283" s="104" t="s">
        <v>13</v>
      </c>
      <c r="B283" s="36">
        <f>COUNTIF('10'!$C$6:$C$529,"천")</f>
        <v>0</v>
      </c>
      <c r="C283" s="37" t="s">
        <v>5</v>
      </c>
      <c r="D283" s="38">
        <f>SUMIF('10'!$C$6:$C$529,"천",'10'!$E$6:$E$529)</f>
        <v>0</v>
      </c>
      <c r="E283" s="36">
        <f>COUNTIF('10'!$N$6:$N$529,"천국")</f>
        <v>0</v>
      </c>
      <c r="F283" s="37" t="s">
        <v>5</v>
      </c>
      <c r="G283" s="38">
        <f>SUMIF('10'!$N$6:$N$529,"천국",'10'!$E$6:$E$529)</f>
        <v>0</v>
      </c>
      <c r="H283" s="36">
        <f>COUNTIF('10'!$N$6:$N$529,"천공")</f>
        <v>0</v>
      </c>
      <c r="I283" s="37" t="s">
        <v>5</v>
      </c>
      <c r="J283" s="38">
        <f>SUMIF('10'!$N$6:$N$529,"천공",'10'!$E$6:$E$529)</f>
        <v>0</v>
      </c>
      <c r="K283" s="36">
        <f t="shared" si="18"/>
        <v>0</v>
      </c>
      <c r="L283" s="37" t="s">
        <v>5</v>
      </c>
      <c r="M283" s="38">
        <f t="shared" si="19"/>
        <v>0</v>
      </c>
      <c r="N283" s="39"/>
      <c r="O283" s="23"/>
      <c r="P283" s="23"/>
      <c r="Q283" s="23"/>
      <c r="R283" s="23"/>
      <c r="S283" s="23"/>
      <c r="T283" s="23"/>
      <c r="U283" s="23"/>
      <c r="V283" s="23"/>
    </row>
    <row r="284" spans="1:22" s="24" customFormat="1" ht="23.1" customHeight="1">
      <c r="A284" s="104" t="s">
        <v>14</v>
      </c>
      <c r="B284" s="36">
        <f>COUNTIF('10'!$C$6:$C$529,"유")</f>
        <v>0</v>
      </c>
      <c r="C284" s="37" t="s">
        <v>5</v>
      </c>
      <c r="D284" s="38">
        <f>SUMIF('10'!$C$6:$C$529,"유",'10'!$E$6:$E$529)</f>
        <v>0</v>
      </c>
      <c r="E284" s="36">
        <f>COUNTIF('10'!$N$6:$N$529,"유국")</f>
        <v>0</v>
      </c>
      <c r="F284" s="37" t="s">
        <v>5</v>
      </c>
      <c r="G284" s="38">
        <f>SUMIF('10'!$N$6:$N$529,"유국",'10'!$E$6:$E$529)</f>
        <v>0</v>
      </c>
      <c r="H284" s="36">
        <f>COUNTIF('10'!$N$6:$N$529,"유공")</f>
        <v>0</v>
      </c>
      <c r="I284" s="37" t="s">
        <v>5</v>
      </c>
      <c r="J284" s="38">
        <f>SUMIF('10'!$N$6:$N$529,"유공",'10'!$E$6:$E$529)</f>
        <v>0</v>
      </c>
      <c r="K284" s="36">
        <f t="shared" si="18"/>
        <v>0</v>
      </c>
      <c r="L284" s="37" t="s">
        <v>5</v>
      </c>
      <c r="M284" s="38">
        <f t="shared" si="19"/>
        <v>0</v>
      </c>
      <c r="N284" s="39"/>
      <c r="O284" s="23"/>
      <c r="P284" s="23"/>
      <c r="Q284" s="23"/>
      <c r="R284" s="23"/>
      <c r="S284" s="23"/>
      <c r="T284" s="23"/>
      <c r="U284" s="23"/>
      <c r="V284" s="23"/>
    </row>
    <row r="285" spans="1:22" s="24" customFormat="1" ht="23.1" customHeight="1">
      <c r="A285" s="104" t="s">
        <v>15</v>
      </c>
      <c r="B285" s="36">
        <f>COUNTIF('10'!$C$6:$C$529,"제")</f>
        <v>0</v>
      </c>
      <c r="C285" s="37" t="s">
        <v>5</v>
      </c>
      <c r="D285" s="38">
        <f>SUMIF('10'!$C$6:$C$529,"제",'10'!$E$6:$E$529)</f>
        <v>0</v>
      </c>
      <c r="E285" s="36">
        <f>COUNTIF('10'!$N$6:$N$529,"제국")</f>
        <v>0</v>
      </c>
      <c r="F285" s="37" t="s">
        <v>5</v>
      </c>
      <c r="G285" s="38">
        <f>SUMIF('10'!$N$6:$N$529,"제국",'10'!$E$6:$E$529)</f>
        <v>0</v>
      </c>
      <c r="H285" s="36">
        <f>COUNTIF('10'!$N$6:$N$529,"제공")</f>
        <v>0</v>
      </c>
      <c r="I285" s="37" t="s">
        <v>5</v>
      </c>
      <c r="J285" s="38">
        <f>SUMIF('10'!$N$6:$N$529,"제공",'10'!$E$6:$E$529)</f>
        <v>0</v>
      </c>
      <c r="K285" s="36">
        <f t="shared" si="18"/>
        <v>0</v>
      </c>
      <c r="L285" s="37" t="s">
        <v>5</v>
      </c>
      <c r="M285" s="38">
        <f t="shared" si="19"/>
        <v>0</v>
      </c>
      <c r="N285" s="39"/>
      <c r="O285" s="23"/>
      <c r="P285" s="23"/>
      <c r="Q285" s="23"/>
      <c r="R285" s="23"/>
      <c r="S285" s="23"/>
      <c r="T285" s="23"/>
      <c r="U285" s="23"/>
      <c r="V285" s="23"/>
    </row>
    <row r="286" spans="1:22" s="24" customFormat="1" ht="23.1" customHeight="1">
      <c r="A286" s="104" t="s">
        <v>16</v>
      </c>
      <c r="B286" s="36">
        <f>COUNTIF('10'!$C$6:$C$529,"과")</f>
        <v>0</v>
      </c>
      <c r="C286" s="37" t="s">
        <v>5</v>
      </c>
      <c r="D286" s="38">
        <f>SUMIF('10'!$C$6:$C$529,"과",'10'!$E$6:$E$529)</f>
        <v>0</v>
      </c>
      <c r="E286" s="36">
        <f>COUNTIF('10'!$N$6:$N$529,"과국")</f>
        <v>0</v>
      </c>
      <c r="F286" s="37" t="s">
        <v>5</v>
      </c>
      <c r="G286" s="38">
        <f>SUMIF('10'!$N$6:$N$529,"과국",'10'!$E$6:$E$529)</f>
        <v>0</v>
      </c>
      <c r="H286" s="36">
        <f>COUNTIF('10'!$N$6:$N$529,"과공")</f>
        <v>0</v>
      </c>
      <c r="I286" s="37" t="s">
        <v>5</v>
      </c>
      <c r="J286" s="38">
        <f>SUMIF('10'!$N$6:$N$529,"과공",'10'!$E$6:$E$529)</f>
        <v>0</v>
      </c>
      <c r="K286" s="36">
        <f t="shared" si="18"/>
        <v>0</v>
      </c>
      <c r="L286" s="37" t="s">
        <v>5</v>
      </c>
      <c r="M286" s="38">
        <f t="shared" si="19"/>
        <v>0</v>
      </c>
      <c r="N286" s="39"/>
      <c r="O286" s="23"/>
      <c r="P286" s="23"/>
      <c r="Q286" s="23"/>
      <c r="R286" s="23"/>
      <c r="S286" s="23"/>
      <c r="T286" s="23"/>
      <c r="U286" s="23"/>
      <c r="V286" s="23"/>
    </row>
    <row r="287" spans="1:22" s="24" customFormat="1" ht="23.1" customHeight="1">
      <c r="A287" s="104" t="s">
        <v>17</v>
      </c>
      <c r="B287" s="36">
        <f>COUNTIF('10'!$C$6:$C$529,"장")</f>
        <v>0</v>
      </c>
      <c r="C287" s="37" t="s">
        <v>5</v>
      </c>
      <c r="D287" s="38">
        <f>SUMIF('10'!$C$6:$C$529,"장",'10'!$E$6:$E$529)</f>
        <v>0</v>
      </c>
      <c r="E287" s="36">
        <f>COUNTIF('10'!$N$6:$N$529,"장국")</f>
        <v>0</v>
      </c>
      <c r="F287" s="37" t="s">
        <v>5</v>
      </c>
      <c r="G287" s="38">
        <f>SUMIF('10'!$N$6:$N$529,"장국",'10'!$E$6:$E$529)</f>
        <v>0</v>
      </c>
      <c r="H287" s="36">
        <f>COUNTIF('10'!$N$6:$N$529,"장공")</f>
        <v>0</v>
      </c>
      <c r="I287" s="37" t="s">
        <v>5</v>
      </c>
      <c r="J287" s="38">
        <f>SUMIF('10'!$N$6:$N$529,"장공",'10'!$E$6:$E$529)</f>
        <v>0</v>
      </c>
      <c r="K287" s="36">
        <f t="shared" si="18"/>
        <v>0</v>
      </c>
      <c r="L287" s="37" t="s">
        <v>5</v>
      </c>
      <c r="M287" s="38">
        <f t="shared" si="19"/>
        <v>0</v>
      </c>
      <c r="N287" s="39"/>
      <c r="O287" s="23"/>
      <c r="P287" s="23"/>
      <c r="Q287" s="23"/>
      <c r="R287" s="23"/>
      <c r="S287" s="23"/>
      <c r="T287" s="23"/>
      <c r="U287" s="23"/>
      <c r="V287" s="23"/>
    </row>
    <row r="288" spans="1:22" s="24" customFormat="1" ht="23.1" customHeight="1">
      <c r="A288" s="104" t="s">
        <v>18</v>
      </c>
      <c r="B288" s="36">
        <f>COUNTIF('10'!$C$6:$C$529,"목")</f>
        <v>0</v>
      </c>
      <c r="C288" s="37" t="s">
        <v>5</v>
      </c>
      <c r="D288" s="38">
        <f>SUMIF('10'!$C$6:$C$529,"목",'10'!$E$6:$E$529)</f>
        <v>0</v>
      </c>
      <c r="E288" s="36">
        <f>COUNTIF('10'!$N$6:$N$529,"목국")</f>
        <v>0</v>
      </c>
      <c r="F288" s="37" t="s">
        <v>5</v>
      </c>
      <c r="G288" s="38">
        <f>SUMIF('10'!$N$6:$N$529,"목국",'10'!$E$6:$E$529)</f>
        <v>0</v>
      </c>
      <c r="H288" s="36">
        <f>COUNTIF('10'!$N$6:$N$529,"목공")</f>
        <v>0</v>
      </c>
      <c r="I288" s="37" t="s">
        <v>5</v>
      </c>
      <c r="J288" s="38">
        <f>SUMIF('10'!$N$6:$N$529,"목공",'10'!$E$6:$E$529)</f>
        <v>0</v>
      </c>
      <c r="K288" s="36">
        <f t="shared" si="18"/>
        <v>0</v>
      </c>
      <c r="L288" s="37" t="s">
        <v>5</v>
      </c>
      <c r="M288" s="38">
        <f t="shared" si="19"/>
        <v>0</v>
      </c>
      <c r="N288" s="39"/>
      <c r="O288" s="23"/>
      <c r="P288" s="23"/>
      <c r="Q288" s="23"/>
      <c r="R288" s="23"/>
      <c r="S288" s="23"/>
      <c r="T288" s="23"/>
      <c r="U288" s="23"/>
      <c r="V288" s="23"/>
    </row>
    <row r="289" spans="1:22" s="24" customFormat="1" ht="23.1" customHeight="1">
      <c r="A289" s="104" t="s">
        <v>19</v>
      </c>
      <c r="B289" s="36">
        <f>COUNTIF('10'!$C$6:$C$529,"학")</f>
        <v>0</v>
      </c>
      <c r="C289" s="37" t="s">
        <v>5</v>
      </c>
      <c r="D289" s="38">
        <f>SUMIF('10'!$C$6:$C$529,"학",'10'!$E$6:$E$529)</f>
        <v>0</v>
      </c>
      <c r="E289" s="36">
        <f>COUNTIF('10'!$N$6:$N$529,"학국")</f>
        <v>0</v>
      </c>
      <c r="F289" s="37" t="s">
        <v>5</v>
      </c>
      <c r="G289" s="38">
        <f>SUMIF('10'!$N$6:$N$529,"학국",'10'!$E$6:$E$529)</f>
        <v>0</v>
      </c>
      <c r="H289" s="36">
        <f>COUNTIF('10'!$N$6:$N$529,"학공")</f>
        <v>0</v>
      </c>
      <c r="I289" s="37" t="s">
        <v>5</v>
      </c>
      <c r="J289" s="38">
        <f>SUMIF('10'!$N$6:$N$529,"학공",'10'!$E$6:$E$529)</f>
        <v>0</v>
      </c>
      <c r="K289" s="36">
        <f t="shared" si="18"/>
        <v>0</v>
      </c>
      <c r="L289" s="37" t="s">
        <v>5</v>
      </c>
      <c r="M289" s="38">
        <f t="shared" si="19"/>
        <v>0</v>
      </c>
      <c r="N289" s="39"/>
      <c r="O289" s="23"/>
      <c r="P289" s="23"/>
      <c r="Q289" s="23"/>
      <c r="R289" s="23"/>
      <c r="S289" s="23"/>
      <c r="T289" s="23"/>
      <c r="U289" s="23"/>
      <c r="V289" s="23"/>
    </row>
    <row r="290" spans="1:22" s="24" customFormat="1" ht="23.1" customHeight="1">
      <c r="A290" s="104" t="s">
        <v>20</v>
      </c>
      <c r="B290" s="36">
        <f>COUNTIF('10'!$C$6:$C$529,"철")</f>
        <v>0</v>
      </c>
      <c r="C290" s="37" t="s">
        <v>5</v>
      </c>
      <c r="D290" s="38">
        <f>SUMIF('10'!$C$6:$C$529,"철",'10'!$E$6:$E$529)</f>
        <v>0</v>
      </c>
      <c r="E290" s="36">
        <f>COUNTIF('10'!$N$6:$N$529,"철국")</f>
        <v>0</v>
      </c>
      <c r="F290" s="37" t="s">
        <v>5</v>
      </c>
      <c r="G290" s="38">
        <f>SUMIF('10'!$N$6:$N$529,"철국",'10'!$E$6:$E$529)</f>
        <v>0</v>
      </c>
      <c r="H290" s="36">
        <f>COUNTIF('10'!$N$6:$N$529,"철공")</f>
        <v>0</v>
      </c>
      <c r="I290" s="37" t="s">
        <v>5</v>
      </c>
      <c r="J290" s="38">
        <f>SUMIF('10'!$N$6:$N$529,"철공",'10'!$E$6:$E$529)</f>
        <v>0</v>
      </c>
      <c r="K290" s="36">
        <f t="shared" si="18"/>
        <v>0</v>
      </c>
      <c r="L290" s="37" t="s">
        <v>5</v>
      </c>
      <c r="M290" s="38">
        <f t="shared" si="19"/>
        <v>0</v>
      </c>
      <c r="N290" s="39"/>
      <c r="O290" s="23"/>
      <c r="P290" s="23"/>
      <c r="Q290" s="23"/>
      <c r="R290" s="23"/>
      <c r="S290" s="23"/>
      <c r="T290" s="23"/>
      <c r="U290" s="23"/>
      <c r="V290" s="23"/>
    </row>
    <row r="291" spans="1:22" s="24" customFormat="1" ht="23.1" customHeight="1">
      <c r="A291" s="104" t="s">
        <v>21</v>
      </c>
      <c r="B291" s="36">
        <f>COUNTIF('10'!$C$6:$C$529,"묘")</f>
        <v>0</v>
      </c>
      <c r="C291" s="37" t="s">
        <v>5</v>
      </c>
      <c r="D291" s="38">
        <f>SUMIF('10'!$C$6:$C$529,"묘",'10'!$E$6:$E$529)</f>
        <v>0</v>
      </c>
      <c r="E291" s="36">
        <f>COUNTIF('10'!$N$6:$N$529,"묘국")</f>
        <v>0</v>
      </c>
      <c r="F291" s="37" t="s">
        <v>5</v>
      </c>
      <c r="G291" s="38">
        <f>SUMIF('10'!$N$6:$N$529,"묘국",'10'!$E$6:$E$529)</f>
        <v>0</v>
      </c>
      <c r="H291" s="36">
        <f>COUNTIF('10'!$N$6:$N$529,"묘공")</f>
        <v>0</v>
      </c>
      <c r="I291" s="37" t="s">
        <v>5</v>
      </c>
      <c r="J291" s="38">
        <f>SUMIF('10'!$N$6:$N$529,"묘공",'10'!$E$6:$E$529)</f>
        <v>0</v>
      </c>
      <c r="K291" s="36">
        <f t="shared" si="18"/>
        <v>0</v>
      </c>
      <c r="L291" s="37" t="s">
        <v>5</v>
      </c>
      <c r="M291" s="38">
        <f t="shared" si="19"/>
        <v>0</v>
      </c>
      <c r="N291" s="39"/>
      <c r="O291" s="23"/>
      <c r="P291" s="23"/>
      <c r="Q291" s="23"/>
      <c r="R291" s="23"/>
      <c r="S291" s="23"/>
      <c r="T291" s="23"/>
      <c r="U291" s="23"/>
      <c r="V291" s="23"/>
    </row>
    <row r="292" spans="1:22" s="24" customFormat="1" ht="23.1" customHeight="1">
      <c r="A292" s="104" t="s">
        <v>22</v>
      </c>
      <c r="B292" s="36">
        <f>COUNTIF('10'!$C$6:$C$529,"수")</f>
        <v>0</v>
      </c>
      <c r="C292" s="37" t="s">
        <v>5</v>
      </c>
      <c r="D292" s="38">
        <f>SUMIF('10'!$C$6:$C$529,"수",'10'!$E$6:$E$529)</f>
        <v>0</v>
      </c>
      <c r="E292" s="36">
        <f>COUNTIF('10'!$N$6:$N$529,"수국")</f>
        <v>0</v>
      </c>
      <c r="F292" s="37" t="s">
        <v>5</v>
      </c>
      <c r="G292" s="38">
        <f>SUMIF('10'!$N$6:$N$529,"수국",'10'!$E$6:$E$529)</f>
        <v>0</v>
      </c>
      <c r="H292" s="36">
        <f>COUNTIF('10'!$N$6:$N$529,"수공")</f>
        <v>0</v>
      </c>
      <c r="I292" s="37" t="s">
        <v>5</v>
      </c>
      <c r="J292" s="38">
        <f>SUMIF('10'!$N$6:$N$529,"수공",'10'!$E$6:$E$529)</f>
        <v>0</v>
      </c>
      <c r="K292" s="36">
        <f t="shared" si="18"/>
        <v>0</v>
      </c>
      <c r="L292" s="37" t="s">
        <v>5</v>
      </c>
      <c r="M292" s="38">
        <f t="shared" si="19"/>
        <v>0</v>
      </c>
      <c r="N292" s="39"/>
      <c r="O292" s="23"/>
      <c r="P292" s="23"/>
      <c r="Q292" s="23"/>
      <c r="R292" s="23"/>
      <c r="S292" s="23"/>
      <c r="T292" s="23"/>
      <c r="U292" s="23"/>
      <c r="V292" s="23"/>
    </row>
    <row r="293" spans="1:22" s="24" customFormat="1" ht="23.1" customHeight="1">
      <c r="A293" s="104" t="s">
        <v>23</v>
      </c>
      <c r="B293" s="36">
        <f>COUNTIF('10'!$C$6:$C$529,"잡")</f>
        <v>0</v>
      </c>
      <c r="C293" s="37" t="s">
        <v>5</v>
      </c>
      <c r="D293" s="38">
        <f>SUMIF('10'!$C$6:$C$529,"잡",'10'!$E$6:$E$529)</f>
        <v>0</v>
      </c>
      <c r="E293" s="36">
        <f>COUNTIF('10'!$N$6:$N$529,"잡국")</f>
        <v>0</v>
      </c>
      <c r="F293" s="37" t="s">
        <v>5</v>
      </c>
      <c r="G293" s="38">
        <f>SUMIF('10'!$N$6:$N$529,"잡국",'10'!$E$6:$E$529)</f>
        <v>0</v>
      </c>
      <c r="H293" s="36">
        <f>COUNTIF('10'!$N$6:$N$529,"잡공")</f>
        <v>0</v>
      </c>
      <c r="I293" s="37" t="s">
        <v>5</v>
      </c>
      <c r="J293" s="38">
        <f>SUMIF('10'!$N$6:$N$529,"잡공",'10'!$E$6:$E$529)</f>
        <v>0</v>
      </c>
      <c r="K293" s="36">
        <f t="shared" si="18"/>
        <v>0</v>
      </c>
      <c r="L293" s="37" t="s">
        <v>5</v>
      </c>
      <c r="M293" s="38">
        <f t="shared" si="19"/>
        <v>0</v>
      </c>
      <c r="N293" s="39"/>
      <c r="O293" s="23"/>
      <c r="P293" s="23"/>
      <c r="Q293" s="23"/>
      <c r="R293" s="23"/>
      <c r="S293" s="23"/>
      <c r="T293" s="23"/>
      <c r="U293" s="23"/>
      <c r="V293" s="23"/>
    </row>
    <row r="294" spans="1:22" s="24" customFormat="1" ht="23.1" customHeight="1">
      <c r="A294" s="105" t="s">
        <v>24</v>
      </c>
      <c r="B294" s="36">
        <f>COUNTIF('10'!$C$6:$C$529,"종")</f>
        <v>0</v>
      </c>
      <c r="C294" s="37" t="s">
        <v>5</v>
      </c>
      <c r="D294" s="38">
        <f>SUMIF('10'!$C$6:$C$529,"종",'10'!$E$6:$E$529)</f>
        <v>0</v>
      </c>
      <c r="E294" s="36">
        <f>COUNTIF('10'!$N$6:$N$529,"종국")</f>
        <v>0</v>
      </c>
      <c r="F294" s="37" t="s">
        <v>5</v>
      </c>
      <c r="G294" s="38">
        <f>SUMIF('10'!$N$6:$N$529,"종국",'10'!$E$6:$E$529)</f>
        <v>0</v>
      </c>
      <c r="H294" s="36">
        <f>COUNTIF('10'!$N$6:$N$529,"종공")</f>
        <v>0</v>
      </c>
      <c r="I294" s="37" t="s">
        <v>5</v>
      </c>
      <c r="J294" s="38">
        <f>SUMIF('10'!$N$6:$N$529,"종공",'10'!$E$6:$E$529)</f>
        <v>0</v>
      </c>
      <c r="K294" s="36">
        <f t="shared" si="18"/>
        <v>0</v>
      </c>
      <c r="L294" s="37" t="s">
        <v>5</v>
      </c>
      <c r="M294" s="38">
        <f t="shared" si="19"/>
        <v>0</v>
      </c>
      <c r="N294" s="39"/>
      <c r="O294" s="23"/>
      <c r="P294" s="23"/>
      <c r="Q294" s="23"/>
      <c r="R294" s="23"/>
      <c r="S294" s="23"/>
      <c r="T294" s="23"/>
      <c r="U294" s="23"/>
      <c r="V294" s="23"/>
    </row>
    <row r="295" spans="1:22" s="24" customFormat="1" ht="23.1" customHeight="1">
      <c r="A295" s="105" t="s">
        <v>25</v>
      </c>
      <c r="B295" s="36">
        <f>COUNTIF('10'!$C$6:$C$529,"염")</f>
        <v>0</v>
      </c>
      <c r="C295" s="37" t="s">
        <v>5</v>
      </c>
      <c r="D295" s="38">
        <f>SUMIF('10'!$C$6:$C$529,"염",'10'!$E$6:$E$529)</f>
        <v>0</v>
      </c>
      <c r="E295" s="36">
        <f>COUNTIF('10'!$N$6:$N$529,"염국")</f>
        <v>0</v>
      </c>
      <c r="F295" s="37" t="s">
        <v>5</v>
      </c>
      <c r="G295" s="38">
        <f>SUMIF('10'!$N$6:$N$529,"염국",'10'!$E$6:$E$529)</f>
        <v>0</v>
      </c>
      <c r="H295" s="36">
        <f>COUNTIF('10'!$N$6:$N$529,"염공")</f>
        <v>0</v>
      </c>
      <c r="I295" s="37" t="s">
        <v>5</v>
      </c>
      <c r="J295" s="38">
        <f>SUMIF('10'!$N$6:$N$529,"염공",'10'!$E$6:$E$529)</f>
        <v>0</v>
      </c>
      <c r="K295" s="36">
        <f t="shared" si="18"/>
        <v>0</v>
      </c>
      <c r="L295" s="37" t="s">
        <v>5</v>
      </c>
      <c r="M295" s="38">
        <f t="shared" si="19"/>
        <v>0</v>
      </c>
      <c r="N295" s="39"/>
      <c r="O295" s="23"/>
      <c r="P295" s="23"/>
      <c r="Q295" s="23"/>
      <c r="R295" s="23"/>
      <c r="S295" s="23"/>
      <c r="T295" s="23"/>
      <c r="U295" s="23"/>
      <c r="V295" s="23"/>
    </row>
    <row r="296" spans="1:22" s="24" customFormat="1" ht="23.1" customHeight="1">
      <c r="A296" s="105" t="s">
        <v>26</v>
      </c>
      <c r="B296" s="36">
        <f>COUNTIF('10'!$C$6:$C$529,"공")</f>
        <v>0</v>
      </c>
      <c r="C296" s="37" t="s">
        <v>5</v>
      </c>
      <c r="D296" s="38">
        <f>SUMIF('10'!$C$6:$C$529,"공",'10'!$E$6:$E$529)</f>
        <v>0</v>
      </c>
      <c r="E296" s="36">
        <f>COUNTIF('10'!$N$6:$N$529,"공국")</f>
        <v>0</v>
      </c>
      <c r="F296" s="37" t="s">
        <v>5</v>
      </c>
      <c r="G296" s="38">
        <f>SUMIF('10'!$N$6:$N$529,"공국",'10'!$E$6:$E$529)</f>
        <v>0</v>
      </c>
      <c r="H296" s="36">
        <f>COUNTIF('10'!$N$6:$N$529,"공공")</f>
        <v>0</v>
      </c>
      <c r="I296" s="37" t="s">
        <v>5</v>
      </c>
      <c r="J296" s="38">
        <f>SUMIF('10'!$N$6:$N$529,"공공",'10'!$E$6:$E$529)</f>
        <v>0</v>
      </c>
      <c r="K296" s="36">
        <f t="shared" si="18"/>
        <v>0</v>
      </c>
      <c r="L296" s="37" t="s">
        <v>5</v>
      </c>
      <c r="M296" s="38">
        <f t="shared" si="19"/>
        <v>0</v>
      </c>
      <c r="N296" s="39"/>
      <c r="O296" s="23"/>
      <c r="P296" s="23"/>
      <c r="Q296" s="23"/>
      <c r="R296" s="23"/>
      <c r="S296" s="23"/>
      <c r="T296" s="23"/>
      <c r="U296" s="23"/>
      <c r="V296" s="23"/>
    </row>
    <row r="297" spans="1:22" s="24" customFormat="1" ht="23.1" customHeight="1">
      <c r="A297" s="105" t="s">
        <v>27</v>
      </c>
      <c r="B297" s="36">
        <f>COUNTIF('10'!$C$6:$C$529,"체")</f>
        <v>0</v>
      </c>
      <c r="C297" s="37" t="s">
        <v>5</v>
      </c>
      <c r="D297" s="38">
        <f>SUMIF('10'!$C$6:$C$529,"체",'10'!$E$6:$E$529)</f>
        <v>0</v>
      </c>
      <c r="E297" s="36">
        <f>COUNTIF('10'!$N$6:$N$529,"체국")</f>
        <v>0</v>
      </c>
      <c r="F297" s="37" t="s">
        <v>5</v>
      </c>
      <c r="G297" s="38">
        <f>SUMIF('10'!$N$6:$N$529,"체국",'10'!$E$6:$E$529)</f>
        <v>0</v>
      </c>
      <c r="H297" s="36">
        <f>COUNTIF('10'!$N$6:$N$529,"체공")</f>
        <v>0</v>
      </c>
      <c r="I297" s="37" t="s">
        <v>5</v>
      </c>
      <c r="J297" s="38">
        <f>SUMIF('10'!$N$6:$N$529,"체공",'10'!$E$6:$E$529)</f>
        <v>0</v>
      </c>
      <c r="K297" s="36">
        <f t="shared" si="18"/>
        <v>0</v>
      </c>
      <c r="L297" s="37" t="s">
        <v>5</v>
      </c>
      <c r="M297" s="38">
        <f t="shared" si="19"/>
        <v>0</v>
      </c>
      <c r="N297" s="39"/>
      <c r="O297" s="23"/>
      <c r="P297" s="23"/>
      <c r="Q297" s="23"/>
      <c r="R297" s="23"/>
      <c r="S297" s="23"/>
      <c r="T297" s="23"/>
      <c r="U297" s="23"/>
      <c r="V297" s="23"/>
    </row>
    <row r="298" spans="1:22" s="24" customFormat="1" ht="23.1" customHeight="1">
      <c r="A298" s="105" t="s">
        <v>28</v>
      </c>
      <c r="B298" s="36">
        <f>COUNTIF('10'!$C$6:$C$529,"원")</f>
        <v>0</v>
      </c>
      <c r="C298" s="37" t="s">
        <v>5</v>
      </c>
      <c r="D298" s="38">
        <f>SUMIF('10'!$C$6:$C$529,"원",'10'!$E$6:$E$529)</f>
        <v>0</v>
      </c>
      <c r="E298" s="36">
        <f>COUNTIF('10'!$N$6:$N$529,"원국")</f>
        <v>0</v>
      </c>
      <c r="F298" s="37" t="s">
        <v>5</v>
      </c>
      <c r="G298" s="38">
        <f>SUMIF('10'!$N$6:$N$529,"원국",'10'!$E$6:$E$529)</f>
        <v>0</v>
      </c>
      <c r="H298" s="36">
        <f>COUNTIF('10'!$N$6:$N$529,"원공")</f>
        <v>0</v>
      </c>
      <c r="I298" s="37" t="s">
        <v>5</v>
      </c>
      <c r="J298" s="38">
        <f>SUMIF('10'!$N$6:$N$529,"원공",'10'!$E$6:$E$529)</f>
        <v>0</v>
      </c>
      <c r="K298" s="36">
        <f t="shared" si="18"/>
        <v>0</v>
      </c>
      <c r="L298" s="37" t="s">
        <v>5</v>
      </c>
      <c r="M298" s="38">
        <f t="shared" si="19"/>
        <v>0</v>
      </c>
      <c r="N298" s="39"/>
      <c r="O298" s="23"/>
      <c r="P298" s="23"/>
      <c r="Q298" s="23"/>
      <c r="R298" s="23"/>
      <c r="S298" s="23"/>
      <c r="T298" s="23"/>
      <c r="U298" s="23"/>
      <c r="V298" s="23"/>
    </row>
    <row r="299" spans="1:22" s="24" customFormat="1" ht="23.1" customHeight="1">
      <c r="A299" s="105" t="s">
        <v>60</v>
      </c>
      <c r="B299" s="36">
        <f>COUNTIF('10'!$C$6:$C$529,"차")</f>
        <v>0</v>
      </c>
      <c r="C299" s="37" t="s">
        <v>5</v>
      </c>
      <c r="D299" s="38">
        <f>SUMIF('10'!$C$6:$C$529,"차",'10'!$E$6:$E$529)</f>
        <v>0</v>
      </c>
      <c r="E299" s="36">
        <f>COUNTIF('10'!$N$6:$N$529,"차국")</f>
        <v>0</v>
      </c>
      <c r="F299" s="37" t="s">
        <v>5</v>
      </c>
      <c r="G299" s="38">
        <f>SUMIF('10'!$N$6:$N$529,"차국",'10'!$E$6:$E$529)</f>
        <v>0</v>
      </c>
      <c r="H299" s="36">
        <f>COUNTIF('10'!$N$6:$N$529,"차공")</f>
        <v>0</v>
      </c>
      <c r="I299" s="37" t="s">
        <v>5</v>
      </c>
      <c r="J299" s="38">
        <f>SUMIF('10'!$N$6:$N$529,"차공",'10'!$E$6:$E$529)</f>
        <v>0</v>
      </c>
      <c r="K299" s="36">
        <f t="shared" si="18"/>
        <v>0</v>
      </c>
      <c r="L299" s="37" t="s">
        <v>5</v>
      </c>
      <c r="M299" s="38">
        <f t="shared" si="19"/>
        <v>0</v>
      </c>
      <c r="N299" s="39"/>
      <c r="O299" s="23"/>
      <c r="P299" s="23"/>
      <c r="Q299" s="23"/>
      <c r="R299" s="23"/>
      <c r="S299" s="23"/>
      <c r="T299" s="23"/>
      <c r="U299" s="23"/>
      <c r="V299" s="23"/>
    </row>
    <row r="300" spans="1:22" s="24" customFormat="1" ht="23.1" customHeight="1">
      <c r="A300" s="105" t="s">
        <v>61</v>
      </c>
      <c r="B300" s="36">
        <f>COUNTIF('10'!$C$6:$C$529,"주")</f>
        <v>0</v>
      </c>
      <c r="C300" s="37" t="s">
        <v>5</v>
      </c>
      <c r="D300" s="38">
        <f>SUMIF('10'!$C$6:$C$529,"주",'10'!$E$6:$E$529)</f>
        <v>0</v>
      </c>
      <c r="E300" s="36">
        <f>COUNTIF('10'!$N$6:$N$529,"주국")</f>
        <v>0</v>
      </c>
      <c r="F300" s="37" t="s">
        <v>5</v>
      </c>
      <c r="G300" s="38">
        <f>SUMIF('10'!$N$6:$N$529,"주국",'10'!$E$6:$E$529)</f>
        <v>0</v>
      </c>
      <c r="H300" s="36">
        <f>COUNTIF('10'!$N$6:$N$529,"주공")</f>
        <v>0</v>
      </c>
      <c r="I300" s="37" t="s">
        <v>5</v>
      </c>
      <c r="J300" s="38">
        <f>SUMIF('10'!$N$6:$N$529,"주공",'10'!$E$6:$E$529)</f>
        <v>0</v>
      </c>
      <c r="K300" s="36">
        <f t="shared" si="18"/>
        <v>0</v>
      </c>
      <c r="L300" s="37" t="s">
        <v>5</v>
      </c>
      <c r="M300" s="38">
        <f t="shared" si="19"/>
        <v>0</v>
      </c>
      <c r="N300" s="39"/>
      <c r="O300" s="23"/>
      <c r="P300" s="23"/>
      <c r="Q300" s="23"/>
      <c r="R300" s="23"/>
      <c r="S300" s="23"/>
      <c r="T300" s="23"/>
      <c r="U300" s="23"/>
      <c r="V300" s="23"/>
    </row>
    <row r="301" spans="1:22" s="24" customFormat="1" ht="23.1" customHeight="1">
      <c r="A301" s="106" t="s">
        <v>62</v>
      </c>
      <c r="B301" s="40">
        <f>COUNTIF('10'!$C$6:$C$529," ")</f>
        <v>0</v>
      </c>
      <c r="C301" s="41" t="s">
        <v>5</v>
      </c>
      <c r="D301" s="42">
        <f>SUMIF('10'!$C$6:$C$529," ",'10'!$E$6:$E$529)</f>
        <v>0</v>
      </c>
      <c r="E301" s="40">
        <f>COUNTIF('10'!$N$6:$N$529," 국")</f>
        <v>0</v>
      </c>
      <c r="F301" s="41" t="s">
        <v>5</v>
      </c>
      <c r="G301" s="42">
        <f>SUMIF('10'!$N$6:$N$529," 국",'10'!$E$6:$E$529)</f>
        <v>0</v>
      </c>
      <c r="H301" s="40">
        <f>COUNTIF('10'!$N$6:$N$529," 공")</f>
        <v>0</v>
      </c>
      <c r="I301" s="41" t="s">
        <v>5</v>
      </c>
      <c r="J301" s="42">
        <f>SUMIF('10'!$N$6:$N$529," 공",'10'!$E$6:$E$529)</f>
        <v>0</v>
      </c>
      <c r="K301" s="40">
        <f t="shared" si="18"/>
        <v>0</v>
      </c>
      <c r="L301" s="41" t="s">
        <v>5</v>
      </c>
      <c r="M301" s="42">
        <f t="shared" si="19"/>
        <v>0</v>
      </c>
      <c r="N301" s="43"/>
      <c r="O301" s="23"/>
      <c r="P301" s="23"/>
      <c r="Q301" s="23"/>
      <c r="R301" s="23"/>
      <c r="S301" s="23"/>
      <c r="T301" s="23"/>
      <c r="U301" s="23"/>
      <c r="V301" s="23"/>
    </row>
    <row r="302" spans="1:22">
      <c r="N302" s="100"/>
    </row>
    <row r="303" spans="1:22">
      <c r="N303" s="100"/>
    </row>
    <row r="304" spans="1:22">
      <c r="N304" s="100"/>
    </row>
    <row r="305" spans="1:14">
      <c r="N305" s="100"/>
    </row>
    <row r="306" spans="1:14">
      <c r="N306" s="100"/>
    </row>
    <row r="307" spans="1:14">
      <c r="A307" s="101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</row>
    <row r="308" spans="1:14">
      <c r="A308" s="101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</row>
    <row r="309" spans="1:14">
      <c r="A309" s="101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</row>
    <row r="310" spans="1:14">
      <c r="A310" s="101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</row>
    <row r="311" spans="1:14">
      <c r="A311" s="101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</row>
    <row r="312" spans="1:14">
      <c r="A312" s="101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</row>
    <row r="313" spans="1:14">
      <c r="A313" s="101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</row>
    <row r="314" spans="1:14">
      <c r="A314" s="101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</row>
    <row r="315" spans="1:14">
      <c r="A315" s="101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</row>
    <row r="316" spans="1:14">
      <c r="A316" s="101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</row>
    <row r="317" spans="1:14">
      <c r="A317" s="101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</row>
    <row r="318" spans="1:14">
      <c r="A318" s="101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</row>
    <row r="319" spans="1:14">
      <c r="A319" s="101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</row>
    <row r="320" spans="1:14">
      <c r="A320" s="101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</row>
    <row r="321" spans="1:14">
      <c r="A321" s="101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</row>
    <row r="322" spans="1:14">
      <c r="N322" s="100"/>
    </row>
    <row r="323" spans="1:14">
      <c r="N323" s="100"/>
    </row>
    <row r="324" spans="1:14">
      <c r="N324" s="100"/>
    </row>
    <row r="325" spans="1:14">
      <c r="N325" s="100"/>
    </row>
    <row r="326" spans="1:14">
      <c r="N326" s="100"/>
    </row>
    <row r="327" spans="1:14">
      <c r="N327" s="100"/>
    </row>
    <row r="328" spans="1:14">
      <c r="A328" s="101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</row>
    <row r="329" spans="1:14">
      <c r="A329" s="101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</row>
    <row r="330" spans="1:14">
      <c r="A330" s="101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</row>
    <row r="331" spans="1:14">
      <c r="A331" s="101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</row>
    <row r="332" spans="1:14">
      <c r="A332" s="101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</row>
    <row r="333" spans="1:14">
      <c r="A333" s="101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</row>
    <row r="334" spans="1:14">
      <c r="A334" s="101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</row>
    <row r="335" spans="1:14">
      <c r="A335" s="101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</row>
    <row r="336" spans="1:14">
      <c r="A336" s="101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</row>
    <row r="337" spans="1:14">
      <c r="A337" s="101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</row>
    <row r="338" spans="1:14">
      <c r="A338" s="101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</row>
    <row r="339" spans="1:14">
      <c r="A339" s="101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</row>
    <row r="340" spans="1:14">
      <c r="A340" s="101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</row>
    <row r="341" spans="1:14">
      <c r="A341" s="101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</row>
    <row r="342" spans="1:14">
      <c r="A342" s="101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</row>
    <row r="343" spans="1:14">
      <c r="N343" s="100"/>
    </row>
    <row r="344" spans="1:14">
      <c r="N344" s="100"/>
    </row>
    <row r="345" spans="1:14">
      <c r="N345" s="100"/>
    </row>
    <row r="346" spans="1:14">
      <c r="N346" s="100"/>
    </row>
    <row r="347" spans="1:14">
      <c r="N347" s="100"/>
    </row>
    <row r="348" spans="1:14">
      <c r="N348" s="100"/>
    </row>
    <row r="349" spans="1:14">
      <c r="A349" s="101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</row>
    <row r="350" spans="1:14">
      <c r="A350" s="101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</row>
    <row r="351" spans="1:14">
      <c r="A351" s="101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</row>
    <row r="352" spans="1:14">
      <c r="A352" s="101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</row>
    <row r="353" spans="1:14">
      <c r="A353" s="101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</row>
    <row r="354" spans="1:14">
      <c r="A354" s="101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</row>
    <row r="355" spans="1:14">
      <c r="A355" s="101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</row>
    <row r="356" spans="1:14">
      <c r="A356" s="101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</row>
    <row r="357" spans="1:14">
      <c r="A357" s="101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</row>
    <row r="358" spans="1:14">
      <c r="A358" s="101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</row>
    <row r="359" spans="1:14">
      <c r="A359" s="101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</row>
    <row r="360" spans="1:14">
      <c r="A360" s="101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</row>
    <row r="361" spans="1:14">
      <c r="A361" s="101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</row>
    <row r="362" spans="1:14">
      <c r="A362" s="101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</row>
    <row r="363" spans="1:14">
      <c r="A363" s="101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</row>
    <row r="364" spans="1:14">
      <c r="N364" s="100"/>
    </row>
    <row r="365" spans="1:14">
      <c r="N365" s="100"/>
    </row>
    <row r="366" spans="1:14">
      <c r="N366" s="100"/>
    </row>
    <row r="367" spans="1:14">
      <c r="N367" s="100"/>
    </row>
    <row r="368" spans="1:14">
      <c r="N368" s="100"/>
    </row>
    <row r="369" spans="14:14">
      <c r="N369" s="100"/>
    </row>
  </sheetData>
  <mergeCells count="4">
    <mergeCell ref="B94:D94"/>
    <mergeCell ref="B4:D4"/>
    <mergeCell ref="B64:D64"/>
    <mergeCell ref="B34:D34"/>
  </mergeCells>
  <phoneticPr fontId="5" type="noConversion"/>
  <printOptions horizontalCentered="1" verticalCentered="1"/>
  <pageMargins left="0.39370078740157483" right="0.39370078740157483" top="0.78740157480314965" bottom="0.39370078740157483" header="0.39370078740157483" footer="0.19685039370078741"/>
  <pageSetup paperSize="9" scale="85" orientation="portrait" horizontalDpi="4294967293" r:id="rId1"/>
  <headerFooter alignWithMargins="0"/>
  <rowBreaks count="9" manualBreakCount="9">
    <brk id="31" max="13" man="1"/>
    <brk id="61" max="13" man="1"/>
    <brk id="91" max="13" man="1"/>
    <brk id="121" max="13" man="1"/>
    <brk id="151" max="13" man="1"/>
    <brk id="181" max="13" man="1"/>
    <brk id="211" max="13" man="1"/>
    <brk id="241" max="13" man="1"/>
    <brk id="271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1"/>
  <sheetViews>
    <sheetView showGridLines="0" showZeros="0" view="pageBreakPreview" zoomScale="70" zoomScaleSheetLayoutView="70" workbookViewId="0">
      <selection activeCell="G37" sqref="G37"/>
    </sheetView>
  </sheetViews>
  <sheetFormatPr defaultRowHeight="11.25"/>
  <cols>
    <col min="1" max="1" width="4.33203125" style="240" customWidth="1"/>
    <col min="2" max="3" width="6.33203125" style="307" customWidth="1"/>
    <col min="4" max="4" width="3.77734375" style="240" customWidth="1"/>
    <col min="5" max="5" width="7.77734375" style="308" customWidth="1"/>
    <col min="6" max="6" width="7.77734375" style="309" customWidth="1"/>
    <col min="7" max="7" width="8.33203125" style="310" customWidth="1"/>
    <col min="8" max="8" width="17.44140625" style="240" customWidth="1"/>
    <col min="9" max="9" width="7.77734375" style="240" customWidth="1"/>
    <col min="10" max="10" width="13.88671875" style="240" customWidth="1"/>
    <col min="11" max="12" width="6.77734375" style="240" customWidth="1"/>
    <col min="13" max="13" width="20.77734375" style="311" customWidth="1"/>
    <col min="14" max="14" width="9.77734375" style="313" customWidth="1"/>
    <col min="15" max="20" width="9.77734375" style="240" customWidth="1"/>
    <col min="21" max="21" width="10.77734375" style="240" customWidth="1"/>
    <col min="22" max="16384" width="8.88671875" style="240"/>
  </cols>
  <sheetData>
    <row r="1" spans="1:21" ht="30" customHeight="1">
      <c r="A1" s="231" t="s">
        <v>58</v>
      </c>
      <c r="B1" s="232"/>
      <c r="C1" s="232"/>
      <c r="D1" s="233"/>
      <c r="E1" s="234"/>
      <c r="F1" s="235"/>
      <c r="G1" s="233"/>
      <c r="H1" s="233"/>
      <c r="I1" s="233"/>
      <c r="J1" s="233"/>
      <c r="K1" s="236"/>
      <c r="L1" s="236"/>
      <c r="M1" s="237"/>
      <c r="N1" s="238"/>
      <c r="O1" s="239"/>
      <c r="P1" s="239"/>
      <c r="Q1" s="239"/>
      <c r="R1" s="239"/>
      <c r="S1" s="239"/>
      <c r="T1" s="239"/>
      <c r="U1" s="239"/>
    </row>
    <row r="2" spans="1:21" ht="19.899999999999999" customHeight="1">
      <c r="A2" s="241"/>
      <c r="B2" s="242"/>
      <c r="C2" s="242"/>
      <c r="D2" s="239"/>
      <c r="E2" s="243"/>
      <c r="F2" s="244"/>
      <c r="G2" s="245"/>
      <c r="H2" s="246"/>
      <c r="I2" s="247" t="s">
        <v>69</v>
      </c>
      <c r="J2" s="248"/>
      <c r="K2" s="249"/>
      <c r="L2" s="249"/>
      <c r="M2" s="245"/>
      <c r="N2" s="238"/>
      <c r="O2" s="239"/>
      <c r="P2" s="239"/>
      <c r="Q2" s="239"/>
      <c r="R2" s="239"/>
      <c r="S2" s="239"/>
      <c r="T2" s="239"/>
      <c r="U2" s="239"/>
    </row>
    <row r="3" spans="1:21" ht="10.15" customHeight="1">
      <c r="A3" s="250"/>
      <c r="B3" s="251"/>
      <c r="C3" s="251"/>
      <c r="D3" s="252"/>
      <c r="E3" s="253"/>
      <c r="F3" s="254"/>
      <c r="G3" s="255"/>
      <c r="H3" s="252"/>
      <c r="I3" s="252"/>
      <c r="J3" s="252"/>
      <c r="K3" s="252"/>
      <c r="L3" s="256"/>
      <c r="M3" s="257"/>
      <c r="N3" s="238"/>
      <c r="O3" s="239"/>
      <c r="P3" s="239"/>
      <c r="Q3" s="239"/>
      <c r="R3" s="239"/>
      <c r="S3" s="239"/>
      <c r="T3" s="239"/>
      <c r="U3" s="239"/>
    </row>
    <row r="4" spans="1:21" ht="18" customHeight="1">
      <c r="A4" s="107" t="s">
        <v>39</v>
      </c>
      <c r="B4" s="499" t="s">
        <v>40</v>
      </c>
      <c r="C4" s="500"/>
      <c r="D4" s="501" t="s">
        <v>41</v>
      </c>
      <c r="E4" s="206" t="s">
        <v>42</v>
      </c>
      <c r="F4" s="337" t="s">
        <v>43</v>
      </c>
      <c r="G4" s="499" t="s">
        <v>131</v>
      </c>
      <c r="H4" s="500"/>
      <c r="I4" s="230" t="s">
        <v>46</v>
      </c>
      <c r="J4" s="58"/>
      <c r="K4" s="60"/>
      <c r="L4" s="503" t="s">
        <v>31</v>
      </c>
      <c r="M4" s="495" t="s">
        <v>31</v>
      </c>
      <c r="N4" s="497" t="s">
        <v>71</v>
      </c>
      <c r="O4" s="239"/>
      <c r="P4" s="258"/>
      <c r="Q4" s="258"/>
      <c r="R4" s="258"/>
      <c r="S4" s="258"/>
      <c r="T4" s="258"/>
      <c r="U4" s="258"/>
    </row>
    <row r="5" spans="1:21" ht="18" customHeight="1">
      <c r="A5" s="62" t="s">
        <v>47</v>
      </c>
      <c r="B5" s="65" t="s">
        <v>136</v>
      </c>
      <c r="C5" s="65" t="s">
        <v>137</v>
      </c>
      <c r="D5" s="502"/>
      <c r="E5" s="208" t="s">
        <v>59</v>
      </c>
      <c r="F5" s="65" t="s">
        <v>129</v>
      </c>
      <c r="G5" s="65" t="s">
        <v>49</v>
      </c>
      <c r="H5" s="338" t="s">
        <v>50</v>
      </c>
      <c r="I5" s="65" t="s">
        <v>49</v>
      </c>
      <c r="J5" s="65" t="s">
        <v>50</v>
      </c>
      <c r="K5" s="66" t="s">
        <v>51</v>
      </c>
      <c r="L5" s="504"/>
      <c r="M5" s="496"/>
      <c r="N5" s="498"/>
      <c r="O5" s="258"/>
      <c r="P5" s="259"/>
      <c r="Q5" s="259"/>
      <c r="R5" s="259"/>
      <c r="S5" s="259"/>
      <c r="T5" s="259"/>
      <c r="U5" s="239"/>
    </row>
    <row r="6" spans="1:21" ht="18" customHeight="1">
      <c r="A6" s="342">
        <v>1</v>
      </c>
      <c r="B6" s="202" t="s">
        <v>617</v>
      </c>
      <c r="C6" s="202"/>
      <c r="D6" s="202" t="s">
        <v>462</v>
      </c>
      <c r="E6" s="207">
        <v>9821</v>
      </c>
      <c r="F6" s="207">
        <v>158</v>
      </c>
      <c r="G6" s="203" t="s">
        <v>86</v>
      </c>
      <c r="H6" s="203" t="s">
        <v>712</v>
      </c>
      <c r="I6" s="203"/>
      <c r="J6" s="203"/>
      <c r="K6" s="203"/>
      <c r="L6" s="276"/>
      <c r="M6" s="263" t="str">
        <f>CONCATENATE(D6,G6)</f>
        <v>구국</v>
      </c>
      <c r="N6" s="264"/>
      <c r="O6" s="265"/>
      <c r="P6" s="265"/>
      <c r="Q6" s="265"/>
      <c r="R6" s="265"/>
      <c r="S6" s="265"/>
      <c r="T6" s="265"/>
      <c r="U6" s="265"/>
    </row>
    <row r="7" spans="1:21" ht="18" customHeight="1">
      <c r="A7" s="342">
        <f>A6+1</f>
        <v>2</v>
      </c>
      <c r="B7" s="202" t="s">
        <v>618</v>
      </c>
      <c r="C7" s="202"/>
      <c r="D7" s="202" t="s">
        <v>8</v>
      </c>
      <c r="E7" s="207">
        <v>10</v>
      </c>
      <c r="F7" s="207">
        <v>10</v>
      </c>
      <c r="G7" s="203" t="s">
        <v>0</v>
      </c>
      <c r="H7" s="203" t="s">
        <v>452</v>
      </c>
      <c r="I7" s="203"/>
      <c r="J7" s="203"/>
      <c r="K7" s="203"/>
      <c r="L7" s="276"/>
      <c r="M7" s="263" t="str">
        <f t="shared" ref="M7:M71" si="0">CONCATENATE(D7,G7)</f>
        <v>답공</v>
      </c>
      <c r="N7" s="264"/>
      <c r="O7" s="265"/>
      <c r="P7" s="265"/>
      <c r="Q7" s="265"/>
      <c r="R7" s="265"/>
      <c r="S7" s="265"/>
      <c r="T7" s="265"/>
      <c r="U7" s="265"/>
    </row>
    <row r="8" spans="1:21" ht="18" customHeight="1">
      <c r="A8" s="342">
        <f t="shared" ref="A8:A71" si="1">A7+1</f>
        <v>3</v>
      </c>
      <c r="B8" s="202" t="s">
        <v>619</v>
      </c>
      <c r="C8" s="202"/>
      <c r="D8" s="202" t="s">
        <v>459</v>
      </c>
      <c r="E8" s="207">
        <v>34</v>
      </c>
      <c r="F8" s="207">
        <v>34</v>
      </c>
      <c r="G8" s="203" t="s">
        <v>516</v>
      </c>
      <c r="H8" s="203" t="s">
        <v>516</v>
      </c>
      <c r="I8" s="203"/>
      <c r="J8" s="203"/>
      <c r="K8" s="203"/>
      <c r="L8" s="276"/>
      <c r="M8" s="263" t="str">
        <f t="shared" si="0"/>
        <v>대이*식</v>
      </c>
      <c r="N8" s="264"/>
      <c r="O8" s="265"/>
      <c r="P8" s="265"/>
      <c r="Q8" s="265"/>
      <c r="R8" s="265"/>
      <c r="S8" s="265"/>
      <c r="T8" s="265"/>
      <c r="U8" s="265"/>
    </row>
    <row r="9" spans="1:21" ht="18" customHeight="1">
      <c r="A9" s="342">
        <f t="shared" si="1"/>
        <v>4</v>
      </c>
      <c r="B9" s="202" t="s">
        <v>620</v>
      </c>
      <c r="C9" s="202"/>
      <c r="D9" s="202" t="s">
        <v>7</v>
      </c>
      <c r="E9" s="207">
        <v>777</v>
      </c>
      <c r="F9" s="207">
        <v>23</v>
      </c>
      <c r="G9" s="203" t="s">
        <v>713</v>
      </c>
      <c r="H9" s="203" t="s">
        <v>713</v>
      </c>
      <c r="I9" s="203"/>
      <c r="J9" s="203"/>
      <c r="K9" s="203"/>
      <c r="L9" s="276"/>
      <c r="M9" s="263" t="str">
        <f t="shared" si="0"/>
        <v>전강*훈</v>
      </c>
      <c r="N9" s="264"/>
      <c r="O9" s="265"/>
      <c r="P9" s="265"/>
      <c r="Q9" s="265"/>
      <c r="R9" s="265"/>
      <c r="S9" s="265"/>
      <c r="T9" s="265"/>
      <c r="U9" s="265"/>
    </row>
    <row r="10" spans="1:21" ht="18" customHeight="1">
      <c r="A10" s="342">
        <f t="shared" si="1"/>
        <v>5</v>
      </c>
      <c r="B10" s="202" t="s">
        <v>621</v>
      </c>
      <c r="C10" s="202"/>
      <c r="D10" s="202" t="s">
        <v>7</v>
      </c>
      <c r="E10" s="207">
        <v>1401</v>
      </c>
      <c r="F10" s="207">
        <v>152</v>
      </c>
      <c r="G10" s="203" t="s">
        <v>0</v>
      </c>
      <c r="H10" s="203" t="s">
        <v>452</v>
      </c>
      <c r="I10" s="203"/>
      <c r="J10" s="203"/>
      <c r="K10" s="203"/>
      <c r="L10" s="276"/>
      <c r="M10" s="263" t="str">
        <f t="shared" si="0"/>
        <v>전공</v>
      </c>
      <c r="N10" s="264"/>
      <c r="O10" s="265"/>
      <c r="P10" s="265"/>
      <c r="Q10" s="265"/>
      <c r="R10" s="265"/>
      <c r="S10" s="265"/>
      <c r="T10" s="265"/>
      <c r="U10" s="265"/>
    </row>
    <row r="11" spans="1:21" ht="18" customHeight="1">
      <c r="A11" s="342">
        <f t="shared" si="1"/>
        <v>6</v>
      </c>
      <c r="B11" s="202" t="s">
        <v>622</v>
      </c>
      <c r="C11" s="202"/>
      <c r="D11" s="202" t="s">
        <v>7</v>
      </c>
      <c r="E11" s="207">
        <v>81</v>
      </c>
      <c r="F11" s="207">
        <v>26</v>
      </c>
      <c r="G11" s="203" t="s">
        <v>713</v>
      </c>
      <c r="H11" s="203" t="s">
        <v>713</v>
      </c>
      <c r="I11" s="203"/>
      <c r="J11" s="203"/>
      <c r="K11" s="203"/>
      <c r="L11" s="276"/>
      <c r="M11" s="263" t="str">
        <f t="shared" si="0"/>
        <v>전강*훈</v>
      </c>
      <c r="N11" s="264"/>
      <c r="O11" s="265"/>
      <c r="P11" s="265"/>
      <c r="Q11" s="265"/>
      <c r="R11" s="265"/>
      <c r="S11" s="265"/>
      <c r="T11" s="265"/>
      <c r="U11" s="265"/>
    </row>
    <row r="12" spans="1:21" ht="18" customHeight="1">
      <c r="A12" s="342">
        <f t="shared" si="1"/>
        <v>7</v>
      </c>
      <c r="B12" s="202" t="s">
        <v>623</v>
      </c>
      <c r="C12" s="202"/>
      <c r="D12" s="202" t="s">
        <v>459</v>
      </c>
      <c r="E12" s="207">
        <v>1532</v>
      </c>
      <c r="F12" s="207">
        <v>296</v>
      </c>
      <c r="G12" s="203" t="s">
        <v>0</v>
      </c>
      <c r="H12" s="203" t="s">
        <v>452</v>
      </c>
      <c r="I12" s="203"/>
      <c r="J12" s="203"/>
      <c r="K12" s="203"/>
      <c r="L12" s="276"/>
      <c r="M12" s="263" t="str">
        <f t="shared" si="0"/>
        <v>대공</v>
      </c>
      <c r="N12" s="266"/>
      <c r="O12" s="265"/>
      <c r="P12" s="265"/>
      <c r="Q12" s="265"/>
      <c r="R12" s="265"/>
      <c r="S12" s="265"/>
      <c r="T12" s="265"/>
      <c r="U12" s="267"/>
    </row>
    <row r="13" spans="1:21" ht="18" customHeight="1">
      <c r="A13" s="342">
        <f t="shared" si="1"/>
        <v>8</v>
      </c>
      <c r="B13" s="202" t="s">
        <v>624</v>
      </c>
      <c r="C13" s="202"/>
      <c r="D13" s="202" t="s">
        <v>7</v>
      </c>
      <c r="E13" s="207">
        <v>2297</v>
      </c>
      <c r="F13" s="207">
        <v>2297</v>
      </c>
      <c r="G13" s="203" t="s">
        <v>0</v>
      </c>
      <c r="H13" s="203" t="s">
        <v>452</v>
      </c>
      <c r="I13" s="203"/>
      <c r="J13" s="203"/>
      <c r="K13" s="203"/>
      <c r="L13" s="276"/>
      <c r="M13" s="263" t="str">
        <f t="shared" si="0"/>
        <v>전공</v>
      </c>
      <c r="N13" s="266"/>
      <c r="O13" s="265"/>
      <c r="P13" s="265"/>
      <c r="Q13" s="265"/>
      <c r="R13" s="265"/>
      <c r="S13" s="265"/>
      <c r="T13" s="265"/>
      <c r="U13" s="267"/>
    </row>
    <row r="14" spans="1:21" ht="18" customHeight="1">
      <c r="A14" s="342">
        <f t="shared" si="1"/>
        <v>9</v>
      </c>
      <c r="B14" s="202" t="s">
        <v>625</v>
      </c>
      <c r="C14" s="202"/>
      <c r="D14" s="202" t="s">
        <v>484</v>
      </c>
      <c r="E14" s="207">
        <v>1007</v>
      </c>
      <c r="F14" s="207">
        <v>1007</v>
      </c>
      <c r="G14" s="203" t="s">
        <v>0</v>
      </c>
      <c r="H14" s="203" t="s">
        <v>452</v>
      </c>
      <c r="I14" s="203"/>
      <c r="J14" s="203"/>
      <c r="K14" s="203"/>
      <c r="L14" s="276"/>
      <c r="M14" s="263" t="str">
        <f t="shared" si="0"/>
        <v>유공</v>
      </c>
      <c r="N14" s="266"/>
      <c r="O14" s="265"/>
      <c r="P14" s="265"/>
      <c r="Q14" s="265"/>
      <c r="R14" s="265"/>
      <c r="S14" s="265"/>
      <c r="T14" s="265"/>
      <c r="U14" s="267"/>
    </row>
    <row r="15" spans="1:21" ht="18" customHeight="1">
      <c r="A15" s="342">
        <f t="shared" si="1"/>
        <v>10</v>
      </c>
      <c r="B15" s="202" t="s">
        <v>626</v>
      </c>
      <c r="C15" s="202"/>
      <c r="D15" s="202" t="s">
        <v>484</v>
      </c>
      <c r="E15" s="207">
        <v>594</v>
      </c>
      <c r="F15" s="207">
        <v>594</v>
      </c>
      <c r="G15" s="203" t="s">
        <v>86</v>
      </c>
      <c r="H15" s="203" t="s">
        <v>452</v>
      </c>
      <c r="I15" s="203"/>
      <c r="J15" s="203"/>
      <c r="K15" s="203"/>
      <c r="L15" s="276"/>
      <c r="M15" s="263" t="str">
        <f t="shared" si="0"/>
        <v>유국</v>
      </c>
      <c r="N15" s="266"/>
      <c r="O15" s="265"/>
      <c r="P15" s="265"/>
      <c r="Q15" s="265"/>
      <c r="R15" s="265"/>
      <c r="S15" s="265"/>
      <c r="T15" s="265"/>
      <c r="U15" s="267"/>
    </row>
    <row r="16" spans="1:21" ht="18" customHeight="1">
      <c r="A16" s="342">
        <f t="shared" si="1"/>
        <v>11</v>
      </c>
      <c r="B16" s="202" t="s">
        <v>627</v>
      </c>
      <c r="C16" s="202"/>
      <c r="D16" s="202" t="s">
        <v>462</v>
      </c>
      <c r="E16" s="207">
        <v>10</v>
      </c>
      <c r="F16" s="207">
        <v>10</v>
      </c>
      <c r="G16" s="203" t="s">
        <v>86</v>
      </c>
      <c r="H16" s="203" t="s">
        <v>712</v>
      </c>
      <c r="I16" s="203"/>
      <c r="J16" s="203"/>
      <c r="K16" s="203"/>
      <c r="L16" s="276"/>
      <c r="M16" s="263" t="str">
        <f t="shared" si="0"/>
        <v>구국</v>
      </c>
      <c r="N16" s="266"/>
      <c r="O16" s="265"/>
      <c r="P16" s="265"/>
      <c r="Q16" s="265"/>
      <c r="R16" s="265"/>
      <c r="S16" s="265"/>
      <c r="T16" s="265"/>
      <c r="U16" s="267"/>
    </row>
    <row r="17" spans="1:21" ht="18" customHeight="1">
      <c r="A17" s="342">
        <f t="shared" si="1"/>
        <v>12</v>
      </c>
      <c r="B17" s="202" t="s">
        <v>628</v>
      </c>
      <c r="C17" s="202"/>
      <c r="D17" s="202" t="s">
        <v>462</v>
      </c>
      <c r="E17" s="207">
        <v>574.29999999999995</v>
      </c>
      <c r="F17" s="207">
        <v>574.29999999999995</v>
      </c>
      <c r="G17" s="203" t="s">
        <v>86</v>
      </c>
      <c r="H17" s="203" t="s">
        <v>712</v>
      </c>
      <c r="I17" s="203"/>
      <c r="J17" s="203"/>
      <c r="K17" s="203"/>
      <c r="L17" s="276"/>
      <c r="M17" s="263" t="str">
        <f t="shared" si="0"/>
        <v>구국</v>
      </c>
      <c r="N17" s="266"/>
      <c r="O17" s="265"/>
      <c r="P17" s="265"/>
      <c r="Q17" s="265"/>
      <c r="R17" s="265"/>
      <c r="S17" s="265"/>
      <c r="T17" s="265"/>
      <c r="U17" s="267"/>
    </row>
    <row r="18" spans="1:21" ht="18" customHeight="1">
      <c r="A18" s="342">
        <f t="shared" si="1"/>
        <v>13</v>
      </c>
      <c r="B18" s="202" t="s">
        <v>629</v>
      </c>
      <c r="C18" s="202"/>
      <c r="D18" s="202" t="s">
        <v>484</v>
      </c>
      <c r="E18" s="207">
        <v>134</v>
      </c>
      <c r="F18" s="207">
        <v>134</v>
      </c>
      <c r="G18" s="203" t="s">
        <v>0</v>
      </c>
      <c r="H18" s="203" t="s">
        <v>452</v>
      </c>
      <c r="I18" s="203"/>
      <c r="J18" s="203"/>
      <c r="K18" s="203"/>
      <c r="L18" s="276"/>
      <c r="M18" s="263" t="str">
        <f t="shared" si="0"/>
        <v>유공</v>
      </c>
      <c r="N18" s="266"/>
      <c r="O18" s="265"/>
      <c r="P18" s="265"/>
      <c r="Q18" s="265"/>
      <c r="R18" s="265"/>
      <c r="S18" s="265"/>
      <c r="T18" s="265"/>
      <c r="U18" s="267"/>
    </row>
    <row r="19" spans="1:21" ht="18" customHeight="1">
      <c r="A19" s="342">
        <f t="shared" si="1"/>
        <v>14</v>
      </c>
      <c r="B19" s="202" t="s">
        <v>630</v>
      </c>
      <c r="C19" s="202"/>
      <c r="D19" s="202" t="s">
        <v>8</v>
      </c>
      <c r="E19" s="207">
        <v>1514.1</v>
      </c>
      <c r="F19" s="207">
        <v>1514.1</v>
      </c>
      <c r="G19" s="203" t="s">
        <v>0</v>
      </c>
      <c r="H19" s="203" t="s">
        <v>452</v>
      </c>
      <c r="I19" s="203"/>
      <c r="J19" s="203"/>
      <c r="K19" s="203"/>
      <c r="L19" s="276"/>
      <c r="M19" s="263" t="str">
        <f t="shared" si="0"/>
        <v>답공</v>
      </c>
      <c r="N19" s="266"/>
      <c r="O19" s="265"/>
      <c r="P19" s="265"/>
      <c r="Q19" s="265"/>
      <c r="R19" s="265"/>
      <c r="S19" s="265"/>
      <c r="T19" s="265"/>
      <c r="U19" s="267"/>
    </row>
    <row r="20" spans="1:21" ht="18" customHeight="1">
      <c r="A20" s="342">
        <f t="shared" si="1"/>
        <v>15</v>
      </c>
      <c r="B20" s="202" t="s">
        <v>631</v>
      </c>
      <c r="C20" s="202"/>
      <c r="D20" s="202" t="s">
        <v>8</v>
      </c>
      <c r="E20" s="207">
        <v>1813.3</v>
      </c>
      <c r="F20" s="207">
        <v>1813.3</v>
      </c>
      <c r="G20" s="203" t="s">
        <v>0</v>
      </c>
      <c r="H20" s="203" t="s">
        <v>452</v>
      </c>
      <c r="I20" s="203"/>
      <c r="J20" s="203"/>
      <c r="K20" s="203"/>
      <c r="L20" s="276"/>
      <c r="M20" s="263" t="str">
        <f t="shared" si="0"/>
        <v>답공</v>
      </c>
      <c r="N20" s="266"/>
      <c r="O20" s="265"/>
      <c r="P20" s="265"/>
      <c r="Q20" s="265"/>
      <c r="R20" s="265"/>
      <c r="S20" s="265"/>
      <c r="T20" s="265"/>
      <c r="U20" s="267"/>
    </row>
    <row r="21" spans="1:21" ht="18" customHeight="1">
      <c r="A21" s="342">
        <f t="shared" si="1"/>
        <v>16</v>
      </c>
      <c r="B21" s="202" t="s">
        <v>632</v>
      </c>
      <c r="C21" s="202"/>
      <c r="D21" s="202" t="s">
        <v>462</v>
      </c>
      <c r="E21" s="207">
        <v>189.2</v>
      </c>
      <c r="F21" s="207">
        <v>189.2</v>
      </c>
      <c r="G21" s="203" t="s">
        <v>86</v>
      </c>
      <c r="H21" s="203" t="s">
        <v>712</v>
      </c>
      <c r="I21" s="203"/>
      <c r="J21" s="203"/>
      <c r="K21" s="203"/>
      <c r="L21" s="276"/>
      <c r="M21" s="263" t="str">
        <f t="shared" si="0"/>
        <v>구국</v>
      </c>
      <c r="N21" s="266"/>
      <c r="O21" s="265"/>
      <c r="P21" s="265"/>
      <c r="Q21" s="265"/>
      <c r="R21" s="265"/>
      <c r="S21" s="265"/>
      <c r="T21" s="265"/>
      <c r="U21" s="267"/>
    </row>
    <row r="22" spans="1:21" ht="18" customHeight="1">
      <c r="A22" s="342">
        <f t="shared" si="1"/>
        <v>17</v>
      </c>
      <c r="B22" s="202" t="s">
        <v>633</v>
      </c>
      <c r="C22" s="202"/>
      <c r="D22" s="202" t="s">
        <v>455</v>
      </c>
      <c r="E22" s="207">
        <v>116.8</v>
      </c>
      <c r="F22" s="207">
        <v>116.8</v>
      </c>
      <c r="G22" s="203" t="s">
        <v>86</v>
      </c>
      <c r="H22" s="203" t="s">
        <v>712</v>
      </c>
      <c r="I22" s="203"/>
      <c r="J22" s="203"/>
      <c r="K22" s="203"/>
      <c r="L22" s="276"/>
      <c r="M22" s="263" t="str">
        <f t="shared" si="0"/>
        <v>도국</v>
      </c>
      <c r="N22" s="266"/>
      <c r="O22" s="265"/>
      <c r="P22" s="265"/>
      <c r="Q22" s="265"/>
      <c r="R22" s="265"/>
      <c r="S22" s="265"/>
      <c r="T22" s="265"/>
      <c r="U22" s="267"/>
    </row>
    <row r="23" spans="1:21" ht="18" customHeight="1">
      <c r="A23" s="342">
        <f t="shared" si="1"/>
        <v>18</v>
      </c>
      <c r="B23" s="202" t="s">
        <v>634</v>
      </c>
      <c r="C23" s="202"/>
      <c r="D23" s="202" t="s">
        <v>8</v>
      </c>
      <c r="E23" s="207">
        <v>1125.8</v>
      </c>
      <c r="F23" s="207">
        <v>1125.8</v>
      </c>
      <c r="G23" s="203" t="s">
        <v>0</v>
      </c>
      <c r="H23" s="203" t="s">
        <v>452</v>
      </c>
      <c r="I23" s="203"/>
      <c r="J23" s="203"/>
      <c r="K23" s="203"/>
      <c r="L23" s="276"/>
      <c r="M23" s="263" t="str">
        <f t="shared" si="0"/>
        <v>답공</v>
      </c>
      <c r="N23" s="266"/>
      <c r="O23" s="265"/>
      <c r="P23" s="265"/>
      <c r="Q23" s="265"/>
      <c r="R23" s="265"/>
      <c r="S23" s="265"/>
      <c r="T23" s="265"/>
      <c r="U23" s="267"/>
    </row>
    <row r="24" spans="1:21" ht="18" customHeight="1">
      <c r="A24" s="342">
        <f t="shared" si="1"/>
        <v>19</v>
      </c>
      <c r="B24" s="202" t="s">
        <v>635</v>
      </c>
      <c r="C24" s="202"/>
      <c r="D24" s="202" t="s">
        <v>8</v>
      </c>
      <c r="E24" s="207">
        <v>394.1</v>
      </c>
      <c r="F24" s="207">
        <v>394.1</v>
      </c>
      <c r="G24" s="203" t="s">
        <v>0</v>
      </c>
      <c r="H24" s="203" t="s">
        <v>452</v>
      </c>
      <c r="I24" s="203"/>
      <c r="J24" s="203"/>
      <c r="K24" s="203"/>
      <c r="L24" s="276"/>
      <c r="M24" s="263" t="str">
        <f t="shared" si="0"/>
        <v>답공</v>
      </c>
      <c r="N24" s="266"/>
      <c r="O24" s="265"/>
      <c r="P24" s="265"/>
      <c r="Q24" s="265"/>
      <c r="R24" s="265"/>
      <c r="S24" s="265"/>
      <c r="T24" s="265"/>
      <c r="U24" s="267"/>
    </row>
    <row r="25" spans="1:21" ht="18" customHeight="1">
      <c r="A25" s="342">
        <f t="shared" si="1"/>
        <v>20</v>
      </c>
      <c r="B25" s="202" t="s">
        <v>636</v>
      </c>
      <c r="C25" s="202"/>
      <c r="D25" s="202" t="s">
        <v>7</v>
      </c>
      <c r="E25" s="207">
        <v>670</v>
      </c>
      <c r="F25" s="207">
        <v>670</v>
      </c>
      <c r="G25" s="203" t="s">
        <v>0</v>
      </c>
      <c r="H25" s="203" t="s">
        <v>452</v>
      </c>
      <c r="I25" s="203"/>
      <c r="J25" s="203"/>
      <c r="K25" s="203"/>
      <c r="L25" s="276"/>
      <c r="M25" s="263" t="str">
        <f t="shared" si="0"/>
        <v>전공</v>
      </c>
      <c r="N25" s="266"/>
      <c r="O25" s="265"/>
      <c r="P25" s="265"/>
      <c r="Q25" s="265"/>
      <c r="R25" s="265"/>
      <c r="S25" s="265"/>
      <c r="T25" s="265"/>
      <c r="U25" s="267"/>
    </row>
    <row r="26" spans="1:21" ht="18" customHeight="1">
      <c r="A26" s="342">
        <f t="shared" si="1"/>
        <v>21</v>
      </c>
      <c r="B26" s="202" t="s">
        <v>637</v>
      </c>
      <c r="C26" s="202"/>
      <c r="D26" s="202" t="s">
        <v>7</v>
      </c>
      <c r="E26" s="207">
        <v>126</v>
      </c>
      <c r="F26" s="207">
        <v>126</v>
      </c>
      <c r="G26" s="203" t="s">
        <v>0</v>
      </c>
      <c r="H26" s="203" t="s">
        <v>452</v>
      </c>
      <c r="I26" s="203"/>
      <c r="J26" s="203"/>
      <c r="K26" s="203"/>
      <c r="L26" s="276"/>
      <c r="M26" s="263" t="str">
        <f t="shared" si="0"/>
        <v>전공</v>
      </c>
      <c r="N26" s="266"/>
      <c r="O26" s="265"/>
      <c r="P26" s="265"/>
      <c r="Q26" s="265"/>
      <c r="R26" s="265"/>
      <c r="S26" s="265"/>
      <c r="T26" s="265"/>
      <c r="U26" s="267"/>
    </row>
    <row r="27" spans="1:21" ht="18" customHeight="1">
      <c r="A27" s="342">
        <f t="shared" si="1"/>
        <v>22</v>
      </c>
      <c r="B27" s="202" t="s">
        <v>638</v>
      </c>
      <c r="C27" s="202"/>
      <c r="D27" s="202" t="s">
        <v>455</v>
      </c>
      <c r="E27" s="207">
        <v>89.4</v>
      </c>
      <c r="F27" s="207">
        <v>89.4</v>
      </c>
      <c r="G27" s="203" t="s">
        <v>86</v>
      </c>
      <c r="H27" s="203" t="s">
        <v>712</v>
      </c>
      <c r="I27" s="203"/>
      <c r="J27" s="203"/>
      <c r="K27" s="203"/>
      <c r="L27" s="276"/>
      <c r="M27" s="263" t="str">
        <f t="shared" si="0"/>
        <v>도국</v>
      </c>
      <c r="N27" s="266"/>
      <c r="O27" s="265"/>
      <c r="P27" s="265"/>
      <c r="Q27" s="265"/>
      <c r="R27" s="265"/>
      <c r="S27" s="265"/>
      <c r="T27" s="265"/>
      <c r="U27" s="267"/>
    </row>
    <row r="28" spans="1:21" ht="18" customHeight="1">
      <c r="A28" s="342">
        <f t="shared" si="1"/>
        <v>23</v>
      </c>
      <c r="B28" s="202" t="s">
        <v>639</v>
      </c>
      <c r="C28" s="202"/>
      <c r="D28" s="202" t="s">
        <v>8</v>
      </c>
      <c r="E28" s="207">
        <v>502.7</v>
      </c>
      <c r="F28" s="207">
        <v>502.7</v>
      </c>
      <c r="G28" s="203" t="s">
        <v>0</v>
      </c>
      <c r="H28" s="203" t="s">
        <v>452</v>
      </c>
      <c r="I28" s="203"/>
      <c r="J28" s="203"/>
      <c r="K28" s="203"/>
      <c r="L28" s="276"/>
      <c r="M28" s="263" t="str">
        <f t="shared" si="0"/>
        <v>답공</v>
      </c>
      <c r="N28" s="266"/>
      <c r="O28" s="265"/>
      <c r="P28" s="265"/>
      <c r="Q28" s="265"/>
      <c r="R28" s="265"/>
      <c r="S28" s="265"/>
      <c r="T28" s="265"/>
      <c r="U28" s="267"/>
    </row>
    <row r="29" spans="1:21" ht="18" customHeight="1">
      <c r="A29" s="342">
        <f t="shared" si="1"/>
        <v>24</v>
      </c>
      <c r="B29" s="202" t="s">
        <v>640</v>
      </c>
      <c r="C29" s="202"/>
      <c r="D29" s="202" t="s">
        <v>8</v>
      </c>
      <c r="E29" s="207">
        <v>485.6</v>
      </c>
      <c r="F29" s="207">
        <v>485.6</v>
      </c>
      <c r="G29" s="203" t="s">
        <v>0</v>
      </c>
      <c r="H29" s="203" t="s">
        <v>452</v>
      </c>
      <c r="I29" s="203"/>
      <c r="J29" s="203"/>
      <c r="K29" s="203"/>
      <c r="L29" s="276"/>
      <c r="M29" s="263" t="str">
        <f t="shared" si="0"/>
        <v>답공</v>
      </c>
      <c r="N29" s="266"/>
      <c r="O29" s="265"/>
      <c r="P29" s="265"/>
      <c r="Q29" s="265"/>
      <c r="R29" s="265"/>
      <c r="S29" s="265"/>
      <c r="T29" s="265"/>
      <c r="U29" s="267"/>
    </row>
    <row r="30" spans="1:21" ht="18" customHeight="1">
      <c r="A30" s="342">
        <f t="shared" si="1"/>
        <v>25</v>
      </c>
      <c r="B30" s="202" t="s">
        <v>641</v>
      </c>
      <c r="C30" s="202"/>
      <c r="D30" s="202" t="s">
        <v>462</v>
      </c>
      <c r="E30" s="207">
        <v>272</v>
      </c>
      <c r="F30" s="207">
        <v>272</v>
      </c>
      <c r="G30" s="203" t="s">
        <v>86</v>
      </c>
      <c r="H30" s="203" t="s">
        <v>712</v>
      </c>
      <c r="I30" s="203"/>
      <c r="J30" s="203"/>
      <c r="K30" s="203"/>
      <c r="L30" s="276"/>
      <c r="M30" s="263" t="str">
        <f t="shared" si="0"/>
        <v>구국</v>
      </c>
      <c r="N30" s="266"/>
      <c r="O30" s="265"/>
      <c r="P30" s="265"/>
      <c r="Q30" s="265"/>
      <c r="R30" s="265"/>
      <c r="S30" s="265"/>
      <c r="T30" s="265"/>
      <c r="U30" s="267"/>
    </row>
    <row r="31" spans="1:21" ht="18" customHeight="1">
      <c r="A31" s="342">
        <f t="shared" si="1"/>
        <v>26</v>
      </c>
      <c r="B31" s="202" t="s">
        <v>642</v>
      </c>
      <c r="C31" s="202"/>
      <c r="D31" s="202" t="s">
        <v>8</v>
      </c>
      <c r="E31" s="207">
        <v>618.29999999999995</v>
      </c>
      <c r="F31" s="207">
        <v>618.29999999999995</v>
      </c>
      <c r="G31" s="203" t="s">
        <v>0</v>
      </c>
      <c r="H31" s="203" t="s">
        <v>452</v>
      </c>
      <c r="I31" s="203"/>
      <c r="J31" s="203"/>
      <c r="K31" s="203"/>
      <c r="L31" s="276"/>
      <c r="M31" s="263" t="str">
        <f t="shared" si="0"/>
        <v>답공</v>
      </c>
      <c r="N31" s="266"/>
      <c r="O31" s="265"/>
      <c r="P31" s="265"/>
      <c r="Q31" s="265"/>
      <c r="R31" s="265"/>
      <c r="S31" s="265"/>
      <c r="T31" s="265"/>
      <c r="U31" s="267"/>
    </row>
    <row r="32" spans="1:21" ht="18" customHeight="1">
      <c r="A32" s="342">
        <f t="shared" si="1"/>
        <v>27</v>
      </c>
      <c r="B32" s="202" t="s">
        <v>643</v>
      </c>
      <c r="C32" s="202"/>
      <c r="D32" s="202" t="s">
        <v>8</v>
      </c>
      <c r="E32" s="207">
        <v>765</v>
      </c>
      <c r="F32" s="207">
        <v>765</v>
      </c>
      <c r="G32" s="203" t="s">
        <v>0</v>
      </c>
      <c r="H32" s="203" t="s">
        <v>452</v>
      </c>
      <c r="I32" s="203"/>
      <c r="J32" s="203"/>
      <c r="K32" s="203"/>
      <c r="L32" s="276"/>
      <c r="M32" s="263" t="str">
        <f t="shared" si="0"/>
        <v>답공</v>
      </c>
      <c r="N32" s="266"/>
      <c r="O32" s="265"/>
      <c r="P32" s="265"/>
      <c r="Q32" s="265"/>
      <c r="R32" s="265"/>
      <c r="S32" s="265"/>
      <c r="T32" s="265"/>
      <c r="U32" s="267"/>
    </row>
    <row r="33" spans="1:21" ht="18" customHeight="1">
      <c r="A33" s="342">
        <f t="shared" si="1"/>
        <v>28</v>
      </c>
      <c r="B33" s="202" t="s">
        <v>644</v>
      </c>
      <c r="C33" s="202"/>
      <c r="D33" s="202" t="s">
        <v>8</v>
      </c>
      <c r="E33" s="207">
        <v>1804</v>
      </c>
      <c r="F33" s="207">
        <v>1804</v>
      </c>
      <c r="G33" s="203" t="s">
        <v>0</v>
      </c>
      <c r="H33" s="203" t="s">
        <v>452</v>
      </c>
      <c r="I33" s="203"/>
      <c r="J33" s="203"/>
      <c r="K33" s="203"/>
      <c r="L33" s="276"/>
      <c r="M33" s="263" t="str">
        <f t="shared" si="0"/>
        <v>답공</v>
      </c>
      <c r="N33" s="266"/>
      <c r="O33" s="265"/>
      <c r="P33" s="265"/>
      <c r="Q33" s="265"/>
      <c r="R33" s="265"/>
      <c r="S33" s="265"/>
      <c r="T33" s="265"/>
      <c r="U33" s="267"/>
    </row>
    <row r="34" spans="1:21" ht="18" customHeight="1">
      <c r="A34" s="342">
        <f t="shared" si="1"/>
        <v>29</v>
      </c>
      <c r="B34" s="202" t="s">
        <v>645</v>
      </c>
      <c r="C34" s="202"/>
      <c r="D34" s="202" t="s">
        <v>8</v>
      </c>
      <c r="E34" s="207">
        <v>378</v>
      </c>
      <c r="F34" s="207">
        <v>378</v>
      </c>
      <c r="G34" s="203" t="s">
        <v>0</v>
      </c>
      <c r="H34" s="203" t="s">
        <v>452</v>
      </c>
      <c r="I34" s="203"/>
      <c r="J34" s="203"/>
      <c r="K34" s="203"/>
      <c r="L34" s="276"/>
      <c r="M34" s="263" t="str">
        <f t="shared" si="0"/>
        <v>답공</v>
      </c>
      <c r="N34" s="266"/>
      <c r="O34" s="265"/>
      <c r="P34" s="265"/>
      <c r="Q34" s="265"/>
      <c r="R34" s="265"/>
      <c r="S34" s="265"/>
      <c r="T34" s="265"/>
      <c r="U34" s="267"/>
    </row>
    <row r="35" spans="1:21" ht="18" customHeight="1">
      <c r="A35" s="342">
        <f t="shared" si="1"/>
        <v>30</v>
      </c>
      <c r="B35" s="202" t="s">
        <v>646</v>
      </c>
      <c r="C35" s="202"/>
      <c r="D35" s="202" t="s">
        <v>8</v>
      </c>
      <c r="E35" s="207">
        <v>138</v>
      </c>
      <c r="F35" s="207">
        <v>138</v>
      </c>
      <c r="G35" s="203" t="s">
        <v>0</v>
      </c>
      <c r="H35" s="203" t="s">
        <v>452</v>
      </c>
      <c r="I35" s="203"/>
      <c r="J35" s="203"/>
      <c r="K35" s="203"/>
      <c r="L35" s="276"/>
      <c r="M35" s="263" t="str">
        <f t="shared" si="0"/>
        <v>답공</v>
      </c>
      <c r="N35" s="266"/>
      <c r="O35" s="265"/>
      <c r="P35" s="265"/>
      <c r="Q35" s="265"/>
      <c r="R35" s="265"/>
      <c r="S35" s="265"/>
      <c r="T35" s="265"/>
      <c r="U35" s="267"/>
    </row>
    <row r="36" spans="1:21" ht="18" customHeight="1">
      <c r="A36" s="342">
        <f t="shared" si="1"/>
        <v>31</v>
      </c>
      <c r="B36" s="202" t="s">
        <v>647</v>
      </c>
      <c r="C36" s="202"/>
      <c r="D36" s="202" t="s">
        <v>8</v>
      </c>
      <c r="E36" s="207">
        <v>72</v>
      </c>
      <c r="F36" s="207">
        <v>72</v>
      </c>
      <c r="G36" s="203" t="s">
        <v>0</v>
      </c>
      <c r="H36" s="203" t="s">
        <v>452</v>
      </c>
      <c r="I36" s="203"/>
      <c r="J36" s="203"/>
      <c r="K36" s="203"/>
      <c r="L36" s="276"/>
      <c r="M36" s="263" t="str">
        <f t="shared" si="0"/>
        <v>답공</v>
      </c>
      <c r="N36" s="266"/>
      <c r="O36" s="265"/>
      <c r="P36" s="265"/>
      <c r="Q36" s="265"/>
      <c r="R36" s="265"/>
      <c r="S36" s="265"/>
      <c r="T36" s="265"/>
      <c r="U36" s="267"/>
    </row>
    <row r="37" spans="1:21" ht="18" customHeight="1">
      <c r="A37" s="342">
        <f t="shared" si="1"/>
        <v>32</v>
      </c>
      <c r="B37" s="202" t="s">
        <v>648</v>
      </c>
      <c r="C37" s="202"/>
      <c r="D37" s="202" t="s">
        <v>8</v>
      </c>
      <c r="E37" s="207">
        <v>37</v>
      </c>
      <c r="F37" s="207">
        <v>37</v>
      </c>
      <c r="G37" s="203" t="s">
        <v>0</v>
      </c>
      <c r="H37" s="203" t="s">
        <v>452</v>
      </c>
      <c r="I37" s="203"/>
      <c r="J37" s="203"/>
      <c r="K37" s="203"/>
      <c r="L37" s="276"/>
      <c r="M37" s="263" t="str">
        <f t="shared" si="0"/>
        <v>답공</v>
      </c>
      <c r="N37" s="266"/>
      <c r="O37" s="265"/>
      <c r="P37" s="265"/>
      <c r="Q37" s="265"/>
      <c r="R37" s="265"/>
      <c r="S37" s="265"/>
      <c r="T37" s="265"/>
      <c r="U37" s="267"/>
    </row>
    <row r="38" spans="1:21" ht="18" customHeight="1">
      <c r="A38" s="342">
        <f t="shared" si="1"/>
        <v>33</v>
      </c>
      <c r="B38" s="202" t="s">
        <v>649</v>
      </c>
      <c r="C38" s="202"/>
      <c r="D38" s="202" t="s">
        <v>8</v>
      </c>
      <c r="E38" s="207">
        <v>91</v>
      </c>
      <c r="F38" s="207">
        <v>91</v>
      </c>
      <c r="G38" s="203" t="s">
        <v>0</v>
      </c>
      <c r="H38" s="203" t="s">
        <v>452</v>
      </c>
      <c r="I38" s="203"/>
      <c r="J38" s="203"/>
      <c r="K38" s="203"/>
      <c r="L38" s="276"/>
      <c r="M38" s="263" t="str">
        <f t="shared" si="0"/>
        <v>답공</v>
      </c>
      <c r="N38" s="266"/>
      <c r="O38" s="265"/>
      <c r="P38" s="265"/>
      <c r="Q38" s="265"/>
      <c r="R38" s="265"/>
      <c r="S38" s="265"/>
      <c r="T38" s="265"/>
      <c r="U38" s="267"/>
    </row>
    <row r="39" spans="1:21" ht="18" customHeight="1">
      <c r="A39" s="342">
        <f t="shared" si="1"/>
        <v>34</v>
      </c>
      <c r="B39" s="202" t="s">
        <v>650</v>
      </c>
      <c r="C39" s="202"/>
      <c r="D39" s="202" t="s">
        <v>8</v>
      </c>
      <c r="E39" s="207">
        <v>128</v>
      </c>
      <c r="F39" s="207">
        <v>128</v>
      </c>
      <c r="G39" s="203" t="s">
        <v>0</v>
      </c>
      <c r="H39" s="203" t="s">
        <v>452</v>
      </c>
      <c r="I39" s="203"/>
      <c r="J39" s="203"/>
      <c r="K39" s="203"/>
      <c r="L39" s="276"/>
      <c r="M39" s="263" t="str">
        <f t="shared" si="0"/>
        <v>답공</v>
      </c>
      <c r="N39" s="266"/>
      <c r="O39" s="265"/>
      <c r="P39" s="265"/>
      <c r="Q39" s="265"/>
      <c r="R39" s="265"/>
      <c r="S39" s="265"/>
      <c r="T39" s="265"/>
      <c r="U39" s="267"/>
    </row>
    <row r="40" spans="1:21" ht="18" customHeight="1">
      <c r="A40" s="342">
        <f t="shared" si="1"/>
        <v>35</v>
      </c>
      <c r="B40" s="202" t="s">
        <v>651</v>
      </c>
      <c r="C40" s="202"/>
      <c r="D40" s="202" t="s">
        <v>8</v>
      </c>
      <c r="E40" s="207">
        <v>84</v>
      </c>
      <c r="F40" s="207">
        <v>84</v>
      </c>
      <c r="G40" s="203" t="s">
        <v>0</v>
      </c>
      <c r="H40" s="203" t="s">
        <v>452</v>
      </c>
      <c r="I40" s="203"/>
      <c r="J40" s="203"/>
      <c r="K40" s="203"/>
      <c r="L40" s="276"/>
      <c r="M40" s="263" t="str">
        <f t="shared" si="0"/>
        <v>답공</v>
      </c>
      <c r="N40" s="266"/>
      <c r="O40" s="265"/>
      <c r="P40" s="265"/>
      <c r="Q40" s="265"/>
      <c r="R40" s="265"/>
      <c r="S40" s="265"/>
      <c r="T40" s="265"/>
      <c r="U40" s="267"/>
    </row>
    <row r="41" spans="1:21" ht="18" customHeight="1">
      <c r="A41" s="342">
        <f t="shared" si="1"/>
        <v>36</v>
      </c>
      <c r="B41" s="202" t="s">
        <v>652</v>
      </c>
      <c r="C41" s="202"/>
      <c r="D41" s="202" t="s">
        <v>8</v>
      </c>
      <c r="E41" s="207">
        <v>336</v>
      </c>
      <c r="F41" s="207">
        <v>336</v>
      </c>
      <c r="G41" s="203" t="s">
        <v>0</v>
      </c>
      <c r="H41" s="203" t="s">
        <v>452</v>
      </c>
      <c r="I41" s="203"/>
      <c r="J41" s="203"/>
      <c r="K41" s="203"/>
      <c r="L41" s="276"/>
      <c r="M41" s="263" t="str">
        <f t="shared" si="0"/>
        <v>답공</v>
      </c>
      <c r="N41" s="266"/>
      <c r="O41" s="265"/>
      <c r="P41" s="265"/>
      <c r="Q41" s="265"/>
      <c r="R41" s="265"/>
      <c r="S41" s="265"/>
      <c r="T41" s="265"/>
      <c r="U41" s="267"/>
    </row>
    <row r="42" spans="1:21" ht="18" customHeight="1">
      <c r="A42" s="342">
        <f t="shared" si="1"/>
        <v>37</v>
      </c>
      <c r="B42" s="202" t="s">
        <v>653</v>
      </c>
      <c r="C42" s="202"/>
      <c r="D42" s="202" t="s">
        <v>455</v>
      </c>
      <c r="E42" s="207">
        <v>298</v>
      </c>
      <c r="F42" s="207">
        <v>298</v>
      </c>
      <c r="G42" s="203" t="s">
        <v>714</v>
      </c>
      <c r="H42" s="203" t="s">
        <v>714</v>
      </c>
      <c r="I42" s="203"/>
      <c r="J42" s="203"/>
      <c r="K42" s="203"/>
      <c r="L42" s="276"/>
      <c r="M42" s="263" t="str">
        <f t="shared" si="0"/>
        <v>도한*우</v>
      </c>
      <c r="N42" s="266"/>
      <c r="O42" s="265"/>
      <c r="P42" s="265"/>
      <c r="Q42" s="265"/>
      <c r="R42" s="265"/>
      <c r="S42" s="265"/>
      <c r="T42" s="265"/>
      <c r="U42" s="267"/>
    </row>
    <row r="43" spans="1:21" ht="18" customHeight="1">
      <c r="A43" s="342">
        <f t="shared" si="1"/>
        <v>38</v>
      </c>
      <c r="B43" s="202" t="s">
        <v>654</v>
      </c>
      <c r="C43" s="202"/>
      <c r="D43" s="202" t="s">
        <v>7</v>
      </c>
      <c r="E43" s="207">
        <v>266</v>
      </c>
      <c r="F43" s="207">
        <v>266</v>
      </c>
      <c r="G43" s="203" t="s">
        <v>0</v>
      </c>
      <c r="H43" s="203" t="s">
        <v>452</v>
      </c>
      <c r="I43" s="203"/>
      <c r="J43" s="203"/>
      <c r="K43" s="203"/>
      <c r="L43" s="276"/>
      <c r="M43" s="263" t="str">
        <f t="shared" si="0"/>
        <v>전공</v>
      </c>
      <c r="N43" s="266"/>
      <c r="O43" s="265"/>
      <c r="P43" s="265"/>
      <c r="Q43" s="265"/>
      <c r="R43" s="265"/>
      <c r="S43" s="265"/>
      <c r="T43" s="265"/>
      <c r="U43" s="267"/>
    </row>
    <row r="44" spans="1:21" ht="18" customHeight="1">
      <c r="A44" s="342">
        <f t="shared" si="1"/>
        <v>39</v>
      </c>
      <c r="B44" s="202" t="s">
        <v>655</v>
      </c>
      <c r="C44" s="202"/>
      <c r="D44" s="202" t="s">
        <v>93</v>
      </c>
      <c r="E44" s="207">
        <v>35</v>
      </c>
      <c r="F44" s="207">
        <v>35</v>
      </c>
      <c r="G44" s="203" t="s">
        <v>0</v>
      </c>
      <c r="H44" s="203" t="s">
        <v>452</v>
      </c>
      <c r="I44" s="203"/>
      <c r="J44" s="203"/>
      <c r="K44" s="203"/>
      <c r="L44" s="276"/>
      <c r="M44" s="263" t="str">
        <f t="shared" si="0"/>
        <v>임공</v>
      </c>
      <c r="N44" s="266"/>
      <c r="O44" s="265"/>
      <c r="P44" s="265"/>
      <c r="Q44" s="265"/>
      <c r="R44" s="265"/>
      <c r="S44" s="265"/>
      <c r="T44" s="265"/>
      <c r="U44" s="267"/>
    </row>
    <row r="45" spans="1:21" ht="18" customHeight="1">
      <c r="A45" s="342">
        <f t="shared" si="1"/>
        <v>40</v>
      </c>
      <c r="B45" s="202" t="s">
        <v>656</v>
      </c>
      <c r="C45" s="202"/>
      <c r="D45" s="202" t="s">
        <v>93</v>
      </c>
      <c r="E45" s="207">
        <v>11</v>
      </c>
      <c r="F45" s="207">
        <v>11</v>
      </c>
      <c r="G45" s="203" t="s">
        <v>0</v>
      </c>
      <c r="H45" s="203" t="s">
        <v>452</v>
      </c>
      <c r="I45" s="203"/>
      <c r="J45" s="203"/>
      <c r="K45" s="203"/>
      <c r="L45" s="276"/>
      <c r="M45" s="263" t="str">
        <f t="shared" si="0"/>
        <v>임공</v>
      </c>
      <c r="N45" s="266"/>
      <c r="O45" s="265"/>
      <c r="P45" s="265"/>
      <c r="Q45" s="265"/>
      <c r="R45" s="265"/>
      <c r="S45" s="265"/>
      <c r="T45" s="265"/>
      <c r="U45" s="267"/>
    </row>
    <row r="46" spans="1:21" ht="18" customHeight="1">
      <c r="A46" s="342">
        <f t="shared" si="1"/>
        <v>41</v>
      </c>
      <c r="B46" s="202" t="s">
        <v>657</v>
      </c>
      <c r="C46" s="202"/>
      <c r="D46" s="202" t="s">
        <v>455</v>
      </c>
      <c r="E46" s="207">
        <v>1633</v>
      </c>
      <c r="F46" s="207">
        <v>910</v>
      </c>
      <c r="G46" s="203" t="s">
        <v>86</v>
      </c>
      <c r="H46" s="203" t="s">
        <v>715</v>
      </c>
      <c r="I46" s="203"/>
      <c r="J46" s="203"/>
      <c r="K46" s="203"/>
      <c r="L46" s="276"/>
      <c r="M46" s="263" t="str">
        <f t="shared" si="0"/>
        <v>도국</v>
      </c>
      <c r="N46" s="266"/>
      <c r="O46" s="265"/>
      <c r="P46" s="265"/>
      <c r="Q46" s="265"/>
      <c r="R46" s="265"/>
      <c r="S46" s="265"/>
      <c r="T46" s="265"/>
      <c r="U46" s="267"/>
    </row>
    <row r="47" spans="1:21" ht="18" customHeight="1">
      <c r="A47" s="342">
        <f t="shared" si="1"/>
        <v>42</v>
      </c>
      <c r="B47" s="202" t="s">
        <v>658</v>
      </c>
      <c r="C47" s="202"/>
      <c r="D47" s="202" t="s">
        <v>455</v>
      </c>
      <c r="E47" s="207">
        <v>198</v>
      </c>
      <c r="F47" s="207">
        <v>198</v>
      </c>
      <c r="G47" s="203" t="s">
        <v>0</v>
      </c>
      <c r="H47" s="203" t="s">
        <v>452</v>
      </c>
      <c r="I47" s="203"/>
      <c r="J47" s="203"/>
      <c r="K47" s="203"/>
      <c r="L47" s="276"/>
      <c r="M47" s="263" t="str">
        <f t="shared" si="0"/>
        <v>도공</v>
      </c>
      <c r="N47" s="266"/>
      <c r="O47" s="265"/>
      <c r="P47" s="265"/>
      <c r="Q47" s="265"/>
      <c r="R47" s="265"/>
      <c r="S47" s="265"/>
      <c r="T47" s="265"/>
      <c r="U47" s="267"/>
    </row>
    <row r="48" spans="1:21" ht="18" customHeight="1">
      <c r="A48" s="342">
        <f t="shared" si="1"/>
        <v>43</v>
      </c>
      <c r="B48" s="202" t="s">
        <v>659</v>
      </c>
      <c r="C48" s="202"/>
      <c r="D48" s="202" t="s">
        <v>455</v>
      </c>
      <c r="E48" s="207">
        <v>1348</v>
      </c>
      <c r="F48" s="207">
        <v>385</v>
      </c>
      <c r="G48" s="203" t="s">
        <v>0</v>
      </c>
      <c r="H48" s="203" t="s">
        <v>452</v>
      </c>
      <c r="I48" s="203"/>
      <c r="J48" s="203"/>
      <c r="K48" s="203"/>
      <c r="L48" s="276"/>
      <c r="M48" s="263" t="str">
        <f t="shared" si="0"/>
        <v>도공</v>
      </c>
      <c r="N48" s="266"/>
      <c r="O48" s="265"/>
      <c r="P48" s="265"/>
      <c r="Q48" s="265"/>
      <c r="R48" s="265"/>
      <c r="S48" s="265"/>
      <c r="T48" s="265"/>
      <c r="U48" s="267"/>
    </row>
    <row r="49" spans="1:21" ht="18" customHeight="1">
      <c r="A49" s="342">
        <f t="shared" si="1"/>
        <v>44</v>
      </c>
      <c r="B49" s="202" t="s">
        <v>660</v>
      </c>
      <c r="C49" s="202"/>
      <c r="D49" s="202" t="s">
        <v>455</v>
      </c>
      <c r="E49" s="207">
        <v>193</v>
      </c>
      <c r="F49" s="207">
        <v>193</v>
      </c>
      <c r="G49" s="203" t="s">
        <v>0</v>
      </c>
      <c r="H49" s="203" t="s">
        <v>452</v>
      </c>
      <c r="I49" s="203"/>
      <c r="J49" s="203"/>
      <c r="K49" s="203"/>
      <c r="L49" s="276"/>
      <c r="M49" s="263" t="str">
        <f t="shared" si="0"/>
        <v>도공</v>
      </c>
      <c r="N49" s="266"/>
      <c r="O49" s="265"/>
      <c r="P49" s="265"/>
      <c r="Q49" s="265"/>
      <c r="R49" s="265"/>
      <c r="S49" s="265"/>
      <c r="T49" s="265"/>
      <c r="U49" s="267"/>
    </row>
    <row r="50" spans="1:21" ht="18" customHeight="1">
      <c r="A50" s="342">
        <f t="shared" si="1"/>
        <v>45</v>
      </c>
      <c r="B50" s="202" t="s">
        <v>661</v>
      </c>
      <c r="C50" s="202"/>
      <c r="D50" s="202" t="s">
        <v>93</v>
      </c>
      <c r="E50" s="207">
        <v>887</v>
      </c>
      <c r="F50" s="207">
        <v>887</v>
      </c>
      <c r="G50" s="203" t="s">
        <v>0</v>
      </c>
      <c r="H50" s="203" t="s">
        <v>452</v>
      </c>
      <c r="I50" s="203"/>
      <c r="J50" s="203"/>
      <c r="K50" s="203"/>
      <c r="L50" s="276"/>
      <c r="M50" s="263" t="str">
        <f t="shared" si="0"/>
        <v>임공</v>
      </c>
      <c r="N50" s="266"/>
      <c r="O50" s="265"/>
      <c r="P50" s="265"/>
      <c r="Q50" s="265"/>
      <c r="R50" s="265"/>
      <c r="S50" s="265"/>
      <c r="T50" s="265"/>
      <c r="U50" s="267"/>
    </row>
    <row r="51" spans="1:21" ht="18" customHeight="1">
      <c r="A51" s="342">
        <f t="shared" si="1"/>
        <v>46</v>
      </c>
      <c r="B51" s="202" t="s">
        <v>662</v>
      </c>
      <c r="C51" s="202"/>
      <c r="D51" s="202" t="s">
        <v>455</v>
      </c>
      <c r="E51" s="207">
        <v>1010</v>
      </c>
      <c r="F51" s="207">
        <v>324</v>
      </c>
      <c r="G51" s="203" t="s">
        <v>0</v>
      </c>
      <c r="H51" s="203" t="s">
        <v>452</v>
      </c>
      <c r="I51" s="203"/>
      <c r="J51" s="203"/>
      <c r="K51" s="203"/>
      <c r="L51" s="276"/>
      <c r="M51" s="263" t="str">
        <f t="shared" si="0"/>
        <v>도공</v>
      </c>
      <c r="N51" s="266"/>
      <c r="O51" s="265"/>
      <c r="P51" s="265"/>
      <c r="Q51" s="265"/>
      <c r="R51" s="265"/>
      <c r="S51" s="265"/>
      <c r="T51" s="265"/>
      <c r="U51" s="267"/>
    </row>
    <row r="52" spans="1:21" ht="18" customHeight="1">
      <c r="A52" s="342">
        <f t="shared" si="1"/>
        <v>47</v>
      </c>
      <c r="B52" s="202" t="s">
        <v>663</v>
      </c>
      <c r="C52" s="202"/>
      <c r="D52" s="202" t="s">
        <v>455</v>
      </c>
      <c r="E52" s="207">
        <v>770</v>
      </c>
      <c r="F52" s="207">
        <v>635</v>
      </c>
      <c r="G52" s="203" t="s">
        <v>0</v>
      </c>
      <c r="H52" s="203" t="s">
        <v>452</v>
      </c>
      <c r="I52" s="203"/>
      <c r="J52" s="203"/>
      <c r="K52" s="203"/>
      <c r="L52" s="276"/>
      <c r="M52" s="263" t="str">
        <f t="shared" si="0"/>
        <v>도공</v>
      </c>
      <c r="N52" s="266"/>
      <c r="O52" s="265"/>
      <c r="P52" s="265"/>
      <c r="Q52" s="265"/>
      <c r="R52" s="265"/>
      <c r="S52" s="265"/>
      <c r="T52" s="265"/>
      <c r="U52" s="267"/>
    </row>
    <row r="53" spans="1:21" ht="18" customHeight="1">
      <c r="A53" s="342">
        <f t="shared" si="1"/>
        <v>48</v>
      </c>
      <c r="B53" s="202" t="s">
        <v>664</v>
      </c>
      <c r="C53" s="202"/>
      <c r="D53" s="202" t="s">
        <v>455</v>
      </c>
      <c r="E53" s="207">
        <v>463</v>
      </c>
      <c r="F53" s="207">
        <v>325</v>
      </c>
      <c r="G53" s="203" t="s">
        <v>86</v>
      </c>
      <c r="H53" s="203" t="s">
        <v>715</v>
      </c>
      <c r="I53" s="203"/>
      <c r="J53" s="203"/>
      <c r="K53" s="203"/>
      <c r="L53" s="276"/>
      <c r="M53" s="263" t="str">
        <f t="shared" si="0"/>
        <v>도국</v>
      </c>
      <c r="N53" s="266"/>
      <c r="O53" s="265"/>
      <c r="P53" s="265"/>
      <c r="Q53" s="265"/>
      <c r="R53" s="265"/>
      <c r="S53" s="265"/>
      <c r="T53" s="265"/>
      <c r="U53" s="267"/>
    </row>
    <row r="54" spans="1:21" ht="18" customHeight="1">
      <c r="A54" s="342">
        <f t="shared" si="1"/>
        <v>49</v>
      </c>
      <c r="B54" s="202" t="s">
        <v>665</v>
      </c>
      <c r="C54" s="202"/>
      <c r="D54" s="202" t="s">
        <v>455</v>
      </c>
      <c r="E54" s="207">
        <v>278</v>
      </c>
      <c r="F54" s="207">
        <v>195</v>
      </c>
      <c r="G54" s="203" t="s">
        <v>0</v>
      </c>
      <c r="H54" s="203" t="s">
        <v>452</v>
      </c>
      <c r="I54" s="203"/>
      <c r="J54" s="203"/>
      <c r="K54" s="203"/>
      <c r="L54" s="276"/>
      <c r="M54" s="263" t="str">
        <f t="shared" si="0"/>
        <v>도공</v>
      </c>
      <c r="N54" s="266"/>
      <c r="O54" s="265"/>
      <c r="P54" s="265"/>
      <c r="Q54" s="265"/>
      <c r="R54" s="265"/>
      <c r="S54" s="265"/>
      <c r="T54" s="265"/>
      <c r="U54" s="267"/>
    </row>
    <row r="55" spans="1:21" ht="18" customHeight="1">
      <c r="A55" s="342">
        <f t="shared" si="1"/>
        <v>50</v>
      </c>
      <c r="B55" s="202" t="s">
        <v>666</v>
      </c>
      <c r="C55" s="202"/>
      <c r="D55" s="202" t="s">
        <v>455</v>
      </c>
      <c r="E55" s="207">
        <v>377</v>
      </c>
      <c r="F55" s="207"/>
      <c r="G55" s="203" t="s">
        <v>0</v>
      </c>
      <c r="H55" s="203" t="s">
        <v>452</v>
      </c>
      <c r="I55" s="203"/>
      <c r="J55" s="203"/>
      <c r="K55" s="203"/>
      <c r="L55" s="276"/>
      <c r="M55" s="263" t="str">
        <f t="shared" si="0"/>
        <v>도공</v>
      </c>
      <c r="N55" s="266"/>
      <c r="O55" s="265"/>
      <c r="P55" s="265"/>
      <c r="Q55" s="265"/>
      <c r="R55" s="265"/>
      <c r="S55" s="265"/>
      <c r="T55" s="265"/>
      <c r="U55" s="267"/>
    </row>
    <row r="56" spans="1:21" ht="18" customHeight="1">
      <c r="A56" s="342">
        <f t="shared" si="1"/>
        <v>51</v>
      </c>
      <c r="B56" s="202" t="s">
        <v>667</v>
      </c>
      <c r="C56" s="202"/>
      <c r="D56" s="202" t="s">
        <v>455</v>
      </c>
      <c r="E56" s="207">
        <v>413</v>
      </c>
      <c r="F56" s="207">
        <v>97</v>
      </c>
      <c r="G56" s="203" t="s">
        <v>86</v>
      </c>
      <c r="H56" s="203" t="s">
        <v>715</v>
      </c>
      <c r="I56" s="203"/>
      <c r="J56" s="203"/>
      <c r="K56" s="203"/>
      <c r="L56" s="276"/>
      <c r="M56" s="263" t="str">
        <f t="shared" si="0"/>
        <v>도국</v>
      </c>
      <c r="N56" s="266"/>
      <c r="O56" s="265"/>
      <c r="P56" s="265"/>
      <c r="Q56" s="265"/>
      <c r="R56" s="265"/>
      <c r="S56" s="265"/>
      <c r="T56" s="265"/>
      <c r="U56" s="267"/>
    </row>
    <row r="57" spans="1:21" ht="18" customHeight="1">
      <c r="A57" s="342">
        <f t="shared" si="1"/>
        <v>52</v>
      </c>
      <c r="B57" s="202" t="s">
        <v>668</v>
      </c>
      <c r="C57" s="202"/>
      <c r="D57" s="202" t="s">
        <v>455</v>
      </c>
      <c r="E57" s="207">
        <v>4100</v>
      </c>
      <c r="F57" s="207">
        <v>862</v>
      </c>
      <c r="G57" s="203" t="s">
        <v>86</v>
      </c>
      <c r="H57" s="203" t="s">
        <v>715</v>
      </c>
      <c r="I57" s="203"/>
      <c r="J57" s="203"/>
      <c r="K57" s="203"/>
      <c r="L57" s="276"/>
      <c r="M57" s="263" t="str">
        <f t="shared" si="0"/>
        <v>도국</v>
      </c>
      <c r="N57" s="266"/>
      <c r="O57" s="265"/>
      <c r="P57" s="265"/>
      <c r="Q57" s="265"/>
      <c r="R57" s="265"/>
      <c r="S57" s="265"/>
      <c r="T57" s="265"/>
      <c r="U57" s="267"/>
    </row>
    <row r="58" spans="1:21" ht="18" customHeight="1">
      <c r="A58" s="342">
        <f t="shared" si="1"/>
        <v>53</v>
      </c>
      <c r="B58" s="202" t="s">
        <v>669</v>
      </c>
      <c r="C58" s="202"/>
      <c r="D58" s="202" t="s">
        <v>455</v>
      </c>
      <c r="E58" s="207">
        <v>440</v>
      </c>
      <c r="F58" s="207">
        <v>328</v>
      </c>
      <c r="G58" s="203" t="s">
        <v>86</v>
      </c>
      <c r="H58" s="203" t="s">
        <v>715</v>
      </c>
      <c r="I58" s="203"/>
      <c r="J58" s="203"/>
      <c r="K58" s="203"/>
      <c r="L58" s="276"/>
      <c r="M58" s="263" t="str">
        <f t="shared" si="0"/>
        <v>도국</v>
      </c>
      <c r="N58" s="266"/>
      <c r="O58" s="265"/>
      <c r="P58" s="265"/>
      <c r="Q58" s="265"/>
      <c r="R58" s="265"/>
      <c r="S58" s="265"/>
      <c r="T58" s="265"/>
      <c r="U58" s="267"/>
    </row>
    <row r="59" spans="1:21" ht="18" customHeight="1">
      <c r="A59" s="342">
        <f t="shared" si="1"/>
        <v>54</v>
      </c>
      <c r="B59" s="202" t="s">
        <v>670</v>
      </c>
      <c r="C59" s="202"/>
      <c r="D59" s="202" t="s">
        <v>455</v>
      </c>
      <c r="E59" s="207">
        <v>462</v>
      </c>
      <c r="F59" s="207">
        <v>392</v>
      </c>
      <c r="G59" s="203" t="s">
        <v>0</v>
      </c>
      <c r="H59" s="203" t="s">
        <v>452</v>
      </c>
      <c r="I59" s="203"/>
      <c r="J59" s="203"/>
      <c r="K59" s="203"/>
      <c r="L59" s="276"/>
      <c r="M59" s="263" t="str">
        <f t="shared" si="0"/>
        <v>도공</v>
      </c>
      <c r="N59" s="266"/>
      <c r="O59" s="265"/>
      <c r="P59" s="265"/>
      <c r="Q59" s="265"/>
      <c r="R59" s="265"/>
      <c r="S59" s="265"/>
      <c r="T59" s="265"/>
      <c r="U59" s="267"/>
    </row>
    <row r="60" spans="1:21" ht="18" customHeight="1">
      <c r="A60" s="342">
        <f t="shared" si="1"/>
        <v>55</v>
      </c>
      <c r="B60" s="202" t="s">
        <v>671</v>
      </c>
      <c r="C60" s="202"/>
      <c r="D60" s="202" t="s">
        <v>455</v>
      </c>
      <c r="E60" s="207">
        <v>66</v>
      </c>
      <c r="F60" s="207">
        <v>66</v>
      </c>
      <c r="G60" s="203" t="s">
        <v>0</v>
      </c>
      <c r="H60" s="203" t="s">
        <v>452</v>
      </c>
      <c r="I60" s="203"/>
      <c r="J60" s="203"/>
      <c r="K60" s="203"/>
      <c r="L60" s="276"/>
      <c r="M60" s="263" t="str">
        <f t="shared" si="0"/>
        <v>도공</v>
      </c>
      <c r="N60" s="266"/>
      <c r="O60" s="265"/>
      <c r="P60" s="265"/>
      <c r="Q60" s="265"/>
      <c r="R60" s="265"/>
      <c r="S60" s="265"/>
      <c r="T60" s="265"/>
      <c r="U60" s="267"/>
    </row>
    <row r="61" spans="1:21" ht="18" customHeight="1">
      <c r="A61" s="342">
        <f t="shared" si="1"/>
        <v>56</v>
      </c>
      <c r="B61" s="202" t="s">
        <v>672</v>
      </c>
      <c r="C61" s="202"/>
      <c r="D61" s="202" t="s">
        <v>455</v>
      </c>
      <c r="E61" s="207">
        <v>124</v>
      </c>
      <c r="F61" s="207">
        <v>124</v>
      </c>
      <c r="G61" s="203" t="s">
        <v>0</v>
      </c>
      <c r="H61" s="203" t="s">
        <v>452</v>
      </c>
      <c r="I61" s="203"/>
      <c r="J61" s="203"/>
      <c r="K61" s="203"/>
      <c r="L61" s="276"/>
      <c r="M61" s="263" t="str">
        <f t="shared" si="0"/>
        <v>도공</v>
      </c>
      <c r="N61" s="266"/>
      <c r="O61" s="265"/>
      <c r="P61" s="265"/>
      <c r="Q61" s="265"/>
      <c r="R61" s="265"/>
      <c r="S61" s="265"/>
      <c r="T61" s="265"/>
      <c r="U61" s="267"/>
    </row>
    <row r="62" spans="1:21" ht="18" customHeight="1">
      <c r="A62" s="342">
        <f t="shared" si="1"/>
        <v>57</v>
      </c>
      <c r="B62" s="202" t="s">
        <v>673</v>
      </c>
      <c r="C62" s="202"/>
      <c r="D62" s="202" t="s">
        <v>455</v>
      </c>
      <c r="E62" s="207">
        <v>413</v>
      </c>
      <c r="F62" s="207">
        <v>413</v>
      </c>
      <c r="G62" s="203" t="s">
        <v>0</v>
      </c>
      <c r="H62" s="203" t="s">
        <v>452</v>
      </c>
      <c r="I62" s="203"/>
      <c r="J62" s="203"/>
      <c r="K62" s="203"/>
      <c r="L62" s="276"/>
      <c r="M62" s="263" t="str">
        <f t="shared" si="0"/>
        <v>도공</v>
      </c>
      <c r="N62" s="266"/>
      <c r="O62" s="265"/>
      <c r="P62" s="265"/>
      <c r="Q62" s="265"/>
      <c r="R62" s="265"/>
      <c r="S62" s="265"/>
      <c r="T62" s="265"/>
      <c r="U62" s="267"/>
    </row>
    <row r="63" spans="1:21" ht="18" customHeight="1">
      <c r="A63" s="342">
        <f t="shared" si="1"/>
        <v>58</v>
      </c>
      <c r="B63" s="202" t="s">
        <v>674</v>
      </c>
      <c r="C63" s="202"/>
      <c r="D63" s="202" t="s">
        <v>455</v>
      </c>
      <c r="E63" s="207">
        <v>132</v>
      </c>
      <c r="F63" s="207">
        <v>132</v>
      </c>
      <c r="G63" s="203" t="s">
        <v>0</v>
      </c>
      <c r="H63" s="203" t="s">
        <v>452</v>
      </c>
      <c r="I63" s="203"/>
      <c r="J63" s="203"/>
      <c r="K63" s="203"/>
      <c r="L63" s="276"/>
      <c r="M63" s="263" t="str">
        <f t="shared" si="0"/>
        <v>도공</v>
      </c>
      <c r="N63" s="266"/>
      <c r="O63" s="265"/>
      <c r="P63" s="265"/>
      <c r="Q63" s="265"/>
      <c r="R63" s="265"/>
      <c r="S63" s="265"/>
      <c r="T63" s="265"/>
      <c r="U63" s="267"/>
    </row>
    <row r="64" spans="1:21" ht="18" customHeight="1">
      <c r="A64" s="342">
        <f t="shared" si="1"/>
        <v>59</v>
      </c>
      <c r="B64" s="202" t="s">
        <v>675</v>
      </c>
      <c r="C64" s="202"/>
      <c r="D64" s="202" t="s">
        <v>455</v>
      </c>
      <c r="E64" s="207">
        <v>466</v>
      </c>
      <c r="F64" s="207">
        <v>466</v>
      </c>
      <c r="G64" s="203" t="s">
        <v>86</v>
      </c>
      <c r="H64" s="203" t="s">
        <v>715</v>
      </c>
      <c r="I64" s="203"/>
      <c r="J64" s="203"/>
      <c r="K64" s="203"/>
      <c r="L64" s="276"/>
      <c r="M64" s="263" t="str">
        <f t="shared" si="0"/>
        <v>도국</v>
      </c>
      <c r="N64" s="266"/>
      <c r="O64" s="265"/>
      <c r="P64" s="265"/>
      <c r="Q64" s="265"/>
      <c r="R64" s="265"/>
      <c r="S64" s="265"/>
      <c r="T64" s="265"/>
      <c r="U64" s="267"/>
    </row>
    <row r="65" spans="1:21" ht="18" customHeight="1">
      <c r="A65" s="342">
        <f t="shared" si="1"/>
        <v>60</v>
      </c>
      <c r="B65" s="202" t="s">
        <v>676</v>
      </c>
      <c r="C65" s="202"/>
      <c r="D65" s="202" t="s">
        <v>455</v>
      </c>
      <c r="E65" s="207">
        <v>638</v>
      </c>
      <c r="F65" s="207">
        <v>638</v>
      </c>
      <c r="G65" s="203" t="s">
        <v>0</v>
      </c>
      <c r="H65" s="203" t="s">
        <v>452</v>
      </c>
      <c r="I65" s="203"/>
      <c r="J65" s="203"/>
      <c r="K65" s="203"/>
      <c r="L65" s="276"/>
      <c r="M65" s="263" t="str">
        <f t="shared" si="0"/>
        <v>도공</v>
      </c>
      <c r="N65" s="266"/>
      <c r="O65" s="265"/>
      <c r="P65" s="265"/>
      <c r="Q65" s="265"/>
      <c r="R65" s="265"/>
      <c r="S65" s="265"/>
      <c r="T65" s="265"/>
      <c r="U65" s="267"/>
    </row>
    <row r="66" spans="1:21" ht="18" customHeight="1">
      <c r="A66" s="342">
        <f t="shared" si="1"/>
        <v>61</v>
      </c>
      <c r="B66" s="202" t="s">
        <v>677</v>
      </c>
      <c r="C66" s="202"/>
      <c r="D66" s="202" t="s">
        <v>455</v>
      </c>
      <c r="E66" s="207">
        <v>30</v>
      </c>
      <c r="F66" s="207">
        <v>30</v>
      </c>
      <c r="G66" s="203" t="s">
        <v>0</v>
      </c>
      <c r="H66" s="203" t="s">
        <v>452</v>
      </c>
      <c r="I66" s="203"/>
      <c r="J66" s="203"/>
      <c r="K66" s="203"/>
      <c r="L66" s="276"/>
      <c r="M66" s="263" t="str">
        <f t="shared" si="0"/>
        <v>도공</v>
      </c>
      <c r="N66" s="266"/>
      <c r="O66" s="265"/>
      <c r="P66" s="265"/>
      <c r="Q66" s="265"/>
      <c r="R66" s="265"/>
      <c r="S66" s="265"/>
      <c r="T66" s="265"/>
      <c r="U66" s="267"/>
    </row>
    <row r="67" spans="1:21" ht="18" customHeight="1">
      <c r="A67" s="342">
        <f t="shared" si="1"/>
        <v>62</v>
      </c>
      <c r="B67" s="202" t="s">
        <v>678</v>
      </c>
      <c r="C67" s="202"/>
      <c r="D67" s="202" t="s">
        <v>455</v>
      </c>
      <c r="E67" s="207">
        <v>30</v>
      </c>
      <c r="F67" s="207">
        <v>30</v>
      </c>
      <c r="G67" s="203" t="s">
        <v>0</v>
      </c>
      <c r="H67" s="203" t="s">
        <v>452</v>
      </c>
      <c r="I67" s="203"/>
      <c r="J67" s="203"/>
      <c r="K67" s="203"/>
      <c r="L67" s="276"/>
      <c r="M67" s="263" t="str">
        <f t="shared" si="0"/>
        <v>도공</v>
      </c>
      <c r="N67" s="266"/>
      <c r="O67" s="265"/>
      <c r="P67" s="265"/>
      <c r="Q67" s="265"/>
      <c r="R67" s="265"/>
      <c r="S67" s="265"/>
      <c r="T67" s="265"/>
      <c r="U67" s="267"/>
    </row>
    <row r="68" spans="1:21" ht="18" customHeight="1">
      <c r="A68" s="342">
        <f t="shared" si="1"/>
        <v>63</v>
      </c>
      <c r="B68" s="202" t="s">
        <v>679</v>
      </c>
      <c r="C68" s="202"/>
      <c r="D68" s="202" t="s">
        <v>462</v>
      </c>
      <c r="E68" s="207">
        <v>38</v>
      </c>
      <c r="F68" s="207">
        <v>38</v>
      </c>
      <c r="G68" s="203" t="s">
        <v>86</v>
      </c>
      <c r="H68" s="203" t="s">
        <v>712</v>
      </c>
      <c r="I68" s="203"/>
      <c r="J68" s="203"/>
      <c r="K68" s="203"/>
      <c r="L68" s="276"/>
      <c r="M68" s="263" t="str">
        <f t="shared" si="0"/>
        <v>구국</v>
      </c>
      <c r="N68" s="266"/>
      <c r="O68" s="265"/>
      <c r="P68" s="265"/>
      <c r="Q68" s="265"/>
      <c r="R68" s="265"/>
      <c r="S68" s="265"/>
      <c r="T68" s="265"/>
      <c r="U68" s="267"/>
    </row>
    <row r="69" spans="1:21" ht="18" customHeight="1">
      <c r="A69" s="342">
        <f t="shared" si="1"/>
        <v>64</v>
      </c>
      <c r="B69" s="202" t="s">
        <v>680</v>
      </c>
      <c r="C69" s="202"/>
      <c r="D69" s="202" t="s">
        <v>462</v>
      </c>
      <c r="E69" s="207">
        <v>77</v>
      </c>
      <c r="F69" s="207">
        <v>77</v>
      </c>
      <c r="G69" s="203" t="s">
        <v>86</v>
      </c>
      <c r="H69" s="203" t="s">
        <v>712</v>
      </c>
      <c r="I69" s="203"/>
      <c r="J69" s="203"/>
      <c r="K69" s="203"/>
      <c r="L69" s="276"/>
      <c r="M69" s="263" t="str">
        <f t="shared" si="0"/>
        <v>구국</v>
      </c>
      <c r="N69" s="266"/>
      <c r="O69" s="265"/>
      <c r="P69" s="265"/>
      <c r="Q69" s="265"/>
      <c r="R69" s="265"/>
      <c r="S69" s="265"/>
      <c r="T69" s="265"/>
      <c r="U69" s="267"/>
    </row>
    <row r="70" spans="1:21" ht="18" customHeight="1">
      <c r="A70" s="342">
        <f t="shared" si="1"/>
        <v>65</v>
      </c>
      <c r="B70" s="202" t="s">
        <v>681</v>
      </c>
      <c r="C70" s="202"/>
      <c r="D70" s="202" t="s">
        <v>455</v>
      </c>
      <c r="E70" s="207">
        <v>77</v>
      </c>
      <c r="F70" s="207">
        <v>77</v>
      </c>
      <c r="G70" s="203" t="s">
        <v>0</v>
      </c>
      <c r="H70" s="203" t="s">
        <v>452</v>
      </c>
      <c r="I70" s="203"/>
      <c r="J70" s="203"/>
      <c r="K70" s="203"/>
      <c r="L70" s="276"/>
      <c r="M70" s="263" t="str">
        <f t="shared" si="0"/>
        <v>도공</v>
      </c>
      <c r="N70" s="266"/>
      <c r="O70" s="265"/>
      <c r="P70" s="265"/>
      <c r="Q70" s="265"/>
      <c r="R70" s="265"/>
      <c r="S70" s="265"/>
      <c r="T70" s="265"/>
      <c r="U70" s="267"/>
    </row>
    <row r="71" spans="1:21" ht="18" customHeight="1">
      <c r="A71" s="342">
        <f t="shared" si="1"/>
        <v>66</v>
      </c>
      <c r="B71" s="202" t="s">
        <v>682</v>
      </c>
      <c r="C71" s="202"/>
      <c r="D71" s="202" t="s">
        <v>455</v>
      </c>
      <c r="E71" s="207">
        <v>691</v>
      </c>
      <c r="F71" s="207">
        <v>691</v>
      </c>
      <c r="G71" s="203" t="s">
        <v>86</v>
      </c>
      <c r="H71" s="203" t="s">
        <v>715</v>
      </c>
      <c r="I71" s="203"/>
      <c r="J71" s="203"/>
      <c r="K71" s="203"/>
      <c r="L71" s="276"/>
      <c r="M71" s="263" t="str">
        <f t="shared" si="0"/>
        <v>도국</v>
      </c>
      <c r="N71" s="266"/>
      <c r="O71" s="265"/>
      <c r="P71" s="265"/>
      <c r="Q71" s="265"/>
      <c r="R71" s="265"/>
      <c r="S71" s="265"/>
      <c r="T71" s="265"/>
      <c r="U71" s="267"/>
    </row>
    <row r="72" spans="1:21" ht="18" customHeight="1">
      <c r="A72" s="342">
        <f t="shared" ref="A72:A135" si="2">A71+1</f>
        <v>67</v>
      </c>
      <c r="B72" s="202" t="s">
        <v>683</v>
      </c>
      <c r="C72" s="202"/>
      <c r="D72" s="202" t="s">
        <v>455</v>
      </c>
      <c r="E72" s="207">
        <v>10</v>
      </c>
      <c r="F72" s="207">
        <v>10</v>
      </c>
      <c r="G72" s="203" t="s">
        <v>86</v>
      </c>
      <c r="H72" s="203" t="s">
        <v>715</v>
      </c>
      <c r="I72" s="203"/>
      <c r="J72" s="203"/>
      <c r="K72" s="203"/>
      <c r="L72" s="276"/>
      <c r="M72" s="263" t="str">
        <f t="shared" ref="M72:M135" si="3">CONCATENATE(D72,G72)</f>
        <v>도국</v>
      </c>
      <c r="N72" s="266"/>
      <c r="O72" s="265"/>
      <c r="P72" s="265"/>
      <c r="Q72" s="265"/>
      <c r="R72" s="265"/>
      <c r="S72" s="265"/>
      <c r="T72" s="265"/>
      <c r="U72" s="267"/>
    </row>
    <row r="73" spans="1:21" ht="18" customHeight="1">
      <c r="A73" s="342">
        <f t="shared" si="2"/>
        <v>68</v>
      </c>
      <c r="B73" s="202" t="s">
        <v>684</v>
      </c>
      <c r="C73" s="202"/>
      <c r="D73" s="202" t="s">
        <v>455</v>
      </c>
      <c r="E73" s="207">
        <v>231</v>
      </c>
      <c r="F73" s="207">
        <v>231</v>
      </c>
      <c r="G73" s="203" t="s">
        <v>0</v>
      </c>
      <c r="H73" s="203" t="s">
        <v>452</v>
      </c>
      <c r="I73" s="203"/>
      <c r="J73" s="203"/>
      <c r="K73" s="203"/>
      <c r="L73" s="276"/>
      <c r="M73" s="263" t="str">
        <f t="shared" si="3"/>
        <v>도공</v>
      </c>
      <c r="N73" s="266"/>
      <c r="O73" s="265"/>
      <c r="P73" s="265"/>
      <c r="Q73" s="265"/>
      <c r="R73" s="265"/>
      <c r="S73" s="265"/>
      <c r="T73" s="265"/>
      <c r="U73" s="267"/>
    </row>
    <row r="74" spans="1:21" ht="18" customHeight="1">
      <c r="A74" s="342">
        <f t="shared" si="2"/>
        <v>69</v>
      </c>
      <c r="B74" s="202" t="s">
        <v>685</v>
      </c>
      <c r="C74" s="202"/>
      <c r="D74" s="202" t="s">
        <v>455</v>
      </c>
      <c r="E74" s="207">
        <v>241</v>
      </c>
      <c r="F74" s="207">
        <v>232</v>
      </c>
      <c r="G74" s="203" t="s">
        <v>0</v>
      </c>
      <c r="H74" s="203" t="s">
        <v>452</v>
      </c>
      <c r="I74" s="203"/>
      <c r="J74" s="203"/>
      <c r="K74" s="203"/>
      <c r="L74" s="276"/>
      <c r="M74" s="263" t="str">
        <f t="shared" si="3"/>
        <v>도공</v>
      </c>
      <c r="N74" s="266"/>
      <c r="O74" s="265"/>
      <c r="P74" s="265"/>
      <c r="Q74" s="265"/>
      <c r="R74" s="265"/>
      <c r="S74" s="265"/>
      <c r="T74" s="265"/>
      <c r="U74" s="267"/>
    </row>
    <row r="75" spans="1:21" ht="18" customHeight="1">
      <c r="A75" s="342">
        <f t="shared" si="2"/>
        <v>70</v>
      </c>
      <c r="B75" s="202" t="s">
        <v>686</v>
      </c>
      <c r="C75" s="202"/>
      <c r="D75" s="202" t="s">
        <v>455</v>
      </c>
      <c r="E75" s="207">
        <v>46</v>
      </c>
      <c r="F75" s="207">
        <v>46</v>
      </c>
      <c r="G75" s="203" t="s">
        <v>86</v>
      </c>
      <c r="H75" s="203" t="s">
        <v>715</v>
      </c>
      <c r="I75" s="203"/>
      <c r="J75" s="203"/>
      <c r="K75" s="203"/>
      <c r="L75" s="276"/>
      <c r="M75" s="263" t="str">
        <f t="shared" si="3"/>
        <v>도국</v>
      </c>
      <c r="N75" s="266"/>
      <c r="O75" s="265"/>
      <c r="P75" s="265"/>
      <c r="Q75" s="265"/>
      <c r="R75" s="265"/>
      <c r="S75" s="265"/>
      <c r="T75" s="265"/>
      <c r="U75" s="267"/>
    </row>
    <row r="76" spans="1:21" ht="18" customHeight="1">
      <c r="A76" s="342">
        <f t="shared" si="2"/>
        <v>71</v>
      </c>
      <c r="B76" s="202" t="s">
        <v>687</v>
      </c>
      <c r="C76" s="202"/>
      <c r="D76" s="202" t="s">
        <v>455</v>
      </c>
      <c r="E76" s="207">
        <v>221</v>
      </c>
      <c r="F76" s="207">
        <v>194</v>
      </c>
      <c r="G76" s="203" t="s">
        <v>86</v>
      </c>
      <c r="H76" s="203" t="s">
        <v>715</v>
      </c>
      <c r="I76" s="203"/>
      <c r="J76" s="203"/>
      <c r="K76" s="203"/>
      <c r="L76" s="276"/>
      <c r="M76" s="263" t="str">
        <f t="shared" si="3"/>
        <v>도국</v>
      </c>
      <c r="N76" s="266"/>
      <c r="O76" s="265"/>
      <c r="P76" s="265"/>
      <c r="Q76" s="265"/>
      <c r="R76" s="265"/>
      <c r="S76" s="265"/>
      <c r="T76" s="265"/>
      <c r="U76" s="267"/>
    </row>
    <row r="77" spans="1:21" ht="18" customHeight="1">
      <c r="A77" s="342">
        <f t="shared" si="2"/>
        <v>72</v>
      </c>
      <c r="B77" s="202" t="s">
        <v>688</v>
      </c>
      <c r="C77" s="202"/>
      <c r="D77" s="202" t="s">
        <v>455</v>
      </c>
      <c r="E77" s="207">
        <v>737</v>
      </c>
      <c r="F77" s="207">
        <v>217</v>
      </c>
      <c r="G77" s="203" t="s">
        <v>86</v>
      </c>
      <c r="H77" s="203" t="s">
        <v>715</v>
      </c>
      <c r="I77" s="203"/>
      <c r="J77" s="203"/>
      <c r="K77" s="203"/>
      <c r="L77" s="276"/>
      <c r="M77" s="263" t="str">
        <f t="shared" si="3"/>
        <v>도국</v>
      </c>
      <c r="N77" s="266"/>
      <c r="O77" s="265"/>
      <c r="P77" s="265"/>
      <c r="Q77" s="265"/>
      <c r="R77" s="265"/>
      <c r="S77" s="265"/>
      <c r="T77" s="265"/>
      <c r="U77" s="267"/>
    </row>
    <row r="78" spans="1:21" ht="18" customHeight="1">
      <c r="A78" s="342">
        <f t="shared" si="2"/>
        <v>73</v>
      </c>
      <c r="B78" s="202" t="s">
        <v>689</v>
      </c>
      <c r="C78" s="202"/>
      <c r="D78" s="202" t="s">
        <v>8</v>
      </c>
      <c r="E78" s="207">
        <v>2</v>
      </c>
      <c r="F78" s="207">
        <v>2</v>
      </c>
      <c r="G78" s="203" t="s">
        <v>0</v>
      </c>
      <c r="H78" s="203" t="s">
        <v>452</v>
      </c>
      <c r="I78" s="203"/>
      <c r="J78" s="203"/>
      <c r="K78" s="203"/>
      <c r="L78" s="276"/>
      <c r="M78" s="263" t="str">
        <f t="shared" si="3"/>
        <v>답공</v>
      </c>
      <c r="N78" s="266"/>
      <c r="O78" s="265"/>
      <c r="P78" s="265"/>
      <c r="Q78" s="265"/>
      <c r="R78" s="265"/>
      <c r="S78" s="265"/>
      <c r="T78" s="265"/>
      <c r="U78" s="267"/>
    </row>
    <row r="79" spans="1:21" ht="18" customHeight="1">
      <c r="A79" s="342">
        <f t="shared" si="2"/>
        <v>74</v>
      </c>
      <c r="B79" s="202" t="s">
        <v>690</v>
      </c>
      <c r="C79" s="202"/>
      <c r="D79" s="202" t="s">
        <v>8</v>
      </c>
      <c r="E79" s="207">
        <v>566</v>
      </c>
      <c r="F79" s="207">
        <v>426</v>
      </c>
      <c r="G79" s="203" t="s">
        <v>0</v>
      </c>
      <c r="H79" s="203" t="s">
        <v>452</v>
      </c>
      <c r="I79" s="203"/>
      <c r="J79" s="203"/>
      <c r="K79" s="203"/>
      <c r="L79" s="276"/>
      <c r="M79" s="263" t="str">
        <f t="shared" si="3"/>
        <v>답공</v>
      </c>
      <c r="N79" s="266"/>
      <c r="O79" s="265"/>
      <c r="P79" s="265"/>
      <c r="Q79" s="265"/>
      <c r="R79" s="265"/>
      <c r="S79" s="265"/>
      <c r="T79" s="265"/>
      <c r="U79" s="267"/>
    </row>
    <row r="80" spans="1:21" ht="18" customHeight="1">
      <c r="A80" s="342">
        <f t="shared" si="2"/>
        <v>75</v>
      </c>
      <c r="B80" s="202" t="s">
        <v>691</v>
      </c>
      <c r="C80" s="202"/>
      <c r="D80" s="202" t="s">
        <v>8</v>
      </c>
      <c r="E80" s="207">
        <v>195</v>
      </c>
      <c r="F80" s="207">
        <v>195</v>
      </c>
      <c r="G80" s="203" t="s">
        <v>0</v>
      </c>
      <c r="H80" s="203" t="s">
        <v>452</v>
      </c>
      <c r="I80" s="203"/>
      <c r="J80" s="203"/>
      <c r="K80" s="203"/>
      <c r="L80" s="276"/>
      <c r="M80" s="263" t="str">
        <f t="shared" si="3"/>
        <v>답공</v>
      </c>
      <c r="N80" s="266"/>
      <c r="O80" s="265"/>
      <c r="P80" s="265"/>
      <c r="Q80" s="265"/>
      <c r="R80" s="265"/>
      <c r="S80" s="265"/>
      <c r="T80" s="265"/>
      <c r="U80" s="267"/>
    </row>
    <row r="81" spans="1:21" ht="18" customHeight="1">
      <c r="A81" s="342">
        <f t="shared" si="2"/>
        <v>76</v>
      </c>
      <c r="B81" s="202" t="s">
        <v>692</v>
      </c>
      <c r="C81" s="202"/>
      <c r="D81" s="202" t="s">
        <v>455</v>
      </c>
      <c r="E81" s="207">
        <v>76</v>
      </c>
      <c r="F81" s="207">
        <v>65</v>
      </c>
      <c r="G81" s="203" t="s">
        <v>0</v>
      </c>
      <c r="H81" s="203" t="s">
        <v>452</v>
      </c>
      <c r="I81" s="203"/>
      <c r="J81" s="203"/>
      <c r="K81" s="203"/>
      <c r="L81" s="276"/>
      <c r="M81" s="263" t="str">
        <f t="shared" si="3"/>
        <v>도공</v>
      </c>
      <c r="N81" s="266"/>
      <c r="O81" s="265"/>
      <c r="P81" s="265"/>
      <c r="Q81" s="265"/>
      <c r="R81" s="265"/>
      <c r="S81" s="265"/>
      <c r="T81" s="265"/>
      <c r="U81" s="267"/>
    </row>
    <row r="82" spans="1:21" ht="18" customHeight="1">
      <c r="A82" s="342">
        <f t="shared" si="2"/>
        <v>77</v>
      </c>
      <c r="B82" s="202" t="s">
        <v>693</v>
      </c>
      <c r="C82" s="202"/>
      <c r="D82" s="202" t="s">
        <v>455</v>
      </c>
      <c r="E82" s="207">
        <v>46</v>
      </c>
      <c r="F82" s="207">
        <v>46</v>
      </c>
      <c r="G82" s="203" t="s">
        <v>86</v>
      </c>
      <c r="H82" s="203" t="s">
        <v>715</v>
      </c>
      <c r="I82" s="203"/>
      <c r="J82" s="203"/>
      <c r="K82" s="203"/>
      <c r="L82" s="276"/>
      <c r="M82" s="263" t="str">
        <f t="shared" si="3"/>
        <v>도국</v>
      </c>
      <c r="N82" s="266"/>
      <c r="O82" s="265"/>
      <c r="P82" s="265"/>
      <c r="Q82" s="265"/>
      <c r="R82" s="265"/>
      <c r="S82" s="265"/>
      <c r="T82" s="265"/>
      <c r="U82" s="267"/>
    </row>
    <row r="83" spans="1:21" ht="18" customHeight="1">
      <c r="A83" s="342">
        <f t="shared" si="2"/>
        <v>78</v>
      </c>
      <c r="B83" s="202" t="s">
        <v>694</v>
      </c>
      <c r="C83" s="202"/>
      <c r="D83" s="202" t="s">
        <v>8</v>
      </c>
      <c r="E83" s="207">
        <v>207</v>
      </c>
      <c r="F83" s="207">
        <v>207</v>
      </c>
      <c r="G83" s="203" t="s">
        <v>0</v>
      </c>
      <c r="H83" s="203" t="s">
        <v>452</v>
      </c>
      <c r="I83" s="203"/>
      <c r="J83" s="203"/>
      <c r="K83" s="203"/>
      <c r="L83" s="276"/>
      <c r="M83" s="263" t="str">
        <f t="shared" si="3"/>
        <v>답공</v>
      </c>
      <c r="N83" s="266"/>
      <c r="O83" s="265"/>
      <c r="P83" s="265"/>
      <c r="Q83" s="265"/>
      <c r="R83" s="265"/>
      <c r="S83" s="265"/>
      <c r="T83" s="265"/>
      <c r="U83" s="267"/>
    </row>
    <row r="84" spans="1:21" ht="18" customHeight="1">
      <c r="A84" s="342">
        <f t="shared" si="2"/>
        <v>79</v>
      </c>
      <c r="B84" s="202" t="s">
        <v>695</v>
      </c>
      <c r="C84" s="202"/>
      <c r="D84" s="202" t="s">
        <v>455</v>
      </c>
      <c r="E84" s="207">
        <v>179</v>
      </c>
      <c r="F84" s="207">
        <v>179</v>
      </c>
      <c r="G84" s="203" t="s">
        <v>0</v>
      </c>
      <c r="H84" s="203" t="s">
        <v>452</v>
      </c>
      <c r="I84" s="203"/>
      <c r="J84" s="203"/>
      <c r="K84" s="203"/>
      <c r="L84" s="276"/>
      <c r="M84" s="263" t="str">
        <f t="shared" si="3"/>
        <v>도공</v>
      </c>
      <c r="N84" s="266"/>
      <c r="O84" s="265"/>
      <c r="P84" s="265"/>
      <c r="Q84" s="265"/>
      <c r="R84" s="265"/>
      <c r="S84" s="265"/>
      <c r="T84" s="265"/>
      <c r="U84" s="267"/>
    </row>
    <row r="85" spans="1:21" ht="18" customHeight="1">
      <c r="A85" s="342">
        <f t="shared" si="2"/>
        <v>80</v>
      </c>
      <c r="B85" s="202" t="s">
        <v>696</v>
      </c>
      <c r="C85" s="202"/>
      <c r="D85" s="202" t="s">
        <v>8</v>
      </c>
      <c r="E85" s="207">
        <v>541</v>
      </c>
      <c r="F85" s="207">
        <v>541</v>
      </c>
      <c r="G85" s="203" t="s">
        <v>0</v>
      </c>
      <c r="H85" s="203" t="s">
        <v>452</v>
      </c>
      <c r="I85" s="203"/>
      <c r="J85" s="203"/>
      <c r="K85" s="203"/>
      <c r="L85" s="276"/>
      <c r="M85" s="263" t="str">
        <f t="shared" si="3"/>
        <v>답공</v>
      </c>
      <c r="N85" s="266"/>
      <c r="O85" s="265"/>
      <c r="P85" s="265"/>
      <c r="Q85" s="265"/>
      <c r="R85" s="265"/>
      <c r="S85" s="265"/>
      <c r="T85" s="265"/>
      <c r="U85" s="267"/>
    </row>
    <row r="86" spans="1:21" ht="18" customHeight="1">
      <c r="A86" s="342">
        <f t="shared" si="2"/>
        <v>81</v>
      </c>
      <c r="B86" s="202" t="s">
        <v>697</v>
      </c>
      <c r="C86" s="202"/>
      <c r="D86" s="202" t="s">
        <v>455</v>
      </c>
      <c r="E86" s="207">
        <v>99</v>
      </c>
      <c r="F86" s="207">
        <v>99</v>
      </c>
      <c r="G86" s="203" t="s">
        <v>86</v>
      </c>
      <c r="H86" s="203" t="s">
        <v>715</v>
      </c>
      <c r="I86" s="203"/>
      <c r="J86" s="203"/>
      <c r="K86" s="203"/>
      <c r="L86" s="276"/>
      <c r="M86" s="263" t="str">
        <f t="shared" si="3"/>
        <v>도국</v>
      </c>
      <c r="N86" s="266"/>
      <c r="O86" s="265"/>
      <c r="P86" s="265"/>
      <c r="Q86" s="265"/>
      <c r="R86" s="265"/>
      <c r="S86" s="265"/>
      <c r="T86" s="265"/>
      <c r="U86" s="267"/>
    </row>
    <row r="87" spans="1:21" ht="18" customHeight="1">
      <c r="A87" s="342">
        <f t="shared" si="2"/>
        <v>82</v>
      </c>
      <c r="B87" s="202" t="s">
        <v>698</v>
      </c>
      <c r="C87" s="202"/>
      <c r="D87" s="202" t="s">
        <v>455</v>
      </c>
      <c r="E87" s="207">
        <v>21</v>
      </c>
      <c r="F87" s="207">
        <v>21</v>
      </c>
      <c r="G87" s="203" t="s">
        <v>0</v>
      </c>
      <c r="H87" s="203" t="s">
        <v>452</v>
      </c>
      <c r="I87" s="203"/>
      <c r="J87" s="203"/>
      <c r="K87" s="203"/>
      <c r="L87" s="276"/>
      <c r="M87" s="263" t="str">
        <f t="shared" si="3"/>
        <v>도공</v>
      </c>
      <c r="N87" s="266"/>
      <c r="O87" s="265"/>
      <c r="P87" s="265"/>
      <c r="Q87" s="265"/>
      <c r="R87" s="265"/>
      <c r="S87" s="265"/>
      <c r="T87" s="265"/>
      <c r="U87" s="267"/>
    </row>
    <row r="88" spans="1:21" ht="18" customHeight="1">
      <c r="A88" s="342">
        <f t="shared" si="2"/>
        <v>83</v>
      </c>
      <c r="B88" s="202" t="s">
        <v>699</v>
      </c>
      <c r="C88" s="202"/>
      <c r="D88" s="202" t="s">
        <v>8</v>
      </c>
      <c r="E88" s="207">
        <v>322</v>
      </c>
      <c r="F88" s="207">
        <v>322</v>
      </c>
      <c r="G88" s="203" t="s">
        <v>85</v>
      </c>
      <c r="H88" s="203" t="s">
        <v>452</v>
      </c>
      <c r="I88" s="203"/>
      <c r="J88" s="203"/>
      <c r="K88" s="203"/>
      <c r="L88" s="276"/>
      <c r="M88" s="263" t="str">
        <f t="shared" si="3"/>
        <v>답공</v>
      </c>
      <c r="N88" s="266"/>
      <c r="O88" s="265"/>
      <c r="P88" s="265"/>
      <c r="Q88" s="265"/>
      <c r="R88" s="265"/>
      <c r="S88" s="265"/>
      <c r="T88" s="265"/>
      <c r="U88" s="267"/>
    </row>
    <row r="89" spans="1:21" ht="18" customHeight="1">
      <c r="A89" s="342">
        <f t="shared" si="2"/>
        <v>84</v>
      </c>
      <c r="B89" s="202" t="s">
        <v>700</v>
      </c>
      <c r="C89" s="202"/>
      <c r="D89" s="202" t="s">
        <v>8</v>
      </c>
      <c r="E89" s="207">
        <v>553</v>
      </c>
      <c r="F89" s="207">
        <v>553</v>
      </c>
      <c r="G89" s="203" t="s">
        <v>0</v>
      </c>
      <c r="H89" s="203" t="s">
        <v>452</v>
      </c>
      <c r="I89" s="203"/>
      <c r="J89" s="203"/>
      <c r="K89" s="203"/>
      <c r="L89" s="276"/>
      <c r="M89" s="263" t="str">
        <f t="shared" si="3"/>
        <v>답공</v>
      </c>
      <c r="N89" s="266"/>
      <c r="O89" s="265"/>
      <c r="P89" s="265"/>
      <c r="Q89" s="265"/>
      <c r="R89" s="265"/>
      <c r="S89" s="265"/>
      <c r="T89" s="265"/>
      <c r="U89" s="267"/>
    </row>
    <row r="90" spans="1:21" ht="18" customHeight="1">
      <c r="A90" s="342">
        <f t="shared" si="2"/>
        <v>85</v>
      </c>
      <c r="B90" s="202" t="s">
        <v>701</v>
      </c>
      <c r="C90" s="202"/>
      <c r="D90" s="202" t="s">
        <v>455</v>
      </c>
      <c r="E90" s="207">
        <v>105</v>
      </c>
      <c r="F90" s="207">
        <v>105</v>
      </c>
      <c r="G90" s="203" t="s">
        <v>0</v>
      </c>
      <c r="H90" s="203" t="s">
        <v>452</v>
      </c>
      <c r="I90" s="203"/>
      <c r="J90" s="203"/>
      <c r="K90" s="203"/>
      <c r="L90" s="276"/>
      <c r="M90" s="263" t="str">
        <f t="shared" si="3"/>
        <v>도공</v>
      </c>
      <c r="N90" s="266"/>
      <c r="O90" s="265"/>
      <c r="P90" s="265"/>
      <c r="Q90" s="265"/>
      <c r="R90" s="265"/>
      <c r="S90" s="265"/>
      <c r="T90" s="265"/>
      <c r="U90" s="267"/>
    </row>
    <row r="91" spans="1:21" ht="18" customHeight="1">
      <c r="A91" s="342">
        <f t="shared" si="2"/>
        <v>86</v>
      </c>
      <c r="B91" s="202" t="s">
        <v>702</v>
      </c>
      <c r="C91" s="202"/>
      <c r="D91" s="202" t="s">
        <v>455</v>
      </c>
      <c r="E91" s="207">
        <v>228</v>
      </c>
      <c r="F91" s="207">
        <v>176</v>
      </c>
      <c r="G91" s="203" t="s">
        <v>86</v>
      </c>
      <c r="H91" s="203" t="s">
        <v>715</v>
      </c>
      <c r="I91" s="203"/>
      <c r="J91" s="203"/>
      <c r="K91" s="203"/>
      <c r="L91" s="276"/>
      <c r="M91" s="263" t="str">
        <f t="shared" si="3"/>
        <v>도국</v>
      </c>
      <c r="N91" s="266"/>
      <c r="O91" s="265"/>
      <c r="P91" s="265"/>
      <c r="Q91" s="265"/>
      <c r="R91" s="265"/>
      <c r="S91" s="265"/>
      <c r="T91" s="265"/>
      <c r="U91" s="267"/>
    </row>
    <row r="92" spans="1:21" ht="18" customHeight="1">
      <c r="A92" s="342">
        <f t="shared" si="2"/>
        <v>87</v>
      </c>
      <c r="B92" s="202" t="s">
        <v>703</v>
      </c>
      <c r="C92" s="202"/>
      <c r="D92" s="202" t="s">
        <v>8</v>
      </c>
      <c r="E92" s="207">
        <v>350</v>
      </c>
      <c r="F92" s="207">
        <v>350</v>
      </c>
      <c r="G92" s="203" t="s">
        <v>0</v>
      </c>
      <c r="H92" s="203" t="s">
        <v>452</v>
      </c>
      <c r="I92" s="203"/>
      <c r="J92" s="203"/>
      <c r="K92" s="203"/>
      <c r="L92" s="276"/>
      <c r="M92" s="263" t="str">
        <f t="shared" si="3"/>
        <v>답공</v>
      </c>
      <c r="N92" s="266"/>
      <c r="O92" s="265"/>
      <c r="P92" s="265"/>
      <c r="Q92" s="265"/>
      <c r="R92" s="265"/>
      <c r="S92" s="265"/>
      <c r="T92" s="265"/>
      <c r="U92" s="267"/>
    </row>
    <row r="93" spans="1:21" ht="18" customHeight="1">
      <c r="A93" s="342">
        <f t="shared" si="2"/>
        <v>88</v>
      </c>
      <c r="B93" s="202" t="s">
        <v>704</v>
      </c>
      <c r="C93" s="202"/>
      <c r="D93" s="202" t="s">
        <v>455</v>
      </c>
      <c r="E93" s="207">
        <v>296</v>
      </c>
      <c r="F93" s="207">
        <v>296</v>
      </c>
      <c r="G93" s="203" t="s">
        <v>0</v>
      </c>
      <c r="H93" s="203" t="s">
        <v>452</v>
      </c>
      <c r="I93" s="203"/>
      <c r="J93" s="203"/>
      <c r="K93" s="203"/>
      <c r="L93" s="276"/>
      <c r="M93" s="263" t="str">
        <f t="shared" si="3"/>
        <v>도공</v>
      </c>
      <c r="N93" s="266"/>
      <c r="O93" s="265"/>
      <c r="P93" s="265"/>
      <c r="Q93" s="265"/>
      <c r="R93" s="265"/>
      <c r="S93" s="265"/>
      <c r="T93" s="265"/>
      <c r="U93" s="267"/>
    </row>
    <row r="94" spans="1:21" ht="18" customHeight="1">
      <c r="A94" s="342">
        <f t="shared" si="2"/>
        <v>89</v>
      </c>
      <c r="B94" s="202" t="s">
        <v>705</v>
      </c>
      <c r="C94" s="202"/>
      <c r="D94" s="202" t="s">
        <v>455</v>
      </c>
      <c r="E94" s="207">
        <v>241</v>
      </c>
      <c r="F94" s="207">
        <v>225</v>
      </c>
      <c r="G94" s="203" t="s">
        <v>86</v>
      </c>
      <c r="H94" s="203" t="s">
        <v>715</v>
      </c>
      <c r="I94" s="203"/>
      <c r="J94" s="203"/>
      <c r="K94" s="203"/>
      <c r="L94" s="276"/>
      <c r="M94" s="263" t="str">
        <f t="shared" si="3"/>
        <v>도국</v>
      </c>
      <c r="N94" s="266"/>
      <c r="O94" s="265"/>
      <c r="P94" s="265"/>
      <c r="Q94" s="265"/>
      <c r="R94" s="265"/>
      <c r="S94" s="265"/>
      <c r="T94" s="265"/>
      <c r="U94" s="267"/>
    </row>
    <row r="95" spans="1:21" ht="18" customHeight="1">
      <c r="A95" s="342">
        <f t="shared" si="2"/>
        <v>90</v>
      </c>
      <c r="B95" s="202" t="s">
        <v>706</v>
      </c>
      <c r="C95" s="202"/>
      <c r="D95" s="202" t="s">
        <v>8</v>
      </c>
      <c r="E95" s="207">
        <v>7</v>
      </c>
      <c r="F95" s="207">
        <v>7</v>
      </c>
      <c r="G95" s="203" t="s">
        <v>0</v>
      </c>
      <c r="H95" s="203" t="s">
        <v>452</v>
      </c>
      <c r="I95" s="203"/>
      <c r="J95" s="203"/>
      <c r="K95" s="203"/>
      <c r="L95" s="276"/>
      <c r="M95" s="263" t="str">
        <f t="shared" si="3"/>
        <v>답공</v>
      </c>
      <c r="N95" s="266"/>
      <c r="O95" s="265"/>
      <c r="P95" s="265"/>
      <c r="Q95" s="265"/>
      <c r="R95" s="265"/>
      <c r="S95" s="265"/>
      <c r="T95" s="265"/>
      <c r="U95" s="267"/>
    </row>
    <row r="96" spans="1:21" ht="18" customHeight="1">
      <c r="A96" s="342">
        <f t="shared" si="2"/>
        <v>91</v>
      </c>
      <c r="B96" s="202" t="s">
        <v>707</v>
      </c>
      <c r="C96" s="202"/>
      <c r="D96" s="202" t="s">
        <v>455</v>
      </c>
      <c r="E96" s="207">
        <v>444</v>
      </c>
      <c r="F96" s="207">
        <v>187</v>
      </c>
      <c r="G96" s="203" t="s">
        <v>85</v>
      </c>
      <c r="H96" s="203" t="s">
        <v>452</v>
      </c>
      <c r="I96" s="203"/>
      <c r="J96" s="203"/>
      <c r="K96" s="203"/>
      <c r="L96" s="276"/>
      <c r="M96" s="263" t="str">
        <f t="shared" si="3"/>
        <v>도공</v>
      </c>
      <c r="N96" s="266"/>
      <c r="O96" s="265"/>
      <c r="P96" s="265"/>
      <c r="Q96" s="265"/>
      <c r="R96" s="265"/>
      <c r="S96" s="265"/>
      <c r="T96" s="265"/>
      <c r="U96" s="267"/>
    </row>
    <row r="97" spans="1:21" ht="18" customHeight="1">
      <c r="A97" s="342">
        <f t="shared" si="2"/>
        <v>92</v>
      </c>
      <c r="B97" s="202" t="s">
        <v>708</v>
      </c>
      <c r="C97" s="202"/>
      <c r="D97" s="202" t="s">
        <v>8</v>
      </c>
      <c r="E97" s="207">
        <v>217</v>
      </c>
      <c r="F97" s="207">
        <v>217</v>
      </c>
      <c r="G97" s="203" t="s">
        <v>0</v>
      </c>
      <c r="H97" s="203" t="s">
        <v>452</v>
      </c>
      <c r="I97" s="203"/>
      <c r="J97" s="203"/>
      <c r="K97" s="203"/>
      <c r="L97" s="276"/>
      <c r="M97" s="263" t="str">
        <f t="shared" si="3"/>
        <v>답공</v>
      </c>
      <c r="N97" s="266"/>
      <c r="O97" s="265"/>
      <c r="P97" s="265"/>
      <c r="Q97" s="265"/>
      <c r="R97" s="265"/>
      <c r="S97" s="265"/>
      <c r="T97" s="265"/>
      <c r="U97" s="267"/>
    </row>
    <row r="98" spans="1:21" ht="18" customHeight="1">
      <c r="A98" s="342">
        <f t="shared" si="2"/>
        <v>93</v>
      </c>
      <c r="B98" s="202" t="s">
        <v>709</v>
      </c>
      <c r="C98" s="202"/>
      <c r="D98" s="202" t="s">
        <v>455</v>
      </c>
      <c r="E98" s="207">
        <v>100</v>
      </c>
      <c r="F98" s="207">
        <v>100</v>
      </c>
      <c r="G98" s="203" t="s">
        <v>0</v>
      </c>
      <c r="H98" s="203" t="s">
        <v>452</v>
      </c>
      <c r="I98" s="203"/>
      <c r="J98" s="203"/>
      <c r="K98" s="203"/>
      <c r="L98" s="276"/>
      <c r="M98" s="263" t="str">
        <f t="shared" si="3"/>
        <v>도공</v>
      </c>
      <c r="N98" s="266"/>
      <c r="O98" s="265"/>
      <c r="P98" s="265"/>
      <c r="Q98" s="265"/>
      <c r="R98" s="265"/>
      <c r="S98" s="265"/>
      <c r="T98" s="265"/>
      <c r="U98" s="267"/>
    </row>
    <row r="99" spans="1:21" ht="18" customHeight="1">
      <c r="A99" s="342">
        <f t="shared" si="2"/>
        <v>94</v>
      </c>
      <c r="B99" s="202" t="s">
        <v>710</v>
      </c>
      <c r="C99" s="202"/>
      <c r="D99" s="202" t="s">
        <v>8</v>
      </c>
      <c r="E99" s="207">
        <v>200</v>
      </c>
      <c r="F99" s="207">
        <v>200</v>
      </c>
      <c r="G99" s="203" t="s">
        <v>0</v>
      </c>
      <c r="H99" s="203" t="s">
        <v>452</v>
      </c>
      <c r="I99" s="203"/>
      <c r="J99" s="203"/>
      <c r="K99" s="203"/>
      <c r="L99" s="276"/>
      <c r="M99" s="263" t="str">
        <f t="shared" si="3"/>
        <v>답공</v>
      </c>
      <c r="N99" s="266"/>
      <c r="O99" s="265"/>
      <c r="P99" s="265"/>
      <c r="Q99" s="265"/>
      <c r="R99" s="265"/>
      <c r="S99" s="265"/>
      <c r="T99" s="265"/>
      <c r="U99" s="267"/>
    </row>
    <row r="100" spans="1:21" ht="18" customHeight="1">
      <c r="A100" s="342">
        <f t="shared" si="2"/>
        <v>95</v>
      </c>
      <c r="B100" s="202" t="s">
        <v>711</v>
      </c>
      <c r="C100" s="202"/>
      <c r="D100" s="202" t="s">
        <v>93</v>
      </c>
      <c r="E100" s="207">
        <v>2457</v>
      </c>
      <c r="F100" s="207">
        <v>2457</v>
      </c>
      <c r="G100" s="203" t="s">
        <v>0</v>
      </c>
      <c r="H100" s="203" t="s">
        <v>452</v>
      </c>
      <c r="I100" s="203"/>
      <c r="J100" s="203"/>
      <c r="K100" s="203"/>
      <c r="L100" s="276"/>
      <c r="M100" s="263" t="str">
        <f t="shared" si="3"/>
        <v>임공</v>
      </c>
      <c r="N100" s="266"/>
      <c r="O100" s="265"/>
      <c r="P100" s="265"/>
      <c r="Q100" s="265"/>
      <c r="R100" s="265"/>
      <c r="S100" s="265"/>
      <c r="T100" s="265"/>
      <c r="U100" s="267"/>
    </row>
    <row r="101" spans="1:21" ht="18" customHeight="1">
      <c r="A101" s="342">
        <f t="shared" si="2"/>
        <v>96</v>
      </c>
      <c r="B101" s="202" t="s">
        <v>454</v>
      </c>
      <c r="C101" s="202"/>
      <c r="D101" s="202" t="s">
        <v>455</v>
      </c>
      <c r="E101" s="207">
        <v>219</v>
      </c>
      <c r="F101" s="207">
        <v>212</v>
      </c>
      <c r="G101" s="203" t="s">
        <v>0</v>
      </c>
      <c r="H101" s="203" t="s">
        <v>452</v>
      </c>
      <c r="I101" s="203"/>
      <c r="J101" s="203"/>
      <c r="K101" s="203"/>
      <c r="L101" s="276"/>
      <c r="M101" s="263" t="str">
        <f t="shared" si="3"/>
        <v>도공</v>
      </c>
      <c r="N101" s="266"/>
      <c r="O101" s="265"/>
      <c r="P101" s="265"/>
      <c r="Q101" s="265"/>
      <c r="R101" s="265"/>
      <c r="S101" s="265"/>
      <c r="T101" s="265"/>
      <c r="U101" s="267"/>
    </row>
    <row r="102" spans="1:21" ht="18" customHeight="1">
      <c r="A102" s="342">
        <f t="shared" si="2"/>
        <v>97</v>
      </c>
      <c r="B102" s="202" t="s">
        <v>456</v>
      </c>
      <c r="C102" s="202"/>
      <c r="D102" s="202" t="s">
        <v>93</v>
      </c>
      <c r="E102" s="207">
        <v>475</v>
      </c>
      <c r="F102" s="207">
        <v>25</v>
      </c>
      <c r="G102" s="203" t="s">
        <v>509</v>
      </c>
      <c r="H102" s="203" t="s">
        <v>509</v>
      </c>
      <c r="I102" s="203"/>
      <c r="J102" s="203"/>
      <c r="K102" s="203"/>
      <c r="L102" s="276"/>
      <c r="M102" s="263" t="str">
        <f t="shared" si="3"/>
        <v>임이*구</v>
      </c>
      <c r="N102" s="266"/>
      <c r="O102" s="265"/>
      <c r="P102" s="265"/>
      <c r="Q102" s="265"/>
      <c r="R102" s="265"/>
      <c r="S102" s="265"/>
      <c r="T102" s="265"/>
      <c r="U102" s="267"/>
    </row>
    <row r="103" spans="1:21" ht="18" customHeight="1">
      <c r="A103" s="342">
        <f t="shared" si="2"/>
        <v>98</v>
      </c>
      <c r="B103" s="202" t="s">
        <v>457</v>
      </c>
      <c r="C103" s="202"/>
      <c r="D103" s="202" t="s">
        <v>7</v>
      </c>
      <c r="E103" s="207">
        <v>69</v>
      </c>
      <c r="F103" s="207">
        <v>29</v>
      </c>
      <c r="G103" s="203" t="s">
        <v>510</v>
      </c>
      <c r="H103" s="203" t="s">
        <v>510</v>
      </c>
      <c r="I103" s="203"/>
      <c r="J103" s="203"/>
      <c r="K103" s="203"/>
      <c r="L103" s="276"/>
      <c r="M103" s="263" t="str">
        <f t="shared" si="3"/>
        <v>전정*훈</v>
      </c>
      <c r="N103" s="266"/>
      <c r="O103" s="265"/>
      <c r="P103" s="265"/>
      <c r="Q103" s="265"/>
      <c r="R103" s="265"/>
      <c r="S103" s="265"/>
      <c r="T103" s="265"/>
      <c r="U103" s="267"/>
    </row>
    <row r="104" spans="1:21" ht="18" customHeight="1">
      <c r="A104" s="342">
        <f t="shared" si="2"/>
        <v>99</v>
      </c>
      <c r="B104" s="202" t="s">
        <v>458</v>
      </c>
      <c r="C104" s="202"/>
      <c r="D104" s="202" t="s">
        <v>459</v>
      </c>
      <c r="E104" s="207">
        <v>137</v>
      </c>
      <c r="F104" s="207">
        <v>26</v>
      </c>
      <c r="G104" s="203" t="s">
        <v>510</v>
      </c>
      <c r="H104" s="203" t="s">
        <v>510</v>
      </c>
      <c r="I104" s="203"/>
      <c r="J104" s="203"/>
      <c r="K104" s="203"/>
      <c r="L104" s="276"/>
      <c r="M104" s="263" t="str">
        <f t="shared" si="3"/>
        <v>대정*훈</v>
      </c>
      <c r="N104" s="266"/>
      <c r="O104" s="265"/>
      <c r="P104" s="265"/>
      <c r="Q104" s="265"/>
      <c r="R104" s="265"/>
      <c r="S104" s="265"/>
      <c r="T104" s="265"/>
      <c r="U104" s="267"/>
    </row>
    <row r="105" spans="1:21" ht="18" customHeight="1">
      <c r="A105" s="342">
        <f t="shared" si="2"/>
        <v>100</v>
      </c>
      <c r="B105" s="202" t="s">
        <v>460</v>
      </c>
      <c r="C105" s="202"/>
      <c r="D105" s="202" t="s">
        <v>459</v>
      </c>
      <c r="E105" s="207">
        <v>68</v>
      </c>
      <c r="F105" s="207">
        <v>5</v>
      </c>
      <c r="G105" s="203" t="s">
        <v>509</v>
      </c>
      <c r="H105" s="203" t="s">
        <v>509</v>
      </c>
      <c r="I105" s="203"/>
      <c r="J105" s="203"/>
      <c r="K105" s="203"/>
      <c r="L105" s="276"/>
      <c r="M105" s="263" t="str">
        <f t="shared" si="3"/>
        <v>대이*구</v>
      </c>
      <c r="N105" s="266"/>
      <c r="O105" s="265"/>
      <c r="P105" s="265"/>
      <c r="Q105" s="265"/>
      <c r="R105" s="265"/>
      <c r="S105" s="265"/>
      <c r="T105" s="265"/>
      <c r="U105" s="267"/>
    </row>
    <row r="106" spans="1:21" ht="18" customHeight="1">
      <c r="A106" s="342">
        <f t="shared" si="2"/>
        <v>101</v>
      </c>
      <c r="B106" s="202" t="s">
        <v>461</v>
      </c>
      <c r="C106" s="202"/>
      <c r="D106" s="202" t="s">
        <v>462</v>
      </c>
      <c r="E106" s="207">
        <v>5363.7</v>
      </c>
      <c r="F106" s="207">
        <v>88</v>
      </c>
      <c r="G106" s="203" t="s">
        <v>716</v>
      </c>
      <c r="H106" s="203" t="s">
        <v>712</v>
      </c>
      <c r="I106" s="203"/>
      <c r="J106" s="203"/>
      <c r="K106" s="203"/>
      <c r="L106" s="276"/>
      <c r="M106" s="263" t="str">
        <f t="shared" si="3"/>
        <v>구국</v>
      </c>
      <c r="N106" s="266"/>
      <c r="O106" s="265"/>
      <c r="P106" s="265"/>
      <c r="Q106" s="265"/>
      <c r="R106" s="265"/>
      <c r="S106" s="265"/>
      <c r="T106" s="265"/>
      <c r="U106" s="267"/>
    </row>
    <row r="107" spans="1:21" ht="18" customHeight="1">
      <c r="A107" s="342">
        <f t="shared" si="2"/>
        <v>102</v>
      </c>
      <c r="B107" s="202" t="s">
        <v>463</v>
      </c>
      <c r="C107" s="202"/>
      <c r="D107" s="202" t="s">
        <v>8</v>
      </c>
      <c r="E107" s="207">
        <v>1088.5999999999999</v>
      </c>
      <c r="F107" s="207">
        <v>42</v>
      </c>
      <c r="G107" s="203" t="s">
        <v>513</v>
      </c>
      <c r="H107" s="203" t="s">
        <v>513</v>
      </c>
      <c r="I107" s="203"/>
      <c r="J107" s="203"/>
      <c r="K107" s="203"/>
      <c r="L107" s="276"/>
      <c r="M107" s="263" t="str">
        <f t="shared" si="3"/>
        <v>답이*종선 외1</v>
      </c>
      <c r="N107" s="266"/>
      <c r="O107" s="265"/>
      <c r="P107" s="265"/>
      <c r="Q107" s="265"/>
      <c r="R107" s="265"/>
      <c r="S107" s="265"/>
      <c r="T107" s="265"/>
      <c r="U107" s="267"/>
    </row>
    <row r="108" spans="1:21" ht="18" customHeight="1">
      <c r="A108" s="342">
        <f t="shared" si="2"/>
        <v>103</v>
      </c>
      <c r="B108" s="202" t="s">
        <v>464</v>
      </c>
      <c r="C108" s="202"/>
      <c r="D108" s="202" t="s">
        <v>455</v>
      </c>
      <c r="E108" s="207">
        <v>4118</v>
      </c>
      <c r="F108" s="207">
        <v>41</v>
      </c>
      <c r="G108" s="203" t="s">
        <v>716</v>
      </c>
      <c r="H108" s="203" t="s">
        <v>712</v>
      </c>
      <c r="I108" s="203"/>
      <c r="J108" s="203"/>
      <c r="K108" s="203"/>
      <c r="L108" s="276"/>
      <c r="M108" s="263" t="str">
        <f t="shared" si="3"/>
        <v>도국</v>
      </c>
      <c r="N108" s="266"/>
      <c r="O108" s="265"/>
      <c r="P108" s="265"/>
      <c r="Q108" s="265"/>
      <c r="R108" s="265"/>
      <c r="S108" s="265"/>
      <c r="T108" s="265"/>
      <c r="U108" s="267"/>
    </row>
    <row r="109" spans="1:21" ht="18" customHeight="1">
      <c r="A109" s="342">
        <f t="shared" si="2"/>
        <v>104</v>
      </c>
      <c r="B109" s="202" t="s">
        <v>465</v>
      </c>
      <c r="C109" s="202"/>
      <c r="D109" s="202" t="s">
        <v>455</v>
      </c>
      <c r="E109" s="207">
        <v>254</v>
      </c>
      <c r="F109" s="207">
        <v>254</v>
      </c>
      <c r="G109" s="203" t="s">
        <v>0</v>
      </c>
      <c r="H109" s="203" t="s">
        <v>452</v>
      </c>
      <c r="I109" s="203"/>
      <c r="J109" s="203"/>
      <c r="K109" s="203"/>
      <c r="L109" s="276"/>
      <c r="M109" s="263" t="str">
        <f t="shared" si="3"/>
        <v>도공</v>
      </c>
      <c r="N109" s="266"/>
      <c r="O109" s="265"/>
      <c r="P109" s="265"/>
      <c r="Q109" s="265"/>
      <c r="R109" s="265"/>
      <c r="S109" s="265"/>
      <c r="T109" s="265"/>
      <c r="U109" s="267"/>
    </row>
    <row r="110" spans="1:21" ht="18" customHeight="1">
      <c r="A110" s="342">
        <f t="shared" si="2"/>
        <v>105</v>
      </c>
      <c r="B110" s="202" t="s">
        <v>466</v>
      </c>
      <c r="C110" s="202"/>
      <c r="D110" s="202" t="s">
        <v>455</v>
      </c>
      <c r="E110" s="207">
        <v>195</v>
      </c>
      <c r="F110" s="207">
        <v>195</v>
      </c>
      <c r="G110" s="203" t="s">
        <v>716</v>
      </c>
      <c r="H110" s="203" t="s">
        <v>514</v>
      </c>
      <c r="I110" s="203"/>
      <c r="J110" s="203"/>
      <c r="K110" s="203"/>
      <c r="L110" s="276"/>
      <c r="M110" s="263" t="str">
        <f t="shared" si="3"/>
        <v>도국</v>
      </c>
      <c r="N110" s="266"/>
      <c r="O110" s="265"/>
      <c r="P110" s="265"/>
      <c r="Q110" s="265"/>
      <c r="R110" s="265"/>
      <c r="S110" s="265"/>
      <c r="T110" s="265"/>
      <c r="U110" s="267"/>
    </row>
    <row r="111" spans="1:21" ht="18" customHeight="1">
      <c r="A111" s="342">
        <f t="shared" si="2"/>
        <v>106</v>
      </c>
      <c r="B111" s="202" t="s">
        <v>467</v>
      </c>
      <c r="C111" s="202"/>
      <c r="D111" s="202" t="s">
        <v>455</v>
      </c>
      <c r="E111" s="207">
        <v>20</v>
      </c>
      <c r="F111" s="207">
        <v>20</v>
      </c>
      <c r="G111" s="203" t="s">
        <v>716</v>
      </c>
      <c r="H111" s="203" t="s">
        <v>514</v>
      </c>
      <c r="I111" s="203"/>
      <c r="J111" s="203"/>
      <c r="K111" s="203"/>
      <c r="L111" s="276"/>
      <c r="M111" s="263" t="str">
        <f t="shared" si="3"/>
        <v>도국</v>
      </c>
      <c r="N111" s="266"/>
      <c r="O111" s="265"/>
      <c r="P111" s="265"/>
      <c r="Q111" s="265"/>
      <c r="R111" s="265"/>
      <c r="S111" s="265"/>
      <c r="T111" s="265"/>
      <c r="U111" s="267"/>
    </row>
    <row r="112" spans="1:21" ht="18" customHeight="1">
      <c r="A112" s="342">
        <f t="shared" si="2"/>
        <v>107</v>
      </c>
      <c r="B112" s="202" t="s">
        <v>468</v>
      </c>
      <c r="C112" s="202"/>
      <c r="D112" s="202" t="s">
        <v>455</v>
      </c>
      <c r="E112" s="207">
        <v>4</v>
      </c>
      <c r="F112" s="207">
        <v>4</v>
      </c>
      <c r="G112" s="203" t="s">
        <v>0</v>
      </c>
      <c r="H112" s="203" t="s">
        <v>452</v>
      </c>
      <c r="I112" s="203"/>
      <c r="J112" s="203"/>
      <c r="K112" s="203"/>
      <c r="L112" s="276"/>
      <c r="M112" s="263" t="str">
        <f t="shared" si="3"/>
        <v>도공</v>
      </c>
      <c r="N112" s="266"/>
      <c r="O112" s="265"/>
      <c r="P112" s="265"/>
      <c r="Q112" s="265"/>
      <c r="R112" s="265"/>
      <c r="S112" s="265"/>
      <c r="T112" s="265"/>
      <c r="U112" s="267"/>
    </row>
    <row r="113" spans="1:21" ht="18" customHeight="1">
      <c r="A113" s="342">
        <f t="shared" si="2"/>
        <v>108</v>
      </c>
      <c r="B113" s="202" t="s">
        <v>469</v>
      </c>
      <c r="C113" s="202"/>
      <c r="D113" s="202" t="s">
        <v>455</v>
      </c>
      <c r="E113" s="207">
        <v>40</v>
      </c>
      <c r="F113" s="207">
        <v>40</v>
      </c>
      <c r="G113" s="203" t="s">
        <v>0</v>
      </c>
      <c r="H113" s="203" t="s">
        <v>452</v>
      </c>
      <c r="I113" s="203"/>
      <c r="J113" s="203"/>
      <c r="K113" s="203"/>
      <c r="L113" s="276"/>
      <c r="M113" s="263" t="str">
        <f t="shared" si="3"/>
        <v>도공</v>
      </c>
      <c r="N113" s="266"/>
      <c r="O113" s="265"/>
      <c r="P113" s="265"/>
      <c r="Q113" s="265"/>
      <c r="R113" s="265"/>
      <c r="S113" s="265"/>
      <c r="T113" s="265"/>
      <c r="U113" s="267"/>
    </row>
    <row r="114" spans="1:21" ht="18" customHeight="1">
      <c r="A114" s="342">
        <f t="shared" si="2"/>
        <v>109</v>
      </c>
      <c r="B114" s="202" t="s">
        <v>470</v>
      </c>
      <c r="C114" s="202"/>
      <c r="D114" s="202" t="s">
        <v>455</v>
      </c>
      <c r="E114" s="207">
        <v>19</v>
      </c>
      <c r="F114" s="207">
        <v>19</v>
      </c>
      <c r="G114" s="203" t="s">
        <v>509</v>
      </c>
      <c r="H114" s="203" t="s">
        <v>509</v>
      </c>
      <c r="I114" s="203"/>
      <c r="J114" s="203"/>
      <c r="K114" s="203"/>
      <c r="L114" s="276"/>
      <c r="M114" s="263" t="str">
        <f t="shared" si="3"/>
        <v>도이*구</v>
      </c>
      <c r="N114" s="266"/>
      <c r="O114" s="265"/>
      <c r="P114" s="265"/>
      <c r="Q114" s="265"/>
      <c r="R114" s="265"/>
      <c r="S114" s="265"/>
      <c r="T114" s="265"/>
      <c r="U114" s="267"/>
    </row>
    <row r="115" spans="1:21" ht="18" customHeight="1">
      <c r="A115" s="342">
        <f t="shared" si="2"/>
        <v>110</v>
      </c>
      <c r="B115" s="202" t="s">
        <v>471</v>
      </c>
      <c r="C115" s="202"/>
      <c r="D115" s="202" t="s">
        <v>455</v>
      </c>
      <c r="E115" s="207">
        <v>179</v>
      </c>
      <c r="F115" s="207">
        <v>179</v>
      </c>
      <c r="G115" s="203" t="s">
        <v>716</v>
      </c>
      <c r="H115" s="203" t="s">
        <v>514</v>
      </c>
      <c r="I115" s="203"/>
      <c r="J115" s="203"/>
      <c r="K115" s="203"/>
      <c r="L115" s="276"/>
      <c r="M115" s="263" t="str">
        <f t="shared" si="3"/>
        <v>도국</v>
      </c>
      <c r="N115" s="266"/>
      <c r="O115" s="265"/>
      <c r="P115" s="265"/>
      <c r="Q115" s="265"/>
      <c r="R115" s="265"/>
      <c r="S115" s="265"/>
      <c r="T115" s="265"/>
      <c r="U115" s="267"/>
    </row>
    <row r="116" spans="1:21" ht="18" customHeight="1">
      <c r="A116" s="342">
        <f t="shared" si="2"/>
        <v>111</v>
      </c>
      <c r="B116" s="202" t="s">
        <v>472</v>
      </c>
      <c r="C116" s="202"/>
      <c r="D116" s="202" t="s">
        <v>7</v>
      </c>
      <c r="E116" s="207">
        <v>129</v>
      </c>
      <c r="F116" s="207">
        <v>33</v>
      </c>
      <c r="G116" s="203" t="s">
        <v>509</v>
      </c>
      <c r="H116" s="203" t="s">
        <v>509</v>
      </c>
      <c r="I116" s="203"/>
      <c r="J116" s="203"/>
      <c r="K116" s="203"/>
      <c r="L116" s="276"/>
      <c r="M116" s="263" t="str">
        <f t="shared" si="3"/>
        <v>전이*구</v>
      </c>
      <c r="N116" s="266"/>
      <c r="O116" s="265"/>
      <c r="P116" s="265"/>
      <c r="Q116" s="265"/>
      <c r="R116" s="265"/>
      <c r="S116" s="265"/>
      <c r="T116" s="265"/>
      <c r="U116" s="267"/>
    </row>
    <row r="117" spans="1:21" ht="18" customHeight="1">
      <c r="A117" s="342">
        <f t="shared" si="2"/>
        <v>112</v>
      </c>
      <c r="B117" s="202" t="s">
        <v>453</v>
      </c>
      <c r="C117" s="202"/>
      <c r="D117" s="202" t="s">
        <v>8</v>
      </c>
      <c r="E117" s="207">
        <v>61.2</v>
      </c>
      <c r="F117" s="207">
        <v>61.2</v>
      </c>
      <c r="G117" s="203" t="s">
        <v>0</v>
      </c>
      <c r="H117" s="203" t="s">
        <v>452</v>
      </c>
      <c r="I117" s="203"/>
      <c r="J117" s="203"/>
      <c r="K117" s="203"/>
      <c r="L117" s="276"/>
      <c r="M117" s="263" t="str">
        <f t="shared" si="3"/>
        <v>답공</v>
      </c>
      <c r="N117" s="266"/>
      <c r="O117" s="265"/>
      <c r="P117" s="265"/>
      <c r="Q117" s="265"/>
      <c r="R117" s="265"/>
      <c r="S117" s="265"/>
      <c r="T117" s="265"/>
      <c r="U117" s="267"/>
    </row>
    <row r="118" spans="1:21" ht="18" customHeight="1">
      <c r="A118" s="342">
        <f t="shared" si="2"/>
        <v>113</v>
      </c>
      <c r="B118" s="202" t="s">
        <v>473</v>
      </c>
      <c r="C118" s="202"/>
      <c r="D118" s="202" t="s">
        <v>8</v>
      </c>
      <c r="E118" s="207">
        <v>716.7</v>
      </c>
      <c r="F118" s="207">
        <v>350</v>
      </c>
      <c r="G118" s="203" t="s">
        <v>509</v>
      </c>
      <c r="H118" s="203" t="s">
        <v>509</v>
      </c>
      <c r="I118" s="203"/>
      <c r="J118" s="203"/>
      <c r="K118" s="203"/>
      <c r="L118" s="276"/>
      <c r="M118" s="263" t="str">
        <f t="shared" si="3"/>
        <v>답이*구</v>
      </c>
      <c r="N118" s="266"/>
      <c r="O118" s="265"/>
      <c r="P118" s="265"/>
      <c r="Q118" s="265"/>
      <c r="R118" s="265"/>
      <c r="S118" s="265"/>
      <c r="T118" s="265"/>
      <c r="U118" s="267"/>
    </row>
    <row r="119" spans="1:21" ht="18" customHeight="1">
      <c r="A119" s="493">
        <f t="shared" si="2"/>
        <v>114</v>
      </c>
      <c r="B119" s="491" t="s">
        <v>474</v>
      </c>
      <c r="C119" s="202"/>
      <c r="D119" s="202" t="s">
        <v>8</v>
      </c>
      <c r="E119" s="207">
        <v>2617.1</v>
      </c>
      <c r="F119" s="207">
        <v>342</v>
      </c>
      <c r="G119" s="203" t="s">
        <v>515</v>
      </c>
      <c r="H119" s="203" t="s">
        <v>515</v>
      </c>
      <c r="I119" s="203"/>
      <c r="J119" s="203"/>
      <c r="K119" s="203"/>
      <c r="L119" s="276"/>
      <c r="M119" s="263" t="str">
        <f t="shared" si="3"/>
        <v>답이*선</v>
      </c>
      <c r="N119" s="266"/>
      <c r="O119" s="265"/>
      <c r="P119" s="265"/>
      <c r="Q119" s="265"/>
      <c r="R119" s="265"/>
      <c r="S119" s="265"/>
      <c r="T119" s="265"/>
      <c r="U119" s="267"/>
    </row>
    <row r="120" spans="1:21" ht="18" customHeight="1">
      <c r="A120" s="494"/>
      <c r="B120" s="492"/>
      <c r="C120" s="202"/>
      <c r="D120" s="202" t="s">
        <v>8</v>
      </c>
      <c r="E120" s="207"/>
      <c r="F120" s="207"/>
      <c r="G120" s="203" t="s">
        <v>515</v>
      </c>
      <c r="H120" s="203" t="s">
        <v>515</v>
      </c>
      <c r="I120" s="203"/>
      <c r="J120" s="203"/>
      <c r="K120" s="203"/>
      <c r="L120" s="276"/>
      <c r="M120" s="263" t="str">
        <f t="shared" si="3"/>
        <v>답이*선</v>
      </c>
      <c r="N120" s="266"/>
      <c r="O120" s="265"/>
      <c r="P120" s="265"/>
      <c r="Q120" s="265"/>
      <c r="R120" s="265"/>
      <c r="S120" s="265"/>
      <c r="T120" s="265"/>
      <c r="U120" s="267"/>
    </row>
    <row r="121" spans="1:21" ht="18" customHeight="1">
      <c r="A121" s="342">
        <f>A119+1</f>
        <v>115</v>
      </c>
      <c r="B121" s="202" t="s">
        <v>475</v>
      </c>
      <c r="C121" s="202"/>
      <c r="D121" s="202" t="s">
        <v>8</v>
      </c>
      <c r="E121" s="207">
        <v>76</v>
      </c>
      <c r="F121" s="207">
        <v>21</v>
      </c>
      <c r="G121" s="203" t="s">
        <v>516</v>
      </c>
      <c r="H121" s="203" t="s">
        <v>516</v>
      </c>
      <c r="I121" s="203"/>
      <c r="J121" s="203"/>
      <c r="K121" s="203"/>
      <c r="L121" s="276"/>
      <c r="M121" s="263" t="str">
        <f t="shared" si="3"/>
        <v>답이*식</v>
      </c>
      <c r="N121" s="266"/>
      <c r="O121" s="265"/>
      <c r="P121" s="265"/>
      <c r="Q121" s="265"/>
      <c r="R121" s="265"/>
      <c r="S121" s="265"/>
      <c r="T121" s="265"/>
      <c r="U121" s="267"/>
    </row>
    <row r="122" spans="1:21" ht="18" customHeight="1">
      <c r="A122" s="342">
        <f t="shared" si="2"/>
        <v>116</v>
      </c>
      <c r="B122" s="202" t="s">
        <v>476</v>
      </c>
      <c r="C122" s="202"/>
      <c r="D122" s="202" t="s">
        <v>459</v>
      </c>
      <c r="E122" s="207">
        <v>566</v>
      </c>
      <c r="F122" s="207">
        <v>98</v>
      </c>
      <c r="G122" s="203" t="s">
        <v>516</v>
      </c>
      <c r="H122" s="203" t="s">
        <v>516</v>
      </c>
      <c r="I122" s="203"/>
      <c r="J122" s="203"/>
      <c r="K122" s="203"/>
      <c r="L122" s="276"/>
      <c r="M122" s="263" t="str">
        <f t="shared" si="3"/>
        <v>대이*식</v>
      </c>
      <c r="N122" s="266"/>
      <c r="O122" s="265"/>
      <c r="P122" s="265"/>
      <c r="Q122" s="265"/>
      <c r="R122" s="265"/>
      <c r="S122" s="265"/>
      <c r="T122" s="265"/>
      <c r="U122" s="267"/>
    </row>
    <row r="123" spans="1:21" ht="18" customHeight="1">
      <c r="A123" s="342">
        <f t="shared" si="2"/>
        <v>117</v>
      </c>
      <c r="B123" s="202" t="s">
        <v>477</v>
      </c>
      <c r="C123" s="202"/>
      <c r="D123" s="202" t="s">
        <v>8</v>
      </c>
      <c r="E123" s="207">
        <v>2386.3000000000002</v>
      </c>
      <c r="F123" s="207">
        <v>42</v>
      </c>
      <c r="G123" s="203" t="s">
        <v>516</v>
      </c>
      <c r="H123" s="203" t="s">
        <v>516</v>
      </c>
      <c r="I123" s="203"/>
      <c r="J123" s="203"/>
      <c r="K123" s="203"/>
      <c r="L123" s="276"/>
      <c r="M123" s="263" t="str">
        <f t="shared" si="3"/>
        <v>답이*식</v>
      </c>
      <c r="N123" s="266"/>
      <c r="O123" s="265"/>
      <c r="P123" s="265"/>
      <c r="Q123" s="265"/>
      <c r="R123" s="265"/>
      <c r="S123" s="265"/>
      <c r="T123" s="265"/>
      <c r="U123" s="267"/>
    </row>
    <row r="124" spans="1:21" ht="18" customHeight="1">
      <c r="A124" s="342">
        <f t="shared" si="2"/>
        <v>118</v>
      </c>
      <c r="B124" s="202" t="s">
        <v>478</v>
      </c>
      <c r="C124" s="202"/>
      <c r="D124" s="202" t="s">
        <v>462</v>
      </c>
      <c r="E124" s="207">
        <v>5750</v>
      </c>
      <c r="F124" s="207">
        <v>66</v>
      </c>
      <c r="G124" s="203" t="s">
        <v>716</v>
      </c>
      <c r="H124" s="203" t="s">
        <v>712</v>
      </c>
      <c r="I124" s="203"/>
      <c r="J124" s="203"/>
      <c r="K124" s="203"/>
      <c r="L124" s="276"/>
      <c r="M124" s="263" t="str">
        <f t="shared" si="3"/>
        <v>구국</v>
      </c>
      <c r="N124" s="266"/>
      <c r="O124" s="265"/>
      <c r="P124" s="265"/>
      <c r="Q124" s="265"/>
      <c r="R124" s="265"/>
      <c r="S124" s="265"/>
      <c r="T124" s="265"/>
      <c r="U124" s="267"/>
    </row>
    <row r="125" spans="1:21" ht="18" customHeight="1">
      <c r="A125" s="342">
        <f t="shared" si="2"/>
        <v>119</v>
      </c>
      <c r="B125" s="202" t="s">
        <v>479</v>
      </c>
      <c r="C125" s="202"/>
      <c r="D125" s="202" t="s">
        <v>93</v>
      </c>
      <c r="E125" s="207">
        <v>10663</v>
      </c>
      <c r="F125" s="207">
        <v>64</v>
      </c>
      <c r="G125" s="203" t="s">
        <v>509</v>
      </c>
      <c r="H125" s="203" t="s">
        <v>509</v>
      </c>
      <c r="I125" s="203"/>
      <c r="J125" s="203"/>
      <c r="K125" s="203"/>
      <c r="L125" s="276"/>
      <c r="M125" s="263" t="str">
        <f t="shared" si="3"/>
        <v>임이*구</v>
      </c>
      <c r="N125" s="266"/>
      <c r="O125" s="265"/>
      <c r="P125" s="265"/>
      <c r="Q125" s="265"/>
      <c r="R125" s="265"/>
      <c r="S125" s="265"/>
      <c r="T125" s="265"/>
      <c r="U125" s="267"/>
    </row>
    <row r="126" spans="1:21" ht="18" customHeight="1">
      <c r="A126" s="342">
        <f t="shared" si="2"/>
        <v>120</v>
      </c>
      <c r="B126" s="202" t="s">
        <v>480</v>
      </c>
      <c r="C126" s="202"/>
      <c r="D126" s="202" t="s">
        <v>459</v>
      </c>
      <c r="E126" s="207">
        <v>1118</v>
      </c>
      <c r="F126" s="207">
        <v>104</v>
      </c>
      <c r="G126" s="203" t="s">
        <v>517</v>
      </c>
      <c r="H126" s="203" t="s">
        <v>517</v>
      </c>
      <c r="I126" s="203"/>
      <c r="J126" s="203"/>
      <c r="K126" s="203"/>
      <c r="L126" s="276"/>
      <c r="M126" s="263" t="str">
        <f t="shared" si="3"/>
        <v>대장*순</v>
      </c>
      <c r="N126" s="266"/>
      <c r="O126" s="265"/>
      <c r="P126" s="265"/>
      <c r="Q126" s="265"/>
      <c r="R126" s="265"/>
      <c r="S126" s="265"/>
      <c r="T126" s="265"/>
      <c r="U126" s="267"/>
    </row>
    <row r="127" spans="1:21" ht="18" customHeight="1">
      <c r="A127" s="342">
        <f t="shared" si="2"/>
        <v>121</v>
      </c>
      <c r="B127" s="202" t="s">
        <v>481</v>
      </c>
      <c r="C127" s="202"/>
      <c r="D127" s="202" t="s">
        <v>93</v>
      </c>
      <c r="E127" s="207">
        <v>54</v>
      </c>
      <c r="F127" s="207">
        <v>4</v>
      </c>
      <c r="G127" s="203" t="s">
        <v>0</v>
      </c>
      <c r="H127" s="203" t="s">
        <v>452</v>
      </c>
      <c r="I127" s="203"/>
      <c r="J127" s="203"/>
      <c r="K127" s="203"/>
      <c r="L127" s="276"/>
      <c r="M127" s="263" t="str">
        <f t="shared" si="3"/>
        <v>임공</v>
      </c>
      <c r="N127" s="266"/>
      <c r="O127" s="265"/>
      <c r="P127" s="265"/>
      <c r="Q127" s="265"/>
      <c r="R127" s="265"/>
      <c r="S127" s="265"/>
      <c r="T127" s="265"/>
      <c r="U127" s="267"/>
    </row>
    <row r="128" spans="1:21" ht="18" customHeight="1">
      <c r="A128" s="342">
        <f t="shared" si="2"/>
        <v>122</v>
      </c>
      <c r="B128" s="202" t="s">
        <v>482</v>
      </c>
      <c r="C128" s="202"/>
      <c r="D128" s="202" t="s">
        <v>93</v>
      </c>
      <c r="E128" s="207">
        <v>3578</v>
      </c>
      <c r="F128" s="207">
        <v>59</v>
      </c>
      <c r="G128" s="203" t="s">
        <v>518</v>
      </c>
      <c r="H128" s="203" t="s">
        <v>518</v>
      </c>
      <c r="I128" s="203"/>
      <c r="J128" s="203"/>
      <c r="K128" s="203"/>
      <c r="L128" s="276"/>
      <c r="M128" s="263" t="str">
        <f t="shared" si="3"/>
        <v>임박*희</v>
      </c>
      <c r="N128" s="266"/>
      <c r="O128" s="265"/>
      <c r="P128" s="265"/>
      <c r="Q128" s="265"/>
      <c r="R128" s="265"/>
      <c r="S128" s="265"/>
      <c r="T128" s="265"/>
      <c r="U128" s="267"/>
    </row>
    <row r="129" spans="1:21" ht="18" customHeight="1">
      <c r="A129" s="342">
        <f t="shared" si="2"/>
        <v>123</v>
      </c>
      <c r="B129" s="202" t="s">
        <v>483</v>
      </c>
      <c r="C129" s="202"/>
      <c r="D129" s="202" t="s">
        <v>484</v>
      </c>
      <c r="E129" s="207">
        <v>2207</v>
      </c>
      <c r="F129" s="207">
        <v>299</v>
      </c>
      <c r="G129" s="203" t="s">
        <v>519</v>
      </c>
      <c r="H129" s="203" t="s">
        <v>519</v>
      </c>
      <c r="I129" s="203"/>
      <c r="J129" s="203"/>
      <c r="K129" s="203"/>
      <c r="L129" s="276"/>
      <c r="M129" s="263" t="str">
        <f t="shared" si="3"/>
        <v>유대두리저수지수리계</v>
      </c>
      <c r="N129" s="266"/>
      <c r="O129" s="265"/>
      <c r="P129" s="265"/>
      <c r="Q129" s="265"/>
      <c r="R129" s="265"/>
      <c r="S129" s="265"/>
      <c r="T129" s="265"/>
      <c r="U129" s="267"/>
    </row>
    <row r="130" spans="1:21" ht="18" customHeight="1">
      <c r="A130" s="342">
        <f t="shared" si="2"/>
        <v>124</v>
      </c>
      <c r="B130" s="202" t="s">
        <v>485</v>
      </c>
      <c r="C130" s="202"/>
      <c r="D130" s="202" t="s">
        <v>8</v>
      </c>
      <c r="E130" s="207">
        <v>665.5</v>
      </c>
      <c r="F130" s="207">
        <v>265</v>
      </c>
      <c r="G130" s="203" t="s">
        <v>520</v>
      </c>
      <c r="H130" s="203" t="s">
        <v>520</v>
      </c>
      <c r="I130" s="203"/>
      <c r="J130" s="203"/>
      <c r="K130" s="203"/>
      <c r="L130" s="276"/>
      <c r="M130" s="263" t="str">
        <f t="shared" si="3"/>
        <v>답우*수</v>
      </c>
      <c r="N130" s="266"/>
      <c r="O130" s="265"/>
      <c r="P130" s="265"/>
      <c r="Q130" s="265"/>
      <c r="R130" s="265"/>
      <c r="S130" s="265"/>
      <c r="T130" s="265"/>
      <c r="U130" s="267"/>
    </row>
    <row r="131" spans="1:21" ht="18" customHeight="1">
      <c r="A131" s="342">
        <f t="shared" si="2"/>
        <v>125</v>
      </c>
      <c r="B131" s="202" t="s">
        <v>486</v>
      </c>
      <c r="C131" s="202"/>
      <c r="D131" s="202" t="s">
        <v>462</v>
      </c>
      <c r="E131" s="207">
        <v>122.1</v>
      </c>
      <c r="F131" s="207">
        <v>11</v>
      </c>
      <c r="G131" s="203" t="s">
        <v>716</v>
      </c>
      <c r="H131" s="203" t="s">
        <v>712</v>
      </c>
      <c r="I131" s="203"/>
      <c r="J131" s="203"/>
      <c r="K131" s="203"/>
      <c r="L131" s="276"/>
      <c r="M131" s="263" t="str">
        <f t="shared" si="3"/>
        <v>구국</v>
      </c>
      <c r="N131" s="266"/>
      <c r="O131" s="265"/>
      <c r="P131" s="265"/>
      <c r="Q131" s="265"/>
      <c r="R131" s="265"/>
      <c r="S131" s="265"/>
      <c r="T131" s="265"/>
      <c r="U131" s="267"/>
    </row>
    <row r="132" spans="1:21" ht="18" customHeight="1">
      <c r="A132" s="342">
        <f t="shared" si="2"/>
        <v>126</v>
      </c>
      <c r="B132" s="202" t="s">
        <v>487</v>
      </c>
      <c r="C132" s="202"/>
      <c r="D132" s="202" t="s">
        <v>8</v>
      </c>
      <c r="E132" s="207">
        <v>357</v>
      </c>
      <c r="F132" s="207">
        <v>126</v>
      </c>
      <c r="G132" s="203" t="s">
        <v>521</v>
      </c>
      <c r="H132" s="203" t="s">
        <v>521</v>
      </c>
      <c r="I132" s="203"/>
      <c r="J132" s="203"/>
      <c r="K132" s="203"/>
      <c r="L132" s="276"/>
      <c r="M132" s="263" t="str">
        <f t="shared" si="3"/>
        <v>답이*호</v>
      </c>
      <c r="N132" s="266"/>
      <c r="O132" s="265"/>
      <c r="P132" s="265"/>
      <c r="Q132" s="265"/>
      <c r="R132" s="265"/>
      <c r="S132" s="265"/>
      <c r="T132" s="265"/>
      <c r="U132" s="267"/>
    </row>
    <row r="133" spans="1:21" ht="18" customHeight="1">
      <c r="A133" s="342">
        <f t="shared" si="2"/>
        <v>127</v>
      </c>
      <c r="B133" s="202" t="s">
        <v>488</v>
      </c>
      <c r="C133" s="202"/>
      <c r="D133" s="202" t="s">
        <v>8</v>
      </c>
      <c r="E133" s="207">
        <v>1786.4</v>
      </c>
      <c r="F133" s="207">
        <v>291</v>
      </c>
      <c r="G133" s="203" t="s">
        <v>522</v>
      </c>
      <c r="H133" s="203" t="s">
        <v>522</v>
      </c>
      <c r="I133" s="203"/>
      <c r="J133" s="203"/>
      <c r="K133" s="203"/>
      <c r="L133" s="276"/>
      <c r="M133" s="263" t="str">
        <f t="shared" si="3"/>
        <v>답이*섭</v>
      </c>
      <c r="N133" s="266"/>
      <c r="O133" s="265"/>
      <c r="P133" s="265"/>
      <c r="Q133" s="265"/>
      <c r="R133" s="265"/>
      <c r="S133" s="265"/>
      <c r="T133" s="265"/>
      <c r="U133" s="267"/>
    </row>
    <row r="134" spans="1:21" ht="18" customHeight="1">
      <c r="A134" s="342">
        <f t="shared" si="2"/>
        <v>128</v>
      </c>
      <c r="B134" s="202" t="s">
        <v>489</v>
      </c>
      <c r="C134" s="202"/>
      <c r="D134" s="202" t="s">
        <v>462</v>
      </c>
      <c r="E134" s="207">
        <v>2043.1</v>
      </c>
      <c r="F134" s="207">
        <v>40</v>
      </c>
      <c r="G134" s="203" t="s">
        <v>716</v>
      </c>
      <c r="H134" s="203" t="s">
        <v>712</v>
      </c>
      <c r="I134" s="203"/>
      <c r="J134" s="203"/>
      <c r="K134" s="203"/>
      <c r="L134" s="276"/>
      <c r="M134" s="263" t="str">
        <f t="shared" si="3"/>
        <v>구국</v>
      </c>
      <c r="N134" s="266"/>
      <c r="O134" s="265"/>
      <c r="P134" s="265"/>
      <c r="Q134" s="265"/>
      <c r="R134" s="265"/>
      <c r="S134" s="265"/>
      <c r="T134" s="265"/>
      <c r="U134" s="267"/>
    </row>
    <row r="135" spans="1:21" ht="18" customHeight="1">
      <c r="A135" s="342">
        <f t="shared" si="2"/>
        <v>129</v>
      </c>
      <c r="B135" s="202" t="s">
        <v>490</v>
      </c>
      <c r="C135" s="202"/>
      <c r="D135" s="202" t="s">
        <v>8</v>
      </c>
      <c r="E135" s="207">
        <v>1486.1</v>
      </c>
      <c r="F135" s="207">
        <v>146</v>
      </c>
      <c r="G135" s="203" t="s">
        <v>522</v>
      </c>
      <c r="H135" s="203" t="s">
        <v>522</v>
      </c>
      <c r="I135" s="203"/>
      <c r="J135" s="203"/>
      <c r="K135" s="203"/>
      <c r="L135" s="276"/>
      <c r="M135" s="263" t="str">
        <f t="shared" si="3"/>
        <v>답이*섭</v>
      </c>
      <c r="N135" s="266"/>
      <c r="O135" s="265"/>
      <c r="P135" s="265"/>
      <c r="Q135" s="265"/>
      <c r="R135" s="265"/>
      <c r="S135" s="265"/>
      <c r="T135" s="265"/>
      <c r="U135" s="267"/>
    </row>
    <row r="136" spans="1:21" ht="18" customHeight="1">
      <c r="A136" s="342">
        <f t="shared" ref="A136:A153" si="4">A135+1</f>
        <v>130</v>
      </c>
      <c r="B136" s="202" t="s">
        <v>491</v>
      </c>
      <c r="C136" s="202"/>
      <c r="D136" s="202" t="s">
        <v>8</v>
      </c>
      <c r="E136" s="207">
        <v>1378</v>
      </c>
      <c r="F136" s="207">
        <v>139</v>
      </c>
      <c r="G136" s="203" t="s">
        <v>523</v>
      </c>
      <c r="H136" s="203" t="s">
        <v>523</v>
      </c>
      <c r="I136" s="203"/>
      <c r="J136" s="203"/>
      <c r="K136" s="203"/>
      <c r="L136" s="276"/>
      <c r="M136" s="263" t="str">
        <f t="shared" ref="M136:M153" si="5">CONCATENATE(D136,G136)</f>
        <v>답유*동 외
3인</v>
      </c>
      <c r="N136" s="266"/>
      <c r="O136" s="265"/>
      <c r="P136" s="265"/>
      <c r="Q136" s="265"/>
      <c r="R136" s="265"/>
      <c r="S136" s="265"/>
      <c r="T136" s="265"/>
      <c r="U136" s="267"/>
    </row>
    <row r="137" spans="1:21" ht="18" customHeight="1">
      <c r="A137" s="342">
        <f t="shared" si="4"/>
        <v>131</v>
      </c>
      <c r="B137" s="202" t="s">
        <v>492</v>
      </c>
      <c r="C137" s="202"/>
      <c r="D137" s="202" t="s">
        <v>8</v>
      </c>
      <c r="E137" s="207">
        <v>1947.4</v>
      </c>
      <c r="F137" s="207">
        <v>233</v>
      </c>
      <c r="G137" s="203" t="s">
        <v>524</v>
      </c>
      <c r="H137" s="203" t="s">
        <v>524</v>
      </c>
      <c r="I137" s="203"/>
      <c r="J137" s="203"/>
      <c r="K137" s="203"/>
      <c r="L137" s="276"/>
      <c r="M137" s="263" t="str">
        <f t="shared" si="5"/>
        <v>답고*옥</v>
      </c>
      <c r="N137" s="266"/>
      <c r="O137" s="265"/>
      <c r="P137" s="265"/>
      <c r="Q137" s="265"/>
      <c r="R137" s="265"/>
      <c r="S137" s="265"/>
      <c r="T137" s="265"/>
      <c r="U137" s="267"/>
    </row>
    <row r="138" spans="1:21" ht="18" customHeight="1">
      <c r="A138" s="342">
        <f t="shared" si="4"/>
        <v>132</v>
      </c>
      <c r="B138" s="202" t="s">
        <v>493</v>
      </c>
      <c r="C138" s="202"/>
      <c r="D138" s="202" t="s">
        <v>8</v>
      </c>
      <c r="E138" s="207">
        <v>919</v>
      </c>
      <c r="F138" s="207">
        <v>169</v>
      </c>
      <c r="G138" s="203" t="s">
        <v>525</v>
      </c>
      <c r="H138" s="203" t="s">
        <v>525</v>
      </c>
      <c r="I138" s="203"/>
      <c r="J138" s="203"/>
      <c r="K138" s="203"/>
      <c r="L138" s="276"/>
      <c r="M138" s="263" t="str">
        <f t="shared" si="5"/>
        <v>답이*숙</v>
      </c>
      <c r="N138" s="266"/>
      <c r="O138" s="265"/>
      <c r="P138" s="265"/>
      <c r="Q138" s="265"/>
      <c r="R138" s="265"/>
      <c r="S138" s="265"/>
      <c r="T138" s="265"/>
      <c r="U138" s="267"/>
    </row>
    <row r="139" spans="1:21" ht="18" customHeight="1">
      <c r="A139" s="342">
        <f t="shared" si="4"/>
        <v>133</v>
      </c>
      <c r="B139" s="202" t="s">
        <v>494</v>
      </c>
      <c r="C139" s="202"/>
      <c r="D139" s="202" t="s">
        <v>8</v>
      </c>
      <c r="E139" s="207">
        <v>1521</v>
      </c>
      <c r="F139" s="207">
        <v>368</v>
      </c>
      <c r="G139" s="203" t="s">
        <v>526</v>
      </c>
      <c r="H139" s="203" t="s">
        <v>526</v>
      </c>
      <c r="I139" s="203"/>
      <c r="J139" s="203"/>
      <c r="K139" s="203"/>
      <c r="L139" s="276"/>
      <c r="M139" s="263" t="str">
        <f t="shared" si="5"/>
        <v>답박*숙</v>
      </c>
      <c r="N139" s="266"/>
      <c r="O139" s="265"/>
      <c r="P139" s="265"/>
      <c r="Q139" s="265"/>
      <c r="R139" s="265"/>
      <c r="S139" s="265"/>
      <c r="T139" s="265"/>
      <c r="U139" s="267"/>
    </row>
    <row r="140" spans="1:21" ht="18" customHeight="1">
      <c r="A140" s="342">
        <f t="shared" si="4"/>
        <v>134</v>
      </c>
      <c r="B140" s="202" t="s">
        <v>495</v>
      </c>
      <c r="C140" s="202"/>
      <c r="D140" s="202" t="s">
        <v>8</v>
      </c>
      <c r="E140" s="207">
        <v>792</v>
      </c>
      <c r="F140" s="207">
        <v>131</v>
      </c>
      <c r="G140" s="203" t="s">
        <v>527</v>
      </c>
      <c r="H140" s="203" t="s">
        <v>527</v>
      </c>
      <c r="I140" s="203"/>
      <c r="J140" s="203"/>
      <c r="K140" s="203"/>
      <c r="L140" s="276"/>
      <c r="M140" s="263" t="str">
        <f t="shared" si="5"/>
        <v>답이*설</v>
      </c>
      <c r="N140" s="266"/>
      <c r="O140" s="265"/>
      <c r="P140" s="265"/>
      <c r="Q140" s="265"/>
      <c r="R140" s="265"/>
      <c r="S140" s="265"/>
      <c r="T140" s="265"/>
      <c r="U140" s="267"/>
    </row>
    <row r="141" spans="1:21" ht="18" customHeight="1">
      <c r="A141" s="342">
        <f t="shared" si="4"/>
        <v>135</v>
      </c>
      <c r="B141" s="202" t="s">
        <v>496</v>
      </c>
      <c r="C141" s="202"/>
      <c r="D141" s="202" t="s">
        <v>7</v>
      </c>
      <c r="E141" s="207">
        <v>597</v>
      </c>
      <c r="F141" s="207">
        <v>99</v>
      </c>
      <c r="G141" s="203" t="s">
        <v>515</v>
      </c>
      <c r="H141" s="203" t="s">
        <v>515</v>
      </c>
      <c r="I141" s="203"/>
      <c r="J141" s="203"/>
      <c r="K141" s="203"/>
      <c r="L141" s="276"/>
      <c r="M141" s="263" t="str">
        <f t="shared" si="5"/>
        <v>전이*선</v>
      </c>
      <c r="N141" s="266"/>
      <c r="O141" s="265"/>
      <c r="P141" s="265"/>
      <c r="Q141" s="265"/>
      <c r="R141" s="265"/>
      <c r="S141" s="265"/>
      <c r="T141" s="265"/>
      <c r="U141" s="267"/>
    </row>
    <row r="142" spans="1:21" ht="18" customHeight="1">
      <c r="A142" s="342">
        <f t="shared" si="4"/>
        <v>136</v>
      </c>
      <c r="B142" s="202" t="s">
        <v>497</v>
      </c>
      <c r="C142" s="202"/>
      <c r="D142" s="202" t="s">
        <v>7</v>
      </c>
      <c r="E142" s="207">
        <v>567</v>
      </c>
      <c r="F142" s="207">
        <v>105</v>
      </c>
      <c r="G142" s="203" t="s">
        <v>515</v>
      </c>
      <c r="H142" s="203" t="s">
        <v>515</v>
      </c>
      <c r="I142" s="203"/>
      <c r="J142" s="203"/>
      <c r="K142" s="203"/>
      <c r="L142" s="276"/>
      <c r="M142" s="263" t="str">
        <f t="shared" si="5"/>
        <v>전이*선</v>
      </c>
      <c r="N142" s="266"/>
      <c r="O142" s="265"/>
      <c r="P142" s="265"/>
      <c r="Q142" s="265"/>
      <c r="R142" s="265"/>
      <c r="S142" s="265"/>
      <c r="T142" s="265"/>
      <c r="U142" s="267"/>
    </row>
    <row r="143" spans="1:21" ht="18" customHeight="1">
      <c r="A143" s="342">
        <f t="shared" si="4"/>
        <v>137</v>
      </c>
      <c r="B143" s="202" t="s">
        <v>498</v>
      </c>
      <c r="C143" s="202"/>
      <c r="D143" s="202" t="s">
        <v>7</v>
      </c>
      <c r="E143" s="207">
        <v>304</v>
      </c>
      <c r="F143" s="207">
        <v>43</v>
      </c>
      <c r="G143" s="203" t="s">
        <v>515</v>
      </c>
      <c r="H143" s="203" t="s">
        <v>515</v>
      </c>
      <c r="I143" s="203"/>
      <c r="J143" s="203"/>
      <c r="K143" s="203"/>
      <c r="L143" s="276"/>
      <c r="M143" s="263" t="str">
        <f t="shared" si="5"/>
        <v>전이*선</v>
      </c>
      <c r="N143" s="266"/>
      <c r="O143" s="265"/>
      <c r="P143" s="265"/>
      <c r="Q143" s="265"/>
      <c r="R143" s="265"/>
      <c r="S143" s="265"/>
      <c r="T143" s="265"/>
      <c r="U143" s="267"/>
    </row>
    <row r="144" spans="1:21" ht="18" customHeight="1">
      <c r="A144" s="342">
        <f t="shared" si="4"/>
        <v>138</v>
      </c>
      <c r="B144" s="202" t="s">
        <v>499</v>
      </c>
      <c r="C144" s="202"/>
      <c r="D144" s="202" t="s">
        <v>8</v>
      </c>
      <c r="E144" s="207">
        <v>286</v>
      </c>
      <c r="F144" s="207">
        <v>60</v>
      </c>
      <c r="G144" s="203" t="s">
        <v>528</v>
      </c>
      <c r="H144" s="203" t="s">
        <v>528</v>
      </c>
      <c r="I144" s="203"/>
      <c r="J144" s="203"/>
      <c r="K144" s="203"/>
      <c r="L144" s="276"/>
      <c r="M144" s="263" t="str">
        <f t="shared" si="5"/>
        <v>답유*천</v>
      </c>
      <c r="N144" s="266"/>
      <c r="O144" s="265"/>
      <c r="P144" s="265"/>
      <c r="Q144" s="265"/>
      <c r="R144" s="265"/>
      <c r="S144" s="265"/>
      <c r="T144" s="265"/>
      <c r="U144" s="267"/>
    </row>
    <row r="145" spans="1:24" ht="18" customHeight="1">
      <c r="A145" s="342">
        <f t="shared" si="4"/>
        <v>139</v>
      </c>
      <c r="B145" s="202" t="s">
        <v>500</v>
      </c>
      <c r="C145" s="202"/>
      <c r="D145" s="202" t="s">
        <v>8</v>
      </c>
      <c r="E145" s="207">
        <v>439</v>
      </c>
      <c r="F145" s="207">
        <v>110</v>
      </c>
      <c r="G145" s="203" t="s">
        <v>529</v>
      </c>
      <c r="H145" s="203" t="s">
        <v>529</v>
      </c>
      <c r="I145" s="203"/>
      <c r="J145" s="203"/>
      <c r="K145" s="203"/>
      <c r="L145" s="276"/>
      <c r="M145" s="263" t="str">
        <f t="shared" si="5"/>
        <v>답오*임</v>
      </c>
      <c r="N145" s="266"/>
      <c r="O145" s="265"/>
      <c r="P145" s="265"/>
      <c r="Q145" s="265"/>
      <c r="R145" s="265"/>
      <c r="S145" s="265"/>
      <c r="T145" s="265"/>
      <c r="U145" s="267"/>
    </row>
    <row r="146" spans="1:24" ht="18" customHeight="1">
      <c r="A146" s="342">
        <f t="shared" si="4"/>
        <v>140</v>
      </c>
      <c r="B146" s="202" t="s">
        <v>501</v>
      </c>
      <c r="C146" s="202"/>
      <c r="D146" s="202" t="s">
        <v>8</v>
      </c>
      <c r="E146" s="207">
        <v>743</v>
      </c>
      <c r="F146" s="207">
        <v>101</v>
      </c>
      <c r="G146" s="203" t="s">
        <v>530</v>
      </c>
      <c r="H146" s="203" t="s">
        <v>530</v>
      </c>
      <c r="I146" s="203"/>
      <c r="J146" s="203"/>
      <c r="K146" s="203"/>
      <c r="L146" s="276"/>
      <c r="M146" s="263" t="str">
        <f t="shared" si="5"/>
        <v>답김*배</v>
      </c>
      <c r="N146" s="266"/>
      <c r="O146" s="265"/>
      <c r="P146" s="265"/>
      <c r="Q146" s="265"/>
      <c r="R146" s="265"/>
      <c r="S146" s="265"/>
      <c r="T146" s="265"/>
      <c r="U146" s="267"/>
    </row>
    <row r="147" spans="1:24" ht="18" customHeight="1">
      <c r="A147" s="342">
        <f t="shared" si="4"/>
        <v>141</v>
      </c>
      <c r="B147" s="202" t="s">
        <v>502</v>
      </c>
      <c r="C147" s="202"/>
      <c r="D147" s="202" t="s">
        <v>484</v>
      </c>
      <c r="E147" s="207">
        <v>90</v>
      </c>
      <c r="F147" s="207">
        <v>90</v>
      </c>
      <c r="G147" s="203" t="s">
        <v>519</v>
      </c>
      <c r="H147" s="203" t="s">
        <v>519</v>
      </c>
      <c r="I147" s="203"/>
      <c r="J147" s="203"/>
      <c r="K147" s="203"/>
      <c r="L147" s="276"/>
      <c r="M147" s="263" t="str">
        <f t="shared" si="5"/>
        <v>유대두리저수지수리계</v>
      </c>
      <c r="N147" s="266"/>
      <c r="O147" s="265"/>
      <c r="P147" s="265"/>
      <c r="Q147" s="265"/>
      <c r="R147" s="265"/>
      <c r="S147" s="265"/>
      <c r="T147" s="265"/>
      <c r="U147" s="267"/>
    </row>
    <row r="148" spans="1:24" ht="18" customHeight="1">
      <c r="A148" s="342">
        <f t="shared" si="4"/>
        <v>142</v>
      </c>
      <c r="B148" s="202" t="s">
        <v>503</v>
      </c>
      <c r="C148" s="202"/>
      <c r="D148" s="202" t="s">
        <v>462</v>
      </c>
      <c r="E148" s="207">
        <v>12165</v>
      </c>
      <c r="F148" s="207">
        <v>73</v>
      </c>
      <c r="G148" s="203" t="s">
        <v>716</v>
      </c>
      <c r="H148" s="203" t="s">
        <v>712</v>
      </c>
      <c r="I148" s="203"/>
      <c r="J148" s="203"/>
      <c r="K148" s="203"/>
      <c r="L148" s="276"/>
      <c r="M148" s="263" t="str">
        <f t="shared" si="5"/>
        <v>구국</v>
      </c>
      <c r="N148" s="266"/>
      <c r="O148" s="265"/>
      <c r="P148" s="265"/>
      <c r="Q148" s="265"/>
      <c r="R148" s="265"/>
      <c r="S148" s="265"/>
      <c r="T148" s="265"/>
      <c r="U148" s="267"/>
    </row>
    <row r="149" spans="1:24" ht="18" customHeight="1">
      <c r="A149" s="342">
        <f t="shared" si="4"/>
        <v>143</v>
      </c>
      <c r="B149" s="202" t="s">
        <v>504</v>
      </c>
      <c r="C149" s="202"/>
      <c r="D149" s="202" t="s">
        <v>484</v>
      </c>
      <c r="E149" s="207">
        <v>1204</v>
      </c>
      <c r="F149" s="207">
        <v>30</v>
      </c>
      <c r="G149" s="203" t="s">
        <v>519</v>
      </c>
      <c r="H149" s="203" t="s">
        <v>519</v>
      </c>
      <c r="I149" s="203"/>
      <c r="J149" s="203"/>
      <c r="K149" s="203"/>
      <c r="L149" s="276"/>
      <c r="M149" s="263" t="str">
        <f t="shared" si="5"/>
        <v>유대두리저수지수리계</v>
      </c>
      <c r="N149" s="266"/>
      <c r="O149" s="265"/>
      <c r="P149" s="265"/>
      <c r="Q149" s="265"/>
      <c r="R149" s="265"/>
      <c r="S149" s="265"/>
      <c r="T149" s="265"/>
      <c r="U149" s="267"/>
    </row>
    <row r="150" spans="1:24" ht="18" customHeight="1">
      <c r="A150" s="342">
        <f t="shared" si="4"/>
        <v>144</v>
      </c>
      <c r="B150" s="202" t="s">
        <v>505</v>
      </c>
      <c r="C150" s="202"/>
      <c r="D150" s="202" t="s">
        <v>455</v>
      </c>
      <c r="E150" s="207">
        <v>74</v>
      </c>
      <c r="F150" s="207">
        <v>0.6</v>
      </c>
      <c r="G150" s="203" t="s">
        <v>717</v>
      </c>
      <c r="H150" s="203" t="s">
        <v>452</v>
      </c>
      <c r="I150" s="203"/>
      <c r="J150" s="203"/>
      <c r="K150" s="203"/>
      <c r="L150" s="276"/>
      <c r="M150" s="263" t="str">
        <f t="shared" si="5"/>
        <v>도공</v>
      </c>
      <c r="N150" s="266"/>
      <c r="O150" s="265"/>
      <c r="P150" s="265"/>
      <c r="Q150" s="265"/>
      <c r="R150" s="265"/>
      <c r="S150" s="265"/>
      <c r="T150" s="265"/>
      <c r="U150" s="267"/>
    </row>
    <row r="151" spans="1:24" ht="18" customHeight="1">
      <c r="A151" s="342">
        <f t="shared" si="4"/>
        <v>145</v>
      </c>
      <c r="B151" s="202" t="s">
        <v>506</v>
      </c>
      <c r="C151" s="202"/>
      <c r="D151" s="202" t="s">
        <v>455</v>
      </c>
      <c r="E151" s="207">
        <v>42</v>
      </c>
      <c r="F151" s="207">
        <v>5</v>
      </c>
      <c r="G151" s="203" t="s">
        <v>717</v>
      </c>
      <c r="H151" s="203" t="s">
        <v>452</v>
      </c>
      <c r="I151" s="203"/>
      <c r="J151" s="203"/>
      <c r="K151" s="203"/>
      <c r="L151" s="276"/>
      <c r="M151" s="263" t="str">
        <f t="shared" si="5"/>
        <v>도공</v>
      </c>
      <c r="N151" s="266"/>
      <c r="O151" s="265"/>
      <c r="P151" s="265"/>
      <c r="Q151" s="265"/>
      <c r="R151" s="265"/>
      <c r="S151" s="265"/>
      <c r="T151" s="265"/>
      <c r="U151" s="267"/>
    </row>
    <row r="152" spans="1:24" ht="18" customHeight="1">
      <c r="A152" s="342">
        <f t="shared" si="4"/>
        <v>146</v>
      </c>
      <c r="B152" s="202" t="s">
        <v>507</v>
      </c>
      <c r="C152" s="202"/>
      <c r="D152" s="202" t="s">
        <v>462</v>
      </c>
      <c r="E152" s="207">
        <v>368</v>
      </c>
      <c r="F152" s="207">
        <v>19</v>
      </c>
      <c r="G152" s="203" t="s">
        <v>716</v>
      </c>
      <c r="H152" s="203" t="s">
        <v>712</v>
      </c>
      <c r="I152" s="203"/>
      <c r="J152" s="203"/>
      <c r="K152" s="203"/>
      <c r="L152" s="276"/>
      <c r="M152" s="263" t="str">
        <f t="shared" si="5"/>
        <v>구국</v>
      </c>
      <c r="N152" s="266"/>
      <c r="O152" s="265"/>
      <c r="P152" s="265"/>
      <c r="Q152" s="265"/>
      <c r="R152" s="265"/>
      <c r="S152" s="265"/>
      <c r="T152" s="265"/>
      <c r="U152" s="267"/>
    </row>
    <row r="153" spans="1:24" ht="18" customHeight="1">
      <c r="A153" s="342">
        <f t="shared" si="4"/>
        <v>147</v>
      </c>
      <c r="B153" s="202" t="s">
        <v>508</v>
      </c>
      <c r="C153" s="202"/>
      <c r="D153" s="202" t="s">
        <v>455</v>
      </c>
      <c r="E153" s="207">
        <v>34.5</v>
      </c>
      <c r="F153" s="207">
        <v>4</v>
      </c>
      <c r="G153" s="203" t="s">
        <v>716</v>
      </c>
      <c r="H153" s="203" t="s">
        <v>712</v>
      </c>
      <c r="I153" s="203"/>
      <c r="J153" s="203"/>
      <c r="K153" s="203"/>
      <c r="L153" s="276"/>
      <c r="M153" s="263" t="str">
        <f t="shared" si="5"/>
        <v>도국</v>
      </c>
      <c r="N153" s="266"/>
      <c r="O153" s="265"/>
      <c r="P153" s="265"/>
      <c r="Q153" s="265"/>
      <c r="R153" s="265"/>
      <c r="S153" s="265"/>
      <c r="T153" s="265"/>
      <c r="U153" s="267"/>
    </row>
    <row r="154" spans="1:24" ht="18" customHeight="1">
      <c r="A154" s="342"/>
      <c r="B154" s="202"/>
      <c r="C154" s="202"/>
      <c r="D154" s="202"/>
      <c r="E154" s="207"/>
      <c r="F154" s="207"/>
      <c r="G154" s="203"/>
      <c r="H154" s="203"/>
      <c r="I154" s="203"/>
      <c r="J154" s="203"/>
      <c r="K154" s="203"/>
      <c r="L154" s="276"/>
      <c r="M154" s="263"/>
      <c r="N154" s="266"/>
      <c r="O154" s="265"/>
      <c r="P154" s="265"/>
      <c r="Q154" s="265"/>
      <c r="R154" s="265"/>
      <c r="S154" s="265"/>
      <c r="T154" s="265"/>
      <c r="U154" s="267"/>
    </row>
    <row r="155" spans="1:24" ht="18" customHeight="1">
      <c r="A155" s="270" t="s">
        <v>126</v>
      </c>
      <c r="B155" s="271"/>
      <c r="C155" s="271"/>
      <c r="D155" s="271"/>
      <c r="E155" s="272"/>
      <c r="F155" s="272">
        <f>SUM(F6:F154)</f>
        <v>39475.399999999994</v>
      </c>
      <c r="G155" s="282"/>
      <c r="H155" s="282"/>
      <c r="I155" s="282"/>
      <c r="J155" s="282"/>
      <c r="K155" s="282"/>
      <c r="L155" s="283"/>
      <c r="M155" s="263"/>
      <c r="N155" s="266"/>
      <c r="O155" s="265"/>
      <c r="P155" s="265"/>
      <c r="Q155" s="265"/>
      <c r="R155" s="265"/>
      <c r="S155" s="265"/>
      <c r="T155" s="265"/>
      <c r="U155" s="284"/>
      <c r="V155" s="265"/>
      <c r="W155" s="265"/>
      <c r="X155" s="265"/>
    </row>
    <row r="156" spans="1:24" ht="30" customHeight="1">
      <c r="A156" s="285"/>
      <c r="B156" s="286"/>
      <c r="C156" s="286"/>
      <c r="D156" s="286"/>
      <c r="E156" s="287"/>
      <c r="F156" s="288"/>
      <c r="G156" s="289"/>
      <c r="H156" s="289"/>
      <c r="I156" s="289"/>
      <c r="J156" s="289"/>
      <c r="K156" s="290"/>
      <c r="L156" s="291"/>
      <c r="M156" s="263"/>
      <c r="N156" s="264"/>
      <c r="O156" s="265"/>
      <c r="P156" s="265"/>
      <c r="Q156" s="265"/>
      <c r="R156" s="265"/>
      <c r="S156" s="265"/>
      <c r="T156" s="265"/>
      <c r="U156" s="265"/>
    </row>
    <row r="157" spans="1:24" ht="30" customHeight="1">
      <c r="A157" s="292"/>
      <c r="B157" s="293"/>
      <c r="C157" s="293"/>
      <c r="D157" s="293"/>
      <c r="E157" s="294"/>
      <c r="F157" s="295"/>
      <c r="G157" s="273"/>
      <c r="H157" s="273"/>
      <c r="I157" s="273"/>
      <c r="J157" s="273"/>
      <c r="K157" s="274"/>
      <c r="L157" s="291"/>
      <c r="M157" s="263"/>
      <c r="N157" s="264"/>
      <c r="O157" s="265"/>
      <c r="P157" s="265"/>
      <c r="Q157" s="265"/>
      <c r="R157" s="265"/>
      <c r="S157" s="265"/>
      <c r="T157" s="265"/>
      <c r="U157" s="265"/>
    </row>
    <row r="158" spans="1:24" ht="30" customHeight="1">
      <c r="A158" s="176"/>
      <c r="B158" s="293"/>
      <c r="C158" s="293"/>
      <c r="D158" s="293"/>
      <c r="E158" s="294"/>
      <c r="F158" s="295"/>
      <c r="G158" s="273"/>
      <c r="H158" s="273"/>
      <c r="I158" s="273"/>
      <c r="J158" s="273"/>
      <c r="K158" s="274"/>
      <c r="L158" s="291"/>
      <c r="M158" s="263"/>
      <c r="N158" s="264"/>
      <c r="O158" s="265"/>
      <c r="P158" s="265"/>
      <c r="Q158" s="265"/>
      <c r="R158" s="265"/>
      <c r="S158" s="265"/>
      <c r="T158" s="265"/>
      <c r="U158" s="265"/>
    </row>
    <row r="159" spans="1:24" ht="30" customHeight="1">
      <c r="A159" s="176"/>
      <c r="B159" s="293"/>
      <c r="C159" s="293"/>
      <c r="D159" s="293"/>
      <c r="E159" s="294"/>
      <c r="F159" s="295"/>
      <c r="G159" s="273"/>
      <c r="H159" s="273"/>
      <c r="I159" s="273"/>
      <c r="J159" s="273"/>
      <c r="K159" s="274"/>
      <c r="L159" s="291"/>
      <c r="M159" s="263"/>
      <c r="N159" s="264"/>
      <c r="O159" s="265"/>
      <c r="P159" s="265"/>
      <c r="Q159" s="265"/>
      <c r="R159" s="265"/>
      <c r="S159" s="265"/>
      <c r="T159" s="265"/>
      <c r="U159" s="265"/>
    </row>
    <row r="160" spans="1:24" ht="30" customHeight="1">
      <c r="A160" s="176"/>
      <c r="B160" s="293"/>
      <c r="C160" s="293"/>
      <c r="D160" s="293"/>
      <c r="E160" s="294"/>
      <c r="F160" s="295"/>
      <c r="G160" s="273"/>
      <c r="H160" s="273"/>
      <c r="I160" s="273"/>
      <c r="J160" s="273"/>
      <c r="K160" s="274"/>
      <c r="L160" s="291"/>
      <c r="M160" s="263"/>
      <c r="N160" s="264"/>
      <c r="O160" s="265"/>
      <c r="P160" s="265"/>
      <c r="Q160" s="265"/>
      <c r="R160" s="265"/>
      <c r="S160" s="265"/>
      <c r="T160" s="265"/>
      <c r="U160" s="265"/>
    </row>
    <row r="161" spans="1:24" ht="30" customHeight="1">
      <c r="A161" s="292"/>
      <c r="B161" s="293"/>
      <c r="C161" s="293"/>
      <c r="D161" s="293"/>
      <c r="E161" s="294"/>
      <c r="F161" s="295"/>
      <c r="G161" s="273"/>
      <c r="H161" s="273"/>
      <c r="I161" s="273"/>
      <c r="J161" s="273"/>
      <c r="K161" s="274"/>
      <c r="L161" s="291"/>
      <c r="M161" s="263"/>
      <c r="N161" s="264"/>
      <c r="O161" s="265"/>
      <c r="P161" s="265"/>
      <c r="Q161" s="265"/>
      <c r="R161" s="265"/>
      <c r="S161" s="265"/>
      <c r="T161" s="265"/>
      <c r="U161" s="265"/>
    </row>
    <row r="162" spans="1:24" ht="30" customHeight="1">
      <c r="A162" s="176"/>
      <c r="B162" s="293"/>
      <c r="C162" s="293"/>
      <c r="D162" s="293"/>
      <c r="E162" s="294"/>
      <c r="F162" s="295"/>
      <c r="G162" s="273"/>
      <c r="H162" s="273"/>
      <c r="I162" s="273"/>
      <c r="J162" s="273"/>
      <c r="K162" s="274"/>
      <c r="L162" s="291"/>
      <c r="M162" s="263"/>
      <c r="N162" s="264"/>
      <c r="O162" s="265"/>
      <c r="P162" s="265"/>
      <c r="Q162" s="265"/>
      <c r="R162" s="265"/>
      <c r="S162" s="265"/>
      <c r="T162" s="265"/>
      <c r="U162" s="265"/>
    </row>
    <row r="163" spans="1:24" ht="30" customHeight="1">
      <c r="A163" s="176"/>
      <c r="B163" s="293"/>
      <c r="C163" s="293"/>
      <c r="D163" s="293"/>
      <c r="E163" s="294"/>
      <c r="F163" s="295"/>
      <c r="G163" s="273"/>
      <c r="H163" s="273"/>
      <c r="I163" s="273"/>
      <c r="J163" s="273"/>
      <c r="K163" s="274"/>
      <c r="L163" s="291"/>
      <c r="M163" s="263"/>
      <c r="N163" s="264"/>
      <c r="O163" s="265"/>
      <c r="P163" s="265"/>
      <c r="Q163" s="265"/>
      <c r="R163" s="265"/>
      <c r="S163" s="265"/>
      <c r="T163" s="265"/>
      <c r="U163" s="265"/>
    </row>
    <row r="164" spans="1:24" ht="30" customHeight="1">
      <c r="A164" s="176"/>
      <c r="B164" s="293"/>
      <c r="C164" s="293"/>
      <c r="D164" s="293"/>
      <c r="E164" s="294"/>
      <c r="F164" s="295"/>
      <c r="G164" s="273"/>
      <c r="H164" s="273"/>
      <c r="I164" s="273"/>
      <c r="J164" s="273"/>
      <c r="K164" s="274"/>
      <c r="L164" s="291"/>
      <c r="M164" s="263"/>
      <c r="N164" s="264"/>
      <c r="O164" s="265"/>
      <c r="P164" s="265"/>
      <c r="Q164" s="265"/>
      <c r="R164" s="265"/>
      <c r="S164" s="265"/>
      <c r="T164" s="265"/>
      <c r="U164" s="265"/>
    </row>
    <row r="165" spans="1:24" ht="30" customHeight="1">
      <c r="A165" s="176"/>
      <c r="B165" s="293"/>
      <c r="C165" s="293"/>
      <c r="D165" s="293"/>
      <c r="E165" s="294"/>
      <c r="F165" s="295"/>
      <c r="G165" s="273"/>
      <c r="H165" s="273"/>
      <c r="I165" s="273"/>
      <c r="J165" s="273"/>
      <c r="K165" s="274"/>
      <c r="L165" s="291"/>
      <c r="M165" s="263"/>
      <c r="N165" s="264"/>
      <c r="O165" s="265"/>
      <c r="P165" s="265"/>
      <c r="Q165" s="265"/>
      <c r="R165" s="265"/>
      <c r="S165" s="265"/>
      <c r="T165" s="265"/>
      <c r="U165" s="265"/>
    </row>
    <row r="166" spans="1:24" ht="30" customHeight="1">
      <c r="A166" s="176"/>
      <c r="B166" s="293"/>
      <c r="C166" s="293"/>
      <c r="D166" s="293"/>
      <c r="E166" s="294"/>
      <c r="F166" s="295"/>
      <c r="G166" s="273"/>
      <c r="H166" s="273"/>
      <c r="I166" s="273"/>
      <c r="J166" s="273"/>
      <c r="K166" s="274"/>
      <c r="L166" s="291"/>
      <c r="M166" s="263"/>
      <c r="N166" s="264"/>
      <c r="O166" s="265"/>
      <c r="P166" s="265"/>
      <c r="Q166" s="265"/>
      <c r="R166" s="265"/>
      <c r="S166" s="265"/>
      <c r="T166" s="265"/>
      <c r="U166" s="265"/>
    </row>
    <row r="167" spans="1:24" ht="30" customHeight="1">
      <c r="A167" s="176"/>
      <c r="B167" s="293"/>
      <c r="C167" s="293"/>
      <c r="D167" s="293"/>
      <c r="E167" s="294"/>
      <c r="F167" s="295"/>
      <c r="G167" s="273"/>
      <c r="H167" s="273"/>
      <c r="I167" s="273"/>
      <c r="J167" s="273"/>
      <c r="K167" s="274"/>
      <c r="L167" s="291"/>
      <c r="M167" s="263"/>
      <c r="N167" s="264"/>
      <c r="O167" s="265"/>
      <c r="P167" s="265"/>
      <c r="Q167" s="265"/>
      <c r="R167" s="265"/>
      <c r="S167" s="265"/>
      <c r="T167" s="265"/>
      <c r="U167" s="265"/>
    </row>
    <row r="168" spans="1:24" ht="30" customHeight="1">
      <c r="A168" s="176"/>
      <c r="B168" s="293"/>
      <c r="C168" s="293"/>
      <c r="D168" s="293"/>
      <c r="E168" s="294"/>
      <c r="F168" s="295"/>
      <c r="G168" s="273"/>
      <c r="H168" s="273"/>
      <c r="I168" s="273"/>
      <c r="J168" s="273"/>
      <c r="K168" s="274"/>
      <c r="L168" s="291"/>
      <c r="M168" s="263"/>
      <c r="N168" s="264"/>
      <c r="O168" s="265"/>
      <c r="P168" s="265"/>
      <c r="Q168" s="265"/>
      <c r="R168" s="265"/>
      <c r="S168" s="265"/>
      <c r="T168" s="265"/>
      <c r="U168" s="265"/>
    </row>
    <row r="169" spans="1:24" ht="30" customHeight="1">
      <c r="A169" s="176"/>
      <c r="B169" s="293"/>
      <c r="C169" s="293"/>
      <c r="D169" s="293"/>
      <c r="E169" s="294"/>
      <c r="F169" s="295"/>
      <c r="G169" s="273"/>
      <c r="H169" s="273"/>
      <c r="I169" s="273"/>
      <c r="J169" s="273"/>
      <c r="K169" s="274"/>
      <c r="L169" s="291"/>
      <c r="M169" s="263"/>
      <c r="N169" s="264"/>
      <c r="O169" s="265"/>
      <c r="P169" s="265"/>
      <c r="Q169" s="265"/>
      <c r="R169" s="265"/>
      <c r="S169" s="265"/>
      <c r="T169" s="265"/>
      <c r="U169" s="265"/>
    </row>
    <row r="170" spans="1:24" ht="30" customHeight="1">
      <c r="A170" s="176"/>
      <c r="B170" s="296"/>
      <c r="C170" s="296"/>
      <c r="D170" s="296"/>
      <c r="E170" s="297"/>
      <c r="F170" s="298"/>
      <c r="G170" s="282"/>
      <c r="H170" s="273"/>
      <c r="I170" s="273"/>
      <c r="J170" s="273"/>
      <c r="K170" s="274"/>
      <c r="L170" s="291"/>
      <c r="M170" s="263"/>
      <c r="N170" s="264"/>
      <c r="O170" s="265"/>
      <c r="P170" s="265"/>
      <c r="Q170" s="265"/>
      <c r="R170" s="265"/>
      <c r="S170" s="265"/>
      <c r="T170" s="265"/>
      <c r="U170" s="265"/>
    </row>
    <row r="171" spans="1:24" ht="30" customHeight="1">
      <c r="A171" s="176"/>
      <c r="B171" s="293"/>
      <c r="C171" s="293"/>
      <c r="D171" s="293"/>
      <c r="E171" s="294"/>
      <c r="F171" s="295"/>
      <c r="G171" s="273"/>
      <c r="H171" s="273"/>
      <c r="I171" s="273"/>
      <c r="J171" s="273"/>
      <c r="K171" s="274"/>
      <c r="L171" s="291"/>
      <c r="M171" s="263"/>
      <c r="N171" s="266"/>
      <c r="O171" s="265"/>
      <c r="P171" s="265"/>
      <c r="Q171" s="265"/>
      <c r="R171" s="265"/>
      <c r="S171" s="265"/>
      <c r="T171" s="265"/>
      <c r="U171" s="267"/>
    </row>
    <row r="172" spans="1:24" ht="30" customHeight="1">
      <c r="A172" s="176"/>
      <c r="B172" s="293"/>
      <c r="C172" s="293"/>
      <c r="D172" s="293"/>
      <c r="E172" s="294"/>
      <c r="F172" s="295"/>
      <c r="G172" s="273"/>
      <c r="H172" s="273"/>
      <c r="I172" s="273"/>
      <c r="J172" s="273"/>
      <c r="K172" s="274"/>
      <c r="L172" s="291"/>
      <c r="M172" s="263"/>
      <c r="N172" s="266"/>
      <c r="O172" s="265"/>
      <c r="P172" s="265"/>
      <c r="Q172" s="265"/>
      <c r="R172" s="265"/>
      <c r="S172" s="265"/>
      <c r="T172" s="265"/>
      <c r="U172" s="267"/>
    </row>
    <row r="173" spans="1:24" ht="30" customHeight="1">
      <c r="A173" s="292"/>
      <c r="B173" s="293"/>
      <c r="C173" s="293"/>
      <c r="D173" s="293"/>
      <c r="E173" s="294"/>
      <c r="F173" s="295"/>
      <c r="G173" s="273"/>
      <c r="H173" s="273"/>
      <c r="I173" s="273"/>
      <c r="J173" s="273"/>
      <c r="K173" s="274"/>
      <c r="L173" s="291"/>
      <c r="M173" s="263"/>
      <c r="N173" s="266"/>
      <c r="O173" s="265"/>
      <c r="P173" s="265"/>
      <c r="Q173" s="265"/>
      <c r="R173" s="265"/>
      <c r="S173" s="265"/>
      <c r="T173" s="265"/>
      <c r="U173" s="267"/>
    </row>
    <row r="174" spans="1:24" ht="30" customHeight="1">
      <c r="A174" s="176"/>
      <c r="B174" s="293"/>
      <c r="C174" s="293"/>
      <c r="D174" s="293"/>
      <c r="E174" s="294"/>
      <c r="F174" s="295"/>
      <c r="G174" s="273"/>
      <c r="H174" s="273"/>
      <c r="I174" s="273"/>
      <c r="J174" s="273"/>
      <c r="K174" s="274"/>
      <c r="L174" s="291"/>
      <c r="M174" s="263"/>
      <c r="N174" s="266"/>
      <c r="O174" s="265"/>
      <c r="P174" s="265"/>
      <c r="Q174" s="265"/>
      <c r="R174" s="265"/>
      <c r="S174" s="265"/>
      <c r="T174" s="265"/>
      <c r="U174" s="267"/>
    </row>
    <row r="175" spans="1:24" ht="30" customHeight="1">
      <c r="A175" s="176"/>
      <c r="B175" s="293"/>
      <c r="C175" s="293"/>
      <c r="D175" s="293"/>
      <c r="E175" s="294"/>
      <c r="F175" s="295"/>
      <c r="G175" s="273"/>
      <c r="H175" s="273"/>
      <c r="I175" s="273"/>
      <c r="J175" s="273"/>
      <c r="K175" s="274"/>
      <c r="L175" s="291"/>
      <c r="M175" s="263"/>
      <c r="N175" s="264"/>
      <c r="O175" s="265"/>
      <c r="P175" s="265"/>
      <c r="Q175" s="265"/>
      <c r="R175" s="265"/>
      <c r="S175" s="265"/>
      <c r="T175" s="265"/>
      <c r="U175" s="284"/>
      <c r="V175" s="265"/>
      <c r="W175" s="265"/>
      <c r="X175" s="265"/>
    </row>
    <row r="176" spans="1:24" ht="30" customHeight="1">
      <c r="A176" s="169"/>
      <c r="B176" s="200"/>
      <c r="C176" s="200"/>
      <c r="D176" s="200"/>
      <c r="E176" s="299"/>
      <c r="F176" s="209"/>
      <c r="G176" s="201"/>
      <c r="H176" s="201"/>
      <c r="I176" s="201"/>
      <c r="J176" s="201"/>
      <c r="K176" s="262"/>
      <c r="L176" s="291"/>
      <c r="M176" s="263"/>
      <c r="N176" s="266"/>
      <c r="O176" s="265"/>
      <c r="P176" s="265"/>
      <c r="Q176" s="265"/>
      <c r="R176" s="265"/>
      <c r="S176" s="265"/>
      <c r="T176" s="265"/>
      <c r="U176" s="284"/>
      <c r="V176" s="265"/>
      <c r="W176" s="265"/>
      <c r="X176" s="265"/>
    </row>
    <row r="177" spans="1:21" ht="30" customHeight="1">
      <c r="A177" s="154"/>
      <c r="B177" s="202"/>
      <c r="C177" s="202"/>
      <c r="D177" s="202"/>
      <c r="E177" s="300"/>
      <c r="F177" s="210"/>
      <c r="G177" s="203"/>
      <c r="H177" s="203"/>
      <c r="I177" s="203"/>
      <c r="J177" s="203"/>
      <c r="K177" s="205"/>
      <c r="L177" s="291"/>
      <c r="M177" s="263"/>
      <c r="N177" s="264"/>
      <c r="O177" s="265"/>
      <c r="P177" s="265"/>
      <c r="Q177" s="265"/>
      <c r="R177" s="265"/>
      <c r="S177" s="265"/>
      <c r="T177" s="265"/>
      <c r="U177" s="265"/>
    </row>
    <row r="178" spans="1:21" ht="30" customHeight="1">
      <c r="A178" s="204"/>
      <c r="B178" s="202"/>
      <c r="C178" s="202"/>
      <c r="D178" s="202"/>
      <c r="E178" s="300"/>
      <c r="F178" s="210"/>
      <c r="G178" s="203"/>
      <c r="H178" s="203"/>
      <c r="I178" s="203"/>
      <c r="J178" s="203"/>
      <c r="K178" s="205"/>
      <c r="L178" s="291"/>
      <c r="M178" s="263"/>
      <c r="N178" s="264"/>
      <c r="O178" s="265"/>
      <c r="P178" s="265"/>
      <c r="Q178" s="265"/>
      <c r="R178" s="265"/>
      <c r="S178" s="265"/>
      <c r="T178" s="265"/>
      <c r="U178" s="265"/>
    </row>
    <row r="179" spans="1:21" ht="30" customHeight="1">
      <c r="A179" s="154"/>
      <c r="B179" s="202"/>
      <c r="C179" s="202"/>
      <c r="D179" s="202"/>
      <c r="E179" s="300"/>
      <c r="F179" s="210"/>
      <c r="G179" s="203"/>
      <c r="H179" s="203"/>
      <c r="I179" s="203"/>
      <c r="J179" s="203"/>
      <c r="K179" s="205"/>
      <c r="L179" s="291"/>
      <c r="M179" s="263"/>
      <c r="N179" s="264"/>
      <c r="O179" s="265"/>
      <c r="P179" s="265"/>
      <c r="Q179" s="265"/>
      <c r="R179" s="265"/>
      <c r="S179" s="265"/>
      <c r="T179" s="265"/>
      <c r="U179" s="265"/>
    </row>
    <row r="180" spans="1:21" ht="30" customHeight="1">
      <c r="A180" s="154"/>
      <c r="B180" s="202"/>
      <c r="C180" s="202"/>
      <c r="D180" s="202"/>
      <c r="E180" s="300"/>
      <c r="F180" s="210"/>
      <c r="G180" s="203"/>
      <c r="H180" s="301"/>
      <c r="I180" s="301"/>
      <c r="J180" s="301"/>
      <c r="K180" s="302"/>
      <c r="L180" s="303"/>
      <c r="M180" s="263"/>
      <c r="N180" s="264"/>
      <c r="O180" s="265"/>
      <c r="P180" s="265"/>
      <c r="Q180" s="265"/>
      <c r="R180" s="265"/>
      <c r="S180" s="265"/>
      <c r="T180" s="265"/>
      <c r="U180" s="265"/>
    </row>
    <row r="181" spans="1:21" ht="30" customHeight="1">
      <c r="A181" s="204" t="str">
        <f>IF(ISBLANK(D181)," ",132-COUNTBLANK($D$6:D181))</f>
        <v xml:space="preserve"> </v>
      </c>
      <c r="B181" s="202"/>
      <c r="C181" s="202"/>
      <c r="D181" s="202"/>
      <c r="E181" s="300"/>
      <c r="F181" s="210"/>
      <c r="G181" s="203"/>
      <c r="H181" s="203"/>
      <c r="I181" s="203"/>
      <c r="J181" s="203"/>
      <c r="K181" s="205"/>
      <c r="L181" s="291"/>
      <c r="M181" s="263"/>
      <c r="N181" s="264"/>
      <c r="O181" s="265"/>
      <c r="P181" s="265"/>
      <c r="Q181" s="265"/>
      <c r="R181" s="265"/>
      <c r="S181" s="265"/>
      <c r="T181" s="265"/>
      <c r="U181" s="265"/>
    </row>
    <row r="182" spans="1:21" ht="30" customHeight="1">
      <c r="A182" s="204" t="str">
        <f>IF(ISBLANK(D182)," ",133-COUNTBLANK($D$6:D182))</f>
        <v xml:space="preserve"> </v>
      </c>
      <c r="B182" s="202"/>
      <c r="C182" s="202"/>
      <c r="D182" s="202"/>
      <c r="E182" s="300"/>
      <c r="F182" s="210"/>
      <c r="G182" s="203"/>
      <c r="H182" s="203"/>
      <c r="I182" s="203"/>
      <c r="J182" s="203"/>
      <c r="K182" s="205"/>
      <c r="L182" s="291"/>
      <c r="M182" s="263"/>
      <c r="N182" s="264"/>
      <c r="O182" s="265"/>
      <c r="P182" s="265"/>
      <c r="Q182" s="265"/>
      <c r="R182" s="265"/>
      <c r="S182" s="265"/>
      <c r="T182" s="265"/>
      <c r="U182" s="265"/>
    </row>
    <row r="183" spans="1:21" ht="30" customHeight="1">
      <c r="A183" s="204" t="str">
        <f>IF(ISBLANK(D183)," ",134-COUNTBLANK($D$6:D183))</f>
        <v xml:space="preserve"> </v>
      </c>
      <c r="B183" s="202"/>
      <c r="C183" s="202"/>
      <c r="D183" s="202"/>
      <c r="E183" s="300"/>
      <c r="F183" s="210"/>
      <c r="G183" s="203"/>
      <c r="H183" s="203"/>
      <c r="I183" s="203"/>
      <c r="J183" s="203"/>
      <c r="K183" s="205"/>
      <c r="L183" s="291"/>
      <c r="M183" s="263"/>
      <c r="N183" s="264"/>
      <c r="O183" s="265"/>
      <c r="P183" s="265"/>
      <c r="Q183" s="265"/>
      <c r="R183" s="265"/>
      <c r="S183" s="265"/>
      <c r="T183" s="265"/>
      <c r="U183" s="265"/>
    </row>
    <row r="184" spans="1:21" ht="30" customHeight="1">
      <c r="A184" s="204" t="str">
        <f>IF(ISBLANK(D184)," ",135-COUNTBLANK($D$6:D184))</f>
        <v xml:space="preserve"> </v>
      </c>
      <c r="B184" s="202"/>
      <c r="C184" s="202"/>
      <c r="D184" s="202"/>
      <c r="E184" s="300"/>
      <c r="F184" s="210"/>
      <c r="G184" s="203"/>
      <c r="H184" s="203"/>
      <c r="I184" s="203"/>
      <c r="J184" s="203"/>
      <c r="K184" s="205"/>
      <c r="L184" s="291"/>
      <c r="M184" s="263"/>
      <c r="N184" s="264"/>
      <c r="O184" s="265"/>
      <c r="P184" s="265"/>
      <c r="Q184" s="265"/>
      <c r="R184" s="265"/>
      <c r="S184" s="265"/>
      <c r="T184" s="265"/>
      <c r="U184" s="265"/>
    </row>
    <row r="185" spans="1:21" ht="30" customHeight="1">
      <c r="A185" s="204" t="str">
        <f>IF(ISBLANK(D185)," ",136-COUNTBLANK($D$6:D185))</f>
        <v xml:space="preserve"> </v>
      </c>
      <c r="B185" s="202"/>
      <c r="C185" s="202"/>
      <c r="D185" s="202"/>
      <c r="E185" s="300"/>
      <c r="F185" s="210"/>
      <c r="G185" s="203"/>
      <c r="H185" s="203"/>
      <c r="I185" s="203"/>
      <c r="J185" s="203"/>
      <c r="K185" s="205"/>
      <c r="L185" s="291"/>
      <c r="M185" s="263"/>
      <c r="N185" s="264"/>
      <c r="O185" s="265"/>
      <c r="P185" s="265"/>
      <c r="Q185" s="265"/>
      <c r="R185" s="265"/>
      <c r="S185" s="265"/>
      <c r="T185" s="265"/>
      <c r="U185" s="265"/>
    </row>
    <row r="186" spans="1:21" ht="30" customHeight="1">
      <c r="A186" s="204" t="str">
        <f>IF(ISBLANK(D186)," ",137-COUNTBLANK($D$6:D186))</f>
        <v xml:space="preserve"> </v>
      </c>
      <c r="B186" s="202"/>
      <c r="C186" s="202"/>
      <c r="D186" s="202"/>
      <c r="E186" s="300"/>
      <c r="F186" s="210"/>
      <c r="G186" s="203"/>
      <c r="H186" s="203"/>
      <c r="I186" s="203"/>
      <c r="J186" s="203"/>
      <c r="K186" s="205"/>
      <c r="L186" s="291"/>
      <c r="M186" s="263"/>
      <c r="N186" s="264"/>
      <c r="O186" s="265"/>
      <c r="P186" s="265"/>
      <c r="Q186" s="265"/>
      <c r="R186" s="265"/>
      <c r="S186" s="265"/>
      <c r="T186" s="265"/>
      <c r="U186" s="265"/>
    </row>
    <row r="187" spans="1:21" ht="30" customHeight="1">
      <c r="A187" s="204" t="str">
        <f>IF(ISBLANK(D187)," ",138-COUNTBLANK($D$6:D187))</f>
        <v xml:space="preserve"> </v>
      </c>
      <c r="B187" s="202"/>
      <c r="C187" s="202"/>
      <c r="D187" s="202"/>
      <c r="E187" s="300"/>
      <c r="F187" s="210"/>
      <c r="G187" s="203"/>
      <c r="H187" s="203"/>
      <c r="I187" s="203"/>
      <c r="J187" s="203"/>
      <c r="K187" s="205"/>
      <c r="L187" s="291"/>
      <c r="M187" s="263"/>
      <c r="N187" s="264"/>
      <c r="O187" s="265"/>
      <c r="P187" s="265"/>
      <c r="Q187" s="265"/>
      <c r="R187" s="265"/>
      <c r="S187" s="265"/>
      <c r="T187" s="265"/>
      <c r="U187" s="265"/>
    </row>
    <row r="188" spans="1:21" ht="30" customHeight="1">
      <c r="A188" s="204" t="str">
        <f>IF(ISBLANK(D188)," ",139-COUNTBLANK($D$6:D188))</f>
        <v xml:space="preserve"> </v>
      </c>
      <c r="B188" s="202"/>
      <c r="C188" s="202"/>
      <c r="D188" s="202"/>
      <c r="E188" s="300"/>
      <c r="F188" s="210"/>
      <c r="G188" s="203"/>
      <c r="H188" s="203"/>
      <c r="I188" s="203"/>
      <c r="J188" s="203"/>
      <c r="K188" s="205"/>
      <c r="L188" s="291"/>
      <c r="M188" s="263"/>
      <c r="N188" s="264"/>
      <c r="O188" s="265"/>
      <c r="P188" s="265"/>
      <c r="Q188" s="265"/>
      <c r="R188" s="265"/>
      <c r="S188" s="265"/>
      <c r="T188" s="265"/>
      <c r="U188" s="265"/>
    </row>
    <row r="189" spans="1:21" ht="30" customHeight="1">
      <c r="A189" s="204" t="str">
        <f>IF(ISBLANK(D189)," ",140-COUNTBLANK($D$6:D189))</f>
        <v xml:space="preserve"> </v>
      </c>
      <c r="B189" s="202"/>
      <c r="C189" s="202"/>
      <c r="D189" s="202"/>
      <c r="E189" s="300"/>
      <c r="F189" s="210"/>
      <c r="G189" s="203"/>
      <c r="H189" s="203"/>
      <c r="I189" s="203"/>
      <c r="J189" s="203"/>
      <c r="K189" s="205"/>
      <c r="L189" s="291"/>
      <c r="M189" s="263"/>
      <c r="N189" s="264"/>
      <c r="O189" s="265"/>
      <c r="P189" s="265"/>
      <c r="Q189" s="265"/>
      <c r="R189" s="265"/>
      <c r="S189" s="265"/>
      <c r="T189" s="265"/>
      <c r="U189" s="265"/>
    </row>
    <row r="190" spans="1:21" ht="30" customHeight="1">
      <c r="A190" s="204" t="str">
        <f>IF(ISBLANK(D190)," ",141-COUNTBLANK($D$6:D190))</f>
        <v xml:space="preserve"> </v>
      </c>
      <c r="B190" s="202"/>
      <c r="C190" s="202"/>
      <c r="D190" s="202"/>
      <c r="E190" s="300"/>
      <c r="F190" s="210"/>
      <c r="G190" s="203"/>
      <c r="H190" s="203"/>
      <c r="I190" s="203"/>
      <c r="J190" s="203"/>
      <c r="K190" s="205"/>
      <c r="L190" s="291"/>
      <c r="M190" s="263"/>
      <c r="N190" s="264"/>
      <c r="O190" s="265"/>
      <c r="P190" s="265"/>
      <c r="Q190" s="265"/>
      <c r="R190" s="265"/>
      <c r="S190" s="265"/>
      <c r="T190" s="265"/>
      <c r="U190" s="265"/>
    </row>
    <row r="191" spans="1:21" ht="30" customHeight="1">
      <c r="A191" s="204" t="str">
        <f>IF(ISBLANK(D191)," ",142-COUNTBLANK($D$6:D191))</f>
        <v xml:space="preserve"> </v>
      </c>
      <c r="B191" s="202"/>
      <c r="C191" s="202"/>
      <c r="D191" s="202"/>
      <c r="E191" s="300"/>
      <c r="F191" s="210"/>
      <c r="G191" s="203"/>
      <c r="H191" s="203"/>
      <c r="I191" s="203"/>
      <c r="J191" s="203"/>
      <c r="K191" s="205"/>
      <c r="L191" s="291"/>
      <c r="M191" s="263"/>
      <c r="N191" s="264"/>
      <c r="O191" s="265"/>
      <c r="P191" s="265"/>
      <c r="Q191" s="265"/>
      <c r="R191" s="265"/>
      <c r="S191" s="265"/>
      <c r="T191" s="265"/>
      <c r="U191" s="265"/>
    </row>
    <row r="192" spans="1:21" ht="30" customHeight="1">
      <c r="A192" s="204" t="str">
        <f>IF(ISBLANK(D192)," ",143-COUNTBLANK($D$6:D192))</f>
        <v xml:space="preserve"> </v>
      </c>
      <c r="B192" s="202"/>
      <c r="C192" s="202"/>
      <c r="D192" s="202"/>
      <c r="E192" s="300"/>
      <c r="F192" s="210"/>
      <c r="G192" s="203"/>
      <c r="H192" s="203"/>
      <c r="I192" s="203"/>
      <c r="J192" s="203"/>
      <c r="K192" s="205"/>
      <c r="L192" s="291"/>
      <c r="M192" s="263"/>
      <c r="N192" s="266"/>
      <c r="O192" s="265"/>
      <c r="P192" s="265"/>
      <c r="Q192" s="265"/>
      <c r="R192" s="265"/>
      <c r="S192" s="265"/>
      <c r="T192" s="265"/>
      <c r="U192" s="267"/>
    </row>
    <row r="193" spans="1:24" ht="30" customHeight="1">
      <c r="A193" s="204" t="str">
        <f>IF(ISBLANK(D193)," ",144-COUNTBLANK($D$6:D193))</f>
        <v xml:space="preserve"> </v>
      </c>
      <c r="B193" s="202"/>
      <c r="C193" s="202"/>
      <c r="D193" s="202"/>
      <c r="E193" s="300"/>
      <c r="F193" s="210"/>
      <c r="G193" s="203"/>
      <c r="H193" s="203"/>
      <c r="I193" s="203"/>
      <c r="J193" s="203"/>
      <c r="K193" s="205"/>
      <c r="L193" s="291"/>
      <c r="M193" s="263"/>
      <c r="N193" s="266"/>
      <c r="O193" s="265"/>
      <c r="P193" s="265"/>
      <c r="Q193" s="265"/>
      <c r="R193" s="265"/>
      <c r="S193" s="265"/>
      <c r="T193" s="265"/>
      <c r="U193" s="267"/>
    </row>
    <row r="194" spans="1:24" ht="30" customHeight="1">
      <c r="A194" s="204" t="str">
        <f>IF(ISBLANK(D194)," ",145-COUNTBLANK($D$6:D194))</f>
        <v xml:space="preserve"> </v>
      </c>
      <c r="B194" s="202"/>
      <c r="C194" s="202"/>
      <c r="D194" s="202"/>
      <c r="E194" s="300"/>
      <c r="F194" s="210"/>
      <c r="G194" s="203"/>
      <c r="H194" s="203"/>
      <c r="I194" s="203"/>
      <c r="J194" s="203"/>
      <c r="K194" s="205"/>
      <c r="L194" s="291"/>
      <c r="M194" s="263"/>
      <c r="N194" s="266"/>
      <c r="O194" s="265"/>
      <c r="P194" s="265"/>
      <c r="Q194" s="265"/>
      <c r="R194" s="265"/>
      <c r="S194" s="265"/>
      <c r="T194" s="265"/>
      <c r="U194" s="267"/>
    </row>
    <row r="195" spans="1:24" ht="30" customHeight="1">
      <c r="A195" s="204" t="str">
        <f>IF(ISBLANK(D195)," ",146-COUNTBLANK($D$6:D195))</f>
        <v xml:space="preserve"> </v>
      </c>
      <c r="B195" s="202"/>
      <c r="C195" s="202"/>
      <c r="D195" s="202"/>
      <c r="E195" s="300"/>
      <c r="F195" s="210"/>
      <c r="G195" s="203"/>
      <c r="H195" s="203"/>
      <c r="I195" s="203"/>
      <c r="J195" s="203"/>
      <c r="K195" s="205"/>
      <c r="L195" s="291"/>
      <c r="M195" s="263"/>
      <c r="N195" s="266"/>
      <c r="O195" s="265"/>
      <c r="P195" s="265"/>
      <c r="Q195" s="265"/>
      <c r="R195" s="265"/>
      <c r="S195" s="265"/>
      <c r="T195" s="265"/>
      <c r="U195" s="267"/>
    </row>
    <row r="196" spans="1:24" ht="30" customHeight="1">
      <c r="A196" s="304" t="s">
        <v>52</v>
      </c>
      <c r="B196" s="296"/>
      <c r="C196" s="305"/>
      <c r="D196" s="306"/>
      <c r="E196" s="297"/>
      <c r="F196" s="298">
        <f>SUM(F176:F195)</f>
        <v>0</v>
      </c>
      <c r="G196" s="282"/>
      <c r="H196" s="282"/>
      <c r="I196" s="282"/>
      <c r="J196" s="282"/>
      <c r="K196" s="283"/>
      <c r="L196" s="303"/>
      <c r="M196" s="263"/>
      <c r="N196" s="264"/>
      <c r="O196" s="265"/>
      <c r="P196" s="265"/>
      <c r="Q196" s="265"/>
      <c r="R196" s="265"/>
      <c r="S196" s="265"/>
      <c r="T196" s="265"/>
      <c r="U196" s="284"/>
      <c r="V196" s="265"/>
      <c r="W196" s="265"/>
      <c r="X196" s="265"/>
    </row>
    <row r="197" spans="1:24" ht="30" customHeight="1">
      <c r="A197" s="260" t="str">
        <f>IF(ISBLANK(D197)," ",148-COUNTBLANK($D$6:D197))</f>
        <v xml:space="preserve"> </v>
      </c>
      <c r="B197" s="200"/>
      <c r="C197" s="200"/>
      <c r="D197" s="200"/>
      <c r="E197" s="299"/>
      <c r="F197" s="209"/>
      <c r="G197" s="201"/>
      <c r="H197" s="201"/>
      <c r="I197" s="201"/>
      <c r="J197" s="201"/>
      <c r="K197" s="262"/>
      <c r="L197" s="291"/>
      <c r="M197" s="263"/>
      <c r="N197" s="266"/>
      <c r="O197" s="265"/>
      <c r="P197" s="265"/>
      <c r="Q197" s="265"/>
      <c r="R197" s="265"/>
      <c r="S197" s="265"/>
      <c r="T197" s="265"/>
      <c r="U197" s="284"/>
      <c r="V197" s="265"/>
      <c r="W197" s="265"/>
      <c r="X197" s="265"/>
    </row>
    <row r="198" spans="1:24" ht="30" customHeight="1">
      <c r="A198" s="204" t="str">
        <f>IF(ISBLANK(D198)," ",149-COUNTBLANK($D$6:D198))</f>
        <v xml:space="preserve"> </v>
      </c>
      <c r="B198" s="202"/>
      <c r="C198" s="202"/>
      <c r="D198" s="202"/>
      <c r="E198" s="300"/>
      <c r="F198" s="210"/>
      <c r="G198" s="203"/>
      <c r="H198" s="203"/>
      <c r="I198" s="203"/>
      <c r="J198" s="203"/>
      <c r="K198" s="205"/>
      <c r="L198" s="291"/>
      <c r="M198" s="263"/>
      <c r="N198" s="264"/>
      <c r="O198" s="265"/>
      <c r="P198" s="265"/>
      <c r="Q198" s="265"/>
      <c r="R198" s="265"/>
      <c r="S198" s="265"/>
      <c r="T198" s="265"/>
      <c r="U198" s="265"/>
    </row>
    <row r="199" spans="1:24" ht="30" customHeight="1">
      <c r="A199" s="204" t="str">
        <f>IF(ISBLANK(D199)," ",150-COUNTBLANK($D$6:D199))</f>
        <v xml:space="preserve"> </v>
      </c>
      <c r="B199" s="202"/>
      <c r="C199" s="202"/>
      <c r="D199" s="202"/>
      <c r="E199" s="300"/>
      <c r="F199" s="210"/>
      <c r="G199" s="203"/>
      <c r="H199" s="203"/>
      <c r="I199" s="203"/>
      <c r="J199" s="203"/>
      <c r="K199" s="205"/>
      <c r="L199" s="291"/>
      <c r="M199" s="263"/>
      <c r="N199" s="264"/>
      <c r="O199" s="265"/>
      <c r="P199" s="265"/>
      <c r="Q199" s="265"/>
      <c r="R199" s="265"/>
      <c r="S199" s="265"/>
      <c r="T199" s="265"/>
      <c r="U199" s="265"/>
    </row>
    <row r="200" spans="1:24" ht="30" customHeight="1">
      <c r="A200" s="204" t="str">
        <f>IF(ISBLANK(D200)," ",151-COUNTBLANK($D$6:D200))</f>
        <v xml:space="preserve"> </v>
      </c>
      <c r="B200" s="202"/>
      <c r="C200" s="202"/>
      <c r="D200" s="202"/>
      <c r="E200" s="300"/>
      <c r="F200" s="210"/>
      <c r="G200" s="203"/>
      <c r="H200" s="203"/>
      <c r="I200" s="203"/>
      <c r="J200" s="203"/>
      <c r="K200" s="205"/>
      <c r="L200" s="291"/>
      <c r="M200" s="263"/>
      <c r="N200" s="264"/>
      <c r="O200" s="265"/>
      <c r="P200" s="265"/>
      <c r="Q200" s="265"/>
      <c r="R200" s="265"/>
      <c r="S200" s="265"/>
      <c r="T200" s="265"/>
      <c r="U200" s="265"/>
    </row>
    <row r="201" spans="1:24" ht="30" customHeight="1">
      <c r="A201" s="204" t="str">
        <f>IF(ISBLANK(D201)," ",152-COUNTBLANK($D$6:D201))</f>
        <v xml:space="preserve"> </v>
      </c>
      <c r="B201" s="202"/>
      <c r="C201" s="202"/>
      <c r="D201" s="202"/>
      <c r="E201" s="300"/>
      <c r="F201" s="210"/>
      <c r="G201" s="203"/>
      <c r="H201" s="203"/>
      <c r="I201" s="203"/>
      <c r="J201" s="203"/>
      <c r="K201" s="205"/>
      <c r="L201" s="291"/>
      <c r="M201" s="263"/>
      <c r="N201" s="264"/>
      <c r="O201" s="265"/>
      <c r="P201" s="265"/>
      <c r="Q201" s="265"/>
      <c r="R201" s="265"/>
      <c r="S201" s="265"/>
      <c r="T201" s="265"/>
      <c r="U201" s="265"/>
    </row>
    <row r="202" spans="1:24" ht="30" customHeight="1">
      <c r="A202" s="204" t="str">
        <f>IF(ISBLANK(D202)," ",153-COUNTBLANK($D$6:D202))</f>
        <v xml:space="preserve"> </v>
      </c>
      <c r="B202" s="202"/>
      <c r="C202" s="202"/>
      <c r="D202" s="202"/>
      <c r="E202" s="300"/>
      <c r="F202" s="210"/>
      <c r="G202" s="203"/>
      <c r="H202" s="203"/>
      <c r="I202" s="203"/>
      <c r="J202" s="203"/>
      <c r="K202" s="205"/>
      <c r="L202" s="291"/>
      <c r="M202" s="263"/>
      <c r="N202" s="264"/>
      <c r="O202" s="265"/>
      <c r="P202" s="265"/>
      <c r="Q202" s="265"/>
      <c r="R202" s="265"/>
      <c r="S202" s="265"/>
      <c r="T202" s="265"/>
      <c r="U202" s="265"/>
    </row>
    <row r="203" spans="1:24" ht="30" customHeight="1">
      <c r="A203" s="204" t="str">
        <f>IF(ISBLANK(D203)," ",154-COUNTBLANK($D$6:D203))</f>
        <v xml:space="preserve"> </v>
      </c>
      <c r="B203" s="202"/>
      <c r="C203" s="202"/>
      <c r="D203" s="202"/>
      <c r="E203" s="300"/>
      <c r="F203" s="210"/>
      <c r="G203" s="203"/>
      <c r="H203" s="203"/>
      <c r="I203" s="203"/>
      <c r="J203" s="203"/>
      <c r="K203" s="205"/>
      <c r="L203" s="291"/>
      <c r="M203" s="263"/>
      <c r="N203" s="264"/>
      <c r="O203" s="265"/>
      <c r="P203" s="265"/>
      <c r="Q203" s="265"/>
      <c r="R203" s="265"/>
      <c r="S203" s="265"/>
      <c r="T203" s="265"/>
      <c r="U203" s="265"/>
    </row>
    <row r="204" spans="1:24" ht="30" customHeight="1">
      <c r="A204" s="204" t="str">
        <f>IF(ISBLANK(D204)," ",155-COUNTBLANK($D$6:D204))</f>
        <v xml:space="preserve"> </v>
      </c>
      <c r="B204" s="202"/>
      <c r="C204" s="202"/>
      <c r="D204" s="202"/>
      <c r="E204" s="300"/>
      <c r="F204" s="210"/>
      <c r="G204" s="203"/>
      <c r="H204" s="203"/>
      <c r="I204" s="203"/>
      <c r="J204" s="203"/>
      <c r="K204" s="205"/>
      <c r="L204" s="291"/>
      <c r="M204" s="263"/>
      <c r="N204" s="264"/>
      <c r="O204" s="265"/>
      <c r="P204" s="265"/>
      <c r="Q204" s="265"/>
      <c r="R204" s="265"/>
      <c r="S204" s="265"/>
      <c r="T204" s="265"/>
      <c r="U204" s="265"/>
    </row>
    <row r="205" spans="1:24" ht="30" customHeight="1">
      <c r="A205" s="204" t="str">
        <f>IF(ISBLANK(D205)," ",156-COUNTBLANK($D$6:D205))</f>
        <v xml:space="preserve"> </v>
      </c>
      <c r="B205" s="202"/>
      <c r="C205" s="202"/>
      <c r="D205" s="202"/>
      <c r="E205" s="300"/>
      <c r="F205" s="210"/>
      <c r="G205" s="203"/>
      <c r="H205" s="203"/>
      <c r="I205" s="203"/>
      <c r="J205" s="203"/>
      <c r="K205" s="205"/>
      <c r="L205" s="291"/>
      <c r="M205" s="263"/>
      <c r="N205" s="264"/>
      <c r="O205" s="265"/>
      <c r="P205" s="265"/>
      <c r="Q205" s="265"/>
      <c r="R205" s="265"/>
      <c r="S205" s="265"/>
      <c r="T205" s="265"/>
      <c r="U205" s="265"/>
    </row>
    <row r="206" spans="1:24" ht="30" customHeight="1">
      <c r="A206" s="204" t="str">
        <f>IF(ISBLANK(D206)," ",157-COUNTBLANK($D$6:D206))</f>
        <v xml:space="preserve"> </v>
      </c>
      <c r="B206" s="202"/>
      <c r="C206" s="202"/>
      <c r="D206" s="202"/>
      <c r="E206" s="300"/>
      <c r="F206" s="210"/>
      <c r="G206" s="203"/>
      <c r="H206" s="203"/>
      <c r="I206" s="203"/>
      <c r="J206" s="203"/>
      <c r="K206" s="205"/>
      <c r="L206" s="291"/>
      <c r="M206" s="263"/>
      <c r="N206" s="264"/>
      <c r="O206" s="265"/>
      <c r="P206" s="265"/>
      <c r="Q206" s="265"/>
      <c r="R206" s="265"/>
      <c r="S206" s="265"/>
      <c r="T206" s="265"/>
      <c r="U206" s="265"/>
    </row>
    <row r="207" spans="1:24" ht="30" customHeight="1">
      <c r="A207" s="204" t="str">
        <f>IF(ISBLANK(D207)," ",158-COUNTBLANK($D$6:D207))</f>
        <v xml:space="preserve"> </v>
      </c>
      <c r="B207" s="202"/>
      <c r="C207" s="202"/>
      <c r="D207" s="202"/>
      <c r="E207" s="300"/>
      <c r="F207" s="210"/>
      <c r="G207" s="203"/>
      <c r="H207" s="203"/>
      <c r="I207" s="203"/>
      <c r="J207" s="203"/>
      <c r="K207" s="205"/>
      <c r="L207" s="291"/>
      <c r="M207" s="263"/>
      <c r="N207" s="264"/>
      <c r="O207" s="265"/>
      <c r="P207" s="265"/>
      <c r="Q207" s="265"/>
      <c r="R207" s="265"/>
      <c r="S207" s="265"/>
      <c r="T207" s="265"/>
      <c r="U207" s="265"/>
    </row>
    <row r="208" spans="1:24" ht="30" customHeight="1">
      <c r="A208" s="204" t="str">
        <f>IF(ISBLANK(D208)," ",159-COUNTBLANK($D$6:D208))</f>
        <v xml:space="preserve"> </v>
      </c>
      <c r="B208" s="202"/>
      <c r="C208" s="202"/>
      <c r="D208" s="202"/>
      <c r="E208" s="300"/>
      <c r="F208" s="210"/>
      <c r="G208" s="203"/>
      <c r="H208" s="203"/>
      <c r="I208" s="203"/>
      <c r="J208" s="203"/>
      <c r="K208" s="205"/>
      <c r="L208" s="291"/>
      <c r="M208" s="263"/>
      <c r="N208" s="264"/>
      <c r="O208" s="265"/>
      <c r="P208" s="265"/>
      <c r="Q208" s="265"/>
      <c r="R208" s="265"/>
      <c r="S208" s="265"/>
      <c r="T208" s="265"/>
      <c r="U208" s="265"/>
    </row>
    <row r="209" spans="1:24" ht="30" customHeight="1">
      <c r="A209" s="204" t="str">
        <f>IF(ISBLANK(D209)," ",160-COUNTBLANK($D$6:D209))</f>
        <v xml:space="preserve"> </v>
      </c>
      <c r="B209" s="202"/>
      <c r="C209" s="202"/>
      <c r="D209" s="202"/>
      <c r="E209" s="300"/>
      <c r="F209" s="210"/>
      <c r="G209" s="203"/>
      <c r="H209" s="203"/>
      <c r="I209" s="203"/>
      <c r="J209" s="203"/>
      <c r="K209" s="205"/>
      <c r="L209" s="291"/>
      <c r="M209" s="263"/>
      <c r="N209" s="264"/>
      <c r="O209" s="265"/>
      <c r="P209" s="265"/>
      <c r="Q209" s="265"/>
      <c r="R209" s="265"/>
      <c r="S209" s="265"/>
      <c r="T209" s="265"/>
      <c r="U209" s="265"/>
    </row>
    <row r="210" spans="1:24" ht="30" customHeight="1">
      <c r="A210" s="204" t="str">
        <f>IF(ISBLANK(D210)," ",161-COUNTBLANK($D$6:D210))</f>
        <v xml:space="preserve"> </v>
      </c>
      <c r="B210" s="202"/>
      <c r="C210" s="202"/>
      <c r="D210" s="202"/>
      <c r="E210" s="300"/>
      <c r="F210" s="210"/>
      <c r="G210" s="203"/>
      <c r="H210" s="203"/>
      <c r="I210" s="203"/>
      <c r="J210" s="203"/>
      <c r="K210" s="205"/>
      <c r="L210" s="291"/>
      <c r="M210" s="263"/>
      <c r="N210" s="264"/>
      <c r="O210" s="265"/>
      <c r="P210" s="265"/>
      <c r="Q210" s="265"/>
      <c r="R210" s="265"/>
      <c r="S210" s="265"/>
      <c r="T210" s="265"/>
      <c r="U210" s="265"/>
    </row>
    <row r="211" spans="1:24" ht="30" customHeight="1">
      <c r="A211" s="204" t="str">
        <f>IF(ISBLANK(D211)," ",162-COUNTBLANK($D$6:D211))</f>
        <v xml:space="preserve"> </v>
      </c>
      <c r="B211" s="202"/>
      <c r="C211" s="202"/>
      <c r="D211" s="202"/>
      <c r="E211" s="300"/>
      <c r="F211" s="210"/>
      <c r="G211" s="203"/>
      <c r="H211" s="203"/>
      <c r="I211" s="203"/>
      <c r="J211" s="203"/>
      <c r="K211" s="205"/>
      <c r="L211" s="291"/>
      <c r="M211" s="263"/>
      <c r="N211" s="264"/>
      <c r="O211" s="265"/>
      <c r="P211" s="265"/>
      <c r="Q211" s="265"/>
      <c r="R211" s="265"/>
      <c r="S211" s="265"/>
      <c r="T211" s="265"/>
      <c r="U211" s="265"/>
    </row>
    <row r="212" spans="1:24" ht="30" customHeight="1">
      <c r="A212" s="204" t="str">
        <f>IF(ISBLANK(D212)," ",163-COUNTBLANK($D$6:D212))</f>
        <v xml:space="preserve"> </v>
      </c>
      <c r="B212" s="202"/>
      <c r="C212" s="202"/>
      <c r="D212" s="202"/>
      <c r="E212" s="300"/>
      <c r="F212" s="210"/>
      <c r="G212" s="203"/>
      <c r="H212" s="203"/>
      <c r="I212" s="203"/>
      <c r="J212" s="203"/>
      <c r="K212" s="205"/>
      <c r="L212" s="291"/>
      <c r="M212" s="263"/>
      <c r="N212" s="264"/>
      <c r="O212" s="265"/>
      <c r="P212" s="265"/>
      <c r="Q212" s="265"/>
      <c r="R212" s="265"/>
      <c r="S212" s="265"/>
      <c r="T212" s="265"/>
      <c r="U212" s="265"/>
    </row>
    <row r="213" spans="1:24" ht="30" customHeight="1">
      <c r="A213" s="204" t="str">
        <f>IF(ISBLANK(D213)," ",164-COUNTBLANK($D$6:D213))</f>
        <v xml:space="preserve"> </v>
      </c>
      <c r="B213" s="202"/>
      <c r="C213" s="202"/>
      <c r="D213" s="202"/>
      <c r="E213" s="300"/>
      <c r="F213" s="210"/>
      <c r="G213" s="203"/>
      <c r="H213" s="203"/>
      <c r="I213" s="203"/>
      <c r="J213" s="203"/>
      <c r="K213" s="205"/>
      <c r="L213" s="291"/>
      <c r="M213" s="263"/>
      <c r="N213" s="266"/>
      <c r="O213" s="265"/>
      <c r="P213" s="265"/>
      <c r="Q213" s="265"/>
      <c r="R213" s="265"/>
      <c r="S213" s="265"/>
      <c r="T213" s="265"/>
      <c r="U213" s="267"/>
    </row>
    <row r="214" spans="1:24" ht="30" customHeight="1">
      <c r="A214" s="204" t="str">
        <f>IF(ISBLANK(D214)," ",165-COUNTBLANK($D$6:D214))</f>
        <v xml:space="preserve"> </v>
      </c>
      <c r="B214" s="202"/>
      <c r="C214" s="202"/>
      <c r="D214" s="202"/>
      <c r="E214" s="300"/>
      <c r="F214" s="210"/>
      <c r="G214" s="203"/>
      <c r="H214" s="203"/>
      <c r="I214" s="203"/>
      <c r="J214" s="203"/>
      <c r="K214" s="205"/>
      <c r="L214" s="291"/>
      <c r="M214" s="263"/>
      <c r="N214" s="266"/>
      <c r="O214" s="265"/>
      <c r="P214" s="265"/>
      <c r="Q214" s="265"/>
      <c r="R214" s="265"/>
      <c r="S214" s="265"/>
      <c r="T214" s="265"/>
      <c r="U214" s="267"/>
    </row>
    <row r="215" spans="1:24" ht="30" customHeight="1">
      <c r="A215" s="204" t="str">
        <f>IF(ISBLANK(D215)," ",166-COUNTBLANK($D$6:D215))</f>
        <v xml:space="preserve"> </v>
      </c>
      <c r="B215" s="202"/>
      <c r="C215" s="202"/>
      <c r="D215" s="202"/>
      <c r="E215" s="300"/>
      <c r="F215" s="210"/>
      <c r="G215" s="203"/>
      <c r="H215" s="203"/>
      <c r="I215" s="203"/>
      <c r="J215" s="203"/>
      <c r="K215" s="205"/>
      <c r="L215" s="291"/>
      <c r="M215" s="263"/>
      <c r="N215" s="266"/>
      <c r="O215" s="265"/>
      <c r="P215" s="265"/>
      <c r="Q215" s="265"/>
      <c r="R215" s="265"/>
      <c r="S215" s="265"/>
      <c r="T215" s="265"/>
      <c r="U215" s="267"/>
    </row>
    <row r="216" spans="1:24" ht="30" customHeight="1">
      <c r="A216" s="204" t="str">
        <f>IF(ISBLANK(D216)," ",167-COUNTBLANK($D$6:D216))</f>
        <v xml:space="preserve"> </v>
      </c>
      <c r="B216" s="202"/>
      <c r="C216" s="202"/>
      <c r="D216" s="202"/>
      <c r="E216" s="300"/>
      <c r="F216" s="210"/>
      <c r="G216" s="203"/>
      <c r="H216" s="203"/>
      <c r="I216" s="203"/>
      <c r="J216" s="203"/>
      <c r="K216" s="205"/>
      <c r="L216" s="291"/>
      <c r="M216" s="263"/>
      <c r="N216" s="266"/>
      <c r="O216" s="265"/>
      <c r="P216" s="265"/>
      <c r="Q216" s="265"/>
      <c r="R216" s="265"/>
      <c r="S216" s="265"/>
      <c r="T216" s="265"/>
      <c r="U216" s="267"/>
    </row>
    <row r="217" spans="1:24" ht="30" customHeight="1">
      <c r="A217" s="304" t="s">
        <v>52</v>
      </c>
      <c r="B217" s="296"/>
      <c r="C217" s="305"/>
      <c r="D217" s="306"/>
      <c r="E217" s="297"/>
      <c r="F217" s="298">
        <f>SUM(F197:F216)</f>
        <v>0</v>
      </c>
      <c r="G217" s="282"/>
      <c r="H217" s="282"/>
      <c r="I217" s="282"/>
      <c r="J217" s="282"/>
      <c r="K217" s="283"/>
      <c r="L217" s="303"/>
      <c r="M217" s="263"/>
      <c r="N217" s="264"/>
      <c r="O217" s="265"/>
      <c r="P217" s="265"/>
      <c r="Q217" s="265"/>
      <c r="R217" s="265"/>
      <c r="S217" s="265"/>
      <c r="T217" s="265"/>
      <c r="U217" s="284"/>
      <c r="V217" s="265"/>
      <c r="W217" s="265"/>
      <c r="X217" s="265"/>
    </row>
    <row r="218" spans="1:24" ht="30" customHeight="1">
      <c r="A218" s="260" t="str">
        <f>IF(ISBLANK(D218)," ",169-COUNTBLANK($D$6:D218))</f>
        <v xml:space="preserve"> </v>
      </c>
      <c r="B218" s="200"/>
      <c r="C218" s="200"/>
      <c r="D218" s="200"/>
      <c r="E218" s="299"/>
      <c r="F218" s="209"/>
      <c r="G218" s="201"/>
      <c r="H218" s="201"/>
      <c r="I218" s="201"/>
      <c r="J218" s="201"/>
      <c r="K218" s="262"/>
      <c r="L218" s="291"/>
      <c r="M218" s="263"/>
      <c r="N218" s="266"/>
      <c r="O218" s="265"/>
      <c r="P218" s="265"/>
      <c r="Q218" s="265"/>
      <c r="R218" s="265"/>
      <c r="S218" s="265"/>
      <c r="T218" s="265"/>
      <c r="U218" s="284"/>
      <c r="V218" s="265"/>
      <c r="W218" s="265"/>
      <c r="X218" s="265"/>
    </row>
    <row r="219" spans="1:24" ht="30" customHeight="1">
      <c r="A219" s="204" t="str">
        <f>IF(ISBLANK(D219)," ",170-COUNTBLANK($D$6:D219))</f>
        <v xml:space="preserve"> </v>
      </c>
      <c r="B219" s="202"/>
      <c r="C219" s="202"/>
      <c r="D219" s="202"/>
      <c r="E219" s="300"/>
      <c r="F219" s="210"/>
      <c r="G219" s="203"/>
      <c r="H219" s="203"/>
      <c r="I219" s="203"/>
      <c r="J219" s="203"/>
      <c r="K219" s="205"/>
      <c r="L219" s="291"/>
      <c r="M219" s="263"/>
      <c r="N219" s="264"/>
      <c r="O219" s="265"/>
      <c r="P219" s="265"/>
      <c r="Q219" s="265"/>
      <c r="R219" s="265"/>
      <c r="S219" s="265"/>
      <c r="T219" s="265"/>
      <c r="U219" s="265"/>
    </row>
    <row r="220" spans="1:24" ht="30" customHeight="1">
      <c r="A220" s="204" t="str">
        <f>IF(ISBLANK(D220)," ",171-COUNTBLANK($D$6:D220))</f>
        <v xml:space="preserve"> </v>
      </c>
      <c r="B220" s="202"/>
      <c r="C220" s="202"/>
      <c r="D220" s="202"/>
      <c r="E220" s="300"/>
      <c r="F220" s="210"/>
      <c r="G220" s="203"/>
      <c r="H220" s="203"/>
      <c r="I220" s="203"/>
      <c r="J220" s="203"/>
      <c r="K220" s="205"/>
      <c r="L220" s="291"/>
      <c r="M220" s="263"/>
      <c r="N220" s="264"/>
      <c r="O220" s="265"/>
      <c r="P220" s="265"/>
      <c r="Q220" s="265"/>
      <c r="R220" s="265"/>
      <c r="S220" s="265"/>
      <c r="T220" s="265"/>
      <c r="U220" s="265"/>
    </row>
    <row r="221" spans="1:24" ht="30" customHeight="1">
      <c r="A221" s="204" t="str">
        <f>IF(ISBLANK(D221)," ",172-COUNTBLANK($D$6:D221))</f>
        <v xml:space="preserve"> </v>
      </c>
      <c r="B221" s="202"/>
      <c r="C221" s="202"/>
      <c r="D221" s="202"/>
      <c r="E221" s="300"/>
      <c r="F221" s="210"/>
      <c r="G221" s="203"/>
      <c r="H221" s="203"/>
      <c r="I221" s="203"/>
      <c r="J221" s="203"/>
      <c r="K221" s="205"/>
      <c r="L221" s="291"/>
      <c r="M221" s="263"/>
      <c r="N221" s="264"/>
      <c r="O221" s="265"/>
      <c r="P221" s="265"/>
      <c r="Q221" s="265"/>
      <c r="R221" s="265"/>
      <c r="S221" s="265"/>
      <c r="T221" s="265"/>
      <c r="U221" s="265"/>
    </row>
    <row r="222" spans="1:24" ht="30" customHeight="1">
      <c r="A222" s="204" t="str">
        <f>IF(ISBLANK(D222)," ",173-COUNTBLANK($D$6:D222))</f>
        <v xml:space="preserve"> </v>
      </c>
      <c r="B222" s="202"/>
      <c r="C222" s="202"/>
      <c r="D222" s="202"/>
      <c r="E222" s="300"/>
      <c r="F222" s="210"/>
      <c r="G222" s="203"/>
      <c r="H222" s="203"/>
      <c r="I222" s="203"/>
      <c r="J222" s="203"/>
      <c r="K222" s="205"/>
      <c r="L222" s="291"/>
      <c r="M222" s="263"/>
      <c r="N222" s="264"/>
      <c r="O222" s="265"/>
      <c r="P222" s="265"/>
      <c r="Q222" s="265"/>
      <c r="R222" s="265"/>
      <c r="S222" s="265"/>
      <c r="T222" s="265"/>
      <c r="U222" s="265"/>
    </row>
    <row r="223" spans="1:24" ht="30" customHeight="1">
      <c r="A223" s="204" t="str">
        <f>IF(ISBLANK(D223)," ",174-COUNTBLANK($D$6:D223))</f>
        <v xml:space="preserve"> </v>
      </c>
      <c r="B223" s="202"/>
      <c r="C223" s="202"/>
      <c r="D223" s="202"/>
      <c r="E223" s="300"/>
      <c r="F223" s="210"/>
      <c r="G223" s="203"/>
      <c r="H223" s="203"/>
      <c r="I223" s="203"/>
      <c r="J223" s="203"/>
      <c r="K223" s="205"/>
      <c r="L223" s="291"/>
      <c r="M223" s="263"/>
      <c r="N223" s="264"/>
      <c r="O223" s="265"/>
      <c r="P223" s="265"/>
      <c r="Q223" s="265"/>
      <c r="R223" s="265"/>
      <c r="S223" s="265"/>
      <c r="T223" s="265"/>
      <c r="U223" s="265"/>
    </row>
    <row r="224" spans="1:24" ht="30" customHeight="1">
      <c r="A224" s="204" t="str">
        <f>IF(ISBLANK(D224)," ",175-COUNTBLANK($D$6:D224))</f>
        <v xml:space="preserve"> </v>
      </c>
      <c r="B224" s="202"/>
      <c r="C224" s="202"/>
      <c r="D224" s="202"/>
      <c r="E224" s="300"/>
      <c r="F224" s="210"/>
      <c r="G224" s="203"/>
      <c r="H224" s="203"/>
      <c r="I224" s="203"/>
      <c r="J224" s="203"/>
      <c r="K224" s="205"/>
      <c r="L224" s="291"/>
      <c r="M224" s="263"/>
      <c r="N224" s="264"/>
      <c r="O224" s="265"/>
      <c r="P224" s="265"/>
      <c r="Q224" s="265"/>
      <c r="R224" s="265"/>
      <c r="S224" s="265"/>
      <c r="T224" s="265"/>
      <c r="U224" s="265"/>
    </row>
    <row r="225" spans="1:24" ht="30" customHeight="1">
      <c r="A225" s="204" t="str">
        <f>IF(ISBLANK(D225)," ",176-COUNTBLANK($D$6:D225))</f>
        <v xml:space="preserve"> </v>
      </c>
      <c r="B225" s="202"/>
      <c r="C225" s="202"/>
      <c r="D225" s="202"/>
      <c r="E225" s="300"/>
      <c r="F225" s="210"/>
      <c r="G225" s="203"/>
      <c r="H225" s="203"/>
      <c r="I225" s="203"/>
      <c r="J225" s="203"/>
      <c r="K225" s="205"/>
      <c r="L225" s="291"/>
      <c r="M225" s="263"/>
      <c r="N225" s="264"/>
      <c r="O225" s="265"/>
      <c r="P225" s="265"/>
      <c r="Q225" s="265"/>
      <c r="R225" s="265"/>
      <c r="S225" s="265"/>
      <c r="T225" s="265"/>
      <c r="U225" s="265"/>
    </row>
    <row r="226" spans="1:24" ht="30" customHeight="1">
      <c r="A226" s="204" t="str">
        <f>IF(ISBLANK(D226)," ",177-COUNTBLANK($D$6:D226))</f>
        <v xml:space="preserve"> </v>
      </c>
      <c r="B226" s="202"/>
      <c r="C226" s="202"/>
      <c r="D226" s="202"/>
      <c r="E226" s="300"/>
      <c r="F226" s="210"/>
      <c r="G226" s="203"/>
      <c r="H226" s="203"/>
      <c r="I226" s="203"/>
      <c r="J226" s="203"/>
      <c r="K226" s="205"/>
      <c r="L226" s="291"/>
      <c r="M226" s="263"/>
      <c r="N226" s="264"/>
      <c r="O226" s="265"/>
      <c r="P226" s="265"/>
      <c r="Q226" s="265"/>
      <c r="R226" s="265"/>
      <c r="S226" s="265"/>
      <c r="T226" s="265"/>
      <c r="U226" s="265"/>
    </row>
    <row r="227" spans="1:24" ht="30" customHeight="1">
      <c r="A227" s="204" t="str">
        <f>IF(ISBLANK(D227)," ",178-COUNTBLANK($D$6:D227))</f>
        <v xml:space="preserve"> </v>
      </c>
      <c r="B227" s="202"/>
      <c r="C227" s="202"/>
      <c r="D227" s="202"/>
      <c r="E227" s="300"/>
      <c r="F227" s="210"/>
      <c r="G227" s="203"/>
      <c r="H227" s="203"/>
      <c r="I227" s="203"/>
      <c r="J227" s="203"/>
      <c r="K227" s="205"/>
      <c r="L227" s="291"/>
      <c r="M227" s="263"/>
      <c r="N227" s="264"/>
      <c r="O227" s="265"/>
      <c r="P227" s="265"/>
      <c r="Q227" s="265"/>
      <c r="R227" s="265"/>
      <c r="S227" s="265"/>
      <c r="T227" s="265"/>
      <c r="U227" s="265"/>
    </row>
    <row r="228" spans="1:24" ht="30" customHeight="1">
      <c r="A228" s="204" t="str">
        <f>IF(ISBLANK(D228)," ",179-COUNTBLANK($D$6:D228))</f>
        <v xml:space="preserve"> </v>
      </c>
      <c r="B228" s="202"/>
      <c r="C228" s="202"/>
      <c r="D228" s="202"/>
      <c r="E228" s="300"/>
      <c r="F228" s="210"/>
      <c r="G228" s="203"/>
      <c r="H228" s="203"/>
      <c r="I228" s="203"/>
      <c r="J228" s="203"/>
      <c r="K228" s="205"/>
      <c r="L228" s="291"/>
      <c r="M228" s="263"/>
      <c r="N228" s="264"/>
      <c r="O228" s="265"/>
      <c r="P228" s="265"/>
      <c r="Q228" s="265"/>
      <c r="R228" s="265"/>
      <c r="S228" s="265"/>
      <c r="T228" s="265"/>
      <c r="U228" s="265"/>
    </row>
    <row r="229" spans="1:24" ht="30" customHeight="1">
      <c r="A229" s="204" t="str">
        <f>IF(ISBLANK(D229)," ",180-COUNTBLANK($D$6:D229))</f>
        <v xml:space="preserve"> </v>
      </c>
      <c r="B229" s="202"/>
      <c r="C229" s="202"/>
      <c r="D229" s="202"/>
      <c r="E229" s="300"/>
      <c r="F229" s="210"/>
      <c r="G229" s="203"/>
      <c r="H229" s="203"/>
      <c r="I229" s="203"/>
      <c r="J229" s="203"/>
      <c r="K229" s="205"/>
      <c r="L229" s="291"/>
      <c r="M229" s="263"/>
      <c r="N229" s="264"/>
      <c r="O229" s="265"/>
      <c r="P229" s="265"/>
      <c r="Q229" s="265"/>
      <c r="R229" s="265"/>
      <c r="S229" s="265"/>
      <c r="T229" s="265"/>
      <c r="U229" s="265"/>
    </row>
    <row r="230" spans="1:24" ht="30" customHeight="1">
      <c r="A230" s="204" t="str">
        <f>IF(ISBLANK(D230)," ",181-COUNTBLANK($D$6:D230))</f>
        <v xml:space="preserve"> </v>
      </c>
      <c r="B230" s="202"/>
      <c r="C230" s="202"/>
      <c r="D230" s="202"/>
      <c r="E230" s="300"/>
      <c r="F230" s="210"/>
      <c r="G230" s="203"/>
      <c r="H230" s="203"/>
      <c r="I230" s="203"/>
      <c r="J230" s="203"/>
      <c r="K230" s="205"/>
      <c r="L230" s="291"/>
      <c r="M230" s="263"/>
      <c r="N230" s="264"/>
      <c r="O230" s="265"/>
      <c r="P230" s="265"/>
      <c r="Q230" s="265"/>
      <c r="R230" s="265"/>
      <c r="S230" s="265"/>
      <c r="T230" s="265"/>
      <c r="U230" s="265"/>
    </row>
    <row r="231" spans="1:24" ht="30" customHeight="1">
      <c r="A231" s="204" t="str">
        <f>IF(ISBLANK(D231)," ",182-COUNTBLANK($D$6:D231))</f>
        <v xml:space="preserve"> </v>
      </c>
      <c r="B231" s="202"/>
      <c r="C231" s="202"/>
      <c r="D231" s="202"/>
      <c r="E231" s="300"/>
      <c r="F231" s="210"/>
      <c r="G231" s="203"/>
      <c r="H231" s="203"/>
      <c r="I231" s="203"/>
      <c r="J231" s="203"/>
      <c r="K231" s="205"/>
      <c r="L231" s="291"/>
      <c r="M231" s="263"/>
      <c r="N231" s="264"/>
      <c r="O231" s="265"/>
      <c r="P231" s="265"/>
      <c r="Q231" s="265"/>
      <c r="R231" s="265"/>
      <c r="S231" s="265"/>
      <c r="T231" s="265"/>
      <c r="U231" s="265"/>
    </row>
    <row r="232" spans="1:24" ht="30" customHeight="1">
      <c r="A232" s="204" t="str">
        <f>IF(ISBLANK(D232)," ",183-COUNTBLANK($D$6:D232))</f>
        <v xml:space="preserve"> </v>
      </c>
      <c r="B232" s="202"/>
      <c r="C232" s="202"/>
      <c r="D232" s="202"/>
      <c r="E232" s="300"/>
      <c r="F232" s="210"/>
      <c r="G232" s="203"/>
      <c r="H232" s="203"/>
      <c r="I232" s="203"/>
      <c r="J232" s="203"/>
      <c r="K232" s="205"/>
      <c r="L232" s="291"/>
      <c r="M232" s="263"/>
      <c r="N232" s="264"/>
      <c r="O232" s="265"/>
      <c r="P232" s="265"/>
      <c r="Q232" s="265"/>
      <c r="R232" s="265"/>
      <c r="S232" s="265"/>
      <c r="T232" s="265"/>
      <c r="U232" s="265"/>
    </row>
    <row r="233" spans="1:24" ht="30" customHeight="1">
      <c r="A233" s="204" t="str">
        <f>IF(ISBLANK(D233)," ",184-COUNTBLANK($D$6:D233))</f>
        <v xml:space="preserve"> </v>
      </c>
      <c r="B233" s="202"/>
      <c r="C233" s="202"/>
      <c r="D233" s="202"/>
      <c r="E233" s="300"/>
      <c r="F233" s="210"/>
      <c r="G233" s="203"/>
      <c r="H233" s="203"/>
      <c r="I233" s="203"/>
      <c r="J233" s="203"/>
      <c r="K233" s="205"/>
      <c r="L233" s="291"/>
      <c r="M233" s="263"/>
      <c r="N233" s="264"/>
      <c r="O233" s="265"/>
      <c r="P233" s="265"/>
      <c r="Q233" s="265"/>
      <c r="R233" s="265"/>
      <c r="S233" s="265"/>
      <c r="T233" s="265"/>
      <c r="U233" s="265"/>
    </row>
    <row r="234" spans="1:24" ht="30" customHeight="1">
      <c r="A234" s="204" t="str">
        <f>IF(ISBLANK(D234)," ",185-COUNTBLANK($D$6:D234))</f>
        <v xml:space="preserve"> </v>
      </c>
      <c r="B234" s="202"/>
      <c r="C234" s="202"/>
      <c r="D234" s="202"/>
      <c r="E234" s="300"/>
      <c r="F234" s="210"/>
      <c r="G234" s="203"/>
      <c r="H234" s="203"/>
      <c r="I234" s="203"/>
      <c r="J234" s="203"/>
      <c r="K234" s="205"/>
      <c r="L234" s="291"/>
      <c r="M234" s="263"/>
      <c r="N234" s="266"/>
      <c r="O234" s="265"/>
      <c r="P234" s="265"/>
      <c r="Q234" s="265"/>
      <c r="R234" s="265"/>
      <c r="S234" s="265"/>
      <c r="T234" s="265"/>
      <c r="U234" s="267"/>
    </row>
    <row r="235" spans="1:24" ht="30" customHeight="1">
      <c r="A235" s="204" t="str">
        <f>IF(ISBLANK(D235)," ",186-COUNTBLANK($D$6:D235))</f>
        <v xml:space="preserve"> </v>
      </c>
      <c r="B235" s="202"/>
      <c r="C235" s="202"/>
      <c r="D235" s="202"/>
      <c r="E235" s="300"/>
      <c r="F235" s="210"/>
      <c r="G235" s="203"/>
      <c r="H235" s="203"/>
      <c r="I235" s="203"/>
      <c r="J235" s="203"/>
      <c r="K235" s="205"/>
      <c r="L235" s="291"/>
      <c r="M235" s="263"/>
      <c r="N235" s="266"/>
      <c r="O235" s="265"/>
      <c r="P235" s="265"/>
      <c r="Q235" s="265"/>
      <c r="R235" s="265"/>
      <c r="S235" s="265"/>
      <c r="T235" s="265"/>
      <c r="U235" s="267"/>
    </row>
    <row r="236" spans="1:24" ht="30" customHeight="1">
      <c r="A236" s="204" t="str">
        <f>IF(ISBLANK(D236)," ",187-COUNTBLANK($D$6:D236))</f>
        <v xml:space="preserve"> </v>
      </c>
      <c r="B236" s="202"/>
      <c r="C236" s="202"/>
      <c r="D236" s="202"/>
      <c r="E236" s="300"/>
      <c r="F236" s="210"/>
      <c r="G236" s="203"/>
      <c r="H236" s="203"/>
      <c r="I236" s="203"/>
      <c r="J236" s="203"/>
      <c r="K236" s="205"/>
      <c r="L236" s="291"/>
      <c r="M236" s="263"/>
      <c r="N236" s="266"/>
      <c r="O236" s="265"/>
      <c r="P236" s="265"/>
      <c r="Q236" s="265"/>
      <c r="R236" s="265"/>
      <c r="S236" s="265"/>
      <c r="T236" s="265"/>
      <c r="U236" s="267"/>
    </row>
    <row r="237" spans="1:24" ht="30" customHeight="1">
      <c r="A237" s="204" t="str">
        <f>IF(ISBLANK(D237)," ",188-COUNTBLANK($D$6:D237))</f>
        <v xml:space="preserve"> </v>
      </c>
      <c r="B237" s="202"/>
      <c r="C237" s="202"/>
      <c r="D237" s="202"/>
      <c r="E237" s="300"/>
      <c r="F237" s="210"/>
      <c r="G237" s="203"/>
      <c r="H237" s="203"/>
      <c r="I237" s="203"/>
      <c r="J237" s="203"/>
      <c r="K237" s="205"/>
      <c r="L237" s="291"/>
      <c r="M237" s="263"/>
      <c r="N237" s="266"/>
      <c r="O237" s="265"/>
      <c r="P237" s="265"/>
      <c r="Q237" s="265"/>
      <c r="R237" s="265"/>
      <c r="S237" s="265"/>
      <c r="T237" s="265"/>
      <c r="U237" s="267"/>
    </row>
    <row r="238" spans="1:24" ht="30" customHeight="1">
      <c r="A238" s="304" t="s">
        <v>52</v>
      </c>
      <c r="B238" s="296"/>
      <c r="C238" s="305"/>
      <c r="D238" s="306"/>
      <c r="E238" s="297"/>
      <c r="F238" s="298">
        <f>SUM(F218:F237)</f>
        <v>0</v>
      </c>
      <c r="G238" s="282"/>
      <c r="H238" s="282"/>
      <c r="I238" s="282"/>
      <c r="J238" s="282"/>
      <c r="K238" s="283"/>
      <c r="L238" s="303"/>
      <c r="M238" s="263"/>
      <c r="N238" s="264"/>
      <c r="O238" s="265"/>
      <c r="P238" s="265"/>
      <c r="Q238" s="265"/>
      <c r="R238" s="265"/>
      <c r="S238" s="265"/>
      <c r="T238" s="265"/>
      <c r="U238" s="284"/>
      <c r="V238" s="265"/>
      <c r="W238" s="265"/>
      <c r="X238" s="265"/>
    </row>
    <row r="239" spans="1:24" ht="30" customHeight="1">
      <c r="A239" s="260" t="str">
        <f>IF(ISBLANK(D239)," ",190-COUNTBLANK($D$6:D239))</f>
        <v xml:space="preserve"> </v>
      </c>
      <c r="B239" s="200"/>
      <c r="C239" s="200"/>
      <c r="D239" s="200"/>
      <c r="E239" s="299"/>
      <c r="F239" s="209"/>
      <c r="G239" s="201"/>
      <c r="H239" s="201"/>
      <c r="I239" s="201"/>
      <c r="J239" s="201"/>
      <c r="K239" s="262"/>
      <c r="L239" s="291"/>
      <c r="M239" s="263"/>
      <c r="N239" s="266"/>
      <c r="O239" s="265"/>
      <c r="P239" s="265"/>
      <c r="Q239" s="265"/>
      <c r="R239" s="265"/>
      <c r="S239" s="265"/>
      <c r="T239" s="265"/>
      <c r="U239" s="284"/>
      <c r="V239" s="265"/>
      <c r="W239" s="265"/>
      <c r="X239" s="265"/>
    </row>
    <row r="240" spans="1:24" ht="30" customHeight="1">
      <c r="A240" s="204" t="str">
        <f>IF(ISBLANK(D240)," ",191-COUNTBLANK($D$6:D240))</f>
        <v xml:space="preserve"> </v>
      </c>
      <c r="B240" s="202"/>
      <c r="C240" s="202"/>
      <c r="D240" s="202"/>
      <c r="E240" s="300"/>
      <c r="F240" s="210"/>
      <c r="G240" s="203"/>
      <c r="H240" s="203"/>
      <c r="I240" s="203"/>
      <c r="J240" s="203"/>
      <c r="K240" s="205"/>
      <c r="L240" s="291"/>
      <c r="M240" s="263"/>
      <c r="N240" s="264"/>
      <c r="O240" s="265"/>
      <c r="P240" s="265"/>
      <c r="Q240" s="265"/>
      <c r="R240" s="265"/>
      <c r="S240" s="265"/>
      <c r="T240" s="265"/>
      <c r="U240" s="265"/>
    </row>
    <row r="241" spans="1:21" ht="30" customHeight="1">
      <c r="A241" s="204" t="str">
        <f>IF(ISBLANK(D241)," ",192-COUNTBLANK($D$6:D241))</f>
        <v xml:space="preserve"> </v>
      </c>
      <c r="B241" s="202"/>
      <c r="C241" s="202"/>
      <c r="D241" s="202"/>
      <c r="E241" s="300"/>
      <c r="F241" s="210"/>
      <c r="G241" s="203"/>
      <c r="H241" s="203"/>
      <c r="I241" s="203"/>
      <c r="J241" s="203"/>
      <c r="K241" s="205"/>
      <c r="L241" s="291"/>
      <c r="M241" s="263"/>
      <c r="N241" s="264"/>
      <c r="O241" s="265"/>
      <c r="P241" s="265"/>
      <c r="Q241" s="265"/>
      <c r="R241" s="265"/>
      <c r="S241" s="265"/>
      <c r="T241" s="265"/>
      <c r="U241" s="265"/>
    </row>
    <row r="242" spans="1:21" ht="30" customHeight="1">
      <c r="A242" s="204" t="str">
        <f>IF(ISBLANK(D242)," ",193-COUNTBLANK($D$6:D242))</f>
        <v xml:space="preserve"> </v>
      </c>
      <c r="B242" s="202"/>
      <c r="C242" s="202"/>
      <c r="D242" s="202"/>
      <c r="E242" s="300"/>
      <c r="F242" s="210"/>
      <c r="G242" s="203"/>
      <c r="H242" s="203"/>
      <c r="I242" s="203"/>
      <c r="J242" s="203"/>
      <c r="K242" s="205"/>
      <c r="L242" s="291"/>
      <c r="M242" s="263"/>
      <c r="N242" s="264"/>
      <c r="O242" s="265"/>
      <c r="P242" s="265"/>
      <c r="Q242" s="265"/>
      <c r="R242" s="265"/>
      <c r="S242" s="265"/>
      <c r="T242" s="265"/>
      <c r="U242" s="265"/>
    </row>
    <row r="243" spans="1:21" ht="30" customHeight="1">
      <c r="A243" s="204" t="str">
        <f>IF(ISBLANK(D243)," ",194-COUNTBLANK($D$6:D243))</f>
        <v xml:space="preserve"> </v>
      </c>
      <c r="B243" s="202"/>
      <c r="C243" s="202"/>
      <c r="D243" s="202"/>
      <c r="E243" s="300"/>
      <c r="F243" s="210"/>
      <c r="G243" s="203"/>
      <c r="H243" s="203"/>
      <c r="I243" s="203"/>
      <c r="J243" s="203"/>
      <c r="K243" s="205"/>
      <c r="L243" s="291"/>
      <c r="M243" s="263"/>
      <c r="N243" s="264"/>
      <c r="O243" s="265"/>
      <c r="P243" s="265"/>
      <c r="Q243" s="265"/>
      <c r="R243" s="265"/>
      <c r="S243" s="265"/>
      <c r="T243" s="265"/>
      <c r="U243" s="265"/>
    </row>
    <row r="244" spans="1:21" ht="30" customHeight="1">
      <c r="A244" s="204" t="str">
        <f>IF(ISBLANK(D244)," ",195-COUNTBLANK($D$6:D244))</f>
        <v xml:space="preserve"> </v>
      </c>
      <c r="B244" s="202"/>
      <c r="C244" s="202"/>
      <c r="D244" s="202"/>
      <c r="E244" s="300"/>
      <c r="F244" s="210"/>
      <c r="G244" s="203"/>
      <c r="H244" s="203"/>
      <c r="I244" s="203"/>
      <c r="J244" s="203"/>
      <c r="K244" s="205"/>
      <c r="L244" s="291"/>
      <c r="M244" s="263"/>
      <c r="N244" s="264"/>
      <c r="O244" s="265"/>
      <c r="P244" s="265"/>
      <c r="Q244" s="265"/>
      <c r="R244" s="265"/>
      <c r="S244" s="265"/>
      <c r="T244" s="265"/>
      <c r="U244" s="265"/>
    </row>
    <row r="245" spans="1:21" ht="30" customHeight="1">
      <c r="A245" s="204" t="str">
        <f>IF(ISBLANK(D245)," ",196-COUNTBLANK($D$6:D245))</f>
        <v xml:space="preserve"> </v>
      </c>
      <c r="B245" s="202"/>
      <c r="C245" s="202"/>
      <c r="D245" s="202"/>
      <c r="E245" s="300"/>
      <c r="F245" s="210"/>
      <c r="G245" s="203"/>
      <c r="H245" s="203"/>
      <c r="I245" s="203"/>
      <c r="J245" s="203"/>
      <c r="K245" s="205"/>
      <c r="L245" s="291"/>
      <c r="M245" s="263"/>
      <c r="N245" s="264"/>
      <c r="O245" s="265"/>
      <c r="P245" s="265"/>
      <c r="Q245" s="265"/>
      <c r="R245" s="265"/>
      <c r="S245" s="265"/>
      <c r="T245" s="265"/>
      <c r="U245" s="265"/>
    </row>
    <row r="246" spans="1:21" ht="30" customHeight="1">
      <c r="A246" s="204" t="str">
        <f>IF(ISBLANK(D246)," ",197-COUNTBLANK($D$6:D246))</f>
        <v xml:space="preserve"> </v>
      </c>
      <c r="B246" s="202"/>
      <c r="C246" s="202"/>
      <c r="D246" s="202"/>
      <c r="E246" s="300"/>
      <c r="F246" s="210"/>
      <c r="G246" s="203"/>
      <c r="H246" s="203"/>
      <c r="I246" s="203"/>
      <c r="J246" s="203"/>
      <c r="K246" s="205"/>
      <c r="L246" s="291"/>
      <c r="M246" s="263"/>
      <c r="N246" s="264"/>
      <c r="O246" s="265"/>
      <c r="P246" s="265"/>
      <c r="Q246" s="265"/>
      <c r="R246" s="265"/>
      <c r="S246" s="265"/>
      <c r="T246" s="265"/>
      <c r="U246" s="265"/>
    </row>
    <row r="247" spans="1:21" ht="30" customHeight="1">
      <c r="A247" s="204" t="str">
        <f>IF(ISBLANK(D247)," ",198-COUNTBLANK($D$6:D247))</f>
        <v xml:space="preserve"> </v>
      </c>
      <c r="B247" s="202"/>
      <c r="C247" s="202"/>
      <c r="D247" s="202"/>
      <c r="E247" s="300"/>
      <c r="F247" s="210"/>
      <c r="G247" s="203"/>
      <c r="H247" s="203"/>
      <c r="I247" s="203"/>
      <c r="J247" s="203"/>
      <c r="K247" s="205"/>
      <c r="L247" s="291"/>
      <c r="M247" s="263"/>
      <c r="N247" s="264"/>
      <c r="O247" s="265"/>
      <c r="P247" s="265"/>
      <c r="Q247" s="265"/>
      <c r="R247" s="265"/>
      <c r="S247" s="265"/>
      <c r="T247" s="265"/>
      <c r="U247" s="265"/>
    </row>
    <row r="248" spans="1:21" ht="30" customHeight="1">
      <c r="A248" s="204" t="str">
        <f>IF(ISBLANK(D248)," ",199-COUNTBLANK($D$6:D248))</f>
        <v xml:space="preserve"> </v>
      </c>
      <c r="B248" s="202"/>
      <c r="C248" s="202"/>
      <c r="D248" s="202"/>
      <c r="E248" s="300"/>
      <c r="F248" s="210"/>
      <c r="G248" s="203"/>
      <c r="H248" s="203"/>
      <c r="I248" s="203"/>
      <c r="J248" s="203"/>
      <c r="K248" s="205"/>
      <c r="L248" s="291"/>
      <c r="M248" s="263"/>
      <c r="N248" s="264"/>
      <c r="O248" s="265"/>
      <c r="P248" s="265"/>
      <c r="Q248" s="265"/>
      <c r="R248" s="265"/>
      <c r="S248" s="265"/>
      <c r="T248" s="265"/>
      <c r="U248" s="265"/>
    </row>
    <row r="249" spans="1:21" ht="30" customHeight="1">
      <c r="A249" s="204" t="str">
        <f>IF(ISBLANK(D249)," ",200-COUNTBLANK($D$6:D249))</f>
        <v xml:space="preserve"> </v>
      </c>
      <c r="B249" s="202"/>
      <c r="C249" s="202"/>
      <c r="D249" s="202"/>
      <c r="E249" s="300"/>
      <c r="F249" s="210"/>
      <c r="G249" s="203"/>
      <c r="H249" s="203"/>
      <c r="I249" s="203"/>
      <c r="J249" s="203"/>
      <c r="K249" s="205"/>
      <c r="L249" s="291"/>
      <c r="M249" s="263"/>
      <c r="N249" s="264"/>
      <c r="O249" s="265"/>
      <c r="P249" s="265"/>
      <c r="Q249" s="265"/>
      <c r="R249" s="265"/>
      <c r="S249" s="265"/>
      <c r="T249" s="265"/>
      <c r="U249" s="265"/>
    </row>
    <row r="250" spans="1:21" ht="30" customHeight="1">
      <c r="A250" s="204" t="str">
        <f>IF(ISBLANK(D250)," ",201-COUNTBLANK($D$6:D250))</f>
        <v xml:space="preserve"> </v>
      </c>
      <c r="B250" s="202"/>
      <c r="C250" s="202"/>
      <c r="D250" s="202"/>
      <c r="E250" s="300"/>
      <c r="F250" s="210"/>
      <c r="G250" s="203"/>
      <c r="H250" s="203"/>
      <c r="I250" s="203"/>
      <c r="J250" s="203"/>
      <c r="K250" s="205"/>
      <c r="L250" s="291"/>
      <c r="M250" s="263"/>
      <c r="N250" s="264"/>
      <c r="O250" s="265"/>
      <c r="P250" s="265"/>
      <c r="Q250" s="265"/>
      <c r="R250" s="265"/>
      <c r="S250" s="265"/>
      <c r="T250" s="265"/>
      <c r="U250" s="265"/>
    </row>
    <row r="251" spans="1:21" ht="30" customHeight="1">
      <c r="A251" s="204" t="str">
        <f>IF(ISBLANK(D251)," ",202-COUNTBLANK($D$6:D251))</f>
        <v xml:space="preserve"> </v>
      </c>
      <c r="B251" s="202"/>
      <c r="C251" s="202"/>
      <c r="D251" s="202"/>
      <c r="E251" s="300"/>
      <c r="F251" s="210"/>
      <c r="G251" s="203"/>
      <c r="H251" s="203"/>
      <c r="I251" s="203"/>
      <c r="J251" s="203"/>
      <c r="K251" s="205"/>
      <c r="L251" s="291"/>
      <c r="M251" s="263"/>
      <c r="N251" s="264"/>
      <c r="O251" s="265"/>
      <c r="P251" s="265"/>
      <c r="Q251" s="265"/>
      <c r="R251" s="265"/>
      <c r="S251" s="265"/>
      <c r="T251" s="265"/>
      <c r="U251" s="265"/>
    </row>
    <row r="252" spans="1:21" ht="30" customHeight="1">
      <c r="A252" s="204" t="str">
        <f>IF(ISBLANK(D252)," ",203-COUNTBLANK($D$6:D252))</f>
        <v xml:space="preserve"> </v>
      </c>
      <c r="B252" s="202"/>
      <c r="C252" s="202"/>
      <c r="D252" s="202"/>
      <c r="E252" s="300"/>
      <c r="F252" s="210"/>
      <c r="G252" s="203"/>
      <c r="H252" s="203"/>
      <c r="I252" s="203"/>
      <c r="J252" s="203"/>
      <c r="K252" s="205"/>
      <c r="L252" s="291"/>
      <c r="M252" s="263"/>
      <c r="N252" s="264"/>
      <c r="O252" s="265"/>
      <c r="P252" s="265"/>
      <c r="Q252" s="265"/>
      <c r="R252" s="265"/>
      <c r="S252" s="265"/>
      <c r="T252" s="265"/>
      <c r="U252" s="265"/>
    </row>
    <row r="253" spans="1:21" ht="30" customHeight="1">
      <c r="A253" s="204" t="str">
        <f>IF(ISBLANK(D253)," ",204-COUNTBLANK($D$6:D253))</f>
        <v xml:space="preserve"> </v>
      </c>
      <c r="B253" s="202"/>
      <c r="C253" s="202"/>
      <c r="D253" s="202"/>
      <c r="E253" s="300"/>
      <c r="F253" s="210"/>
      <c r="G253" s="203"/>
      <c r="H253" s="203"/>
      <c r="I253" s="203"/>
      <c r="J253" s="203"/>
      <c r="K253" s="205"/>
      <c r="L253" s="291"/>
      <c r="M253" s="263"/>
      <c r="N253" s="264"/>
      <c r="O253" s="265"/>
      <c r="P253" s="265"/>
      <c r="Q253" s="265"/>
      <c r="R253" s="265"/>
      <c r="S253" s="265"/>
      <c r="T253" s="265"/>
      <c r="U253" s="265"/>
    </row>
    <row r="254" spans="1:21" ht="30" customHeight="1">
      <c r="A254" s="204" t="str">
        <f>IF(ISBLANK(D254)," ",205-COUNTBLANK($D$6:D254))</f>
        <v xml:space="preserve"> </v>
      </c>
      <c r="B254" s="202"/>
      <c r="C254" s="202"/>
      <c r="D254" s="202"/>
      <c r="E254" s="300"/>
      <c r="F254" s="210"/>
      <c r="G254" s="203"/>
      <c r="H254" s="203"/>
      <c r="I254" s="203"/>
      <c r="J254" s="203"/>
      <c r="K254" s="205"/>
      <c r="L254" s="291"/>
      <c r="M254" s="263"/>
      <c r="N254" s="264"/>
      <c r="O254" s="265"/>
      <c r="P254" s="265"/>
      <c r="Q254" s="265"/>
      <c r="R254" s="265"/>
      <c r="S254" s="265"/>
      <c r="T254" s="265"/>
      <c r="U254" s="265"/>
    </row>
    <row r="255" spans="1:21" ht="30" customHeight="1">
      <c r="A255" s="204" t="str">
        <f>IF(ISBLANK(D255)," ",206-COUNTBLANK($D$6:D255))</f>
        <v xml:space="preserve"> </v>
      </c>
      <c r="B255" s="202"/>
      <c r="C255" s="202"/>
      <c r="D255" s="202"/>
      <c r="E255" s="300"/>
      <c r="F255" s="210"/>
      <c r="G255" s="203"/>
      <c r="H255" s="203"/>
      <c r="I255" s="203"/>
      <c r="J255" s="203"/>
      <c r="K255" s="205"/>
      <c r="L255" s="291"/>
      <c r="M255" s="263"/>
      <c r="N255" s="266"/>
      <c r="O255" s="265"/>
      <c r="P255" s="265"/>
      <c r="Q255" s="265"/>
      <c r="R255" s="265"/>
      <c r="S255" s="265"/>
      <c r="T255" s="265"/>
      <c r="U255" s="267"/>
    </row>
    <row r="256" spans="1:21" ht="30" customHeight="1">
      <c r="A256" s="204" t="str">
        <f>IF(ISBLANK(D256)," ",207-COUNTBLANK($D$6:D256))</f>
        <v xml:space="preserve"> </v>
      </c>
      <c r="B256" s="202"/>
      <c r="C256" s="202"/>
      <c r="D256" s="202"/>
      <c r="E256" s="300"/>
      <c r="F256" s="210"/>
      <c r="G256" s="203"/>
      <c r="H256" s="203"/>
      <c r="I256" s="203"/>
      <c r="J256" s="203"/>
      <c r="K256" s="205"/>
      <c r="L256" s="291"/>
      <c r="M256" s="263"/>
      <c r="N256" s="266"/>
      <c r="O256" s="265"/>
      <c r="P256" s="265"/>
      <c r="Q256" s="265"/>
      <c r="R256" s="265"/>
      <c r="S256" s="265"/>
      <c r="T256" s="265"/>
      <c r="U256" s="267"/>
    </row>
    <row r="257" spans="1:24" ht="30" customHeight="1">
      <c r="A257" s="204" t="str">
        <f>IF(ISBLANK(D257)," ",208-COUNTBLANK($D$6:D257))</f>
        <v xml:space="preserve"> </v>
      </c>
      <c r="B257" s="202"/>
      <c r="C257" s="202"/>
      <c r="D257" s="202"/>
      <c r="E257" s="300"/>
      <c r="F257" s="210"/>
      <c r="G257" s="203"/>
      <c r="H257" s="203"/>
      <c r="I257" s="203"/>
      <c r="J257" s="203"/>
      <c r="K257" s="205"/>
      <c r="L257" s="291"/>
      <c r="M257" s="263"/>
      <c r="N257" s="266"/>
      <c r="O257" s="265"/>
      <c r="P257" s="265"/>
      <c r="Q257" s="265"/>
      <c r="R257" s="265"/>
      <c r="S257" s="265"/>
      <c r="T257" s="265"/>
      <c r="U257" s="267"/>
    </row>
    <row r="258" spans="1:24" ht="30" customHeight="1">
      <c r="A258" s="204" t="str">
        <f>IF(ISBLANK(D258)," ",209-COUNTBLANK($D$6:D258))</f>
        <v xml:space="preserve"> </v>
      </c>
      <c r="B258" s="202"/>
      <c r="C258" s="202"/>
      <c r="D258" s="202"/>
      <c r="E258" s="300"/>
      <c r="F258" s="210"/>
      <c r="G258" s="203"/>
      <c r="H258" s="203"/>
      <c r="I258" s="203"/>
      <c r="J258" s="203"/>
      <c r="K258" s="205"/>
      <c r="L258" s="291"/>
      <c r="M258" s="263"/>
      <c r="N258" s="266"/>
      <c r="O258" s="265"/>
      <c r="P258" s="265"/>
      <c r="Q258" s="265"/>
      <c r="R258" s="265"/>
      <c r="S258" s="265"/>
      <c r="T258" s="265"/>
      <c r="U258" s="267"/>
    </row>
    <row r="259" spans="1:24" ht="30" customHeight="1">
      <c r="A259" s="304" t="s">
        <v>52</v>
      </c>
      <c r="B259" s="296"/>
      <c r="C259" s="305"/>
      <c r="D259" s="306"/>
      <c r="E259" s="297"/>
      <c r="F259" s="298">
        <f>SUM(F239:F258)</f>
        <v>0</v>
      </c>
      <c r="G259" s="282"/>
      <c r="H259" s="282"/>
      <c r="I259" s="282"/>
      <c r="J259" s="282"/>
      <c r="K259" s="283"/>
      <c r="L259" s="303"/>
      <c r="M259" s="263"/>
      <c r="N259" s="264"/>
      <c r="O259" s="265"/>
      <c r="P259" s="265"/>
      <c r="Q259" s="265"/>
      <c r="R259" s="265"/>
      <c r="S259" s="265"/>
      <c r="T259" s="265"/>
      <c r="U259" s="284"/>
      <c r="V259" s="265"/>
      <c r="W259" s="265"/>
      <c r="X259" s="265"/>
    </row>
    <row r="260" spans="1:24" ht="30" customHeight="1">
      <c r="A260" s="260" t="str">
        <f>IF(ISBLANK(D260)," ",211-COUNTBLANK($D$6:D260))</f>
        <v xml:space="preserve"> </v>
      </c>
      <c r="B260" s="200"/>
      <c r="C260" s="200"/>
      <c r="D260" s="200"/>
      <c r="E260" s="299"/>
      <c r="F260" s="209"/>
      <c r="G260" s="201"/>
      <c r="H260" s="201"/>
      <c r="I260" s="201"/>
      <c r="J260" s="201"/>
      <c r="K260" s="262"/>
      <c r="L260" s="291"/>
      <c r="M260" s="263"/>
      <c r="N260" s="266"/>
      <c r="O260" s="265"/>
      <c r="P260" s="265"/>
      <c r="Q260" s="265"/>
      <c r="R260" s="265"/>
      <c r="S260" s="265"/>
      <c r="T260" s="265"/>
      <c r="U260" s="284"/>
      <c r="V260" s="265"/>
      <c r="W260" s="265"/>
      <c r="X260" s="265"/>
    </row>
    <row r="261" spans="1:24" ht="30" customHeight="1">
      <c r="A261" s="204" t="str">
        <f>IF(ISBLANK(D261)," ",212-COUNTBLANK($D$6:D261))</f>
        <v xml:space="preserve"> </v>
      </c>
      <c r="B261" s="202"/>
      <c r="C261" s="202"/>
      <c r="D261" s="202"/>
      <c r="E261" s="300"/>
      <c r="F261" s="210"/>
      <c r="G261" s="203"/>
      <c r="H261" s="203"/>
      <c r="I261" s="203"/>
      <c r="J261" s="203"/>
      <c r="K261" s="205"/>
      <c r="L261" s="291"/>
      <c r="M261" s="263"/>
      <c r="N261" s="264"/>
      <c r="O261" s="265"/>
      <c r="P261" s="265"/>
      <c r="Q261" s="265"/>
      <c r="R261" s="265"/>
      <c r="S261" s="265"/>
      <c r="T261" s="265"/>
      <c r="U261" s="265"/>
    </row>
    <row r="262" spans="1:24" ht="30" customHeight="1">
      <c r="A262" s="204" t="str">
        <f>IF(ISBLANK(D262)," ",213-COUNTBLANK($D$6:D262))</f>
        <v xml:space="preserve"> </v>
      </c>
      <c r="B262" s="202"/>
      <c r="C262" s="202"/>
      <c r="D262" s="202"/>
      <c r="E262" s="300"/>
      <c r="F262" s="210"/>
      <c r="G262" s="203"/>
      <c r="H262" s="203"/>
      <c r="I262" s="203"/>
      <c r="J262" s="203"/>
      <c r="K262" s="205"/>
      <c r="L262" s="291"/>
      <c r="M262" s="263"/>
      <c r="N262" s="264"/>
      <c r="O262" s="265"/>
      <c r="P262" s="265"/>
      <c r="Q262" s="265"/>
      <c r="R262" s="265"/>
      <c r="S262" s="265"/>
      <c r="T262" s="265"/>
      <c r="U262" s="265"/>
    </row>
    <row r="263" spans="1:24" ht="30" customHeight="1">
      <c r="A263" s="204" t="str">
        <f>IF(ISBLANK(D263)," ",214-COUNTBLANK($D$6:D263))</f>
        <v xml:space="preserve"> </v>
      </c>
      <c r="B263" s="202"/>
      <c r="C263" s="202"/>
      <c r="D263" s="202"/>
      <c r="E263" s="300"/>
      <c r="F263" s="210"/>
      <c r="G263" s="203"/>
      <c r="H263" s="203"/>
      <c r="I263" s="203"/>
      <c r="J263" s="203"/>
      <c r="K263" s="205"/>
      <c r="L263" s="291"/>
      <c r="M263" s="263"/>
      <c r="N263" s="264"/>
      <c r="O263" s="265"/>
      <c r="P263" s="265"/>
      <c r="Q263" s="265"/>
      <c r="R263" s="265"/>
      <c r="S263" s="265"/>
      <c r="T263" s="265"/>
      <c r="U263" s="265"/>
    </row>
    <row r="264" spans="1:24" ht="30" customHeight="1">
      <c r="A264" s="204" t="str">
        <f>IF(ISBLANK(D264)," ",215-COUNTBLANK($D$6:D264))</f>
        <v xml:space="preserve"> </v>
      </c>
      <c r="B264" s="202"/>
      <c r="C264" s="202"/>
      <c r="D264" s="202"/>
      <c r="E264" s="300"/>
      <c r="F264" s="210"/>
      <c r="G264" s="203"/>
      <c r="H264" s="203"/>
      <c r="I264" s="203"/>
      <c r="J264" s="203"/>
      <c r="K264" s="205"/>
      <c r="L264" s="291"/>
      <c r="M264" s="263"/>
      <c r="N264" s="264"/>
      <c r="O264" s="265"/>
      <c r="P264" s="265"/>
      <c r="Q264" s="265"/>
      <c r="R264" s="265"/>
      <c r="S264" s="265"/>
      <c r="T264" s="265"/>
      <c r="U264" s="265"/>
    </row>
    <row r="265" spans="1:24" ht="30" customHeight="1">
      <c r="A265" s="204" t="str">
        <f>IF(ISBLANK(D265)," ",216-COUNTBLANK($D$6:D265))</f>
        <v xml:space="preserve"> </v>
      </c>
      <c r="B265" s="202"/>
      <c r="C265" s="202"/>
      <c r="D265" s="202"/>
      <c r="E265" s="300"/>
      <c r="F265" s="210"/>
      <c r="G265" s="203"/>
      <c r="H265" s="203"/>
      <c r="I265" s="203"/>
      <c r="J265" s="203"/>
      <c r="K265" s="205"/>
      <c r="L265" s="291"/>
      <c r="M265" s="263"/>
      <c r="N265" s="264"/>
      <c r="O265" s="265"/>
      <c r="P265" s="265"/>
      <c r="Q265" s="265"/>
      <c r="R265" s="265"/>
      <c r="S265" s="265"/>
      <c r="T265" s="265"/>
      <c r="U265" s="265"/>
    </row>
    <row r="266" spans="1:24" ht="30" customHeight="1">
      <c r="A266" s="204" t="str">
        <f>IF(ISBLANK(D266)," ",217-COUNTBLANK($D$6:D266))</f>
        <v xml:space="preserve"> </v>
      </c>
      <c r="B266" s="202"/>
      <c r="C266" s="202"/>
      <c r="D266" s="202"/>
      <c r="E266" s="300"/>
      <c r="F266" s="210"/>
      <c r="G266" s="203"/>
      <c r="H266" s="203"/>
      <c r="I266" s="203"/>
      <c r="J266" s="203"/>
      <c r="K266" s="205"/>
      <c r="L266" s="291"/>
      <c r="M266" s="263"/>
      <c r="N266" s="264"/>
      <c r="O266" s="265"/>
      <c r="P266" s="265"/>
      <c r="Q266" s="265"/>
      <c r="R266" s="265"/>
      <c r="S266" s="265"/>
      <c r="T266" s="265"/>
      <c r="U266" s="265"/>
    </row>
    <row r="267" spans="1:24" ht="30" customHeight="1">
      <c r="A267" s="204" t="str">
        <f>IF(ISBLANK(D267)," ",218-COUNTBLANK($D$6:D267))</f>
        <v xml:space="preserve"> </v>
      </c>
      <c r="B267" s="202"/>
      <c r="C267" s="202"/>
      <c r="D267" s="202"/>
      <c r="E267" s="300"/>
      <c r="F267" s="210"/>
      <c r="G267" s="203"/>
      <c r="H267" s="203"/>
      <c r="I267" s="203"/>
      <c r="J267" s="203"/>
      <c r="K267" s="205"/>
      <c r="L267" s="291"/>
      <c r="M267" s="263"/>
      <c r="N267" s="264"/>
      <c r="O267" s="265"/>
      <c r="P267" s="265"/>
      <c r="Q267" s="265"/>
      <c r="R267" s="265"/>
      <c r="S267" s="265"/>
      <c r="T267" s="265"/>
      <c r="U267" s="265"/>
    </row>
    <row r="268" spans="1:24" ht="30" customHeight="1">
      <c r="A268" s="204" t="str">
        <f>IF(ISBLANK(D268)," ",219-COUNTBLANK($D$6:D268))</f>
        <v xml:space="preserve"> </v>
      </c>
      <c r="B268" s="202"/>
      <c r="C268" s="202"/>
      <c r="D268" s="202"/>
      <c r="E268" s="300"/>
      <c r="F268" s="210"/>
      <c r="G268" s="203"/>
      <c r="H268" s="203"/>
      <c r="I268" s="203"/>
      <c r="J268" s="203"/>
      <c r="K268" s="205"/>
      <c r="L268" s="291"/>
      <c r="M268" s="263"/>
      <c r="N268" s="264"/>
      <c r="O268" s="265"/>
      <c r="P268" s="265"/>
      <c r="Q268" s="265"/>
      <c r="R268" s="265"/>
      <c r="S268" s="265"/>
      <c r="T268" s="265"/>
      <c r="U268" s="265"/>
    </row>
    <row r="269" spans="1:24" ht="30" customHeight="1">
      <c r="A269" s="204" t="str">
        <f>IF(ISBLANK(D269)," ",220-COUNTBLANK($D$6:D269))</f>
        <v xml:space="preserve"> </v>
      </c>
      <c r="B269" s="202"/>
      <c r="C269" s="202"/>
      <c r="D269" s="202"/>
      <c r="E269" s="300"/>
      <c r="F269" s="210"/>
      <c r="G269" s="203"/>
      <c r="H269" s="203"/>
      <c r="I269" s="203"/>
      <c r="J269" s="203"/>
      <c r="K269" s="205"/>
      <c r="L269" s="291"/>
      <c r="M269" s="263"/>
      <c r="N269" s="264"/>
      <c r="O269" s="265"/>
      <c r="P269" s="265"/>
      <c r="Q269" s="265"/>
      <c r="R269" s="265"/>
      <c r="S269" s="265"/>
      <c r="T269" s="265"/>
      <c r="U269" s="265"/>
    </row>
    <row r="270" spans="1:24" ht="30" customHeight="1">
      <c r="A270" s="204" t="str">
        <f>IF(ISBLANK(D270)," ",221-COUNTBLANK($D$6:D270))</f>
        <v xml:space="preserve"> </v>
      </c>
      <c r="B270" s="202"/>
      <c r="C270" s="202"/>
      <c r="D270" s="202"/>
      <c r="E270" s="300"/>
      <c r="F270" s="210"/>
      <c r="G270" s="203"/>
      <c r="H270" s="203"/>
      <c r="I270" s="203"/>
      <c r="J270" s="203"/>
      <c r="K270" s="205"/>
      <c r="L270" s="291"/>
      <c r="M270" s="263"/>
      <c r="N270" s="264"/>
      <c r="O270" s="265"/>
      <c r="P270" s="265"/>
      <c r="Q270" s="265"/>
      <c r="R270" s="265"/>
      <c r="S270" s="265"/>
      <c r="T270" s="265"/>
      <c r="U270" s="265"/>
    </row>
    <row r="271" spans="1:24" ht="30" customHeight="1">
      <c r="A271" s="204" t="str">
        <f>IF(ISBLANK(D271)," ",222-COUNTBLANK($D$6:D271))</f>
        <v xml:space="preserve"> </v>
      </c>
      <c r="B271" s="202"/>
      <c r="C271" s="202"/>
      <c r="D271" s="202"/>
      <c r="E271" s="300"/>
      <c r="F271" s="210"/>
      <c r="G271" s="203"/>
      <c r="H271" s="203"/>
      <c r="I271" s="203"/>
      <c r="J271" s="203"/>
      <c r="K271" s="205"/>
      <c r="L271" s="291"/>
      <c r="M271" s="263"/>
      <c r="N271" s="264"/>
      <c r="O271" s="265"/>
      <c r="P271" s="265"/>
      <c r="Q271" s="265"/>
      <c r="R271" s="265"/>
      <c r="S271" s="265"/>
      <c r="T271" s="265"/>
      <c r="U271" s="265"/>
    </row>
    <row r="272" spans="1:24" ht="30" customHeight="1">
      <c r="A272" s="204" t="str">
        <f>IF(ISBLANK(D272)," ",223-COUNTBLANK($D$6:D272))</f>
        <v xml:space="preserve"> </v>
      </c>
      <c r="B272" s="202"/>
      <c r="C272" s="202"/>
      <c r="D272" s="202"/>
      <c r="E272" s="300"/>
      <c r="F272" s="210"/>
      <c r="G272" s="203"/>
      <c r="H272" s="203"/>
      <c r="I272" s="203"/>
      <c r="J272" s="203"/>
      <c r="K272" s="205"/>
      <c r="L272" s="291"/>
      <c r="M272" s="263"/>
      <c r="N272" s="264"/>
      <c r="O272" s="265"/>
      <c r="P272" s="265"/>
      <c r="Q272" s="265"/>
      <c r="R272" s="265"/>
      <c r="S272" s="265"/>
      <c r="T272" s="265"/>
      <c r="U272" s="265"/>
    </row>
    <row r="273" spans="1:24" ht="30" customHeight="1">
      <c r="A273" s="204" t="str">
        <f>IF(ISBLANK(D273)," ",224-COUNTBLANK($D$6:D273))</f>
        <v xml:space="preserve"> </v>
      </c>
      <c r="B273" s="202"/>
      <c r="C273" s="202"/>
      <c r="D273" s="202"/>
      <c r="E273" s="300"/>
      <c r="F273" s="210"/>
      <c r="G273" s="203"/>
      <c r="H273" s="203"/>
      <c r="I273" s="203"/>
      <c r="J273" s="203"/>
      <c r="K273" s="205"/>
      <c r="L273" s="291"/>
      <c r="M273" s="263"/>
      <c r="N273" s="264"/>
      <c r="O273" s="265"/>
      <c r="P273" s="265"/>
      <c r="Q273" s="265"/>
      <c r="R273" s="265"/>
      <c r="S273" s="265"/>
      <c r="T273" s="265"/>
      <c r="U273" s="265"/>
    </row>
    <row r="274" spans="1:24" ht="30" customHeight="1">
      <c r="A274" s="204" t="str">
        <f>IF(ISBLANK(D274)," ",225-COUNTBLANK($D$6:D274))</f>
        <v xml:space="preserve"> </v>
      </c>
      <c r="B274" s="202"/>
      <c r="C274" s="202"/>
      <c r="D274" s="202"/>
      <c r="E274" s="300"/>
      <c r="F274" s="210"/>
      <c r="G274" s="203"/>
      <c r="H274" s="203"/>
      <c r="I274" s="203"/>
      <c r="J274" s="203"/>
      <c r="K274" s="205"/>
      <c r="L274" s="291"/>
      <c r="M274" s="263"/>
      <c r="N274" s="264"/>
      <c r="O274" s="265"/>
      <c r="P274" s="265"/>
      <c r="Q274" s="265"/>
      <c r="R274" s="265"/>
      <c r="S274" s="265"/>
      <c r="T274" s="265"/>
      <c r="U274" s="265"/>
    </row>
    <row r="275" spans="1:24" ht="30" customHeight="1">
      <c r="A275" s="204" t="str">
        <f>IF(ISBLANK(D275)," ",226-COUNTBLANK($D$6:D275))</f>
        <v xml:space="preserve"> </v>
      </c>
      <c r="B275" s="202"/>
      <c r="C275" s="202"/>
      <c r="D275" s="202"/>
      <c r="E275" s="300"/>
      <c r="F275" s="210"/>
      <c r="G275" s="203"/>
      <c r="H275" s="203"/>
      <c r="I275" s="203"/>
      <c r="J275" s="203"/>
      <c r="K275" s="205"/>
      <c r="L275" s="291"/>
      <c r="M275" s="263"/>
      <c r="N275" s="264"/>
      <c r="O275" s="265"/>
      <c r="P275" s="265"/>
      <c r="Q275" s="265"/>
      <c r="R275" s="265"/>
      <c r="S275" s="265"/>
      <c r="T275" s="265"/>
      <c r="U275" s="265"/>
    </row>
    <row r="276" spans="1:24" ht="30" customHeight="1">
      <c r="A276" s="204" t="str">
        <f>IF(ISBLANK(D276)," ",227-COUNTBLANK($D$6:D276))</f>
        <v xml:space="preserve"> </v>
      </c>
      <c r="B276" s="202"/>
      <c r="C276" s="202"/>
      <c r="D276" s="202"/>
      <c r="E276" s="300"/>
      <c r="F276" s="210"/>
      <c r="G276" s="203"/>
      <c r="H276" s="203"/>
      <c r="I276" s="203"/>
      <c r="J276" s="203"/>
      <c r="K276" s="205"/>
      <c r="L276" s="291"/>
      <c r="M276" s="263"/>
      <c r="N276" s="266"/>
      <c r="O276" s="265"/>
      <c r="P276" s="265"/>
      <c r="Q276" s="265"/>
      <c r="R276" s="265"/>
      <c r="S276" s="265"/>
      <c r="T276" s="265"/>
      <c r="U276" s="267"/>
    </row>
    <row r="277" spans="1:24" ht="30" customHeight="1">
      <c r="A277" s="204" t="str">
        <f>IF(ISBLANK(D277)," ",228-COUNTBLANK($D$6:D277))</f>
        <v xml:space="preserve"> </v>
      </c>
      <c r="B277" s="202"/>
      <c r="C277" s="202"/>
      <c r="D277" s="202"/>
      <c r="E277" s="300"/>
      <c r="F277" s="210"/>
      <c r="G277" s="203"/>
      <c r="H277" s="203"/>
      <c r="I277" s="203"/>
      <c r="J277" s="203"/>
      <c r="K277" s="205"/>
      <c r="L277" s="291"/>
      <c r="M277" s="263"/>
      <c r="N277" s="266"/>
      <c r="O277" s="265"/>
      <c r="P277" s="265"/>
      <c r="Q277" s="265"/>
      <c r="R277" s="265"/>
      <c r="S277" s="265"/>
      <c r="T277" s="265"/>
      <c r="U277" s="267"/>
    </row>
    <row r="278" spans="1:24" ht="30" customHeight="1">
      <c r="A278" s="204" t="str">
        <f>IF(ISBLANK(D278)," ",229-COUNTBLANK($D$6:D278))</f>
        <v xml:space="preserve"> </v>
      </c>
      <c r="B278" s="202"/>
      <c r="C278" s="202"/>
      <c r="D278" s="202"/>
      <c r="E278" s="300"/>
      <c r="F278" s="210"/>
      <c r="G278" s="203"/>
      <c r="H278" s="203"/>
      <c r="I278" s="203"/>
      <c r="J278" s="203"/>
      <c r="K278" s="205"/>
      <c r="L278" s="291"/>
      <c r="M278" s="263"/>
      <c r="N278" s="266"/>
      <c r="O278" s="265"/>
      <c r="P278" s="265"/>
      <c r="Q278" s="265"/>
      <c r="R278" s="265"/>
      <c r="S278" s="265"/>
      <c r="T278" s="265"/>
      <c r="U278" s="267"/>
    </row>
    <row r="279" spans="1:24" ht="30" customHeight="1">
      <c r="A279" s="204" t="str">
        <f>IF(ISBLANK(D279)," ",230-COUNTBLANK($D$6:D279))</f>
        <v xml:space="preserve"> </v>
      </c>
      <c r="B279" s="202"/>
      <c r="C279" s="202"/>
      <c r="D279" s="202"/>
      <c r="E279" s="300"/>
      <c r="F279" s="210"/>
      <c r="G279" s="203"/>
      <c r="H279" s="203"/>
      <c r="I279" s="203"/>
      <c r="J279" s="203"/>
      <c r="K279" s="205"/>
      <c r="L279" s="291"/>
      <c r="M279" s="263"/>
      <c r="N279" s="266"/>
      <c r="O279" s="265"/>
      <c r="P279" s="265"/>
      <c r="Q279" s="265"/>
      <c r="R279" s="265"/>
      <c r="S279" s="265"/>
      <c r="T279" s="265"/>
      <c r="U279" s="267"/>
    </row>
    <row r="280" spans="1:24" ht="30" customHeight="1">
      <c r="A280" s="304" t="s">
        <v>52</v>
      </c>
      <c r="B280" s="296"/>
      <c r="C280" s="305"/>
      <c r="D280" s="306"/>
      <c r="E280" s="297"/>
      <c r="F280" s="298">
        <f>SUM(F260:F279)</f>
        <v>0</v>
      </c>
      <c r="G280" s="282"/>
      <c r="H280" s="282"/>
      <c r="I280" s="282"/>
      <c r="J280" s="282"/>
      <c r="K280" s="283"/>
      <c r="L280" s="303"/>
      <c r="M280" s="263"/>
      <c r="N280" s="264"/>
      <c r="O280" s="265"/>
      <c r="P280" s="265"/>
      <c r="Q280" s="265"/>
      <c r="R280" s="265"/>
      <c r="S280" s="265"/>
      <c r="T280" s="265"/>
      <c r="U280" s="284"/>
      <c r="V280" s="265"/>
      <c r="W280" s="265"/>
      <c r="X280" s="265"/>
    </row>
    <row r="281" spans="1:24" ht="30" customHeight="1">
      <c r="A281" s="260" t="str">
        <f>IF(ISBLANK(D281)," ",232-COUNTBLANK($D$6:D281))</f>
        <v xml:space="preserve"> </v>
      </c>
      <c r="B281" s="200"/>
      <c r="C281" s="200"/>
      <c r="D281" s="200"/>
      <c r="E281" s="299"/>
      <c r="F281" s="209"/>
      <c r="G281" s="201"/>
      <c r="H281" s="201"/>
      <c r="I281" s="201"/>
      <c r="J281" s="201"/>
      <c r="K281" s="262"/>
      <c r="L281" s="291"/>
      <c r="M281" s="263"/>
      <c r="N281" s="266"/>
      <c r="O281" s="265"/>
      <c r="P281" s="265"/>
      <c r="Q281" s="265"/>
      <c r="R281" s="265"/>
      <c r="S281" s="265"/>
      <c r="T281" s="265"/>
      <c r="U281" s="284"/>
      <c r="V281" s="265"/>
      <c r="W281" s="265"/>
      <c r="X281" s="265"/>
    </row>
    <row r="282" spans="1:24" ht="30" customHeight="1">
      <c r="A282" s="204" t="str">
        <f>IF(ISBLANK(D282)," ",233-COUNTBLANK($D$6:D282))</f>
        <v xml:space="preserve"> </v>
      </c>
      <c r="B282" s="202"/>
      <c r="C282" s="202"/>
      <c r="D282" s="202"/>
      <c r="E282" s="300"/>
      <c r="F282" s="210"/>
      <c r="G282" s="203"/>
      <c r="H282" s="203"/>
      <c r="I282" s="203"/>
      <c r="J282" s="203"/>
      <c r="K282" s="205"/>
      <c r="L282" s="291"/>
      <c r="M282" s="263"/>
      <c r="N282" s="264"/>
      <c r="O282" s="265"/>
      <c r="P282" s="265"/>
      <c r="Q282" s="265"/>
      <c r="R282" s="265"/>
      <c r="S282" s="265"/>
      <c r="T282" s="265"/>
      <c r="U282" s="265"/>
    </row>
    <row r="283" spans="1:24" ht="30" customHeight="1">
      <c r="A283" s="204" t="str">
        <f>IF(ISBLANK(D283)," ",234-COUNTBLANK($D$6:D283))</f>
        <v xml:space="preserve"> </v>
      </c>
      <c r="B283" s="202"/>
      <c r="C283" s="202"/>
      <c r="D283" s="202"/>
      <c r="E283" s="300"/>
      <c r="F283" s="210"/>
      <c r="G283" s="203"/>
      <c r="H283" s="203"/>
      <c r="I283" s="203"/>
      <c r="J283" s="203"/>
      <c r="K283" s="205"/>
      <c r="L283" s="291"/>
      <c r="M283" s="263"/>
      <c r="N283" s="264"/>
      <c r="O283" s="265"/>
      <c r="P283" s="265"/>
      <c r="Q283" s="265"/>
      <c r="R283" s="265"/>
      <c r="S283" s="265"/>
      <c r="T283" s="265"/>
      <c r="U283" s="265"/>
    </row>
    <row r="284" spans="1:24" ht="30" customHeight="1">
      <c r="A284" s="204" t="str">
        <f>IF(ISBLANK(D284)," ",235-COUNTBLANK($D$6:D284))</f>
        <v xml:space="preserve"> </v>
      </c>
      <c r="B284" s="202"/>
      <c r="C284" s="202"/>
      <c r="D284" s="202"/>
      <c r="E284" s="300"/>
      <c r="F284" s="210"/>
      <c r="G284" s="203"/>
      <c r="H284" s="203"/>
      <c r="I284" s="203"/>
      <c r="J284" s="203"/>
      <c r="K284" s="205"/>
      <c r="L284" s="291"/>
      <c r="M284" s="263"/>
      <c r="N284" s="264"/>
      <c r="O284" s="265"/>
      <c r="P284" s="265"/>
      <c r="Q284" s="265"/>
      <c r="R284" s="265"/>
      <c r="S284" s="265"/>
      <c r="T284" s="265"/>
      <c r="U284" s="265"/>
    </row>
    <row r="285" spans="1:24" ht="30" customHeight="1">
      <c r="A285" s="204" t="str">
        <f>IF(ISBLANK(D285)," ",236-COUNTBLANK($D$6:D285))</f>
        <v xml:space="preserve"> </v>
      </c>
      <c r="B285" s="202"/>
      <c r="C285" s="202"/>
      <c r="D285" s="202"/>
      <c r="E285" s="300"/>
      <c r="F285" s="210"/>
      <c r="G285" s="203"/>
      <c r="H285" s="203"/>
      <c r="I285" s="203"/>
      <c r="J285" s="203"/>
      <c r="K285" s="205"/>
      <c r="L285" s="291"/>
      <c r="M285" s="263"/>
      <c r="N285" s="264"/>
      <c r="O285" s="265"/>
      <c r="P285" s="265"/>
      <c r="Q285" s="265"/>
      <c r="R285" s="265"/>
      <c r="S285" s="265"/>
      <c r="T285" s="265"/>
      <c r="U285" s="265"/>
    </row>
    <row r="286" spans="1:24" ht="30" customHeight="1">
      <c r="A286" s="204" t="str">
        <f>IF(ISBLANK(D286)," ",237-COUNTBLANK($D$6:D286))</f>
        <v xml:space="preserve"> </v>
      </c>
      <c r="B286" s="202"/>
      <c r="C286" s="202"/>
      <c r="D286" s="202"/>
      <c r="E286" s="300"/>
      <c r="F286" s="210"/>
      <c r="G286" s="203"/>
      <c r="H286" s="203"/>
      <c r="I286" s="203"/>
      <c r="J286" s="203"/>
      <c r="K286" s="205"/>
      <c r="L286" s="291"/>
      <c r="M286" s="263"/>
      <c r="N286" s="264"/>
      <c r="O286" s="265"/>
      <c r="P286" s="265"/>
      <c r="Q286" s="265"/>
      <c r="R286" s="265"/>
      <c r="S286" s="265"/>
      <c r="T286" s="265"/>
      <c r="U286" s="265"/>
    </row>
    <row r="287" spans="1:24" ht="30" customHeight="1">
      <c r="A287" s="204" t="str">
        <f>IF(ISBLANK(D287)," ",238-COUNTBLANK($D$6:D287))</f>
        <v xml:space="preserve"> </v>
      </c>
      <c r="B287" s="202"/>
      <c r="C287" s="202"/>
      <c r="D287" s="202"/>
      <c r="E287" s="300"/>
      <c r="F287" s="210"/>
      <c r="G287" s="203"/>
      <c r="H287" s="203"/>
      <c r="I287" s="203"/>
      <c r="J287" s="203"/>
      <c r="K287" s="205"/>
      <c r="L287" s="291"/>
      <c r="M287" s="263"/>
      <c r="N287" s="264"/>
      <c r="O287" s="265"/>
      <c r="P287" s="265"/>
      <c r="Q287" s="265"/>
      <c r="R287" s="265"/>
      <c r="S287" s="265"/>
      <c r="T287" s="265"/>
      <c r="U287" s="265"/>
    </row>
    <row r="288" spans="1:24" ht="30" customHeight="1">
      <c r="A288" s="204" t="str">
        <f>IF(ISBLANK(D288)," ",239-COUNTBLANK($D$6:D288))</f>
        <v xml:space="preserve"> </v>
      </c>
      <c r="B288" s="202"/>
      <c r="C288" s="202"/>
      <c r="D288" s="202"/>
      <c r="E288" s="300"/>
      <c r="F288" s="210"/>
      <c r="G288" s="203"/>
      <c r="H288" s="203"/>
      <c r="I288" s="203"/>
      <c r="J288" s="203"/>
      <c r="K288" s="205"/>
      <c r="L288" s="291"/>
      <c r="M288" s="263"/>
      <c r="N288" s="264"/>
      <c r="O288" s="265"/>
      <c r="P288" s="265"/>
      <c r="Q288" s="265"/>
      <c r="R288" s="265"/>
      <c r="S288" s="265"/>
      <c r="T288" s="265"/>
      <c r="U288" s="265"/>
    </row>
    <row r="289" spans="1:24" ht="30" customHeight="1">
      <c r="A289" s="204" t="str">
        <f>IF(ISBLANK(D289)," ",240-COUNTBLANK($D$6:D289))</f>
        <v xml:space="preserve"> </v>
      </c>
      <c r="B289" s="202"/>
      <c r="C289" s="202"/>
      <c r="D289" s="202"/>
      <c r="E289" s="300"/>
      <c r="F289" s="210"/>
      <c r="G289" s="203"/>
      <c r="H289" s="203"/>
      <c r="I289" s="203"/>
      <c r="J289" s="203"/>
      <c r="K289" s="205"/>
      <c r="L289" s="291"/>
      <c r="M289" s="263"/>
      <c r="N289" s="264"/>
      <c r="O289" s="265"/>
      <c r="P289" s="265"/>
      <c r="Q289" s="265"/>
      <c r="R289" s="265"/>
      <c r="S289" s="265"/>
      <c r="T289" s="265"/>
      <c r="U289" s="265"/>
    </row>
    <row r="290" spans="1:24" ht="30" customHeight="1">
      <c r="A290" s="204" t="str">
        <f>IF(ISBLANK(D290)," ",241-COUNTBLANK($D$6:D290))</f>
        <v xml:space="preserve"> </v>
      </c>
      <c r="B290" s="202"/>
      <c r="C290" s="202"/>
      <c r="D290" s="202"/>
      <c r="E290" s="300"/>
      <c r="F290" s="210"/>
      <c r="G290" s="203"/>
      <c r="H290" s="203"/>
      <c r="I290" s="203"/>
      <c r="J290" s="203"/>
      <c r="K290" s="205"/>
      <c r="L290" s="291"/>
      <c r="M290" s="263"/>
      <c r="N290" s="264"/>
      <c r="O290" s="265"/>
      <c r="P290" s="265"/>
      <c r="Q290" s="265"/>
      <c r="R290" s="265"/>
      <c r="S290" s="265"/>
      <c r="T290" s="265"/>
      <c r="U290" s="265"/>
    </row>
    <row r="291" spans="1:24" ht="30" customHeight="1">
      <c r="A291" s="204" t="str">
        <f>IF(ISBLANK(D291)," ",242-COUNTBLANK($D$6:D291))</f>
        <v xml:space="preserve"> </v>
      </c>
      <c r="B291" s="202"/>
      <c r="C291" s="202"/>
      <c r="D291" s="202"/>
      <c r="E291" s="300"/>
      <c r="F291" s="210"/>
      <c r="G291" s="203"/>
      <c r="H291" s="203"/>
      <c r="I291" s="203"/>
      <c r="J291" s="203"/>
      <c r="K291" s="205"/>
      <c r="L291" s="291"/>
      <c r="M291" s="263"/>
      <c r="N291" s="264"/>
      <c r="O291" s="265"/>
      <c r="P291" s="265"/>
      <c r="Q291" s="265"/>
      <c r="R291" s="265"/>
      <c r="S291" s="265"/>
      <c r="T291" s="265"/>
      <c r="U291" s="265"/>
    </row>
    <row r="292" spans="1:24" ht="30" customHeight="1">
      <c r="A292" s="204" t="str">
        <f>IF(ISBLANK(D292)," ",243-COUNTBLANK($D$6:D292))</f>
        <v xml:space="preserve"> </v>
      </c>
      <c r="B292" s="202"/>
      <c r="C292" s="202"/>
      <c r="D292" s="202"/>
      <c r="E292" s="300"/>
      <c r="F292" s="210"/>
      <c r="G292" s="203"/>
      <c r="H292" s="203"/>
      <c r="I292" s="203"/>
      <c r="J292" s="203"/>
      <c r="K292" s="205"/>
      <c r="L292" s="291"/>
      <c r="M292" s="263"/>
      <c r="N292" s="264"/>
      <c r="O292" s="265"/>
      <c r="P292" s="265"/>
      <c r="Q292" s="265"/>
      <c r="R292" s="265"/>
      <c r="S292" s="265"/>
      <c r="T292" s="265"/>
      <c r="U292" s="265"/>
    </row>
    <row r="293" spans="1:24" ht="30" customHeight="1">
      <c r="A293" s="204" t="str">
        <f>IF(ISBLANK(D293)," ",244-COUNTBLANK($D$6:D293))</f>
        <v xml:space="preserve"> </v>
      </c>
      <c r="B293" s="202"/>
      <c r="C293" s="202"/>
      <c r="D293" s="202"/>
      <c r="E293" s="300"/>
      <c r="F293" s="210"/>
      <c r="G293" s="203"/>
      <c r="H293" s="203"/>
      <c r="I293" s="203"/>
      <c r="J293" s="203"/>
      <c r="K293" s="205"/>
      <c r="L293" s="291"/>
      <c r="M293" s="263"/>
      <c r="N293" s="264"/>
      <c r="O293" s="265"/>
      <c r="P293" s="265"/>
      <c r="Q293" s="265"/>
      <c r="R293" s="265"/>
      <c r="S293" s="265"/>
      <c r="T293" s="265"/>
      <c r="U293" s="265"/>
    </row>
    <row r="294" spans="1:24" ht="30" customHeight="1">
      <c r="A294" s="204" t="str">
        <f>IF(ISBLANK(D294)," ",245-COUNTBLANK($D$6:D294))</f>
        <v xml:space="preserve"> </v>
      </c>
      <c r="B294" s="202"/>
      <c r="C294" s="202"/>
      <c r="D294" s="202"/>
      <c r="E294" s="300"/>
      <c r="F294" s="210"/>
      <c r="G294" s="203"/>
      <c r="H294" s="203"/>
      <c r="I294" s="203"/>
      <c r="J294" s="203"/>
      <c r="K294" s="205"/>
      <c r="L294" s="291"/>
      <c r="M294" s="263"/>
      <c r="N294" s="264"/>
      <c r="O294" s="265"/>
      <c r="P294" s="265"/>
      <c r="Q294" s="265"/>
      <c r="R294" s="265"/>
      <c r="S294" s="265"/>
      <c r="T294" s="265"/>
      <c r="U294" s="265"/>
    </row>
    <row r="295" spans="1:24" ht="30" customHeight="1">
      <c r="A295" s="204" t="str">
        <f>IF(ISBLANK(D295)," ",246-COUNTBLANK($D$6:D295))</f>
        <v xml:space="preserve"> </v>
      </c>
      <c r="B295" s="202"/>
      <c r="C295" s="202"/>
      <c r="D295" s="202"/>
      <c r="E295" s="300"/>
      <c r="F295" s="210"/>
      <c r="G295" s="203"/>
      <c r="H295" s="203"/>
      <c r="I295" s="203"/>
      <c r="J295" s="203"/>
      <c r="K295" s="205"/>
      <c r="L295" s="291"/>
      <c r="M295" s="263"/>
      <c r="N295" s="264"/>
      <c r="O295" s="265"/>
      <c r="P295" s="265"/>
      <c r="Q295" s="265"/>
      <c r="R295" s="265"/>
      <c r="S295" s="265"/>
      <c r="T295" s="265"/>
      <c r="U295" s="265"/>
    </row>
    <row r="296" spans="1:24" ht="30" customHeight="1">
      <c r="A296" s="204" t="str">
        <f>IF(ISBLANK(D296)," ",247-COUNTBLANK($D$6:D296))</f>
        <v xml:space="preserve"> </v>
      </c>
      <c r="B296" s="202"/>
      <c r="C296" s="202"/>
      <c r="D296" s="202"/>
      <c r="E296" s="300"/>
      <c r="F296" s="210"/>
      <c r="G296" s="203"/>
      <c r="H296" s="203"/>
      <c r="I296" s="203"/>
      <c r="J296" s="203"/>
      <c r="K296" s="205"/>
      <c r="L296" s="291"/>
      <c r="M296" s="263"/>
      <c r="N296" s="264"/>
      <c r="O296" s="265"/>
      <c r="P296" s="265"/>
      <c r="Q296" s="265"/>
      <c r="R296" s="265"/>
      <c r="S296" s="265"/>
      <c r="T296" s="265"/>
      <c r="U296" s="265"/>
    </row>
    <row r="297" spans="1:24" ht="30" customHeight="1">
      <c r="A297" s="204" t="str">
        <f>IF(ISBLANK(D297)," ",248-COUNTBLANK($D$6:D297))</f>
        <v xml:space="preserve"> </v>
      </c>
      <c r="B297" s="202"/>
      <c r="C297" s="202"/>
      <c r="D297" s="202"/>
      <c r="E297" s="300"/>
      <c r="F297" s="210"/>
      <c r="G297" s="203"/>
      <c r="H297" s="203"/>
      <c r="I297" s="203"/>
      <c r="J297" s="203"/>
      <c r="K297" s="205"/>
      <c r="L297" s="291"/>
      <c r="M297" s="263"/>
      <c r="N297" s="266"/>
      <c r="O297" s="265"/>
      <c r="P297" s="265"/>
      <c r="Q297" s="265"/>
      <c r="R297" s="265"/>
      <c r="S297" s="265"/>
      <c r="T297" s="265"/>
      <c r="U297" s="267"/>
    </row>
    <row r="298" spans="1:24" ht="30" customHeight="1">
      <c r="A298" s="204" t="str">
        <f>IF(ISBLANK(D298)," ",249-COUNTBLANK($D$6:D298))</f>
        <v xml:space="preserve"> </v>
      </c>
      <c r="B298" s="202"/>
      <c r="C298" s="202"/>
      <c r="D298" s="202"/>
      <c r="E298" s="300"/>
      <c r="F298" s="210"/>
      <c r="G298" s="203"/>
      <c r="H298" s="203"/>
      <c r="I298" s="203"/>
      <c r="J298" s="203"/>
      <c r="K298" s="205"/>
      <c r="L298" s="291"/>
      <c r="M298" s="263"/>
      <c r="N298" s="266"/>
      <c r="O298" s="265"/>
      <c r="P298" s="265"/>
      <c r="Q298" s="265"/>
      <c r="R298" s="265"/>
      <c r="S298" s="265"/>
      <c r="T298" s="265"/>
      <c r="U298" s="267"/>
    </row>
    <row r="299" spans="1:24" ht="30" customHeight="1">
      <c r="A299" s="204" t="str">
        <f>IF(ISBLANK(D299)," ",250-COUNTBLANK($D$6:D299))</f>
        <v xml:space="preserve"> </v>
      </c>
      <c r="B299" s="202"/>
      <c r="C299" s="202"/>
      <c r="D299" s="202"/>
      <c r="E299" s="300"/>
      <c r="F299" s="210"/>
      <c r="G299" s="203"/>
      <c r="H299" s="203"/>
      <c r="I299" s="203"/>
      <c r="J299" s="203"/>
      <c r="K299" s="205"/>
      <c r="L299" s="291"/>
      <c r="M299" s="263"/>
      <c r="N299" s="266"/>
      <c r="O299" s="265"/>
      <c r="P299" s="265"/>
      <c r="Q299" s="265"/>
      <c r="R299" s="265"/>
      <c r="S299" s="265"/>
      <c r="T299" s="265"/>
      <c r="U299" s="267"/>
    </row>
    <row r="300" spans="1:24" ht="30" customHeight="1">
      <c r="A300" s="204" t="str">
        <f>IF(ISBLANK(D300)," ",251-COUNTBLANK($D$6:D300))</f>
        <v xml:space="preserve"> </v>
      </c>
      <c r="B300" s="202"/>
      <c r="C300" s="202"/>
      <c r="D300" s="202"/>
      <c r="E300" s="300"/>
      <c r="F300" s="210"/>
      <c r="G300" s="203"/>
      <c r="H300" s="203"/>
      <c r="I300" s="203"/>
      <c r="J300" s="203"/>
      <c r="K300" s="205"/>
      <c r="L300" s="291"/>
      <c r="M300" s="263"/>
      <c r="N300" s="266"/>
      <c r="O300" s="265"/>
      <c r="P300" s="265"/>
      <c r="Q300" s="265"/>
      <c r="R300" s="265"/>
      <c r="S300" s="265"/>
      <c r="T300" s="265"/>
      <c r="U300" s="267"/>
    </row>
    <row r="301" spans="1:24" ht="30" customHeight="1">
      <c r="A301" s="304" t="s">
        <v>52</v>
      </c>
      <c r="B301" s="296"/>
      <c r="C301" s="305"/>
      <c r="D301" s="306"/>
      <c r="E301" s="297"/>
      <c r="F301" s="298">
        <f>SUM(F281:F300)</f>
        <v>0</v>
      </c>
      <c r="G301" s="282"/>
      <c r="H301" s="282"/>
      <c r="I301" s="282"/>
      <c r="J301" s="282"/>
      <c r="K301" s="283"/>
      <c r="L301" s="303"/>
      <c r="M301" s="263"/>
      <c r="N301" s="264"/>
      <c r="O301" s="265"/>
      <c r="P301" s="265"/>
      <c r="Q301" s="265"/>
      <c r="R301" s="265"/>
      <c r="S301" s="265"/>
      <c r="T301" s="265"/>
      <c r="U301" s="284"/>
      <c r="V301" s="265"/>
      <c r="W301" s="265"/>
      <c r="X301" s="265"/>
    </row>
    <row r="302" spans="1:24" ht="30" customHeight="1">
      <c r="A302" s="260" t="str">
        <f>IF(ISBLANK(D302)," ",253-COUNTBLANK($D$6:D302))</f>
        <v xml:space="preserve"> </v>
      </c>
      <c r="B302" s="200"/>
      <c r="C302" s="200"/>
      <c r="D302" s="200"/>
      <c r="E302" s="299"/>
      <c r="F302" s="209"/>
      <c r="G302" s="201"/>
      <c r="H302" s="201"/>
      <c r="I302" s="201"/>
      <c r="J302" s="201"/>
      <c r="K302" s="262"/>
      <c r="L302" s="291"/>
      <c r="M302" s="263"/>
      <c r="N302" s="266"/>
      <c r="O302" s="265"/>
      <c r="P302" s="265"/>
      <c r="Q302" s="265"/>
      <c r="R302" s="265"/>
      <c r="S302" s="265"/>
      <c r="T302" s="265"/>
      <c r="U302" s="284"/>
      <c r="V302" s="265"/>
      <c r="W302" s="265"/>
      <c r="X302" s="265"/>
    </row>
    <row r="303" spans="1:24" ht="30" customHeight="1">
      <c r="A303" s="204" t="str">
        <f>IF(ISBLANK(D303)," ",254-COUNTBLANK($D$6:D303))</f>
        <v xml:space="preserve"> </v>
      </c>
      <c r="B303" s="202"/>
      <c r="C303" s="202"/>
      <c r="D303" s="202"/>
      <c r="E303" s="300"/>
      <c r="F303" s="210"/>
      <c r="G303" s="203"/>
      <c r="H303" s="203"/>
      <c r="I303" s="203"/>
      <c r="J303" s="203"/>
      <c r="K303" s="205"/>
      <c r="L303" s="291"/>
      <c r="M303" s="263"/>
      <c r="N303" s="264"/>
      <c r="O303" s="265"/>
      <c r="P303" s="265"/>
      <c r="Q303" s="265"/>
      <c r="R303" s="265"/>
      <c r="S303" s="265"/>
      <c r="T303" s="265"/>
      <c r="U303" s="265"/>
    </row>
    <row r="304" spans="1:24" ht="30" customHeight="1">
      <c r="A304" s="204" t="str">
        <f>IF(ISBLANK(D304)," ",255-COUNTBLANK($D$6:D304))</f>
        <v xml:space="preserve"> </v>
      </c>
      <c r="B304" s="202"/>
      <c r="C304" s="202"/>
      <c r="D304" s="202"/>
      <c r="E304" s="300"/>
      <c r="F304" s="210"/>
      <c r="G304" s="203"/>
      <c r="H304" s="203"/>
      <c r="I304" s="203"/>
      <c r="J304" s="203"/>
      <c r="K304" s="205"/>
      <c r="L304" s="291"/>
      <c r="M304" s="263"/>
      <c r="N304" s="264"/>
      <c r="O304" s="265"/>
      <c r="P304" s="265"/>
      <c r="Q304" s="265"/>
      <c r="R304" s="265"/>
      <c r="S304" s="265"/>
      <c r="T304" s="265"/>
      <c r="U304" s="265"/>
    </row>
    <row r="305" spans="1:21" ht="30" customHeight="1">
      <c r="A305" s="204" t="str">
        <f>IF(ISBLANK(D305)," ",256-COUNTBLANK($D$6:D305))</f>
        <v xml:space="preserve"> </v>
      </c>
      <c r="B305" s="202"/>
      <c r="C305" s="202"/>
      <c r="D305" s="202"/>
      <c r="E305" s="300"/>
      <c r="F305" s="210"/>
      <c r="G305" s="203"/>
      <c r="H305" s="203"/>
      <c r="I305" s="203"/>
      <c r="J305" s="203"/>
      <c r="K305" s="205"/>
      <c r="L305" s="291"/>
      <c r="M305" s="263"/>
      <c r="N305" s="264"/>
      <c r="O305" s="265"/>
      <c r="P305" s="265"/>
      <c r="Q305" s="265"/>
      <c r="R305" s="265"/>
      <c r="S305" s="265"/>
      <c r="T305" s="265"/>
      <c r="U305" s="265"/>
    </row>
    <row r="306" spans="1:21" ht="30" customHeight="1">
      <c r="A306" s="204" t="str">
        <f>IF(ISBLANK(D306)," ",257-COUNTBLANK($D$6:D306))</f>
        <v xml:space="preserve"> </v>
      </c>
      <c r="B306" s="202"/>
      <c r="C306" s="202"/>
      <c r="D306" s="202"/>
      <c r="E306" s="300"/>
      <c r="F306" s="210"/>
      <c r="G306" s="203"/>
      <c r="H306" s="203"/>
      <c r="I306" s="203"/>
      <c r="J306" s="203"/>
      <c r="K306" s="205"/>
      <c r="L306" s="291"/>
      <c r="M306" s="263"/>
      <c r="N306" s="264"/>
      <c r="O306" s="265"/>
      <c r="P306" s="265"/>
      <c r="Q306" s="265"/>
      <c r="R306" s="265"/>
      <c r="S306" s="265"/>
      <c r="T306" s="265"/>
      <c r="U306" s="265"/>
    </row>
    <row r="307" spans="1:21" ht="30" customHeight="1">
      <c r="A307" s="204" t="str">
        <f>IF(ISBLANK(D307)," ",258-COUNTBLANK($D$6:D307))</f>
        <v xml:space="preserve"> </v>
      </c>
      <c r="B307" s="202"/>
      <c r="C307" s="202"/>
      <c r="D307" s="202"/>
      <c r="E307" s="300"/>
      <c r="F307" s="210"/>
      <c r="G307" s="203"/>
      <c r="H307" s="203"/>
      <c r="I307" s="203"/>
      <c r="J307" s="203"/>
      <c r="K307" s="205"/>
      <c r="L307" s="291"/>
      <c r="M307" s="263"/>
      <c r="N307" s="264"/>
      <c r="O307" s="265"/>
      <c r="P307" s="265"/>
      <c r="Q307" s="265"/>
      <c r="R307" s="265"/>
      <c r="S307" s="265"/>
      <c r="T307" s="265"/>
      <c r="U307" s="265"/>
    </row>
    <row r="308" spans="1:21" ht="30" customHeight="1">
      <c r="A308" s="204" t="str">
        <f>IF(ISBLANK(D308)," ",259-COUNTBLANK($D$6:D308))</f>
        <v xml:space="preserve"> </v>
      </c>
      <c r="B308" s="202"/>
      <c r="C308" s="202"/>
      <c r="D308" s="202"/>
      <c r="E308" s="300"/>
      <c r="F308" s="210"/>
      <c r="G308" s="203"/>
      <c r="H308" s="203"/>
      <c r="I308" s="203"/>
      <c r="J308" s="203"/>
      <c r="K308" s="205"/>
      <c r="L308" s="291"/>
      <c r="M308" s="263"/>
      <c r="N308" s="264"/>
      <c r="O308" s="265"/>
      <c r="P308" s="265"/>
      <c r="Q308" s="265"/>
      <c r="R308" s="265"/>
      <c r="S308" s="265"/>
      <c r="T308" s="265"/>
      <c r="U308" s="265"/>
    </row>
    <row r="309" spans="1:21" ht="30" customHeight="1">
      <c r="A309" s="204" t="str">
        <f>IF(ISBLANK(D309)," ",260-COUNTBLANK($D$6:D309))</f>
        <v xml:space="preserve"> </v>
      </c>
      <c r="B309" s="202"/>
      <c r="C309" s="202"/>
      <c r="D309" s="202"/>
      <c r="E309" s="300"/>
      <c r="F309" s="210"/>
      <c r="G309" s="203"/>
      <c r="H309" s="203"/>
      <c r="I309" s="203"/>
      <c r="J309" s="203"/>
      <c r="K309" s="205"/>
      <c r="L309" s="291"/>
      <c r="M309" s="263"/>
      <c r="N309" s="264"/>
      <c r="O309" s="265"/>
      <c r="P309" s="265"/>
      <c r="Q309" s="265"/>
      <c r="R309" s="265"/>
      <c r="S309" s="265"/>
      <c r="T309" s="265"/>
      <c r="U309" s="265"/>
    </row>
    <row r="310" spans="1:21" ht="30" customHeight="1">
      <c r="A310" s="204" t="str">
        <f>IF(ISBLANK(D310)," ",261-COUNTBLANK($D$6:D310))</f>
        <v xml:space="preserve"> </v>
      </c>
      <c r="B310" s="202"/>
      <c r="C310" s="202"/>
      <c r="D310" s="202"/>
      <c r="E310" s="300"/>
      <c r="F310" s="210"/>
      <c r="G310" s="203"/>
      <c r="H310" s="203"/>
      <c r="I310" s="203"/>
      <c r="J310" s="203"/>
      <c r="K310" s="205"/>
      <c r="L310" s="291"/>
      <c r="M310" s="263"/>
      <c r="N310" s="264"/>
      <c r="O310" s="265"/>
      <c r="P310" s="265"/>
      <c r="Q310" s="265"/>
      <c r="R310" s="265"/>
      <c r="S310" s="265"/>
      <c r="T310" s="265"/>
      <c r="U310" s="265"/>
    </row>
    <row r="311" spans="1:21" ht="30" customHeight="1">
      <c r="A311" s="204" t="str">
        <f>IF(ISBLANK(D311)," ",262-COUNTBLANK($D$6:D311))</f>
        <v xml:space="preserve"> </v>
      </c>
      <c r="B311" s="202"/>
      <c r="C311" s="202"/>
      <c r="D311" s="202"/>
      <c r="E311" s="300"/>
      <c r="F311" s="210"/>
      <c r="G311" s="203"/>
      <c r="H311" s="203"/>
      <c r="I311" s="203"/>
      <c r="J311" s="203"/>
      <c r="K311" s="205"/>
      <c r="L311" s="291"/>
      <c r="M311" s="263"/>
      <c r="N311" s="264"/>
      <c r="O311" s="265"/>
      <c r="P311" s="265"/>
      <c r="Q311" s="265"/>
      <c r="R311" s="265"/>
      <c r="S311" s="265"/>
      <c r="T311" s="265"/>
      <c r="U311" s="265"/>
    </row>
    <row r="312" spans="1:21" ht="30" customHeight="1">
      <c r="A312" s="204" t="str">
        <f>IF(ISBLANK(D312)," ",263-COUNTBLANK($D$6:D312))</f>
        <v xml:space="preserve"> </v>
      </c>
      <c r="B312" s="202"/>
      <c r="C312" s="202"/>
      <c r="D312" s="202"/>
      <c r="E312" s="300"/>
      <c r="F312" s="210"/>
      <c r="G312" s="203"/>
      <c r="H312" s="203"/>
      <c r="I312" s="203"/>
      <c r="J312" s="203"/>
      <c r="K312" s="205"/>
      <c r="L312" s="291"/>
      <c r="M312" s="263"/>
      <c r="N312" s="264"/>
      <c r="O312" s="265"/>
      <c r="P312" s="265"/>
      <c r="Q312" s="265"/>
      <c r="R312" s="265"/>
      <c r="S312" s="265"/>
      <c r="T312" s="265"/>
      <c r="U312" s="265"/>
    </row>
    <row r="313" spans="1:21" ht="30" customHeight="1">
      <c r="A313" s="204" t="str">
        <f>IF(ISBLANK(D313)," ",264-COUNTBLANK($D$6:D313))</f>
        <v xml:space="preserve"> </v>
      </c>
      <c r="B313" s="202"/>
      <c r="C313" s="202"/>
      <c r="D313" s="202"/>
      <c r="E313" s="300"/>
      <c r="F313" s="210"/>
      <c r="G313" s="203"/>
      <c r="H313" s="203"/>
      <c r="I313" s="203"/>
      <c r="J313" s="203"/>
      <c r="K313" s="205"/>
      <c r="L313" s="291"/>
      <c r="M313" s="263"/>
      <c r="N313" s="264"/>
      <c r="O313" s="265"/>
      <c r="P313" s="265"/>
      <c r="Q313" s="265"/>
      <c r="R313" s="265"/>
      <c r="S313" s="265"/>
      <c r="T313" s="265"/>
      <c r="U313" s="265"/>
    </row>
    <row r="314" spans="1:21" ht="30" customHeight="1">
      <c r="A314" s="204" t="str">
        <f>IF(ISBLANK(D314)," ",265-COUNTBLANK($D$6:D314))</f>
        <v xml:space="preserve"> </v>
      </c>
      <c r="B314" s="202"/>
      <c r="C314" s="202"/>
      <c r="D314" s="202"/>
      <c r="E314" s="300"/>
      <c r="F314" s="210"/>
      <c r="G314" s="203"/>
      <c r="H314" s="203"/>
      <c r="I314" s="203"/>
      <c r="J314" s="203"/>
      <c r="K314" s="205"/>
      <c r="L314" s="291"/>
      <c r="M314" s="263"/>
      <c r="N314" s="264"/>
      <c r="O314" s="265"/>
      <c r="P314" s="265"/>
      <c r="Q314" s="265"/>
      <c r="R314" s="265"/>
      <c r="S314" s="265"/>
      <c r="T314" s="265"/>
      <c r="U314" s="265"/>
    </row>
    <row r="315" spans="1:21" ht="30" customHeight="1">
      <c r="A315" s="204" t="str">
        <f>IF(ISBLANK(D315)," ",266-COUNTBLANK($D$6:D315))</f>
        <v xml:space="preserve"> </v>
      </c>
      <c r="B315" s="202"/>
      <c r="C315" s="202"/>
      <c r="D315" s="202"/>
      <c r="E315" s="300"/>
      <c r="F315" s="210"/>
      <c r="G315" s="203"/>
      <c r="H315" s="203"/>
      <c r="I315" s="203"/>
      <c r="J315" s="203"/>
      <c r="K315" s="205"/>
      <c r="L315" s="291"/>
      <c r="M315" s="263"/>
      <c r="N315" s="264"/>
      <c r="O315" s="265"/>
      <c r="P315" s="265"/>
      <c r="Q315" s="265"/>
      <c r="R315" s="265"/>
      <c r="S315" s="265"/>
      <c r="T315" s="265"/>
      <c r="U315" s="265"/>
    </row>
    <row r="316" spans="1:21" ht="30" customHeight="1">
      <c r="A316" s="204" t="str">
        <f>IF(ISBLANK(D316)," ",267-COUNTBLANK($D$6:D316))</f>
        <v xml:space="preserve"> </v>
      </c>
      <c r="B316" s="202"/>
      <c r="C316" s="202"/>
      <c r="D316" s="202"/>
      <c r="E316" s="300"/>
      <c r="F316" s="210"/>
      <c r="G316" s="203"/>
      <c r="H316" s="203"/>
      <c r="I316" s="203"/>
      <c r="J316" s="203"/>
      <c r="K316" s="205"/>
      <c r="L316" s="291"/>
      <c r="M316" s="263"/>
      <c r="N316" s="264"/>
      <c r="O316" s="265"/>
      <c r="P316" s="265"/>
      <c r="Q316" s="265"/>
      <c r="R316" s="265"/>
      <c r="S316" s="265"/>
      <c r="T316" s="265"/>
      <c r="U316" s="265"/>
    </row>
    <row r="317" spans="1:21" ht="30" customHeight="1">
      <c r="A317" s="204" t="str">
        <f>IF(ISBLANK(D317)," ",268-COUNTBLANK($D$6:D317))</f>
        <v xml:space="preserve"> </v>
      </c>
      <c r="B317" s="202"/>
      <c r="C317" s="202"/>
      <c r="D317" s="202"/>
      <c r="E317" s="300"/>
      <c r="F317" s="210"/>
      <c r="G317" s="203"/>
      <c r="H317" s="203"/>
      <c r="I317" s="203"/>
      <c r="J317" s="203"/>
      <c r="K317" s="205"/>
      <c r="L317" s="291"/>
      <c r="M317" s="263"/>
      <c r="N317" s="264"/>
      <c r="O317" s="265"/>
      <c r="P317" s="265"/>
      <c r="Q317" s="265"/>
      <c r="R317" s="265"/>
      <c r="S317" s="265"/>
      <c r="T317" s="265"/>
      <c r="U317" s="265"/>
    </row>
    <row r="318" spans="1:21" ht="30" customHeight="1">
      <c r="A318" s="204" t="str">
        <f>IF(ISBLANK(D318)," ",269-COUNTBLANK($D$6:D318))</f>
        <v xml:space="preserve"> </v>
      </c>
      <c r="B318" s="202"/>
      <c r="C318" s="202"/>
      <c r="D318" s="202"/>
      <c r="E318" s="300"/>
      <c r="F318" s="210"/>
      <c r="G318" s="203"/>
      <c r="H318" s="203"/>
      <c r="I318" s="203"/>
      <c r="J318" s="203"/>
      <c r="K318" s="205"/>
      <c r="L318" s="291"/>
      <c r="M318" s="263"/>
      <c r="N318" s="266"/>
      <c r="O318" s="265"/>
      <c r="P318" s="265"/>
      <c r="Q318" s="265"/>
      <c r="R318" s="265"/>
      <c r="S318" s="265"/>
      <c r="T318" s="265"/>
      <c r="U318" s="267"/>
    </row>
    <row r="319" spans="1:21" ht="30" customHeight="1">
      <c r="A319" s="204" t="str">
        <f>IF(ISBLANK(D319)," ",270-COUNTBLANK($D$6:D319))</f>
        <v xml:space="preserve"> </v>
      </c>
      <c r="B319" s="202"/>
      <c r="C319" s="202"/>
      <c r="D319" s="202"/>
      <c r="E319" s="300"/>
      <c r="F319" s="210"/>
      <c r="G319" s="203"/>
      <c r="H319" s="203"/>
      <c r="I319" s="203"/>
      <c r="J319" s="203"/>
      <c r="K319" s="205"/>
      <c r="L319" s="291"/>
      <c r="M319" s="263"/>
      <c r="N319" s="266"/>
      <c r="O319" s="265"/>
      <c r="P319" s="265"/>
      <c r="Q319" s="265"/>
      <c r="R319" s="265"/>
      <c r="S319" s="265"/>
      <c r="T319" s="265"/>
      <c r="U319" s="267"/>
    </row>
    <row r="320" spans="1:21" ht="30" customHeight="1">
      <c r="A320" s="204" t="str">
        <f>IF(ISBLANK(D320)," ",271-COUNTBLANK($D$6:D320))</f>
        <v xml:space="preserve"> </v>
      </c>
      <c r="B320" s="202"/>
      <c r="C320" s="202"/>
      <c r="D320" s="202"/>
      <c r="E320" s="300"/>
      <c r="F320" s="210"/>
      <c r="G320" s="203"/>
      <c r="H320" s="203"/>
      <c r="I320" s="203"/>
      <c r="J320" s="203"/>
      <c r="K320" s="205"/>
      <c r="L320" s="291"/>
      <c r="M320" s="263"/>
      <c r="N320" s="266"/>
      <c r="O320" s="265"/>
      <c r="P320" s="265"/>
      <c r="Q320" s="265"/>
      <c r="R320" s="265"/>
      <c r="S320" s="265"/>
      <c r="T320" s="265"/>
      <c r="U320" s="267"/>
    </row>
    <row r="321" spans="1:24" ht="30" customHeight="1">
      <c r="A321" s="204" t="str">
        <f>IF(ISBLANK(D321)," ",272-COUNTBLANK($D$6:D321))</f>
        <v xml:space="preserve"> </v>
      </c>
      <c r="B321" s="202"/>
      <c r="C321" s="202"/>
      <c r="D321" s="202"/>
      <c r="E321" s="300"/>
      <c r="F321" s="210"/>
      <c r="G321" s="203"/>
      <c r="H321" s="203"/>
      <c r="I321" s="203"/>
      <c r="J321" s="203"/>
      <c r="K321" s="205"/>
      <c r="L321" s="291"/>
      <c r="M321" s="263"/>
      <c r="N321" s="266"/>
      <c r="O321" s="265"/>
      <c r="P321" s="265"/>
      <c r="Q321" s="265"/>
      <c r="R321" s="265"/>
      <c r="S321" s="265"/>
      <c r="T321" s="265"/>
      <c r="U321" s="267"/>
    </row>
    <row r="322" spans="1:24" ht="30" customHeight="1">
      <c r="A322" s="304" t="s">
        <v>52</v>
      </c>
      <c r="B322" s="296"/>
      <c r="C322" s="305"/>
      <c r="D322" s="306"/>
      <c r="E322" s="297"/>
      <c r="F322" s="298">
        <f>SUM(F302:F321)</f>
        <v>0</v>
      </c>
      <c r="G322" s="282"/>
      <c r="H322" s="282"/>
      <c r="I322" s="282"/>
      <c r="J322" s="282"/>
      <c r="K322" s="283"/>
      <c r="L322" s="303"/>
      <c r="M322" s="263"/>
      <c r="N322" s="264"/>
      <c r="O322" s="265"/>
      <c r="P322" s="265"/>
      <c r="Q322" s="265"/>
      <c r="R322" s="265"/>
      <c r="S322" s="265"/>
      <c r="T322" s="265"/>
      <c r="U322" s="284"/>
      <c r="V322" s="265"/>
      <c r="W322" s="265"/>
      <c r="X322" s="265"/>
    </row>
    <row r="323" spans="1:24" ht="30" customHeight="1">
      <c r="A323" s="260" t="str">
        <f>IF(ISBLANK(D323)," ",274-COUNTBLANK($D$6:D323))</f>
        <v xml:space="preserve"> </v>
      </c>
      <c r="B323" s="200"/>
      <c r="C323" s="200"/>
      <c r="D323" s="200"/>
      <c r="E323" s="299"/>
      <c r="F323" s="209"/>
      <c r="G323" s="201"/>
      <c r="H323" s="201"/>
      <c r="I323" s="201"/>
      <c r="J323" s="201"/>
      <c r="K323" s="262"/>
      <c r="L323" s="291"/>
      <c r="M323" s="263"/>
      <c r="N323" s="266"/>
      <c r="O323" s="265"/>
      <c r="P323" s="265"/>
      <c r="Q323" s="265"/>
      <c r="R323" s="265"/>
      <c r="S323" s="265"/>
      <c r="T323" s="265"/>
      <c r="U323" s="284"/>
      <c r="V323" s="265"/>
      <c r="W323" s="265"/>
      <c r="X323" s="265"/>
    </row>
    <row r="324" spans="1:24" ht="30" customHeight="1">
      <c r="A324" s="204" t="str">
        <f>IF(ISBLANK(D324)," ",275-COUNTBLANK($D$6:D324))</f>
        <v xml:space="preserve"> </v>
      </c>
      <c r="B324" s="202"/>
      <c r="C324" s="202"/>
      <c r="D324" s="202"/>
      <c r="E324" s="300"/>
      <c r="F324" s="210"/>
      <c r="G324" s="203"/>
      <c r="H324" s="203"/>
      <c r="I324" s="203"/>
      <c r="J324" s="203"/>
      <c r="K324" s="205"/>
      <c r="L324" s="291"/>
      <c r="M324" s="263"/>
      <c r="N324" s="264"/>
      <c r="O324" s="265"/>
      <c r="P324" s="265"/>
      <c r="Q324" s="265"/>
      <c r="R324" s="265"/>
      <c r="S324" s="265"/>
      <c r="T324" s="265"/>
      <c r="U324" s="265"/>
    </row>
    <row r="325" spans="1:24" ht="30" customHeight="1">
      <c r="A325" s="204" t="str">
        <f>IF(ISBLANK(D325)," ",276-COUNTBLANK($D$6:D325))</f>
        <v xml:space="preserve"> </v>
      </c>
      <c r="B325" s="202"/>
      <c r="C325" s="202"/>
      <c r="D325" s="202"/>
      <c r="E325" s="300"/>
      <c r="F325" s="210"/>
      <c r="G325" s="203"/>
      <c r="H325" s="203"/>
      <c r="I325" s="203"/>
      <c r="J325" s="203"/>
      <c r="K325" s="205"/>
      <c r="L325" s="291"/>
      <c r="M325" s="263"/>
      <c r="N325" s="264"/>
      <c r="O325" s="265"/>
      <c r="P325" s="265"/>
      <c r="Q325" s="265"/>
      <c r="R325" s="265"/>
      <c r="S325" s="265"/>
      <c r="T325" s="265"/>
      <c r="U325" s="265"/>
    </row>
    <row r="326" spans="1:24" ht="30" customHeight="1">
      <c r="A326" s="204" t="str">
        <f>IF(ISBLANK(D326)," ",277-COUNTBLANK($D$6:D326))</f>
        <v xml:space="preserve"> </v>
      </c>
      <c r="B326" s="202"/>
      <c r="C326" s="202"/>
      <c r="D326" s="202"/>
      <c r="E326" s="300"/>
      <c r="F326" s="210"/>
      <c r="G326" s="203"/>
      <c r="H326" s="203"/>
      <c r="I326" s="203"/>
      <c r="J326" s="203"/>
      <c r="K326" s="205"/>
      <c r="L326" s="291"/>
      <c r="M326" s="263"/>
      <c r="N326" s="264"/>
      <c r="O326" s="265"/>
      <c r="P326" s="265"/>
      <c r="Q326" s="265"/>
      <c r="R326" s="265"/>
      <c r="S326" s="265"/>
      <c r="T326" s="265"/>
      <c r="U326" s="265"/>
    </row>
    <row r="327" spans="1:24" ht="30" customHeight="1">
      <c r="A327" s="204" t="str">
        <f>IF(ISBLANK(D327)," ",278-COUNTBLANK($D$6:D327))</f>
        <v xml:space="preserve"> </v>
      </c>
      <c r="B327" s="202"/>
      <c r="C327" s="202"/>
      <c r="D327" s="202"/>
      <c r="E327" s="300"/>
      <c r="F327" s="210"/>
      <c r="G327" s="203"/>
      <c r="H327" s="203"/>
      <c r="I327" s="203"/>
      <c r="J327" s="203"/>
      <c r="K327" s="205"/>
      <c r="L327" s="291"/>
      <c r="M327" s="263"/>
      <c r="N327" s="264"/>
      <c r="O327" s="265"/>
      <c r="P327" s="265"/>
      <c r="Q327" s="265"/>
      <c r="R327" s="265"/>
      <c r="S327" s="265"/>
      <c r="T327" s="265"/>
      <c r="U327" s="265"/>
    </row>
    <row r="328" spans="1:24" ht="30" customHeight="1">
      <c r="A328" s="204" t="str">
        <f>IF(ISBLANK(D328)," ",279-COUNTBLANK($D$6:D328))</f>
        <v xml:space="preserve"> </v>
      </c>
      <c r="B328" s="202"/>
      <c r="C328" s="202"/>
      <c r="D328" s="202"/>
      <c r="E328" s="300"/>
      <c r="F328" s="210"/>
      <c r="G328" s="203"/>
      <c r="H328" s="203"/>
      <c r="I328" s="203"/>
      <c r="J328" s="203"/>
      <c r="K328" s="205"/>
      <c r="L328" s="291"/>
      <c r="M328" s="263"/>
      <c r="N328" s="264"/>
      <c r="O328" s="265"/>
      <c r="P328" s="265"/>
      <c r="Q328" s="265"/>
      <c r="R328" s="265"/>
      <c r="S328" s="265"/>
      <c r="T328" s="265"/>
      <c r="U328" s="265"/>
    </row>
    <row r="329" spans="1:24" ht="30" customHeight="1">
      <c r="A329" s="204" t="str">
        <f>IF(ISBLANK(D329)," ",280-COUNTBLANK($D$6:D329))</f>
        <v xml:space="preserve"> </v>
      </c>
      <c r="B329" s="202"/>
      <c r="C329" s="202"/>
      <c r="D329" s="202"/>
      <c r="E329" s="300"/>
      <c r="F329" s="210"/>
      <c r="G329" s="203"/>
      <c r="H329" s="203"/>
      <c r="I329" s="203"/>
      <c r="J329" s="203"/>
      <c r="K329" s="205"/>
      <c r="L329" s="291"/>
      <c r="M329" s="263"/>
      <c r="N329" s="264"/>
      <c r="O329" s="265"/>
      <c r="P329" s="265"/>
      <c r="Q329" s="265"/>
      <c r="R329" s="265"/>
      <c r="S329" s="265"/>
      <c r="T329" s="265"/>
      <c r="U329" s="265"/>
    </row>
    <row r="330" spans="1:24" ht="30" customHeight="1">
      <c r="A330" s="204" t="str">
        <f>IF(ISBLANK(D330)," ",281-COUNTBLANK($D$6:D330))</f>
        <v xml:space="preserve"> </v>
      </c>
      <c r="B330" s="202"/>
      <c r="C330" s="202"/>
      <c r="D330" s="202"/>
      <c r="E330" s="300"/>
      <c r="F330" s="210"/>
      <c r="G330" s="203"/>
      <c r="H330" s="203"/>
      <c r="I330" s="203"/>
      <c r="J330" s="203"/>
      <c r="K330" s="205"/>
      <c r="L330" s="291"/>
      <c r="M330" s="263"/>
      <c r="N330" s="264"/>
      <c r="O330" s="265"/>
      <c r="P330" s="265"/>
      <c r="Q330" s="265"/>
      <c r="R330" s="265"/>
      <c r="S330" s="265"/>
      <c r="T330" s="265"/>
      <c r="U330" s="265"/>
    </row>
    <row r="331" spans="1:24" ht="30" customHeight="1">
      <c r="A331" s="204" t="str">
        <f>IF(ISBLANK(D331)," ",282-COUNTBLANK($D$6:D331))</f>
        <v xml:space="preserve"> </v>
      </c>
      <c r="B331" s="202"/>
      <c r="C331" s="202"/>
      <c r="D331" s="202"/>
      <c r="E331" s="300"/>
      <c r="F331" s="210"/>
      <c r="G331" s="203"/>
      <c r="H331" s="203"/>
      <c r="I331" s="203"/>
      <c r="J331" s="203"/>
      <c r="K331" s="205"/>
      <c r="L331" s="291"/>
      <c r="M331" s="263"/>
      <c r="N331" s="264"/>
      <c r="O331" s="265"/>
      <c r="P331" s="265"/>
      <c r="Q331" s="265"/>
      <c r="R331" s="265"/>
      <c r="S331" s="265"/>
      <c r="T331" s="265"/>
      <c r="U331" s="265"/>
    </row>
    <row r="332" spans="1:24" ht="30" customHeight="1">
      <c r="A332" s="204" t="str">
        <f>IF(ISBLANK(D332)," ",283-COUNTBLANK($D$6:D332))</f>
        <v xml:space="preserve"> </v>
      </c>
      <c r="B332" s="202"/>
      <c r="C332" s="202"/>
      <c r="D332" s="202"/>
      <c r="E332" s="300"/>
      <c r="F332" s="210"/>
      <c r="G332" s="203"/>
      <c r="H332" s="203"/>
      <c r="I332" s="203"/>
      <c r="J332" s="203"/>
      <c r="K332" s="205"/>
      <c r="L332" s="291"/>
      <c r="M332" s="263"/>
      <c r="N332" s="264"/>
      <c r="O332" s="265"/>
      <c r="P332" s="265"/>
      <c r="Q332" s="265"/>
      <c r="R332" s="265"/>
      <c r="S332" s="265"/>
      <c r="T332" s="265"/>
      <c r="U332" s="265"/>
    </row>
    <row r="333" spans="1:24" ht="30" customHeight="1">
      <c r="A333" s="204" t="str">
        <f>IF(ISBLANK(D333)," ",284-COUNTBLANK($D$6:D333))</f>
        <v xml:space="preserve"> </v>
      </c>
      <c r="B333" s="202"/>
      <c r="C333" s="202"/>
      <c r="D333" s="202"/>
      <c r="E333" s="300"/>
      <c r="F333" s="210"/>
      <c r="G333" s="203"/>
      <c r="H333" s="203"/>
      <c r="I333" s="203"/>
      <c r="J333" s="203"/>
      <c r="K333" s="205"/>
      <c r="L333" s="291"/>
      <c r="M333" s="263"/>
      <c r="N333" s="264"/>
      <c r="O333" s="265"/>
      <c r="P333" s="265"/>
      <c r="Q333" s="265"/>
      <c r="R333" s="265"/>
      <c r="S333" s="265"/>
      <c r="T333" s="265"/>
      <c r="U333" s="265"/>
    </row>
    <row r="334" spans="1:24" ht="30" customHeight="1">
      <c r="A334" s="204" t="str">
        <f>IF(ISBLANK(D334)," ",285-COUNTBLANK($D$6:D334))</f>
        <v xml:space="preserve"> </v>
      </c>
      <c r="B334" s="202"/>
      <c r="C334" s="202"/>
      <c r="D334" s="202"/>
      <c r="E334" s="300"/>
      <c r="F334" s="210"/>
      <c r="G334" s="203"/>
      <c r="H334" s="203"/>
      <c r="I334" s="203"/>
      <c r="J334" s="203"/>
      <c r="K334" s="205"/>
      <c r="L334" s="291"/>
      <c r="M334" s="263"/>
      <c r="N334" s="264"/>
      <c r="O334" s="265"/>
      <c r="P334" s="265"/>
      <c r="Q334" s="265"/>
      <c r="R334" s="265"/>
      <c r="S334" s="265"/>
      <c r="T334" s="265"/>
      <c r="U334" s="265"/>
    </row>
    <row r="335" spans="1:24" ht="30" customHeight="1">
      <c r="A335" s="204" t="str">
        <f>IF(ISBLANK(D335)," ",286-COUNTBLANK($D$6:D335))</f>
        <v xml:space="preserve"> </v>
      </c>
      <c r="B335" s="202"/>
      <c r="C335" s="202"/>
      <c r="D335" s="202"/>
      <c r="E335" s="300"/>
      <c r="F335" s="210"/>
      <c r="G335" s="203"/>
      <c r="H335" s="203"/>
      <c r="I335" s="203"/>
      <c r="J335" s="203"/>
      <c r="K335" s="205"/>
      <c r="L335" s="291"/>
      <c r="M335" s="263"/>
      <c r="N335" s="264"/>
      <c r="O335" s="265"/>
      <c r="P335" s="265"/>
      <c r="Q335" s="265"/>
      <c r="R335" s="265"/>
      <c r="S335" s="265"/>
      <c r="T335" s="265"/>
      <c r="U335" s="265"/>
    </row>
    <row r="336" spans="1:24" ht="30" customHeight="1">
      <c r="A336" s="204" t="str">
        <f>IF(ISBLANK(D336)," ",287-COUNTBLANK($D$6:D336))</f>
        <v xml:space="preserve"> </v>
      </c>
      <c r="B336" s="202"/>
      <c r="C336" s="202"/>
      <c r="D336" s="202"/>
      <c r="E336" s="300"/>
      <c r="F336" s="210"/>
      <c r="G336" s="203"/>
      <c r="H336" s="203"/>
      <c r="I336" s="203"/>
      <c r="J336" s="203"/>
      <c r="K336" s="205"/>
      <c r="L336" s="291"/>
      <c r="M336" s="263"/>
      <c r="N336" s="264"/>
      <c r="O336" s="265"/>
      <c r="P336" s="265"/>
      <c r="Q336" s="265"/>
      <c r="R336" s="265"/>
      <c r="S336" s="265"/>
      <c r="T336" s="265"/>
      <c r="U336" s="265"/>
    </row>
    <row r="337" spans="1:24" ht="30" customHeight="1">
      <c r="A337" s="204" t="str">
        <f>IF(ISBLANK(D337)," ",288-COUNTBLANK($D$6:D337))</f>
        <v xml:space="preserve"> </v>
      </c>
      <c r="B337" s="202"/>
      <c r="C337" s="202"/>
      <c r="D337" s="202"/>
      <c r="E337" s="300"/>
      <c r="F337" s="210"/>
      <c r="G337" s="203"/>
      <c r="H337" s="203"/>
      <c r="I337" s="203"/>
      <c r="J337" s="203"/>
      <c r="K337" s="205"/>
      <c r="L337" s="291"/>
      <c r="M337" s="263"/>
      <c r="N337" s="264"/>
      <c r="O337" s="265"/>
      <c r="P337" s="265"/>
      <c r="Q337" s="265"/>
      <c r="R337" s="265"/>
      <c r="S337" s="265"/>
      <c r="T337" s="265"/>
      <c r="U337" s="265"/>
    </row>
    <row r="338" spans="1:24" ht="30" customHeight="1">
      <c r="A338" s="204" t="str">
        <f>IF(ISBLANK(D338)," ",289-COUNTBLANK($D$6:D338))</f>
        <v xml:space="preserve"> </v>
      </c>
      <c r="B338" s="202"/>
      <c r="C338" s="202"/>
      <c r="D338" s="202"/>
      <c r="E338" s="300"/>
      <c r="F338" s="210"/>
      <c r="G338" s="203"/>
      <c r="H338" s="203"/>
      <c r="I338" s="203"/>
      <c r="J338" s="203"/>
      <c r="K338" s="205"/>
      <c r="L338" s="291"/>
      <c r="M338" s="263"/>
      <c r="N338" s="264"/>
      <c r="O338" s="265"/>
      <c r="P338" s="265"/>
      <c r="Q338" s="265"/>
      <c r="R338" s="265"/>
      <c r="S338" s="265"/>
      <c r="T338" s="265"/>
      <c r="U338" s="265"/>
    </row>
    <row r="339" spans="1:24" ht="30" customHeight="1">
      <c r="A339" s="204" t="str">
        <f>IF(ISBLANK(D339)," ",290-COUNTBLANK($D$6:D339))</f>
        <v xml:space="preserve"> </v>
      </c>
      <c r="B339" s="202"/>
      <c r="C339" s="202"/>
      <c r="D339" s="202"/>
      <c r="E339" s="300"/>
      <c r="F339" s="210"/>
      <c r="G339" s="203"/>
      <c r="H339" s="203"/>
      <c r="I339" s="203"/>
      <c r="J339" s="203"/>
      <c r="K339" s="205"/>
      <c r="L339" s="291"/>
      <c r="M339" s="263"/>
      <c r="N339" s="266"/>
      <c r="O339" s="265"/>
      <c r="P339" s="265"/>
      <c r="Q339" s="265"/>
      <c r="R339" s="265"/>
      <c r="S339" s="265"/>
      <c r="T339" s="265"/>
      <c r="U339" s="267"/>
    </row>
    <row r="340" spans="1:24" ht="30" customHeight="1">
      <c r="A340" s="204" t="str">
        <f>IF(ISBLANK(D340)," ",291-COUNTBLANK($D$6:D340))</f>
        <v xml:space="preserve"> </v>
      </c>
      <c r="B340" s="202"/>
      <c r="C340" s="202"/>
      <c r="D340" s="202"/>
      <c r="E340" s="300"/>
      <c r="F340" s="210"/>
      <c r="G340" s="203"/>
      <c r="H340" s="203"/>
      <c r="I340" s="203"/>
      <c r="J340" s="203"/>
      <c r="K340" s="205"/>
      <c r="L340" s="291"/>
      <c r="M340" s="263"/>
      <c r="N340" s="266"/>
      <c r="O340" s="265"/>
      <c r="P340" s="265"/>
      <c r="Q340" s="265"/>
      <c r="R340" s="265"/>
      <c r="S340" s="265"/>
      <c r="T340" s="265"/>
      <c r="U340" s="267"/>
    </row>
    <row r="341" spans="1:24" ht="30" customHeight="1">
      <c r="A341" s="204" t="str">
        <f>IF(ISBLANK(D341)," ",292-COUNTBLANK($D$6:D341))</f>
        <v xml:space="preserve"> </v>
      </c>
      <c r="B341" s="202"/>
      <c r="C341" s="202"/>
      <c r="D341" s="202"/>
      <c r="E341" s="300"/>
      <c r="F341" s="210"/>
      <c r="G341" s="203"/>
      <c r="H341" s="203"/>
      <c r="I341" s="203"/>
      <c r="J341" s="203"/>
      <c r="K341" s="205"/>
      <c r="L341" s="291"/>
      <c r="M341" s="263"/>
      <c r="N341" s="266"/>
      <c r="O341" s="265"/>
      <c r="P341" s="265"/>
      <c r="Q341" s="265"/>
      <c r="R341" s="265"/>
      <c r="S341" s="265"/>
      <c r="T341" s="265"/>
      <c r="U341" s="267"/>
    </row>
    <row r="342" spans="1:24" ht="30" customHeight="1">
      <c r="A342" s="204" t="str">
        <f>IF(ISBLANK(D342)," ",293-COUNTBLANK($D$6:D342))</f>
        <v xml:space="preserve"> </v>
      </c>
      <c r="B342" s="202"/>
      <c r="C342" s="202"/>
      <c r="D342" s="202"/>
      <c r="E342" s="300"/>
      <c r="F342" s="210"/>
      <c r="G342" s="203"/>
      <c r="H342" s="203"/>
      <c r="I342" s="203"/>
      <c r="J342" s="203"/>
      <c r="K342" s="205"/>
      <c r="L342" s="291"/>
      <c r="M342" s="263"/>
      <c r="N342" s="266"/>
      <c r="O342" s="265"/>
      <c r="P342" s="265"/>
      <c r="Q342" s="265"/>
      <c r="R342" s="265"/>
      <c r="S342" s="265"/>
      <c r="T342" s="265"/>
      <c r="U342" s="267"/>
    </row>
    <row r="343" spans="1:24" ht="30" customHeight="1">
      <c r="A343" s="304" t="s">
        <v>52</v>
      </c>
      <c r="B343" s="296"/>
      <c r="C343" s="305"/>
      <c r="D343" s="306"/>
      <c r="E343" s="297"/>
      <c r="F343" s="298">
        <f>SUM(F323:F342)</f>
        <v>0</v>
      </c>
      <c r="G343" s="282"/>
      <c r="H343" s="282"/>
      <c r="I343" s="282"/>
      <c r="J343" s="282"/>
      <c r="K343" s="283"/>
      <c r="L343" s="303"/>
      <c r="M343" s="263"/>
      <c r="N343" s="264"/>
      <c r="O343" s="265"/>
      <c r="P343" s="265"/>
      <c r="Q343" s="265"/>
      <c r="R343" s="265"/>
      <c r="S343" s="265"/>
      <c r="T343" s="265"/>
      <c r="U343" s="284"/>
      <c r="V343" s="265"/>
      <c r="W343" s="265"/>
      <c r="X343" s="265"/>
    </row>
    <row r="344" spans="1:24" ht="30" customHeight="1">
      <c r="A344" s="260" t="str">
        <f>IF(ISBLANK(D344)," ",295-COUNTBLANK($D$6:D344))</f>
        <v xml:space="preserve"> </v>
      </c>
      <c r="B344" s="200"/>
      <c r="C344" s="200"/>
      <c r="D344" s="200"/>
      <c r="E344" s="299"/>
      <c r="F344" s="209"/>
      <c r="G344" s="201"/>
      <c r="H344" s="201"/>
      <c r="I344" s="201"/>
      <c r="J344" s="201"/>
      <c r="K344" s="262"/>
      <c r="L344" s="291"/>
      <c r="M344" s="263"/>
      <c r="N344" s="266"/>
      <c r="O344" s="265"/>
      <c r="P344" s="265"/>
      <c r="Q344" s="265"/>
      <c r="R344" s="265"/>
      <c r="S344" s="265"/>
      <c r="T344" s="265"/>
      <c r="U344" s="284"/>
      <c r="V344" s="265"/>
      <c r="W344" s="265"/>
      <c r="X344" s="265"/>
    </row>
    <row r="345" spans="1:24" ht="30" customHeight="1">
      <c r="A345" s="204" t="str">
        <f>IF(ISBLANK(D345)," ",296-COUNTBLANK($D$6:D345))</f>
        <v xml:space="preserve"> </v>
      </c>
      <c r="B345" s="202"/>
      <c r="C345" s="202"/>
      <c r="D345" s="202"/>
      <c r="E345" s="300"/>
      <c r="F345" s="210"/>
      <c r="G345" s="203"/>
      <c r="H345" s="203"/>
      <c r="I345" s="203"/>
      <c r="J345" s="203"/>
      <c r="K345" s="205"/>
      <c r="L345" s="291"/>
      <c r="M345" s="263"/>
      <c r="N345" s="264"/>
      <c r="O345" s="265"/>
      <c r="P345" s="265"/>
      <c r="Q345" s="265"/>
      <c r="R345" s="265"/>
      <c r="S345" s="265"/>
      <c r="T345" s="265"/>
      <c r="U345" s="265"/>
    </row>
    <row r="346" spans="1:24" ht="30" customHeight="1">
      <c r="A346" s="204" t="str">
        <f>IF(ISBLANK(D346)," ",297-COUNTBLANK($D$6:D346))</f>
        <v xml:space="preserve"> </v>
      </c>
      <c r="B346" s="202"/>
      <c r="C346" s="202"/>
      <c r="D346" s="202"/>
      <c r="E346" s="300"/>
      <c r="F346" s="210"/>
      <c r="G346" s="203"/>
      <c r="H346" s="203"/>
      <c r="I346" s="203"/>
      <c r="J346" s="203"/>
      <c r="K346" s="205"/>
      <c r="L346" s="291"/>
      <c r="M346" s="263"/>
      <c r="N346" s="264"/>
      <c r="O346" s="265"/>
      <c r="P346" s="265"/>
      <c r="Q346" s="265"/>
      <c r="R346" s="265"/>
      <c r="S346" s="265"/>
      <c r="T346" s="265"/>
      <c r="U346" s="265"/>
    </row>
    <row r="347" spans="1:24" ht="30" customHeight="1">
      <c r="A347" s="204" t="str">
        <f>IF(ISBLANK(D347)," ",298-COUNTBLANK($D$6:D347))</f>
        <v xml:space="preserve"> </v>
      </c>
      <c r="B347" s="202"/>
      <c r="C347" s="202"/>
      <c r="D347" s="202"/>
      <c r="E347" s="300"/>
      <c r="F347" s="210"/>
      <c r="G347" s="203"/>
      <c r="H347" s="203"/>
      <c r="I347" s="203"/>
      <c r="J347" s="203"/>
      <c r="K347" s="205"/>
      <c r="L347" s="291"/>
      <c r="M347" s="263"/>
      <c r="N347" s="264"/>
      <c r="O347" s="265"/>
      <c r="P347" s="265"/>
      <c r="Q347" s="265"/>
      <c r="R347" s="265"/>
      <c r="S347" s="265"/>
      <c r="T347" s="265"/>
      <c r="U347" s="265"/>
    </row>
    <row r="348" spans="1:24" ht="30" customHeight="1">
      <c r="A348" s="204" t="str">
        <f>IF(ISBLANK(D348)," ",299-COUNTBLANK($D$6:D348))</f>
        <v xml:space="preserve"> </v>
      </c>
      <c r="B348" s="202"/>
      <c r="C348" s="202"/>
      <c r="D348" s="202"/>
      <c r="E348" s="300"/>
      <c r="F348" s="210"/>
      <c r="G348" s="203"/>
      <c r="H348" s="203"/>
      <c r="I348" s="203"/>
      <c r="J348" s="203"/>
      <c r="K348" s="205"/>
      <c r="L348" s="291"/>
      <c r="M348" s="263"/>
      <c r="N348" s="264"/>
      <c r="O348" s="265"/>
      <c r="P348" s="265"/>
      <c r="Q348" s="265"/>
      <c r="R348" s="265"/>
      <c r="S348" s="265"/>
      <c r="T348" s="265"/>
      <c r="U348" s="265"/>
    </row>
    <row r="349" spans="1:24" ht="30" customHeight="1">
      <c r="A349" s="204" t="str">
        <f>IF(ISBLANK(D349)," ",300-COUNTBLANK($D$6:D349))</f>
        <v xml:space="preserve"> </v>
      </c>
      <c r="B349" s="202"/>
      <c r="C349" s="202"/>
      <c r="D349" s="202"/>
      <c r="E349" s="300"/>
      <c r="F349" s="210"/>
      <c r="G349" s="203"/>
      <c r="H349" s="203"/>
      <c r="I349" s="203"/>
      <c r="J349" s="203"/>
      <c r="K349" s="205"/>
      <c r="L349" s="291"/>
      <c r="M349" s="263"/>
      <c r="N349" s="264"/>
      <c r="O349" s="265"/>
      <c r="P349" s="265"/>
      <c r="Q349" s="265"/>
      <c r="R349" s="265"/>
      <c r="S349" s="265"/>
      <c r="T349" s="265"/>
      <c r="U349" s="265"/>
    </row>
    <row r="350" spans="1:24" ht="30" customHeight="1">
      <c r="A350" s="204" t="str">
        <f>IF(ISBLANK(D350)," ",301-COUNTBLANK($D$6:D350))</f>
        <v xml:space="preserve"> </v>
      </c>
      <c r="B350" s="202"/>
      <c r="C350" s="202"/>
      <c r="D350" s="202"/>
      <c r="E350" s="300"/>
      <c r="F350" s="210"/>
      <c r="G350" s="203"/>
      <c r="H350" s="203"/>
      <c r="I350" s="203"/>
      <c r="J350" s="203"/>
      <c r="K350" s="205"/>
      <c r="L350" s="291"/>
      <c r="M350" s="263"/>
      <c r="N350" s="264"/>
      <c r="O350" s="265"/>
      <c r="P350" s="265"/>
      <c r="Q350" s="265"/>
      <c r="R350" s="265"/>
      <c r="S350" s="265"/>
      <c r="T350" s="265"/>
      <c r="U350" s="265"/>
    </row>
    <row r="351" spans="1:24" ht="30" customHeight="1">
      <c r="A351" s="204" t="str">
        <f>IF(ISBLANK(D351)," ",302-COUNTBLANK($D$6:D351))</f>
        <v xml:space="preserve"> </v>
      </c>
      <c r="B351" s="202"/>
      <c r="C351" s="202"/>
      <c r="D351" s="202"/>
      <c r="E351" s="300"/>
      <c r="F351" s="210"/>
      <c r="G351" s="203"/>
      <c r="H351" s="203"/>
      <c r="I351" s="203"/>
      <c r="J351" s="203"/>
      <c r="K351" s="205"/>
      <c r="L351" s="291"/>
      <c r="M351" s="263"/>
      <c r="N351" s="264"/>
      <c r="O351" s="265"/>
      <c r="P351" s="265"/>
      <c r="Q351" s="265"/>
      <c r="R351" s="265"/>
      <c r="S351" s="265"/>
      <c r="T351" s="265"/>
      <c r="U351" s="265"/>
    </row>
    <row r="352" spans="1:24" ht="30" customHeight="1">
      <c r="A352" s="204" t="str">
        <f>IF(ISBLANK(D352)," ",303-COUNTBLANK($D$6:D352))</f>
        <v xml:space="preserve"> </v>
      </c>
      <c r="B352" s="202"/>
      <c r="C352" s="202"/>
      <c r="D352" s="202"/>
      <c r="E352" s="300"/>
      <c r="F352" s="210"/>
      <c r="G352" s="203"/>
      <c r="H352" s="203"/>
      <c r="I352" s="203"/>
      <c r="J352" s="203"/>
      <c r="K352" s="205"/>
      <c r="L352" s="291"/>
      <c r="M352" s="263"/>
      <c r="N352" s="264"/>
      <c r="O352" s="265"/>
      <c r="P352" s="265"/>
      <c r="Q352" s="265"/>
      <c r="R352" s="265"/>
      <c r="S352" s="265"/>
      <c r="T352" s="265"/>
      <c r="U352" s="265"/>
    </row>
    <row r="353" spans="1:24" ht="30" customHeight="1">
      <c r="A353" s="204" t="str">
        <f>IF(ISBLANK(D353)," ",304-COUNTBLANK($D$6:D353))</f>
        <v xml:space="preserve"> </v>
      </c>
      <c r="B353" s="202"/>
      <c r="C353" s="202"/>
      <c r="D353" s="202"/>
      <c r="E353" s="300"/>
      <c r="F353" s="210"/>
      <c r="G353" s="203"/>
      <c r="H353" s="203"/>
      <c r="I353" s="203"/>
      <c r="J353" s="203"/>
      <c r="K353" s="205"/>
      <c r="L353" s="291"/>
      <c r="M353" s="263"/>
      <c r="N353" s="264"/>
      <c r="O353" s="265"/>
      <c r="P353" s="265"/>
      <c r="Q353" s="265"/>
      <c r="R353" s="265"/>
      <c r="S353" s="265"/>
      <c r="T353" s="265"/>
      <c r="U353" s="265"/>
    </row>
    <row r="354" spans="1:24" ht="30" customHeight="1">
      <c r="A354" s="204" t="str">
        <f>IF(ISBLANK(D354)," ",305-COUNTBLANK($D$6:D354))</f>
        <v xml:space="preserve"> </v>
      </c>
      <c r="B354" s="202"/>
      <c r="C354" s="202"/>
      <c r="D354" s="202"/>
      <c r="E354" s="300"/>
      <c r="F354" s="210"/>
      <c r="G354" s="203"/>
      <c r="H354" s="203"/>
      <c r="I354" s="203"/>
      <c r="J354" s="203"/>
      <c r="K354" s="205"/>
      <c r="L354" s="291"/>
      <c r="M354" s="263"/>
      <c r="N354" s="264"/>
      <c r="O354" s="265"/>
      <c r="P354" s="265"/>
      <c r="Q354" s="265"/>
      <c r="R354" s="265"/>
      <c r="S354" s="265"/>
      <c r="T354" s="265"/>
      <c r="U354" s="265"/>
    </row>
    <row r="355" spans="1:24" ht="30" customHeight="1">
      <c r="A355" s="204" t="str">
        <f>IF(ISBLANK(D355)," ",306-COUNTBLANK($D$6:D355))</f>
        <v xml:space="preserve"> </v>
      </c>
      <c r="B355" s="202"/>
      <c r="C355" s="202"/>
      <c r="D355" s="202"/>
      <c r="E355" s="300"/>
      <c r="F355" s="210"/>
      <c r="G355" s="203"/>
      <c r="H355" s="203"/>
      <c r="I355" s="203"/>
      <c r="J355" s="203"/>
      <c r="K355" s="205"/>
      <c r="L355" s="291"/>
      <c r="M355" s="263"/>
      <c r="N355" s="264"/>
      <c r="O355" s="265"/>
      <c r="P355" s="265"/>
      <c r="Q355" s="265"/>
      <c r="R355" s="265"/>
      <c r="S355" s="265"/>
      <c r="T355" s="265"/>
      <c r="U355" s="265"/>
    </row>
    <row r="356" spans="1:24" ht="30" customHeight="1">
      <c r="A356" s="204" t="str">
        <f>IF(ISBLANK(D356)," ",307-COUNTBLANK($D$6:D356))</f>
        <v xml:space="preserve"> </v>
      </c>
      <c r="B356" s="202"/>
      <c r="C356" s="202"/>
      <c r="D356" s="202"/>
      <c r="E356" s="300"/>
      <c r="F356" s="210"/>
      <c r="G356" s="203"/>
      <c r="H356" s="203"/>
      <c r="I356" s="203"/>
      <c r="J356" s="203"/>
      <c r="K356" s="205"/>
      <c r="L356" s="291"/>
      <c r="M356" s="263"/>
      <c r="N356" s="264"/>
      <c r="O356" s="265"/>
      <c r="P356" s="265"/>
      <c r="Q356" s="265"/>
      <c r="R356" s="265"/>
      <c r="S356" s="265"/>
      <c r="T356" s="265"/>
      <c r="U356" s="265"/>
    </row>
    <row r="357" spans="1:24" ht="30" customHeight="1">
      <c r="A357" s="204" t="str">
        <f>IF(ISBLANK(D357)," ",308-COUNTBLANK($D$6:D357))</f>
        <v xml:space="preserve"> </v>
      </c>
      <c r="B357" s="202"/>
      <c r="C357" s="202"/>
      <c r="D357" s="202"/>
      <c r="E357" s="300"/>
      <c r="F357" s="210"/>
      <c r="G357" s="203"/>
      <c r="H357" s="203"/>
      <c r="I357" s="203"/>
      <c r="J357" s="203"/>
      <c r="K357" s="205"/>
      <c r="L357" s="291"/>
      <c r="M357" s="263"/>
      <c r="N357" s="264"/>
      <c r="O357" s="265"/>
      <c r="P357" s="265"/>
      <c r="Q357" s="265"/>
      <c r="R357" s="265"/>
      <c r="S357" s="265"/>
      <c r="T357" s="265"/>
      <c r="U357" s="265"/>
    </row>
    <row r="358" spans="1:24" ht="30" customHeight="1">
      <c r="A358" s="204" t="str">
        <f>IF(ISBLANK(D358)," ",309-COUNTBLANK($D$6:D358))</f>
        <v xml:space="preserve"> </v>
      </c>
      <c r="B358" s="202"/>
      <c r="C358" s="202"/>
      <c r="D358" s="202"/>
      <c r="E358" s="300"/>
      <c r="F358" s="210"/>
      <c r="G358" s="203"/>
      <c r="H358" s="203"/>
      <c r="I358" s="203"/>
      <c r="J358" s="203"/>
      <c r="K358" s="205"/>
      <c r="L358" s="291"/>
      <c r="M358" s="263"/>
      <c r="N358" s="264"/>
      <c r="O358" s="265"/>
      <c r="P358" s="265"/>
      <c r="Q358" s="265"/>
      <c r="R358" s="265"/>
      <c r="S358" s="265"/>
      <c r="T358" s="265"/>
      <c r="U358" s="265"/>
    </row>
    <row r="359" spans="1:24" ht="30" customHeight="1">
      <c r="A359" s="204" t="str">
        <f>IF(ISBLANK(D359)," ",310-COUNTBLANK($D$6:D359))</f>
        <v xml:space="preserve"> </v>
      </c>
      <c r="B359" s="202"/>
      <c r="C359" s="202"/>
      <c r="D359" s="202"/>
      <c r="E359" s="300"/>
      <c r="F359" s="210"/>
      <c r="G359" s="203"/>
      <c r="H359" s="203"/>
      <c r="I359" s="203"/>
      <c r="J359" s="203"/>
      <c r="K359" s="205"/>
      <c r="L359" s="291"/>
      <c r="M359" s="263"/>
      <c r="N359" s="264"/>
      <c r="O359" s="265"/>
      <c r="P359" s="265"/>
      <c r="Q359" s="265"/>
      <c r="R359" s="265"/>
      <c r="S359" s="265"/>
      <c r="T359" s="265"/>
      <c r="U359" s="265"/>
    </row>
    <row r="360" spans="1:24" ht="30" customHeight="1">
      <c r="A360" s="204" t="str">
        <f>IF(ISBLANK(D360)," ",311-COUNTBLANK($D$6:D360))</f>
        <v xml:space="preserve"> </v>
      </c>
      <c r="B360" s="202"/>
      <c r="C360" s="202"/>
      <c r="D360" s="202"/>
      <c r="E360" s="300"/>
      <c r="F360" s="210"/>
      <c r="G360" s="203"/>
      <c r="H360" s="203"/>
      <c r="I360" s="203"/>
      <c r="J360" s="203"/>
      <c r="K360" s="205"/>
      <c r="L360" s="291"/>
      <c r="M360" s="263"/>
      <c r="N360" s="266"/>
      <c r="O360" s="265"/>
      <c r="P360" s="265"/>
      <c r="Q360" s="265"/>
      <c r="R360" s="265"/>
      <c r="S360" s="265"/>
      <c r="T360" s="265"/>
      <c r="U360" s="267"/>
    </row>
    <row r="361" spans="1:24" ht="30" customHeight="1">
      <c r="A361" s="204" t="str">
        <f>IF(ISBLANK(D361)," ",312-COUNTBLANK($D$6:D361))</f>
        <v xml:space="preserve"> </v>
      </c>
      <c r="B361" s="202"/>
      <c r="C361" s="202"/>
      <c r="D361" s="202"/>
      <c r="E361" s="300"/>
      <c r="F361" s="210"/>
      <c r="G361" s="203"/>
      <c r="H361" s="203"/>
      <c r="I361" s="203"/>
      <c r="J361" s="203"/>
      <c r="K361" s="205"/>
      <c r="L361" s="291"/>
      <c r="M361" s="263"/>
      <c r="N361" s="266"/>
      <c r="O361" s="265"/>
      <c r="P361" s="265"/>
      <c r="Q361" s="265"/>
      <c r="R361" s="265"/>
      <c r="S361" s="265"/>
      <c r="T361" s="265"/>
      <c r="U361" s="267"/>
    </row>
    <row r="362" spans="1:24" ht="30" customHeight="1">
      <c r="A362" s="204" t="str">
        <f>IF(ISBLANK(D362)," ",313-COUNTBLANK($D$6:D362))</f>
        <v xml:space="preserve"> </v>
      </c>
      <c r="B362" s="202"/>
      <c r="C362" s="202"/>
      <c r="D362" s="202"/>
      <c r="E362" s="300"/>
      <c r="F362" s="210"/>
      <c r="G362" s="203"/>
      <c r="H362" s="203"/>
      <c r="I362" s="203"/>
      <c r="J362" s="203"/>
      <c r="K362" s="205"/>
      <c r="L362" s="291"/>
      <c r="M362" s="263"/>
      <c r="N362" s="266"/>
      <c r="O362" s="265"/>
      <c r="P362" s="265"/>
      <c r="Q362" s="265"/>
      <c r="R362" s="265"/>
      <c r="S362" s="265"/>
      <c r="T362" s="265"/>
      <c r="U362" s="267"/>
    </row>
    <row r="363" spans="1:24" ht="30" customHeight="1">
      <c r="A363" s="204" t="str">
        <f>IF(ISBLANK(D363)," ",314-COUNTBLANK($D$6:D363))</f>
        <v xml:space="preserve"> </v>
      </c>
      <c r="B363" s="202"/>
      <c r="C363" s="202"/>
      <c r="D363" s="202"/>
      <c r="E363" s="300"/>
      <c r="F363" s="210"/>
      <c r="G363" s="203"/>
      <c r="H363" s="203"/>
      <c r="I363" s="203"/>
      <c r="J363" s="203"/>
      <c r="K363" s="205"/>
      <c r="L363" s="291"/>
      <c r="M363" s="263"/>
      <c r="N363" s="266"/>
      <c r="O363" s="265"/>
      <c r="P363" s="265"/>
      <c r="Q363" s="265"/>
      <c r="R363" s="265"/>
      <c r="S363" s="265"/>
      <c r="T363" s="265"/>
      <c r="U363" s="267"/>
    </row>
    <row r="364" spans="1:24" ht="30" customHeight="1">
      <c r="A364" s="304" t="s">
        <v>52</v>
      </c>
      <c r="B364" s="296"/>
      <c r="C364" s="305"/>
      <c r="D364" s="306"/>
      <c r="E364" s="297"/>
      <c r="F364" s="298">
        <f>SUM(F344:F363)</f>
        <v>0</v>
      </c>
      <c r="G364" s="282"/>
      <c r="H364" s="282"/>
      <c r="I364" s="282"/>
      <c r="J364" s="282"/>
      <c r="K364" s="283"/>
      <c r="L364" s="303"/>
      <c r="M364" s="263"/>
      <c r="N364" s="264"/>
      <c r="O364" s="265"/>
      <c r="P364" s="265"/>
      <c r="Q364" s="265"/>
      <c r="R364" s="265"/>
      <c r="S364" s="265"/>
      <c r="T364" s="265"/>
      <c r="U364" s="284"/>
      <c r="V364" s="265"/>
      <c r="W364" s="265"/>
      <c r="X364" s="265"/>
    </row>
    <row r="365" spans="1:24" ht="30" customHeight="1">
      <c r="A365" s="260" t="str">
        <f>IF(ISBLANK(D365)," ",316-COUNTBLANK($D$6:D365))</f>
        <v xml:space="preserve"> </v>
      </c>
      <c r="B365" s="200"/>
      <c r="C365" s="200"/>
      <c r="D365" s="200"/>
      <c r="E365" s="299"/>
      <c r="F365" s="209"/>
      <c r="G365" s="201"/>
      <c r="H365" s="201"/>
      <c r="I365" s="201"/>
      <c r="J365" s="201"/>
      <c r="K365" s="262"/>
      <c r="L365" s="291"/>
      <c r="M365" s="263"/>
      <c r="N365" s="266"/>
      <c r="O365" s="265"/>
      <c r="P365" s="265"/>
      <c r="Q365" s="265"/>
      <c r="R365" s="265"/>
      <c r="S365" s="265"/>
      <c r="T365" s="265"/>
      <c r="U365" s="284"/>
      <c r="V365" s="265"/>
      <c r="W365" s="265"/>
      <c r="X365" s="265"/>
    </row>
    <row r="366" spans="1:24" ht="30" customHeight="1">
      <c r="A366" s="204" t="str">
        <f>IF(ISBLANK(D366)," ",317-COUNTBLANK($D$6:D366))</f>
        <v xml:space="preserve"> </v>
      </c>
      <c r="B366" s="202"/>
      <c r="C366" s="202"/>
      <c r="D366" s="202"/>
      <c r="E366" s="300"/>
      <c r="F366" s="210"/>
      <c r="G366" s="203"/>
      <c r="H366" s="203"/>
      <c r="I366" s="203"/>
      <c r="J366" s="203"/>
      <c r="K366" s="205"/>
      <c r="L366" s="291"/>
      <c r="M366" s="263"/>
      <c r="N366" s="264"/>
      <c r="O366" s="265"/>
      <c r="P366" s="265"/>
      <c r="Q366" s="265"/>
      <c r="R366" s="265"/>
      <c r="S366" s="265"/>
      <c r="T366" s="265"/>
      <c r="U366" s="265"/>
    </row>
    <row r="367" spans="1:24" ht="30" customHeight="1">
      <c r="A367" s="204" t="str">
        <f>IF(ISBLANK(D367)," ",318-COUNTBLANK($D$6:D367))</f>
        <v xml:space="preserve"> </v>
      </c>
      <c r="B367" s="202"/>
      <c r="C367" s="202"/>
      <c r="D367" s="202"/>
      <c r="E367" s="300"/>
      <c r="F367" s="210"/>
      <c r="G367" s="203"/>
      <c r="H367" s="203"/>
      <c r="I367" s="203"/>
      <c r="J367" s="203"/>
      <c r="K367" s="205"/>
      <c r="L367" s="291"/>
      <c r="M367" s="263"/>
      <c r="N367" s="264"/>
      <c r="O367" s="265"/>
      <c r="P367" s="265"/>
      <c r="Q367" s="265"/>
      <c r="R367" s="265"/>
      <c r="S367" s="265"/>
      <c r="T367" s="265"/>
      <c r="U367" s="265"/>
    </row>
    <row r="368" spans="1:24" ht="30" customHeight="1">
      <c r="A368" s="204" t="str">
        <f>IF(ISBLANK(D368)," ",319-COUNTBLANK($D$6:D368))</f>
        <v xml:space="preserve"> </v>
      </c>
      <c r="B368" s="202"/>
      <c r="C368" s="202"/>
      <c r="D368" s="202"/>
      <c r="E368" s="300"/>
      <c r="F368" s="210"/>
      <c r="G368" s="203"/>
      <c r="H368" s="203"/>
      <c r="I368" s="203"/>
      <c r="J368" s="203"/>
      <c r="K368" s="205"/>
      <c r="L368" s="291"/>
      <c r="M368" s="263"/>
      <c r="N368" s="264"/>
      <c r="O368" s="265"/>
      <c r="P368" s="265"/>
      <c r="Q368" s="265"/>
      <c r="R368" s="265"/>
      <c r="S368" s="265"/>
      <c r="T368" s="265"/>
      <c r="U368" s="265"/>
    </row>
    <row r="369" spans="1:21" ht="30" customHeight="1">
      <c r="A369" s="204" t="str">
        <f>IF(ISBLANK(D369)," ",320-COUNTBLANK($D$6:D369))</f>
        <v xml:space="preserve"> </v>
      </c>
      <c r="B369" s="202"/>
      <c r="C369" s="202"/>
      <c r="D369" s="202"/>
      <c r="E369" s="300"/>
      <c r="F369" s="210"/>
      <c r="G369" s="203"/>
      <c r="H369" s="203"/>
      <c r="I369" s="203"/>
      <c r="J369" s="203"/>
      <c r="K369" s="205"/>
      <c r="L369" s="291"/>
      <c r="M369" s="263"/>
      <c r="N369" s="264"/>
      <c r="O369" s="265"/>
      <c r="P369" s="265"/>
      <c r="Q369" s="265"/>
      <c r="R369" s="265"/>
      <c r="S369" s="265"/>
      <c r="T369" s="265"/>
      <c r="U369" s="265"/>
    </row>
    <row r="370" spans="1:21" ht="30" customHeight="1">
      <c r="A370" s="204" t="str">
        <f>IF(ISBLANK(D370)," ",321-COUNTBLANK($D$6:D370))</f>
        <v xml:space="preserve"> </v>
      </c>
      <c r="B370" s="202"/>
      <c r="C370" s="202"/>
      <c r="D370" s="202"/>
      <c r="E370" s="300"/>
      <c r="F370" s="210"/>
      <c r="G370" s="203"/>
      <c r="H370" s="203"/>
      <c r="I370" s="203"/>
      <c r="J370" s="203"/>
      <c r="K370" s="205"/>
      <c r="L370" s="291"/>
      <c r="M370" s="263"/>
      <c r="N370" s="264"/>
      <c r="O370" s="265"/>
      <c r="P370" s="265"/>
      <c r="Q370" s="265"/>
      <c r="R370" s="265"/>
      <c r="S370" s="265"/>
      <c r="T370" s="265"/>
      <c r="U370" s="265"/>
    </row>
    <row r="371" spans="1:21" ht="30" customHeight="1">
      <c r="A371" s="204" t="str">
        <f>IF(ISBLANK(D371)," ",322-COUNTBLANK($D$6:D371))</f>
        <v xml:space="preserve"> </v>
      </c>
      <c r="B371" s="202"/>
      <c r="C371" s="202"/>
      <c r="D371" s="202"/>
      <c r="E371" s="300"/>
      <c r="F371" s="210"/>
      <c r="G371" s="203"/>
      <c r="H371" s="203"/>
      <c r="I371" s="203"/>
      <c r="J371" s="203"/>
      <c r="K371" s="205"/>
      <c r="L371" s="291"/>
      <c r="M371" s="263"/>
      <c r="N371" s="264"/>
      <c r="O371" s="265"/>
      <c r="P371" s="265"/>
      <c r="Q371" s="265"/>
      <c r="R371" s="265"/>
      <c r="S371" s="265"/>
      <c r="T371" s="265"/>
      <c r="U371" s="265"/>
    </row>
    <row r="372" spans="1:21" ht="30" customHeight="1">
      <c r="A372" s="204" t="str">
        <f>IF(ISBLANK(D372)," ",323-COUNTBLANK($D$6:D372))</f>
        <v xml:space="preserve"> </v>
      </c>
      <c r="B372" s="202"/>
      <c r="C372" s="202"/>
      <c r="D372" s="202"/>
      <c r="E372" s="300"/>
      <c r="F372" s="210"/>
      <c r="G372" s="203"/>
      <c r="H372" s="203"/>
      <c r="I372" s="203"/>
      <c r="J372" s="203"/>
      <c r="K372" s="205"/>
      <c r="L372" s="291"/>
      <c r="M372" s="263"/>
      <c r="N372" s="264"/>
      <c r="O372" s="265"/>
      <c r="P372" s="265"/>
      <c r="Q372" s="265"/>
      <c r="R372" s="265"/>
      <c r="S372" s="265"/>
      <c r="T372" s="265"/>
      <c r="U372" s="265"/>
    </row>
    <row r="373" spans="1:21" ht="30" customHeight="1">
      <c r="A373" s="204" t="str">
        <f>IF(ISBLANK(D373)," ",324-COUNTBLANK($D$6:D373))</f>
        <v xml:space="preserve"> </v>
      </c>
      <c r="B373" s="202"/>
      <c r="C373" s="202"/>
      <c r="D373" s="202"/>
      <c r="E373" s="300"/>
      <c r="F373" s="210"/>
      <c r="G373" s="203"/>
      <c r="H373" s="203"/>
      <c r="I373" s="203"/>
      <c r="J373" s="203"/>
      <c r="K373" s="205"/>
      <c r="L373" s="291"/>
      <c r="M373" s="263"/>
      <c r="N373" s="264"/>
      <c r="O373" s="265"/>
      <c r="P373" s="265"/>
      <c r="Q373" s="265"/>
      <c r="R373" s="265"/>
      <c r="S373" s="265"/>
      <c r="T373" s="265"/>
      <c r="U373" s="265"/>
    </row>
    <row r="374" spans="1:21" ht="30" customHeight="1">
      <c r="A374" s="204" t="str">
        <f>IF(ISBLANK(D374)," ",325-COUNTBLANK($D$6:D374))</f>
        <v xml:space="preserve"> </v>
      </c>
      <c r="B374" s="202"/>
      <c r="C374" s="202"/>
      <c r="D374" s="202"/>
      <c r="E374" s="300"/>
      <c r="F374" s="210"/>
      <c r="G374" s="203"/>
      <c r="H374" s="203"/>
      <c r="I374" s="203"/>
      <c r="J374" s="203"/>
      <c r="K374" s="205"/>
      <c r="L374" s="291"/>
      <c r="M374" s="263"/>
      <c r="N374" s="264"/>
      <c r="O374" s="265"/>
      <c r="P374" s="265"/>
      <c r="Q374" s="265"/>
      <c r="R374" s="265"/>
      <c r="S374" s="265"/>
      <c r="T374" s="265"/>
      <c r="U374" s="265"/>
    </row>
    <row r="375" spans="1:21" ht="30" customHeight="1">
      <c r="A375" s="204" t="str">
        <f>IF(ISBLANK(D375)," ",326-COUNTBLANK($D$6:D375))</f>
        <v xml:space="preserve"> </v>
      </c>
      <c r="B375" s="202"/>
      <c r="C375" s="202"/>
      <c r="D375" s="202"/>
      <c r="E375" s="300"/>
      <c r="F375" s="210"/>
      <c r="G375" s="203"/>
      <c r="H375" s="203"/>
      <c r="I375" s="203"/>
      <c r="J375" s="203"/>
      <c r="K375" s="205"/>
      <c r="L375" s="291"/>
      <c r="M375" s="263"/>
      <c r="N375" s="264"/>
      <c r="O375" s="265"/>
      <c r="P375" s="265"/>
      <c r="Q375" s="265"/>
      <c r="R375" s="265"/>
      <c r="S375" s="265"/>
      <c r="T375" s="265"/>
      <c r="U375" s="265"/>
    </row>
    <row r="376" spans="1:21" ht="30" customHeight="1">
      <c r="A376" s="204" t="str">
        <f>IF(ISBLANK(D376)," ",327-COUNTBLANK($D$6:D376))</f>
        <v xml:space="preserve"> </v>
      </c>
      <c r="B376" s="202"/>
      <c r="C376" s="202"/>
      <c r="D376" s="202"/>
      <c r="E376" s="300"/>
      <c r="F376" s="210"/>
      <c r="G376" s="203"/>
      <c r="H376" s="203"/>
      <c r="I376" s="203"/>
      <c r="J376" s="203"/>
      <c r="K376" s="205"/>
      <c r="L376" s="291"/>
      <c r="M376" s="263"/>
      <c r="N376" s="264"/>
      <c r="O376" s="265"/>
      <c r="P376" s="265"/>
      <c r="Q376" s="265"/>
      <c r="R376" s="265"/>
      <c r="S376" s="265"/>
      <c r="T376" s="265"/>
      <c r="U376" s="265"/>
    </row>
    <row r="377" spans="1:21" ht="30" customHeight="1">
      <c r="A377" s="204" t="str">
        <f>IF(ISBLANK(D377)," ",328-COUNTBLANK($D$6:D377))</f>
        <v xml:space="preserve"> </v>
      </c>
      <c r="B377" s="202"/>
      <c r="C377" s="202"/>
      <c r="D377" s="202"/>
      <c r="E377" s="300"/>
      <c r="F377" s="210"/>
      <c r="G377" s="203"/>
      <c r="H377" s="203"/>
      <c r="I377" s="203"/>
      <c r="J377" s="203"/>
      <c r="K377" s="205"/>
      <c r="L377" s="291"/>
      <c r="M377" s="263"/>
      <c r="N377" s="264"/>
      <c r="O377" s="265"/>
      <c r="P377" s="265"/>
      <c r="Q377" s="265"/>
      <c r="R377" s="265"/>
      <c r="S377" s="265"/>
      <c r="T377" s="265"/>
      <c r="U377" s="265"/>
    </row>
    <row r="378" spans="1:21" ht="30" customHeight="1">
      <c r="A378" s="204" t="str">
        <f>IF(ISBLANK(D378)," ",329-COUNTBLANK($D$6:D378))</f>
        <v xml:space="preserve"> </v>
      </c>
      <c r="B378" s="202"/>
      <c r="C378" s="202"/>
      <c r="D378" s="202"/>
      <c r="E378" s="300"/>
      <c r="F378" s="210"/>
      <c r="G378" s="203"/>
      <c r="H378" s="203"/>
      <c r="I378" s="203"/>
      <c r="J378" s="203"/>
      <c r="K378" s="205"/>
      <c r="L378" s="291"/>
      <c r="M378" s="263"/>
      <c r="N378" s="264"/>
      <c r="O378" s="265"/>
      <c r="P378" s="265"/>
      <c r="Q378" s="265"/>
      <c r="R378" s="265"/>
      <c r="S378" s="265"/>
      <c r="T378" s="265"/>
      <c r="U378" s="265"/>
    </row>
    <row r="379" spans="1:21" ht="30" customHeight="1">
      <c r="A379" s="204" t="str">
        <f>IF(ISBLANK(D379)," ",330-COUNTBLANK($D$6:D379))</f>
        <v xml:space="preserve"> </v>
      </c>
      <c r="B379" s="202"/>
      <c r="C379" s="202"/>
      <c r="D379" s="202"/>
      <c r="E379" s="300"/>
      <c r="F379" s="210"/>
      <c r="G379" s="203"/>
      <c r="H379" s="203"/>
      <c r="I379" s="203"/>
      <c r="J379" s="203"/>
      <c r="K379" s="205"/>
      <c r="L379" s="291"/>
      <c r="M379" s="263"/>
      <c r="N379" s="264"/>
      <c r="O379" s="265"/>
      <c r="P379" s="265"/>
      <c r="Q379" s="265"/>
      <c r="R379" s="265"/>
      <c r="S379" s="265"/>
      <c r="T379" s="265"/>
      <c r="U379" s="265"/>
    </row>
    <row r="380" spans="1:21" ht="30" customHeight="1">
      <c r="A380" s="204" t="str">
        <f>IF(ISBLANK(D380)," ",331-COUNTBLANK($D$6:D380))</f>
        <v xml:space="preserve"> </v>
      </c>
      <c r="B380" s="202"/>
      <c r="C380" s="202"/>
      <c r="D380" s="202"/>
      <c r="E380" s="300"/>
      <c r="F380" s="210"/>
      <c r="G380" s="203"/>
      <c r="H380" s="203"/>
      <c r="I380" s="203"/>
      <c r="J380" s="203"/>
      <c r="K380" s="205"/>
      <c r="L380" s="291"/>
      <c r="M380" s="263"/>
      <c r="N380" s="264"/>
      <c r="O380" s="265"/>
      <c r="P380" s="265"/>
      <c r="Q380" s="265"/>
      <c r="R380" s="265"/>
      <c r="S380" s="265"/>
      <c r="T380" s="265"/>
      <c r="U380" s="265"/>
    </row>
    <row r="381" spans="1:21" ht="30" customHeight="1">
      <c r="A381" s="204" t="str">
        <f>IF(ISBLANK(D381)," ",332-COUNTBLANK($D$6:D381))</f>
        <v xml:space="preserve"> </v>
      </c>
      <c r="B381" s="202"/>
      <c r="C381" s="202"/>
      <c r="D381" s="202"/>
      <c r="E381" s="300"/>
      <c r="F381" s="210"/>
      <c r="G381" s="203"/>
      <c r="H381" s="203"/>
      <c r="I381" s="203"/>
      <c r="J381" s="203"/>
      <c r="K381" s="205"/>
      <c r="L381" s="291"/>
      <c r="M381" s="263"/>
      <c r="N381" s="266"/>
      <c r="O381" s="265"/>
      <c r="P381" s="265"/>
      <c r="Q381" s="265"/>
      <c r="R381" s="265"/>
      <c r="S381" s="265"/>
      <c r="T381" s="265"/>
      <c r="U381" s="267"/>
    </row>
    <row r="382" spans="1:21" ht="30" customHeight="1">
      <c r="A382" s="204" t="str">
        <f>IF(ISBLANK(D382)," ",333-COUNTBLANK($D$6:D382))</f>
        <v xml:space="preserve"> </v>
      </c>
      <c r="B382" s="202"/>
      <c r="C382" s="202"/>
      <c r="D382" s="202"/>
      <c r="E382" s="300"/>
      <c r="F382" s="210"/>
      <c r="G382" s="203"/>
      <c r="H382" s="203"/>
      <c r="I382" s="203"/>
      <c r="J382" s="203"/>
      <c r="K382" s="205"/>
      <c r="L382" s="291"/>
      <c r="M382" s="263"/>
      <c r="N382" s="266"/>
      <c r="O382" s="265"/>
      <c r="P382" s="265"/>
      <c r="Q382" s="265"/>
      <c r="R382" s="265"/>
      <c r="S382" s="265"/>
      <c r="T382" s="265"/>
      <c r="U382" s="267"/>
    </row>
    <row r="383" spans="1:21" ht="30" customHeight="1">
      <c r="A383" s="204" t="str">
        <f>IF(ISBLANK(D383)," ",334-COUNTBLANK($D$6:D383))</f>
        <v xml:space="preserve"> </v>
      </c>
      <c r="B383" s="202"/>
      <c r="C383" s="202"/>
      <c r="D383" s="202"/>
      <c r="E383" s="300"/>
      <c r="F383" s="210"/>
      <c r="G383" s="203"/>
      <c r="H383" s="203"/>
      <c r="I383" s="203"/>
      <c r="J383" s="203"/>
      <c r="K383" s="205"/>
      <c r="L383" s="291"/>
      <c r="M383" s="263"/>
      <c r="N383" s="266"/>
      <c r="O383" s="265"/>
      <c r="P383" s="265"/>
      <c r="Q383" s="265"/>
      <c r="R383" s="265"/>
      <c r="S383" s="265"/>
      <c r="T383" s="265"/>
      <c r="U383" s="267"/>
    </row>
    <row r="384" spans="1:21" ht="30" customHeight="1">
      <c r="A384" s="204" t="str">
        <f>IF(ISBLANK(D384)," ",335-COUNTBLANK($D$6:D384))</f>
        <v xml:space="preserve"> </v>
      </c>
      <c r="B384" s="202"/>
      <c r="C384" s="202"/>
      <c r="D384" s="202"/>
      <c r="E384" s="300"/>
      <c r="F384" s="210"/>
      <c r="G384" s="203"/>
      <c r="H384" s="203"/>
      <c r="I384" s="203"/>
      <c r="J384" s="203"/>
      <c r="K384" s="205"/>
      <c r="L384" s="291"/>
      <c r="M384" s="263"/>
      <c r="N384" s="266"/>
      <c r="O384" s="265"/>
      <c r="P384" s="265"/>
      <c r="Q384" s="265"/>
      <c r="R384" s="265"/>
      <c r="S384" s="265"/>
      <c r="T384" s="265"/>
      <c r="U384" s="267"/>
    </row>
    <row r="385" spans="1:24" ht="30" customHeight="1">
      <c r="A385" s="304" t="s">
        <v>52</v>
      </c>
      <c r="B385" s="296"/>
      <c r="C385" s="305"/>
      <c r="D385" s="306"/>
      <c r="E385" s="297"/>
      <c r="F385" s="298">
        <f>SUM(F365:F384)</f>
        <v>0</v>
      </c>
      <c r="G385" s="282"/>
      <c r="H385" s="282"/>
      <c r="I385" s="282"/>
      <c r="J385" s="282"/>
      <c r="K385" s="283"/>
      <c r="L385" s="303"/>
      <c r="M385" s="263"/>
      <c r="N385" s="264"/>
      <c r="O385" s="265"/>
      <c r="P385" s="265"/>
      <c r="Q385" s="265"/>
      <c r="R385" s="265"/>
      <c r="S385" s="265"/>
      <c r="T385" s="265"/>
      <c r="U385" s="284"/>
      <c r="V385" s="265"/>
      <c r="W385" s="265"/>
      <c r="X385" s="265"/>
    </row>
    <row r="386" spans="1:24" ht="30" customHeight="1">
      <c r="A386" s="260" t="str">
        <f>IF(ISBLANK(D386)," ",337-COUNTBLANK($D$6:D386))</f>
        <v xml:space="preserve"> </v>
      </c>
      <c r="B386" s="200"/>
      <c r="C386" s="200"/>
      <c r="D386" s="200"/>
      <c r="E386" s="299"/>
      <c r="F386" s="209"/>
      <c r="G386" s="201"/>
      <c r="H386" s="201"/>
      <c r="I386" s="201"/>
      <c r="J386" s="201"/>
      <c r="K386" s="262"/>
      <c r="L386" s="291"/>
      <c r="M386" s="263"/>
      <c r="N386" s="266"/>
      <c r="O386" s="265"/>
      <c r="P386" s="265"/>
      <c r="Q386" s="265"/>
      <c r="R386" s="265"/>
      <c r="S386" s="265"/>
      <c r="T386" s="265"/>
      <c r="U386" s="284"/>
      <c r="V386" s="265"/>
      <c r="W386" s="265"/>
      <c r="X386" s="265"/>
    </row>
    <row r="387" spans="1:24" ht="30" customHeight="1">
      <c r="A387" s="204" t="str">
        <f>IF(ISBLANK(D387)," ",338-COUNTBLANK($D$6:D387))</f>
        <v xml:space="preserve"> </v>
      </c>
      <c r="B387" s="202"/>
      <c r="C387" s="202"/>
      <c r="D387" s="202"/>
      <c r="E387" s="300"/>
      <c r="F387" s="210"/>
      <c r="G387" s="203"/>
      <c r="H387" s="203"/>
      <c r="I387" s="203"/>
      <c r="J387" s="203"/>
      <c r="K387" s="205"/>
      <c r="L387" s="291"/>
      <c r="M387" s="263"/>
      <c r="N387" s="264"/>
      <c r="O387" s="265"/>
      <c r="P387" s="265"/>
      <c r="Q387" s="265"/>
      <c r="R387" s="265"/>
      <c r="S387" s="265"/>
      <c r="T387" s="265"/>
      <c r="U387" s="265"/>
    </row>
    <row r="388" spans="1:24" ht="30" customHeight="1">
      <c r="A388" s="204" t="str">
        <f>IF(ISBLANK(D388)," ",339-COUNTBLANK($D$6:D388))</f>
        <v xml:space="preserve"> </v>
      </c>
      <c r="B388" s="202"/>
      <c r="C388" s="202"/>
      <c r="D388" s="202"/>
      <c r="E388" s="300"/>
      <c r="F388" s="210"/>
      <c r="G388" s="203"/>
      <c r="H388" s="203"/>
      <c r="I388" s="203"/>
      <c r="J388" s="203"/>
      <c r="K388" s="205"/>
      <c r="L388" s="291"/>
      <c r="M388" s="263"/>
      <c r="N388" s="264"/>
      <c r="O388" s="265"/>
      <c r="P388" s="265"/>
      <c r="Q388" s="265"/>
      <c r="R388" s="265"/>
      <c r="S388" s="265"/>
      <c r="T388" s="265"/>
      <c r="U388" s="265"/>
    </row>
    <row r="389" spans="1:24" ht="30" customHeight="1">
      <c r="A389" s="204" t="str">
        <f>IF(ISBLANK(D389)," ",340-COUNTBLANK($D$6:D389))</f>
        <v xml:space="preserve"> </v>
      </c>
      <c r="B389" s="202"/>
      <c r="C389" s="202"/>
      <c r="D389" s="202"/>
      <c r="E389" s="300"/>
      <c r="F389" s="210"/>
      <c r="G389" s="203"/>
      <c r="H389" s="203"/>
      <c r="I389" s="203"/>
      <c r="J389" s="203"/>
      <c r="K389" s="205"/>
      <c r="L389" s="291"/>
      <c r="M389" s="263"/>
      <c r="N389" s="264"/>
      <c r="O389" s="265"/>
      <c r="P389" s="265"/>
      <c r="Q389" s="265"/>
      <c r="R389" s="265"/>
      <c r="S389" s="265"/>
      <c r="T389" s="265"/>
      <c r="U389" s="265"/>
    </row>
    <row r="390" spans="1:24" ht="30" customHeight="1">
      <c r="A390" s="204" t="str">
        <f>IF(ISBLANK(D390)," ",341-COUNTBLANK($D$6:D390))</f>
        <v xml:space="preserve"> </v>
      </c>
      <c r="B390" s="202"/>
      <c r="C390" s="202"/>
      <c r="D390" s="202"/>
      <c r="E390" s="300"/>
      <c r="F390" s="210"/>
      <c r="G390" s="203"/>
      <c r="H390" s="203"/>
      <c r="I390" s="203"/>
      <c r="J390" s="203"/>
      <c r="K390" s="205"/>
      <c r="L390" s="291"/>
      <c r="M390" s="263"/>
      <c r="N390" s="264"/>
      <c r="O390" s="265"/>
      <c r="P390" s="265"/>
      <c r="Q390" s="265"/>
      <c r="R390" s="265"/>
      <c r="S390" s="265"/>
      <c r="T390" s="265"/>
      <c r="U390" s="265"/>
    </row>
    <row r="391" spans="1:24" ht="30" customHeight="1">
      <c r="A391" s="204" t="str">
        <f>IF(ISBLANK(D391)," ",342-COUNTBLANK($D$6:D391))</f>
        <v xml:space="preserve"> </v>
      </c>
      <c r="B391" s="202"/>
      <c r="C391" s="202"/>
      <c r="D391" s="202"/>
      <c r="E391" s="300"/>
      <c r="F391" s="210"/>
      <c r="G391" s="203"/>
      <c r="H391" s="203"/>
      <c r="I391" s="203"/>
      <c r="J391" s="203"/>
      <c r="K391" s="205"/>
      <c r="L391" s="291"/>
      <c r="M391" s="263"/>
      <c r="N391" s="264"/>
      <c r="O391" s="265"/>
      <c r="P391" s="265"/>
      <c r="Q391" s="265"/>
      <c r="R391" s="265"/>
      <c r="S391" s="265"/>
      <c r="T391" s="265"/>
      <c r="U391" s="265"/>
    </row>
    <row r="392" spans="1:24" ht="30" customHeight="1">
      <c r="A392" s="204" t="str">
        <f>IF(ISBLANK(D392)," ",343-COUNTBLANK($D$6:D392))</f>
        <v xml:space="preserve"> </v>
      </c>
      <c r="B392" s="202"/>
      <c r="C392" s="202"/>
      <c r="D392" s="202"/>
      <c r="E392" s="300"/>
      <c r="F392" s="210"/>
      <c r="G392" s="203"/>
      <c r="H392" s="203"/>
      <c r="I392" s="203"/>
      <c r="J392" s="203"/>
      <c r="K392" s="205"/>
      <c r="L392" s="291"/>
      <c r="M392" s="263"/>
      <c r="N392" s="264"/>
      <c r="O392" s="265"/>
      <c r="P392" s="265"/>
      <c r="Q392" s="265"/>
      <c r="R392" s="265"/>
      <c r="S392" s="265"/>
      <c r="T392" s="265"/>
      <c r="U392" s="265"/>
    </row>
    <row r="393" spans="1:24" ht="30" customHeight="1">
      <c r="A393" s="204" t="str">
        <f>IF(ISBLANK(D393)," ",344-COUNTBLANK($D$6:D393))</f>
        <v xml:space="preserve"> </v>
      </c>
      <c r="B393" s="202"/>
      <c r="C393" s="202"/>
      <c r="D393" s="202"/>
      <c r="E393" s="300"/>
      <c r="F393" s="210"/>
      <c r="G393" s="203"/>
      <c r="H393" s="203"/>
      <c r="I393" s="203"/>
      <c r="J393" s="203"/>
      <c r="K393" s="205"/>
      <c r="L393" s="291"/>
      <c r="M393" s="263"/>
      <c r="N393" s="264"/>
      <c r="O393" s="265"/>
      <c r="P393" s="265"/>
      <c r="Q393" s="265"/>
      <c r="R393" s="265"/>
      <c r="S393" s="265"/>
      <c r="T393" s="265"/>
      <c r="U393" s="265"/>
    </row>
    <row r="394" spans="1:24" ht="30" customHeight="1">
      <c r="A394" s="204" t="str">
        <f>IF(ISBLANK(D394)," ",345-COUNTBLANK($D$6:D394))</f>
        <v xml:space="preserve"> </v>
      </c>
      <c r="B394" s="202"/>
      <c r="C394" s="202"/>
      <c r="D394" s="202"/>
      <c r="E394" s="300"/>
      <c r="F394" s="210"/>
      <c r="G394" s="203"/>
      <c r="H394" s="203"/>
      <c r="I394" s="203"/>
      <c r="J394" s="203"/>
      <c r="K394" s="205"/>
      <c r="L394" s="291"/>
      <c r="M394" s="263"/>
      <c r="N394" s="264"/>
      <c r="O394" s="265"/>
      <c r="P394" s="265"/>
      <c r="Q394" s="265"/>
      <c r="R394" s="265"/>
      <c r="S394" s="265"/>
      <c r="T394" s="265"/>
      <c r="U394" s="265"/>
    </row>
    <row r="395" spans="1:24" ht="30" customHeight="1">
      <c r="A395" s="204" t="str">
        <f>IF(ISBLANK(D395)," ",346-COUNTBLANK($D$6:D395))</f>
        <v xml:space="preserve"> </v>
      </c>
      <c r="B395" s="202"/>
      <c r="C395" s="202"/>
      <c r="D395" s="202"/>
      <c r="E395" s="300"/>
      <c r="F395" s="210"/>
      <c r="G395" s="203"/>
      <c r="H395" s="203"/>
      <c r="I395" s="203"/>
      <c r="J395" s="203"/>
      <c r="K395" s="205"/>
      <c r="L395" s="291"/>
      <c r="M395" s="263"/>
      <c r="N395" s="264"/>
      <c r="O395" s="265"/>
      <c r="P395" s="265"/>
      <c r="Q395" s="265"/>
      <c r="R395" s="265"/>
      <c r="S395" s="265"/>
      <c r="T395" s="265"/>
      <c r="U395" s="265"/>
    </row>
    <row r="396" spans="1:24" ht="30" customHeight="1">
      <c r="A396" s="204" t="str">
        <f>IF(ISBLANK(D396)," ",347-COUNTBLANK($D$6:D396))</f>
        <v xml:space="preserve"> </v>
      </c>
      <c r="B396" s="202"/>
      <c r="C396" s="202"/>
      <c r="D396" s="202"/>
      <c r="E396" s="300"/>
      <c r="F396" s="210"/>
      <c r="G396" s="203"/>
      <c r="H396" s="203"/>
      <c r="I396" s="203"/>
      <c r="J396" s="203"/>
      <c r="K396" s="205"/>
      <c r="L396" s="291"/>
      <c r="M396" s="263"/>
      <c r="N396" s="264"/>
      <c r="O396" s="265"/>
      <c r="P396" s="265"/>
      <c r="Q396" s="265"/>
      <c r="R396" s="265"/>
      <c r="S396" s="265"/>
      <c r="T396" s="265"/>
      <c r="U396" s="265"/>
    </row>
    <row r="397" spans="1:24" ht="30" customHeight="1">
      <c r="A397" s="204" t="str">
        <f>IF(ISBLANK(D397)," ",348-COUNTBLANK($D$6:D397))</f>
        <v xml:space="preserve"> </v>
      </c>
      <c r="B397" s="202"/>
      <c r="C397" s="202"/>
      <c r="D397" s="202"/>
      <c r="E397" s="300"/>
      <c r="F397" s="210"/>
      <c r="G397" s="203"/>
      <c r="H397" s="203"/>
      <c r="I397" s="203"/>
      <c r="J397" s="203"/>
      <c r="K397" s="205"/>
      <c r="L397" s="291"/>
      <c r="M397" s="263"/>
      <c r="N397" s="264"/>
      <c r="O397" s="265"/>
      <c r="P397" s="265"/>
      <c r="Q397" s="265"/>
      <c r="R397" s="265"/>
      <c r="S397" s="265"/>
      <c r="T397" s="265"/>
      <c r="U397" s="265"/>
    </row>
    <row r="398" spans="1:24" ht="30" customHeight="1">
      <c r="A398" s="204" t="str">
        <f>IF(ISBLANK(D398)," ",349-COUNTBLANK($D$6:D398))</f>
        <v xml:space="preserve"> </v>
      </c>
      <c r="B398" s="202"/>
      <c r="C398" s="202"/>
      <c r="D398" s="202"/>
      <c r="E398" s="300"/>
      <c r="F398" s="210"/>
      <c r="G398" s="203"/>
      <c r="H398" s="203"/>
      <c r="I398" s="203"/>
      <c r="J398" s="203"/>
      <c r="K398" s="205"/>
      <c r="L398" s="291"/>
      <c r="M398" s="263"/>
      <c r="N398" s="264"/>
      <c r="O398" s="265"/>
      <c r="P398" s="265"/>
      <c r="Q398" s="265"/>
      <c r="R398" s="265"/>
      <c r="S398" s="265"/>
      <c r="T398" s="265"/>
      <c r="U398" s="265"/>
    </row>
    <row r="399" spans="1:24" ht="30" customHeight="1">
      <c r="A399" s="204" t="str">
        <f>IF(ISBLANK(D399)," ",350-COUNTBLANK($D$6:D399))</f>
        <v xml:space="preserve"> </v>
      </c>
      <c r="B399" s="202"/>
      <c r="C399" s="202"/>
      <c r="D399" s="202"/>
      <c r="E399" s="300"/>
      <c r="F399" s="210"/>
      <c r="G399" s="203"/>
      <c r="H399" s="203"/>
      <c r="I399" s="203"/>
      <c r="J399" s="203"/>
      <c r="K399" s="205"/>
      <c r="L399" s="291"/>
      <c r="M399" s="263"/>
      <c r="N399" s="264"/>
      <c r="O399" s="265"/>
      <c r="P399" s="265"/>
      <c r="Q399" s="265"/>
      <c r="R399" s="265"/>
      <c r="S399" s="265"/>
      <c r="T399" s="265"/>
      <c r="U399" s="265"/>
    </row>
    <row r="400" spans="1:24" ht="30" customHeight="1">
      <c r="A400" s="204" t="str">
        <f>IF(ISBLANK(D400)," ",351-COUNTBLANK($D$6:D400))</f>
        <v xml:space="preserve"> </v>
      </c>
      <c r="B400" s="202"/>
      <c r="C400" s="202"/>
      <c r="D400" s="202"/>
      <c r="E400" s="300"/>
      <c r="F400" s="210"/>
      <c r="G400" s="203"/>
      <c r="H400" s="203"/>
      <c r="I400" s="203"/>
      <c r="J400" s="203"/>
      <c r="K400" s="205"/>
      <c r="L400" s="291"/>
      <c r="M400" s="263"/>
      <c r="N400" s="264"/>
      <c r="O400" s="265"/>
      <c r="P400" s="265"/>
      <c r="Q400" s="265"/>
      <c r="R400" s="265"/>
      <c r="S400" s="265"/>
      <c r="T400" s="265"/>
      <c r="U400" s="265"/>
    </row>
    <row r="401" spans="1:24" ht="30" customHeight="1">
      <c r="A401" s="204" t="str">
        <f>IF(ISBLANK(D401)," ",352-COUNTBLANK($D$6:D401))</f>
        <v xml:space="preserve"> </v>
      </c>
      <c r="B401" s="202"/>
      <c r="C401" s="202"/>
      <c r="D401" s="202"/>
      <c r="E401" s="300"/>
      <c r="F401" s="210"/>
      <c r="G401" s="203"/>
      <c r="H401" s="203"/>
      <c r="I401" s="203"/>
      <c r="J401" s="203"/>
      <c r="K401" s="205"/>
      <c r="L401" s="291"/>
      <c r="M401" s="263"/>
      <c r="N401" s="264"/>
      <c r="O401" s="265"/>
      <c r="P401" s="265"/>
      <c r="Q401" s="265"/>
      <c r="R401" s="265"/>
      <c r="S401" s="265"/>
      <c r="T401" s="265"/>
      <c r="U401" s="265"/>
    </row>
    <row r="402" spans="1:24" ht="30" customHeight="1">
      <c r="A402" s="204" t="str">
        <f>IF(ISBLANK(D402)," ",353-COUNTBLANK($D$6:D402))</f>
        <v xml:space="preserve"> </v>
      </c>
      <c r="B402" s="202"/>
      <c r="C402" s="202"/>
      <c r="D402" s="202"/>
      <c r="E402" s="300"/>
      <c r="F402" s="210"/>
      <c r="G402" s="203"/>
      <c r="H402" s="203"/>
      <c r="I402" s="203"/>
      <c r="J402" s="203"/>
      <c r="K402" s="205"/>
      <c r="L402" s="291"/>
      <c r="M402" s="263"/>
      <c r="N402" s="266"/>
      <c r="O402" s="265"/>
      <c r="P402" s="265"/>
      <c r="Q402" s="265"/>
      <c r="R402" s="265"/>
      <c r="S402" s="265"/>
      <c r="T402" s="265"/>
      <c r="U402" s="267"/>
    </row>
    <row r="403" spans="1:24" ht="30" customHeight="1">
      <c r="A403" s="204" t="str">
        <f>IF(ISBLANK(D403)," ",354-COUNTBLANK($D$6:D403))</f>
        <v xml:space="preserve"> </v>
      </c>
      <c r="B403" s="202"/>
      <c r="C403" s="202"/>
      <c r="D403" s="202"/>
      <c r="E403" s="300"/>
      <c r="F403" s="210"/>
      <c r="G403" s="203"/>
      <c r="H403" s="203"/>
      <c r="I403" s="203"/>
      <c r="J403" s="203"/>
      <c r="K403" s="205"/>
      <c r="L403" s="291"/>
      <c r="M403" s="263"/>
      <c r="N403" s="266"/>
      <c r="O403" s="265"/>
      <c r="P403" s="265"/>
      <c r="Q403" s="265"/>
      <c r="R403" s="265"/>
      <c r="S403" s="265"/>
      <c r="T403" s="265"/>
      <c r="U403" s="267"/>
    </row>
    <row r="404" spans="1:24" ht="30" customHeight="1">
      <c r="A404" s="204" t="str">
        <f>IF(ISBLANK(D404)," ",355-COUNTBLANK($D$6:D404))</f>
        <v xml:space="preserve"> </v>
      </c>
      <c r="B404" s="202"/>
      <c r="C404" s="202"/>
      <c r="D404" s="202"/>
      <c r="E404" s="300"/>
      <c r="F404" s="210"/>
      <c r="G404" s="203"/>
      <c r="H404" s="203"/>
      <c r="I404" s="203"/>
      <c r="J404" s="203"/>
      <c r="K404" s="205"/>
      <c r="L404" s="291"/>
      <c r="M404" s="263"/>
      <c r="N404" s="266"/>
      <c r="O404" s="265"/>
      <c r="P404" s="265"/>
      <c r="Q404" s="265"/>
      <c r="R404" s="265"/>
      <c r="S404" s="265"/>
      <c r="T404" s="265"/>
      <c r="U404" s="267"/>
    </row>
    <row r="405" spans="1:24" ht="30" customHeight="1">
      <c r="A405" s="204" t="str">
        <f>IF(ISBLANK(D405)," ",356-COUNTBLANK($D$6:D405))</f>
        <v xml:space="preserve"> </v>
      </c>
      <c r="B405" s="202"/>
      <c r="C405" s="202"/>
      <c r="D405" s="202"/>
      <c r="E405" s="300"/>
      <c r="F405" s="210"/>
      <c r="G405" s="203"/>
      <c r="H405" s="203"/>
      <c r="I405" s="203"/>
      <c r="J405" s="203"/>
      <c r="K405" s="205"/>
      <c r="L405" s="291"/>
      <c r="M405" s="263"/>
      <c r="N405" s="266"/>
      <c r="O405" s="265"/>
      <c r="P405" s="265"/>
      <c r="Q405" s="265"/>
      <c r="R405" s="265"/>
      <c r="S405" s="265"/>
      <c r="T405" s="265"/>
      <c r="U405" s="267"/>
    </row>
    <row r="406" spans="1:24" ht="30" customHeight="1">
      <c r="A406" s="304" t="s">
        <v>52</v>
      </c>
      <c r="B406" s="296"/>
      <c r="C406" s="305"/>
      <c r="D406" s="306"/>
      <c r="E406" s="297"/>
      <c r="F406" s="298">
        <f>SUM(F386:F405)</f>
        <v>0</v>
      </c>
      <c r="G406" s="282"/>
      <c r="H406" s="282"/>
      <c r="I406" s="282"/>
      <c r="J406" s="282"/>
      <c r="K406" s="283"/>
      <c r="L406" s="303"/>
      <c r="M406" s="263"/>
      <c r="N406" s="264"/>
      <c r="O406" s="265"/>
      <c r="P406" s="265"/>
      <c r="Q406" s="265"/>
      <c r="R406" s="265"/>
      <c r="S406" s="265"/>
      <c r="T406" s="265"/>
      <c r="U406" s="284"/>
      <c r="V406" s="265"/>
      <c r="W406" s="265"/>
      <c r="X406" s="265"/>
    </row>
    <row r="407" spans="1:24" ht="30" customHeight="1">
      <c r="A407" s="260" t="str">
        <f>IF(ISBLANK(D407)," ",358-COUNTBLANK($D$6:D407))</f>
        <v xml:space="preserve"> </v>
      </c>
      <c r="B407" s="200"/>
      <c r="C407" s="200"/>
      <c r="D407" s="200"/>
      <c r="E407" s="299"/>
      <c r="F407" s="209"/>
      <c r="G407" s="201"/>
      <c r="H407" s="201"/>
      <c r="I407" s="201"/>
      <c r="J407" s="201"/>
      <c r="K407" s="262"/>
      <c r="L407" s="291"/>
      <c r="M407" s="263"/>
      <c r="N407" s="266"/>
      <c r="O407" s="265"/>
      <c r="P407" s="265"/>
      <c r="Q407" s="265"/>
      <c r="R407" s="265"/>
      <c r="S407" s="265"/>
      <c r="T407" s="265"/>
      <c r="U407" s="284"/>
      <c r="V407" s="265"/>
      <c r="W407" s="265"/>
      <c r="X407" s="265"/>
    </row>
    <row r="408" spans="1:24" ht="30" customHeight="1">
      <c r="A408" s="204" t="str">
        <f>IF(ISBLANK(D408)," ",359-COUNTBLANK($D$6:D408))</f>
        <v xml:space="preserve"> </v>
      </c>
      <c r="B408" s="202"/>
      <c r="C408" s="202"/>
      <c r="D408" s="202"/>
      <c r="E408" s="300"/>
      <c r="F408" s="210"/>
      <c r="G408" s="203"/>
      <c r="H408" s="203"/>
      <c r="I408" s="203"/>
      <c r="J408" s="203"/>
      <c r="K408" s="205"/>
      <c r="L408" s="291"/>
      <c r="M408" s="263"/>
      <c r="N408" s="264"/>
      <c r="O408" s="265"/>
      <c r="P408" s="265"/>
      <c r="Q408" s="265"/>
      <c r="R408" s="265"/>
      <c r="S408" s="265"/>
      <c r="T408" s="265"/>
      <c r="U408" s="265"/>
    </row>
    <row r="409" spans="1:24" ht="30" customHeight="1">
      <c r="A409" s="204" t="str">
        <f>IF(ISBLANK(D409)," ",360-COUNTBLANK($D$6:D409))</f>
        <v xml:space="preserve"> </v>
      </c>
      <c r="B409" s="202"/>
      <c r="C409" s="202"/>
      <c r="D409" s="202"/>
      <c r="E409" s="300"/>
      <c r="F409" s="210"/>
      <c r="G409" s="203"/>
      <c r="H409" s="203"/>
      <c r="I409" s="203"/>
      <c r="J409" s="203"/>
      <c r="K409" s="205"/>
      <c r="L409" s="291"/>
      <c r="M409" s="263"/>
      <c r="N409" s="264"/>
      <c r="O409" s="265"/>
      <c r="P409" s="265"/>
      <c r="Q409" s="265"/>
      <c r="R409" s="265"/>
      <c r="S409" s="265"/>
      <c r="T409" s="265"/>
      <c r="U409" s="265"/>
    </row>
    <row r="410" spans="1:24" ht="30" customHeight="1">
      <c r="A410" s="204" t="str">
        <f>IF(ISBLANK(D410)," ",361-COUNTBLANK($D$6:D410))</f>
        <v xml:space="preserve"> </v>
      </c>
      <c r="B410" s="202"/>
      <c r="C410" s="202"/>
      <c r="D410" s="202"/>
      <c r="E410" s="300"/>
      <c r="F410" s="210"/>
      <c r="G410" s="203"/>
      <c r="H410" s="203"/>
      <c r="I410" s="203"/>
      <c r="J410" s="203"/>
      <c r="K410" s="205"/>
      <c r="L410" s="291"/>
      <c r="M410" s="263"/>
      <c r="N410" s="264"/>
      <c r="O410" s="265"/>
      <c r="P410" s="265"/>
      <c r="Q410" s="265"/>
      <c r="R410" s="265"/>
      <c r="S410" s="265"/>
      <c r="T410" s="265"/>
      <c r="U410" s="265"/>
    </row>
    <row r="411" spans="1:24" ht="30" customHeight="1">
      <c r="A411" s="204" t="str">
        <f>IF(ISBLANK(D411)," ",362-COUNTBLANK($D$6:D411))</f>
        <v xml:space="preserve"> </v>
      </c>
      <c r="B411" s="202"/>
      <c r="C411" s="202"/>
      <c r="D411" s="202"/>
      <c r="E411" s="300"/>
      <c r="F411" s="210"/>
      <c r="G411" s="203"/>
      <c r="H411" s="203"/>
      <c r="I411" s="203"/>
      <c r="J411" s="203"/>
      <c r="K411" s="205"/>
      <c r="L411" s="291"/>
      <c r="M411" s="263"/>
      <c r="N411" s="264"/>
      <c r="O411" s="265"/>
      <c r="P411" s="265"/>
      <c r="Q411" s="265"/>
      <c r="R411" s="265"/>
      <c r="S411" s="265"/>
      <c r="T411" s="265"/>
      <c r="U411" s="265"/>
    </row>
    <row r="412" spans="1:24" ht="30" customHeight="1">
      <c r="A412" s="204" t="str">
        <f>IF(ISBLANK(D412)," ",363-COUNTBLANK($D$6:D412))</f>
        <v xml:space="preserve"> </v>
      </c>
      <c r="B412" s="202"/>
      <c r="C412" s="202"/>
      <c r="D412" s="202"/>
      <c r="E412" s="300"/>
      <c r="F412" s="210"/>
      <c r="G412" s="203"/>
      <c r="H412" s="203"/>
      <c r="I412" s="203"/>
      <c r="J412" s="203"/>
      <c r="K412" s="205"/>
      <c r="L412" s="291"/>
      <c r="M412" s="263"/>
      <c r="N412" s="264"/>
      <c r="O412" s="265"/>
      <c r="P412" s="265"/>
      <c r="Q412" s="265"/>
      <c r="R412" s="265"/>
      <c r="S412" s="265"/>
      <c r="T412" s="265"/>
      <c r="U412" s="265"/>
    </row>
    <row r="413" spans="1:24" ht="30" customHeight="1">
      <c r="A413" s="204" t="str">
        <f>IF(ISBLANK(D413)," ",364-COUNTBLANK($D$6:D413))</f>
        <v xml:space="preserve"> </v>
      </c>
      <c r="B413" s="202"/>
      <c r="C413" s="202"/>
      <c r="D413" s="202"/>
      <c r="E413" s="300"/>
      <c r="F413" s="210"/>
      <c r="G413" s="203"/>
      <c r="H413" s="203"/>
      <c r="I413" s="203"/>
      <c r="J413" s="203"/>
      <c r="K413" s="205"/>
      <c r="L413" s="291"/>
      <c r="M413" s="263"/>
      <c r="N413" s="264"/>
      <c r="O413" s="265"/>
      <c r="P413" s="265"/>
      <c r="Q413" s="265"/>
      <c r="R413" s="265"/>
      <c r="S413" s="265"/>
      <c r="T413" s="265"/>
      <c r="U413" s="265"/>
    </row>
    <row r="414" spans="1:24" ht="30" customHeight="1">
      <c r="A414" s="204" t="str">
        <f>IF(ISBLANK(D414)," ",365-COUNTBLANK($D$6:D414))</f>
        <v xml:space="preserve"> </v>
      </c>
      <c r="B414" s="202"/>
      <c r="C414" s="202"/>
      <c r="D414" s="202"/>
      <c r="E414" s="300"/>
      <c r="F414" s="210"/>
      <c r="G414" s="203"/>
      <c r="H414" s="203"/>
      <c r="I414" s="203"/>
      <c r="J414" s="203"/>
      <c r="K414" s="205"/>
      <c r="L414" s="291"/>
      <c r="M414" s="263"/>
      <c r="N414" s="264"/>
      <c r="O414" s="265"/>
      <c r="P414" s="265"/>
      <c r="Q414" s="265"/>
      <c r="R414" s="265"/>
      <c r="S414" s="265"/>
      <c r="T414" s="265"/>
      <c r="U414" s="265"/>
    </row>
    <row r="415" spans="1:24" ht="30" customHeight="1">
      <c r="A415" s="204" t="str">
        <f>IF(ISBLANK(D415)," ",366-COUNTBLANK($D$6:D415))</f>
        <v xml:space="preserve"> </v>
      </c>
      <c r="B415" s="202"/>
      <c r="C415" s="202"/>
      <c r="D415" s="202"/>
      <c r="E415" s="300"/>
      <c r="F415" s="210"/>
      <c r="G415" s="203"/>
      <c r="H415" s="203"/>
      <c r="I415" s="203"/>
      <c r="J415" s="203"/>
      <c r="K415" s="205"/>
      <c r="L415" s="291"/>
      <c r="M415" s="263"/>
      <c r="N415" s="264"/>
      <c r="O415" s="265"/>
      <c r="P415" s="265"/>
      <c r="Q415" s="265"/>
      <c r="R415" s="265"/>
      <c r="S415" s="265"/>
      <c r="T415" s="265"/>
      <c r="U415" s="265"/>
    </row>
    <row r="416" spans="1:24" ht="30" customHeight="1">
      <c r="A416" s="204" t="str">
        <f>IF(ISBLANK(D416)," ",367-COUNTBLANK($D$6:D416))</f>
        <v xml:space="preserve"> </v>
      </c>
      <c r="B416" s="202"/>
      <c r="C416" s="202"/>
      <c r="D416" s="202"/>
      <c r="E416" s="300"/>
      <c r="F416" s="210"/>
      <c r="G416" s="203"/>
      <c r="H416" s="203"/>
      <c r="I416" s="203"/>
      <c r="J416" s="203"/>
      <c r="K416" s="205"/>
      <c r="L416" s="291"/>
      <c r="M416" s="263"/>
      <c r="N416" s="264"/>
      <c r="O416" s="265"/>
      <c r="P416" s="265"/>
      <c r="Q416" s="265"/>
      <c r="R416" s="265"/>
      <c r="S416" s="265"/>
      <c r="T416" s="265"/>
      <c r="U416" s="265"/>
    </row>
    <row r="417" spans="1:24" ht="30" customHeight="1">
      <c r="A417" s="204" t="str">
        <f>IF(ISBLANK(D417)," ",368-COUNTBLANK($D$6:D417))</f>
        <v xml:space="preserve"> </v>
      </c>
      <c r="B417" s="202"/>
      <c r="C417" s="202"/>
      <c r="D417" s="202"/>
      <c r="E417" s="300"/>
      <c r="F417" s="210"/>
      <c r="G417" s="203"/>
      <c r="H417" s="203"/>
      <c r="I417" s="203"/>
      <c r="J417" s="203"/>
      <c r="K417" s="205"/>
      <c r="L417" s="291"/>
      <c r="M417" s="263"/>
      <c r="N417" s="264"/>
      <c r="O417" s="265"/>
      <c r="P417" s="265"/>
      <c r="Q417" s="265"/>
      <c r="R417" s="265"/>
      <c r="S417" s="265"/>
      <c r="T417" s="265"/>
      <c r="U417" s="265"/>
    </row>
    <row r="418" spans="1:24" ht="30" customHeight="1">
      <c r="A418" s="204" t="str">
        <f>IF(ISBLANK(D418)," ",369-COUNTBLANK($D$6:D418))</f>
        <v xml:space="preserve"> </v>
      </c>
      <c r="B418" s="202"/>
      <c r="C418" s="202"/>
      <c r="D418" s="202"/>
      <c r="E418" s="300"/>
      <c r="F418" s="210"/>
      <c r="G418" s="203"/>
      <c r="H418" s="203"/>
      <c r="I418" s="203"/>
      <c r="J418" s="203"/>
      <c r="K418" s="205"/>
      <c r="L418" s="291"/>
      <c r="M418" s="263"/>
      <c r="N418" s="264"/>
      <c r="O418" s="265"/>
      <c r="P418" s="265"/>
      <c r="Q418" s="265"/>
      <c r="R418" s="265"/>
      <c r="S418" s="265"/>
      <c r="T418" s="265"/>
      <c r="U418" s="265"/>
    </row>
    <row r="419" spans="1:24" ht="30" customHeight="1">
      <c r="A419" s="204" t="str">
        <f>IF(ISBLANK(D419)," ",370-COUNTBLANK($D$6:D419))</f>
        <v xml:space="preserve"> </v>
      </c>
      <c r="B419" s="202"/>
      <c r="C419" s="202"/>
      <c r="D419" s="202"/>
      <c r="E419" s="300"/>
      <c r="F419" s="210"/>
      <c r="G419" s="203"/>
      <c r="H419" s="203"/>
      <c r="I419" s="203"/>
      <c r="J419" s="203"/>
      <c r="K419" s="205"/>
      <c r="L419" s="291"/>
      <c r="M419" s="263"/>
      <c r="N419" s="264"/>
      <c r="O419" s="265"/>
      <c r="P419" s="265"/>
      <c r="Q419" s="265"/>
      <c r="R419" s="265"/>
      <c r="S419" s="265"/>
      <c r="T419" s="265"/>
      <c r="U419" s="265"/>
    </row>
    <row r="420" spans="1:24" ht="30" customHeight="1">
      <c r="A420" s="204" t="str">
        <f>IF(ISBLANK(D420)," ",371-COUNTBLANK($D$6:D420))</f>
        <v xml:space="preserve"> </v>
      </c>
      <c r="B420" s="202"/>
      <c r="C420" s="202"/>
      <c r="D420" s="202"/>
      <c r="E420" s="300"/>
      <c r="F420" s="210"/>
      <c r="G420" s="203"/>
      <c r="H420" s="203"/>
      <c r="I420" s="203"/>
      <c r="J420" s="203"/>
      <c r="K420" s="205"/>
      <c r="L420" s="291"/>
      <c r="M420" s="263"/>
      <c r="N420" s="264"/>
      <c r="O420" s="265"/>
      <c r="P420" s="265"/>
      <c r="Q420" s="265"/>
      <c r="R420" s="265"/>
      <c r="S420" s="265"/>
      <c r="T420" s="265"/>
      <c r="U420" s="265"/>
    </row>
    <row r="421" spans="1:24" ht="30" customHeight="1">
      <c r="A421" s="204" t="str">
        <f>IF(ISBLANK(D421)," ",372-COUNTBLANK($D$6:D421))</f>
        <v xml:space="preserve"> </v>
      </c>
      <c r="B421" s="202"/>
      <c r="C421" s="202"/>
      <c r="D421" s="202"/>
      <c r="E421" s="300"/>
      <c r="F421" s="210"/>
      <c r="G421" s="203"/>
      <c r="H421" s="203"/>
      <c r="I421" s="203"/>
      <c r="J421" s="203"/>
      <c r="K421" s="205"/>
      <c r="L421" s="291"/>
      <c r="M421" s="263"/>
      <c r="N421" s="264"/>
      <c r="O421" s="265"/>
      <c r="P421" s="265"/>
      <c r="Q421" s="265"/>
      <c r="R421" s="265"/>
      <c r="S421" s="265"/>
      <c r="T421" s="265"/>
      <c r="U421" s="265"/>
    </row>
    <row r="422" spans="1:24" ht="30" customHeight="1">
      <c r="A422" s="204" t="str">
        <f>IF(ISBLANK(D422)," ",373-COUNTBLANK($D$6:D422))</f>
        <v xml:space="preserve"> </v>
      </c>
      <c r="B422" s="202"/>
      <c r="C422" s="202"/>
      <c r="D422" s="202"/>
      <c r="E422" s="300"/>
      <c r="F422" s="210"/>
      <c r="G422" s="203"/>
      <c r="H422" s="203"/>
      <c r="I422" s="203"/>
      <c r="J422" s="203"/>
      <c r="K422" s="205"/>
      <c r="L422" s="291"/>
      <c r="M422" s="263"/>
      <c r="N422" s="264"/>
      <c r="O422" s="265"/>
      <c r="P422" s="265"/>
      <c r="Q422" s="265"/>
      <c r="R422" s="265"/>
      <c r="S422" s="265"/>
      <c r="T422" s="265"/>
      <c r="U422" s="265"/>
    </row>
    <row r="423" spans="1:24" ht="30" customHeight="1">
      <c r="A423" s="204" t="str">
        <f>IF(ISBLANK(D423)," ",374-COUNTBLANK($D$6:D423))</f>
        <v xml:space="preserve"> </v>
      </c>
      <c r="B423" s="202"/>
      <c r="C423" s="202"/>
      <c r="D423" s="202"/>
      <c r="E423" s="300"/>
      <c r="F423" s="210"/>
      <c r="G423" s="203"/>
      <c r="H423" s="203"/>
      <c r="I423" s="203"/>
      <c r="J423" s="203"/>
      <c r="K423" s="205"/>
      <c r="L423" s="291"/>
      <c r="M423" s="263"/>
      <c r="N423" s="266"/>
      <c r="O423" s="265"/>
      <c r="P423" s="265"/>
      <c r="Q423" s="265"/>
      <c r="R423" s="265"/>
      <c r="S423" s="265"/>
      <c r="T423" s="265"/>
      <c r="U423" s="267"/>
    </row>
    <row r="424" spans="1:24" ht="30" customHeight="1">
      <c r="A424" s="204" t="str">
        <f>IF(ISBLANK(D424)," ",375-COUNTBLANK($D$6:D424))</f>
        <v xml:space="preserve"> </v>
      </c>
      <c r="B424" s="202"/>
      <c r="C424" s="202"/>
      <c r="D424" s="202"/>
      <c r="E424" s="300"/>
      <c r="F424" s="210"/>
      <c r="G424" s="203"/>
      <c r="H424" s="203"/>
      <c r="I424" s="203"/>
      <c r="J424" s="203"/>
      <c r="K424" s="205"/>
      <c r="L424" s="291"/>
      <c r="M424" s="263"/>
      <c r="N424" s="266"/>
      <c r="O424" s="265"/>
      <c r="P424" s="265"/>
      <c r="Q424" s="265"/>
      <c r="R424" s="265"/>
      <c r="S424" s="265"/>
      <c r="T424" s="265"/>
      <c r="U424" s="267"/>
    </row>
    <row r="425" spans="1:24" ht="30" customHeight="1">
      <c r="A425" s="204" t="str">
        <f>IF(ISBLANK(D425)," ",376-COUNTBLANK($D$6:D425))</f>
        <v xml:space="preserve"> </v>
      </c>
      <c r="B425" s="202"/>
      <c r="C425" s="202"/>
      <c r="D425" s="202"/>
      <c r="E425" s="300"/>
      <c r="F425" s="210"/>
      <c r="G425" s="203"/>
      <c r="H425" s="203"/>
      <c r="I425" s="203"/>
      <c r="J425" s="203"/>
      <c r="K425" s="205"/>
      <c r="L425" s="291"/>
      <c r="M425" s="263"/>
      <c r="N425" s="266"/>
      <c r="O425" s="265"/>
      <c r="P425" s="265"/>
      <c r="Q425" s="265"/>
      <c r="R425" s="265"/>
      <c r="S425" s="265"/>
      <c r="T425" s="265"/>
      <c r="U425" s="267"/>
    </row>
    <row r="426" spans="1:24" ht="30" customHeight="1">
      <c r="A426" s="204" t="str">
        <f>IF(ISBLANK(D426)," ",377-COUNTBLANK($D$6:D426))</f>
        <v xml:space="preserve"> </v>
      </c>
      <c r="B426" s="202"/>
      <c r="C426" s="202"/>
      <c r="D426" s="202"/>
      <c r="E426" s="300"/>
      <c r="F426" s="210"/>
      <c r="G426" s="203"/>
      <c r="H426" s="203"/>
      <c r="I426" s="203"/>
      <c r="J426" s="203"/>
      <c r="K426" s="205"/>
      <c r="L426" s="291"/>
      <c r="M426" s="263"/>
      <c r="N426" s="266"/>
      <c r="O426" s="265"/>
      <c r="P426" s="265"/>
      <c r="Q426" s="265"/>
      <c r="R426" s="265"/>
      <c r="S426" s="265"/>
      <c r="T426" s="265"/>
      <c r="U426" s="267"/>
    </row>
    <row r="427" spans="1:24" ht="30" customHeight="1">
      <c r="A427" s="304" t="s">
        <v>52</v>
      </c>
      <c r="B427" s="296"/>
      <c r="C427" s="305"/>
      <c r="D427" s="306"/>
      <c r="E427" s="297"/>
      <c r="F427" s="298">
        <f>SUM(F407:F426)</f>
        <v>0</v>
      </c>
      <c r="G427" s="282"/>
      <c r="H427" s="282"/>
      <c r="I427" s="282"/>
      <c r="J427" s="282"/>
      <c r="K427" s="283"/>
      <c r="L427" s="303"/>
      <c r="M427" s="263"/>
      <c r="N427" s="264"/>
      <c r="O427" s="265"/>
      <c r="P427" s="265"/>
      <c r="Q427" s="265"/>
      <c r="R427" s="265"/>
      <c r="S427" s="265"/>
      <c r="T427" s="265"/>
      <c r="U427" s="284"/>
      <c r="V427" s="265"/>
      <c r="W427" s="265"/>
      <c r="X427" s="265"/>
    </row>
    <row r="428" spans="1:24" ht="30" customHeight="1">
      <c r="A428" s="260" t="str">
        <f>IF(ISBLANK(D428)," ",379-COUNTBLANK($D$6:D428))</f>
        <v xml:space="preserve"> </v>
      </c>
      <c r="B428" s="200"/>
      <c r="C428" s="200"/>
      <c r="D428" s="200"/>
      <c r="E428" s="299"/>
      <c r="F428" s="209"/>
      <c r="G428" s="201"/>
      <c r="H428" s="201"/>
      <c r="I428" s="201"/>
      <c r="J428" s="201"/>
      <c r="K428" s="262"/>
      <c r="L428" s="291"/>
      <c r="M428" s="263"/>
      <c r="N428" s="266"/>
      <c r="O428" s="265"/>
      <c r="P428" s="265"/>
      <c r="Q428" s="265"/>
      <c r="R428" s="265"/>
      <c r="S428" s="265"/>
      <c r="T428" s="265"/>
      <c r="U428" s="284"/>
      <c r="V428" s="265"/>
      <c r="W428" s="265"/>
      <c r="X428" s="265"/>
    </row>
    <row r="429" spans="1:24" ht="30" customHeight="1">
      <c r="A429" s="204" t="str">
        <f>IF(ISBLANK(D429)," ",380-COUNTBLANK($D$6:D429))</f>
        <v xml:space="preserve"> </v>
      </c>
      <c r="B429" s="202"/>
      <c r="C429" s="202"/>
      <c r="D429" s="202"/>
      <c r="E429" s="300"/>
      <c r="F429" s="210"/>
      <c r="G429" s="203"/>
      <c r="H429" s="203"/>
      <c r="I429" s="203"/>
      <c r="J429" s="203"/>
      <c r="K429" s="205"/>
      <c r="L429" s="291"/>
      <c r="M429" s="263"/>
      <c r="N429" s="264"/>
      <c r="O429" s="265"/>
      <c r="P429" s="265"/>
      <c r="Q429" s="265"/>
      <c r="R429" s="265"/>
      <c r="S429" s="265"/>
      <c r="T429" s="265"/>
      <c r="U429" s="265"/>
    </row>
    <row r="430" spans="1:24" ht="30" customHeight="1">
      <c r="A430" s="204" t="str">
        <f>IF(ISBLANK(D430)," ",381-COUNTBLANK($D$6:D430))</f>
        <v xml:space="preserve"> </v>
      </c>
      <c r="B430" s="202"/>
      <c r="C430" s="202"/>
      <c r="D430" s="202"/>
      <c r="E430" s="300"/>
      <c r="F430" s="210"/>
      <c r="G430" s="203"/>
      <c r="H430" s="203"/>
      <c r="I430" s="203"/>
      <c r="J430" s="203"/>
      <c r="K430" s="205"/>
      <c r="L430" s="291"/>
      <c r="M430" s="263"/>
      <c r="N430" s="264"/>
      <c r="O430" s="265"/>
      <c r="P430" s="265"/>
      <c r="Q430" s="265"/>
      <c r="R430" s="265"/>
      <c r="S430" s="265"/>
      <c r="T430" s="265"/>
      <c r="U430" s="265"/>
    </row>
    <row r="431" spans="1:24" ht="30" customHeight="1">
      <c r="A431" s="204" t="str">
        <f>IF(ISBLANK(D431)," ",382-COUNTBLANK($D$6:D431))</f>
        <v xml:space="preserve"> </v>
      </c>
      <c r="B431" s="202"/>
      <c r="C431" s="202"/>
      <c r="D431" s="202"/>
      <c r="E431" s="300"/>
      <c r="F431" s="210"/>
      <c r="G431" s="203"/>
      <c r="H431" s="203"/>
      <c r="I431" s="203"/>
      <c r="J431" s="203"/>
      <c r="K431" s="205"/>
      <c r="L431" s="291"/>
      <c r="M431" s="263"/>
      <c r="N431" s="264"/>
      <c r="O431" s="265"/>
      <c r="P431" s="265"/>
      <c r="Q431" s="265"/>
      <c r="R431" s="265"/>
      <c r="S431" s="265"/>
      <c r="T431" s="265"/>
      <c r="U431" s="265"/>
    </row>
    <row r="432" spans="1:24" ht="30" customHeight="1">
      <c r="A432" s="204" t="str">
        <f>IF(ISBLANK(D432)," ",383-COUNTBLANK($D$6:D432))</f>
        <v xml:space="preserve"> </v>
      </c>
      <c r="B432" s="202"/>
      <c r="C432" s="202"/>
      <c r="D432" s="202"/>
      <c r="E432" s="300"/>
      <c r="F432" s="210"/>
      <c r="G432" s="203"/>
      <c r="H432" s="203"/>
      <c r="I432" s="203"/>
      <c r="J432" s="203"/>
      <c r="K432" s="205"/>
      <c r="L432" s="291"/>
      <c r="M432" s="263"/>
      <c r="N432" s="264"/>
      <c r="O432" s="265"/>
      <c r="P432" s="265"/>
      <c r="Q432" s="265"/>
      <c r="R432" s="265"/>
      <c r="S432" s="265"/>
      <c r="T432" s="265"/>
      <c r="U432" s="265"/>
    </row>
    <row r="433" spans="1:24" ht="30" customHeight="1">
      <c r="A433" s="204" t="str">
        <f>IF(ISBLANK(D433)," ",384-COUNTBLANK($D$6:D433))</f>
        <v xml:space="preserve"> </v>
      </c>
      <c r="B433" s="202"/>
      <c r="C433" s="202"/>
      <c r="D433" s="202"/>
      <c r="E433" s="300"/>
      <c r="F433" s="210"/>
      <c r="G433" s="203"/>
      <c r="H433" s="203"/>
      <c r="I433" s="203"/>
      <c r="J433" s="203"/>
      <c r="K433" s="205"/>
      <c r="L433" s="291"/>
      <c r="M433" s="263"/>
      <c r="N433" s="264"/>
      <c r="O433" s="265"/>
      <c r="P433" s="265"/>
      <c r="Q433" s="265"/>
      <c r="R433" s="265"/>
      <c r="S433" s="265"/>
      <c r="T433" s="265"/>
      <c r="U433" s="265"/>
    </row>
    <row r="434" spans="1:24" ht="30" customHeight="1">
      <c r="A434" s="204" t="str">
        <f>IF(ISBLANK(D434)," ",385-COUNTBLANK($D$6:D434))</f>
        <v xml:space="preserve"> </v>
      </c>
      <c r="B434" s="202"/>
      <c r="C434" s="202"/>
      <c r="D434" s="202"/>
      <c r="E434" s="300"/>
      <c r="F434" s="210"/>
      <c r="G434" s="203"/>
      <c r="H434" s="203"/>
      <c r="I434" s="203"/>
      <c r="J434" s="203"/>
      <c r="K434" s="205"/>
      <c r="L434" s="291"/>
      <c r="M434" s="263"/>
      <c r="N434" s="264"/>
      <c r="O434" s="265"/>
      <c r="P434" s="265"/>
      <c r="Q434" s="265"/>
      <c r="R434" s="265"/>
      <c r="S434" s="265"/>
      <c r="T434" s="265"/>
      <c r="U434" s="265"/>
    </row>
    <row r="435" spans="1:24" ht="30" customHeight="1">
      <c r="A435" s="204" t="str">
        <f>IF(ISBLANK(D435)," ",386-COUNTBLANK($D$6:D435))</f>
        <v xml:space="preserve"> </v>
      </c>
      <c r="B435" s="202"/>
      <c r="C435" s="202"/>
      <c r="D435" s="202"/>
      <c r="E435" s="300"/>
      <c r="F435" s="210"/>
      <c r="G435" s="203"/>
      <c r="H435" s="203"/>
      <c r="I435" s="203"/>
      <c r="J435" s="203"/>
      <c r="K435" s="205"/>
      <c r="L435" s="291"/>
      <c r="M435" s="263"/>
      <c r="N435" s="264"/>
      <c r="O435" s="265"/>
      <c r="P435" s="265"/>
      <c r="Q435" s="265"/>
      <c r="R435" s="265"/>
      <c r="S435" s="265"/>
      <c r="T435" s="265"/>
      <c r="U435" s="265"/>
    </row>
    <row r="436" spans="1:24" ht="30" customHeight="1">
      <c r="A436" s="204" t="str">
        <f>IF(ISBLANK(D436)," ",387-COUNTBLANK($D$6:D436))</f>
        <v xml:space="preserve"> </v>
      </c>
      <c r="B436" s="202"/>
      <c r="C436" s="202"/>
      <c r="D436" s="202"/>
      <c r="E436" s="300"/>
      <c r="F436" s="210"/>
      <c r="G436" s="203"/>
      <c r="H436" s="203"/>
      <c r="I436" s="203"/>
      <c r="J436" s="203"/>
      <c r="K436" s="205"/>
      <c r="L436" s="291"/>
      <c r="M436" s="263"/>
      <c r="N436" s="264"/>
      <c r="O436" s="265"/>
      <c r="P436" s="265"/>
      <c r="Q436" s="265"/>
      <c r="R436" s="265"/>
      <c r="S436" s="265"/>
      <c r="T436" s="265"/>
      <c r="U436" s="265"/>
    </row>
    <row r="437" spans="1:24" ht="30" customHeight="1">
      <c r="A437" s="204" t="str">
        <f>IF(ISBLANK(D437)," ",388-COUNTBLANK($D$6:D437))</f>
        <v xml:space="preserve"> </v>
      </c>
      <c r="B437" s="202"/>
      <c r="C437" s="202"/>
      <c r="D437" s="202"/>
      <c r="E437" s="300"/>
      <c r="F437" s="210"/>
      <c r="G437" s="203"/>
      <c r="H437" s="203"/>
      <c r="I437" s="203"/>
      <c r="J437" s="203"/>
      <c r="K437" s="205"/>
      <c r="L437" s="291"/>
      <c r="M437" s="263"/>
      <c r="N437" s="264"/>
      <c r="O437" s="265"/>
      <c r="P437" s="265"/>
      <c r="Q437" s="265"/>
      <c r="R437" s="265"/>
      <c r="S437" s="265"/>
      <c r="T437" s="265"/>
      <c r="U437" s="265"/>
    </row>
    <row r="438" spans="1:24" ht="30" customHeight="1">
      <c r="A438" s="204" t="str">
        <f>IF(ISBLANK(D438)," ",389-COUNTBLANK($D$6:D438))</f>
        <v xml:space="preserve"> </v>
      </c>
      <c r="B438" s="202"/>
      <c r="C438" s="202"/>
      <c r="D438" s="202"/>
      <c r="E438" s="300"/>
      <c r="F438" s="210"/>
      <c r="G438" s="203"/>
      <c r="H438" s="203"/>
      <c r="I438" s="203"/>
      <c r="J438" s="203"/>
      <c r="K438" s="205"/>
      <c r="L438" s="291"/>
      <c r="M438" s="263"/>
      <c r="N438" s="264"/>
      <c r="O438" s="265"/>
      <c r="P438" s="265"/>
      <c r="Q438" s="265"/>
      <c r="R438" s="265"/>
      <c r="S438" s="265"/>
      <c r="T438" s="265"/>
      <c r="U438" s="265"/>
    </row>
    <row r="439" spans="1:24" ht="30" customHeight="1">
      <c r="A439" s="204" t="str">
        <f>IF(ISBLANK(D439)," ",390-COUNTBLANK($D$6:D439))</f>
        <v xml:space="preserve"> </v>
      </c>
      <c r="B439" s="202"/>
      <c r="C439" s="202"/>
      <c r="D439" s="202"/>
      <c r="E439" s="300"/>
      <c r="F439" s="210"/>
      <c r="G439" s="203"/>
      <c r="H439" s="203"/>
      <c r="I439" s="203"/>
      <c r="J439" s="203"/>
      <c r="K439" s="205"/>
      <c r="L439" s="291"/>
      <c r="M439" s="263"/>
      <c r="N439" s="264"/>
      <c r="O439" s="265"/>
      <c r="P439" s="265"/>
      <c r="Q439" s="265"/>
      <c r="R439" s="265"/>
      <c r="S439" s="265"/>
      <c r="T439" s="265"/>
      <c r="U439" s="265"/>
    </row>
    <row r="440" spans="1:24" ht="30" customHeight="1">
      <c r="A440" s="204" t="str">
        <f>IF(ISBLANK(D440)," ",391-COUNTBLANK($D$6:D440))</f>
        <v xml:space="preserve"> </v>
      </c>
      <c r="B440" s="202"/>
      <c r="C440" s="202"/>
      <c r="D440" s="202"/>
      <c r="E440" s="300"/>
      <c r="F440" s="210"/>
      <c r="G440" s="203"/>
      <c r="H440" s="203"/>
      <c r="I440" s="203"/>
      <c r="J440" s="203"/>
      <c r="K440" s="205"/>
      <c r="L440" s="291"/>
      <c r="M440" s="263"/>
      <c r="N440" s="264"/>
      <c r="O440" s="265"/>
      <c r="P440" s="265"/>
      <c r="Q440" s="265"/>
      <c r="R440" s="265"/>
      <c r="S440" s="265"/>
      <c r="T440" s="265"/>
      <c r="U440" s="265"/>
    </row>
    <row r="441" spans="1:24" ht="30" customHeight="1">
      <c r="A441" s="204" t="str">
        <f>IF(ISBLANK(D441)," ",392-COUNTBLANK($D$6:D441))</f>
        <v xml:space="preserve"> </v>
      </c>
      <c r="B441" s="202"/>
      <c r="C441" s="202"/>
      <c r="D441" s="202"/>
      <c r="E441" s="300"/>
      <c r="F441" s="210"/>
      <c r="G441" s="203"/>
      <c r="H441" s="203"/>
      <c r="I441" s="203"/>
      <c r="J441" s="203"/>
      <c r="K441" s="205"/>
      <c r="L441" s="291"/>
      <c r="M441" s="263"/>
      <c r="N441" s="264"/>
      <c r="O441" s="265"/>
      <c r="P441" s="265"/>
      <c r="Q441" s="265"/>
      <c r="R441" s="265"/>
      <c r="S441" s="265"/>
      <c r="T441" s="265"/>
      <c r="U441" s="265"/>
    </row>
    <row r="442" spans="1:24" ht="30" customHeight="1">
      <c r="A442" s="204" t="str">
        <f>IF(ISBLANK(D442)," ",393-COUNTBLANK($D$6:D442))</f>
        <v xml:space="preserve"> </v>
      </c>
      <c r="B442" s="202"/>
      <c r="C442" s="202"/>
      <c r="D442" s="202"/>
      <c r="E442" s="300"/>
      <c r="F442" s="210"/>
      <c r="G442" s="203"/>
      <c r="H442" s="203"/>
      <c r="I442" s="203"/>
      <c r="J442" s="203"/>
      <c r="K442" s="205"/>
      <c r="L442" s="291"/>
      <c r="M442" s="263"/>
      <c r="N442" s="264"/>
      <c r="O442" s="265"/>
      <c r="P442" s="265"/>
      <c r="Q442" s="265"/>
      <c r="R442" s="265"/>
      <c r="S442" s="265"/>
      <c r="T442" s="265"/>
      <c r="U442" s="265"/>
    </row>
    <row r="443" spans="1:24" ht="30" customHeight="1">
      <c r="A443" s="204" t="str">
        <f>IF(ISBLANK(D443)," ",394-COUNTBLANK($D$6:D443))</f>
        <v xml:space="preserve"> </v>
      </c>
      <c r="B443" s="202"/>
      <c r="C443" s="202"/>
      <c r="D443" s="202"/>
      <c r="E443" s="300"/>
      <c r="F443" s="210"/>
      <c r="G443" s="203"/>
      <c r="H443" s="203"/>
      <c r="I443" s="203"/>
      <c r="J443" s="203"/>
      <c r="K443" s="205"/>
      <c r="L443" s="291"/>
      <c r="M443" s="263"/>
      <c r="N443" s="264"/>
      <c r="O443" s="265"/>
      <c r="P443" s="265"/>
      <c r="Q443" s="265"/>
      <c r="R443" s="265"/>
      <c r="S443" s="265"/>
      <c r="T443" s="265"/>
      <c r="U443" s="265"/>
    </row>
    <row r="444" spans="1:24" ht="30" customHeight="1">
      <c r="A444" s="204" t="str">
        <f>IF(ISBLANK(D444)," ",395-COUNTBLANK($D$6:D444))</f>
        <v xml:space="preserve"> </v>
      </c>
      <c r="B444" s="202"/>
      <c r="C444" s="202"/>
      <c r="D444" s="202"/>
      <c r="E444" s="300"/>
      <c r="F444" s="210"/>
      <c r="G444" s="203"/>
      <c r="H444" s="203"/>
      <c r="I444" s="203"/>
      <c r="J444" s="203"/>
      <c r="K444" s="205"/>
      <c r="L444" s="291"/>
      <c r="M444" s="263"/>
      <c r="N444" s="266"/>
      <c r="O444" s="265"/>
      <c r="P444" s="265"/>
      <c r="Q444" s="265"/>
      <c r="R444" s="265"/>
      <c r="S444" s="265"/>
      <c r="T444" s="265"/>
      <c r="U444" s="267"/>
    </row>
    <row r="445" spans="1:24" ht="30" customHeight="1">
      <c r="A445" s="204" t="str">
        <f>IF(ISBLANK(D445)," ",396-COUNTBLANK($D$6:D445))</f>
        <v xml:space="preserve"> </v>
      </c>
      <c r="B445" s="202"/>
      <c r="C445" s="202"/>
      <c r="D445" s="202"/>
      <c r="E445" s="300"/>
      <c r="F445" s="210"/>
      <c r="G445" s="203"/>
      <c r="H445" s="203"/>
      <c r="I445" s="203"/>
      <c r="J445" s="203"/>
      <c r="K445" s="205"/>
      <c r="L445" s="291"/>
      <c r="M445" s="263"/>
      <c r="N445" s="266"/>
      <c r="O445" s="265"/>
      <c r="P445" s="265"/>
      <c r="Q445" s="265"/>
      <c r="R445" s="265"/>
      <c r="S445" s="265"/>
      <c r="T445" s="265"/>
      <c r="U445" s="267"/>
    </row>
    <row r="446" spans="1:24" ht="30" customHeight="1">
      <c r="A446" s="204" t="str">
        <f>IF(ISBLANK(D446)," ",397-COUNTBLANK($D$6:D446))</f>
        <v xml:space="preserve"> </v>
      </c>
      <c r="B446" s="202"/>
      <c r="C446" s="202"/>
      <c r="D446" s="202"/>
      <c r="E446" s="300"/>
      <c r="F446" s="210"/>
      <c r="G446" s="203"/>
      <c r="H446" s="203"/>
      <c r="I446" s="203"/>
      <c r="J446" s="203"/>
      <c r="K446" s="205"/>
      <c r="L446" s="291"/>
      <c r="M446" s="263"/>
      <c r="N446" s="266"/>
      <c r="O446" s="265"/>
      <c r="P446" s="265"/>
      <c r="Q446" s="265"/>
      <c r="R446" s="265"/>
      <c r="S446" s="265"/>
      <c r="T446" s="265"/>
      <c r="U446" s="267"/>
    </row>
    <row r="447" spans="1:24" ht="30" customHeight="1">
      <c r="A447" s="204" t="str">
        <f>IF(ISBLANK(D447)," ",398-COUNTBLANK($D$6:D447))</f>
        <v xml:space="preserve"> </v>
      </c>
      <c r="B447" s="202"/>
      <c r="C447" s="202"/>
      <c r="D447" s="202"/>
      <c r="E447" s="300"/>
      <c r="F447" s="210"/>
      <c r="G447" s="203"/>
      <c r="H447" s="203"/>
      <c r="I447" s="203"/>
      <c r="J447" s="203"/>
      <c r="K447" s="205"/>
      <c r="L447" s="291"/>
      <c r="M447" s="263"/>
      <c r="N447" s="266"/>
      <c r="O447" s="265"/>
      <c r="P447" s="265"/>
      <c r="Q447" s="265"/>
      <c r="R447" s="265"/>
      <c r="S447" s="265"/>
      <c r="T447" s="265"/>
      <c r="U447" s="267"/>
    </row>
    <row r="448" spans="1:24" ht="30" customHeight="1">
      <c r="A448" s="304" t="s">
        <v>52</v>
      </c>
      <c r="B448" s="296"/>
      <c r="C448" s="305"/>
      <c r="D448" s="306"/>
      <c r="E448" s="297"/>
      <c r="F448" s="298">
        <f>SUM(F428:F447)</f>
        <v>0</v>
      </c>
      <c r="G448" s="282"/>
      <c r="H448" s="282"/>
      <c r="I448" s="282"/>
      <c r="J448" s="282"/>
      <c r="K448" s="283"/>
      <c r="L448" s="303"/>
      <c r="M448" s="263"/>
      <c r="N448" s="264"/>
      <c r="O448" s="265"/>
      <c r="P448" s="265"/>
      <c r="Q448" s="265"/>
      <c r="R448" s="265"/>
      <c r="S448" s="265"/>
      <c r="T448" s="265"/>
      <c r="U448" s="284"/>
      <c r="V448" s="265"/>
      <c r="W448" s="265"/>
      <c r="X448" s="265"/>
    </row>
    <row r="449" spans="1:24" ht="30" customHeight="1">
      <c r="A449" s="260" t="str">
        <f>IF(ISBLANK(D449)," ",400-COUNTBLANK($D$6:D449))</f>
        <v xml:space="preserve"> </v>
      </c>
      <c r="B449" s="200"/>
      <c r="C449" s="200"/>
      <c r="D449" s="200"/>
      <c r="E449" s="299"/>
      <c r="F449" s="209"/>
      <c r="G449" s="201"/>
      <c r="H449" s="201"/>
      <c r="I449" s="201"/>
      <c r="J449" s="201"/>
      <c r="K449" s="262"/>
      <c r="L449" s="291"/>
      <c r="M449" s="263"/>
      <c r="N449" s="266"/>
      <c r="O449" s="265"/>
      <c r="P449" s="265"/>
      <c r="Q449" s="265"/>
      <c r="R449" s="265"/>
      <c r="S449" s="265"/>
      <c r="T449" s="265"/>
      <c r="U449" s="284"/>
      <c r="V449" s="265"/>
      <c r="W449" s="265"/>
      <c r="X449" s="265"/>
    </row>
    <row r="450" spans="1:24" ht="30" customHeight="1">
      <c r="A450" s="204" t="str">
        <f>IF(ISBLANK(D450)," ",401-COUNTBLANK($D$6:D450))</f>
        <v xml:space="preserve"> </v>
      </c>
      <c r="B450" s="202"/>
      <c r="C450" s="202"/>
      <c r="D450" s="202"/>
      <c r="E450" s="300"/>
      <c r="F450" s="210"/>
      <c r="G450" s="203"/>
      <c r="H450" s="203"/>
      <c r="I450" s="203"/>
      <c r="J450" s="203"/>
      <c r="K450" s="205"/>
      <c r="L450" s="291"/>
      <c r="M450" s="263"/>
      <c r="N450" s="264"/>
      <c r="O450" s="265"/>
      <c r="P450" s="265"/>
      <c r="Q450" s="265"/>
      <c r="R450" s="265"/>
      <c r="S450" s="265"/>
      <c r="T450" s="265"/>
      <c r="U450" s="265"/>
    </row>
    <row r="451" spans="1:24" ht="30" customHeight="1">
      <c r="A451" s="204" t="str">
        <f>IF(ISBLANK(D451)," ",402-COUNTBLANK($D$6:D451))</f>
        <v xml:space="preserve"> </v>
      </c>
      <c r="B451" s="202"/>
      <c r="C451" s="202"/>
      <c r="D451" s="202"/>
      <c r="E451" s="300"/>
      <c r="F451" s="210"/>
      <c r="G451" s="203"/>
      <c r="H451" s="203"/>
      <c r="I451" s="203"/>
      <c r="J451" s="203"/>
      <c r="K451" s="205"/>
      <c r="L451" s="291"/>
      <c r="M451" s="263"/>
      <c r="N451" s="264"/>
      <c r="O451" s="265"/>
      <c r="P451" s="265"/>
      <c r="Q451" s="265"/>
      <c r="R451" s="265"/>
      <c r="S451" s="265"/>
      <c r="T451" s="265"/>
      <c r="U451" s="265"/>
    </row>
    <row r="452" spans="1:24" ht="30" customHeight="1">
      <c r="A452" s="204" t="str">
        <f>IF(ISBLANK(D452)," ",403-COUNTBLANK($D$6:D452))</f>
        <v xml:space="preserve"> </v>
      </c>
      <c r="B452" s="202"/>
      <c r="C452" s="202"/>
      <c r="D452" s="202"/>
      <c r="E452" s="300"/>
      <c r="F452" s="210"/>
      <c r="G452" s="203"/>
      <c r="H452" s="203"/>
      <c r="I452" s="203"/>
      <c r="J452" s="203"/>
      <c r="K452" s="205"/>
      <c r="L452" s="291"/>
      <c r="M452" s="263"/>
      <c r="N452" s="264"/>
      <c r="O452" s="265"/>
      <c r="P452" s="265"/>
      <c r="Q452" s="265"/>
      <c r="R452" s="265"/>
      <c r="S452" s="265"/>
      <c r="T452" s="265"/>
      <c r="U452" s="265"/>
    </row>
    <row r="453" spans="1:24" ht="30" customHeight="1">
      <c r="A453" s="204" t="str">
        <f>IF(ISBLANK(D453)," ",404-COUNTBLANK($D$6:D453))</f>
        <v xml:space="preserve"> </v>
      </c>
      <c r="B453" s="202"/>
      <c r="C453" s="202"/>
      <c r="D453" s="202"/>
      <c r="E453" s="300"/>
      <c r="F453" s="210"/>
      <c r="G453" s="203"/>
      <c r="H453" s="203"/>
      <c r="I453" s="203"/>
      <c r="J453" s="203"/>
      <c r="K453" s="205"/>
      <c r="L453" s="291"/>
      <c r="M453" s="263"/>
      <c r="N453" s="264"/>
      <c r="O453" s="265"/>
      <c r="P453" s="265"/>
      <c r="Q453" s="265"/>
      <c r="R453" s="265"/>
      <c r="S453" s="265"/>
      <c r="T453" s="265"/>
      <c r="U453" s="265"/>
    </row>
    <row r="454" spans="1:24" ht="30" customHeight="1">
      <c r="A454" s="204" t="str">
        <f>IF(ISBLANK(D454)," ",405-COUNTBLANK($D$6:D454))</f>
        <v xml:space="preserve"> </v>
      </c>
      <c r="B454" s="202"/>
      <c r="C454" s="202"/>
      <c r="D454" s="202"/>
      <c r="E454" s="300"/>
      <c r="F454" s="210"/>
      <c r="G454" s="203"/>
      <c r="H454" s="203"/>
      <c r="I454" s="203"/>
      <c r="J454" s="203"/>
      <c r="K454" s="205"/>
      <c r="L454" s="291"/>
      <c r="M454" s="263"/>
      <c r="N454" s="264"/>
      <c r="O454" s="265"/>
      <c r="P454" s="265"/>
      <c r="Q454" s="265"/>
      <c r="R454" s="265"/>
      <c r="S454" s="265"/>
      <c r="T454" s="265"/>
      <c r="U454" s="265"/>
    </row>
    <row r="455" spans="1:24" ht="30" customHeight="1">
      <c r="A455" s="204" t="str">
        <f>IF(ISBLANK(D455)," ",406-COUNTBLANK($D$6:D455))</f>
        <v xml:space="preserve"> </v>
      </c>
      <c r="B455" s="202"/>
      <c r="C455" s="202"/>
      <c r="D455" s="202"/>
      <c r="E455" s="300"/>
      <c r="F455" s="210"/>
      <c r="G455" s="203"/>
      <c r="H455" s="203"/>
      <c r="I455" s="203"/>
      <c r="J455" s="203"/>
      <c r="K455" s="205"/>
      <c r="L455" s="291"/>
      <c r="M455" s="263"/>
      <c r="N455" s="264"/>
      <c r="O455" s="265"/>
      <c r="P455" s="265"/>
      <c r="Q455" s="265"/>
      <c r="R455" s="265"/>
      <c r="S455" s="265"/>
      <c r="T455" s="265"/>
      <c r="U455" s="265"/>
    </row>
    <row r="456" spans="1:24" ht="30" customHeight="1">
      <c r="A456" s="204" t="str">
        <f>IF(ISBLANK(D456)," ",407-COUNTBLANK($D$6:D456))</f>
        <v xml:space="preserve"> </v>
      </c>
      <c r="B456" s="202"/>
      <c r="C456" s="202"/>
      <c r="D456" s="202"/>
      <c r="E456" s="300"/>
      <c r="F456" s="210"/>
      <c r="G456" s="203"/>
      <c r="H456" s="203"/>
      <c r="I456" s="203"/>
      <c r="J456" s="203"/>
      <c r="K456" s="205"/>
      <c r="L456" s="291"/>
      <c r="M456" s="263"/>
      <c r="N456" s="264"/>
      <c r="O456" s="265"/>
      <c r="P456" s="265"/>
      <c r="Q456" s="265"/>
      <c r="R456" s="265"/>
      <c r="S456" s="265"/>
      <c r="T456" s="265"/>
      <c r="U456" s="265"/>
    </row>
    <row r="457" spans="1:24" ht="30" customHeight="1">
      <c r="A457" s="204" t="str">
        <f>IF(ISBLANK(D457)," ",408-COUNTBLANK($D$6:D457))</f>
        <v xml:space="preserve"> </v>
      </c>
      <c r="B457" s="202"/>
      <c r="C457" s="202"/>
      <c r="D457" s="202"/>
      <c r="E457" s="300"/>
      <c r="F457" s="210"/>
      <c r="G457" s="203"/>
      <c r="H457" s="203"/>
      <c r="I457" s="203"/>
      <c r="J457" s="203"/>
      <c r="K457" s="205"/>
      <c r="L457" s="291"/>
      <c r="M457" s="263"/>
      <c r="N457" s="264"/>
      <c r="O457" s="265"/>
      <c r="P457" s="265"/>
      <c r="Q457" s="265"/>
      <c r="R457" s="265"/>
      <c r="S457" s="265"/>
      <c r="T457" s="265"/>
      <c r="U457" s="265"/>
    </row>
    <row r="458" spans="1:24" ht="30" customHeight="1">
      <c r="A458" s="204" t="str">
        <f>IF(ISBLANK(D458)," ",409-COUNTBLANK($D$6:D458))</f>
        <v xml:space="preserve"> </v>
      </c>
      <c r="B458" s="202"/>
      <c r="C458" s="202"/>
      <c r="D458" s="202"/>
      <c r="E458" s="300"/>
      <c r="F458" s="210"/>
      <c r="G458" s="203"/>
      <c r="H458" s="203"/>
      <c r="I458" s="203"/>
      <c r="J458" s="203"/>
      <c r="K458" s="205"/>
      <c r="L458" s="291"/>
      <c r="M458" s="263"/>
      <c r="N458" s="264"/>
      <c r="O458" s="265"/>
      <c r="P458" s="265"/>
      <c r="Q458" s="265"/>
      <c r="R458" s="265"/>
      <c r="S458" s="265"/>
      <c r="T458" s="265"/>
      <c r="U458" s="265"/>
    </row>
    <row r="459" spans="1:24" ht="30" customHeight="1">
      <c r="A459" s="204" t="str">
        <f>IF(ISBLANK(D459)," ",410-COUNTBLANK($D$6:D459))</f>
        <v xml:space="preserve"> </v>
      </c>
      <c r="B459" s="202"/>
      <c r="C459" s="202"/>
      <c r="D459" s="202"/>
      <c r="E459" s="300"/>
      <c r="F459" s="210"/>
      <c r="G459" s="203"/>
      <c r="H459" s="203"/>
      <c r="I459" s="203"/>
      <c r="J459" s="203"/>
      <c r="K459" s="205"/>
      <c r="L459" s="291"/>
      <c r="M459" s="263"/>
      <c r="N459" s="264"/>
      <c r="O459" s="265"/>
      <c r="P459" s="265"/>
      <c r="Q459" s="265"/>
      <c r="R459" s="265"/>
      <c r="S459" s="265"/>
      <c r="T459" s="265"/>
      <c r="U459" s="265"/>
    </row>
    <row r="460" spans="1:24" ht="30" customHeight="1">
      <c r="A460" s="204" t="str">
        <f>IF(ISBLANK(D460)," ",411-COUNTBLANK($D$6:D460))</f>
        <v xml:space="preserve"> </v>
      </c>
      <c r="B460" s="202"/>
      <c r="C460" s="202"/>
      <c r="D460" s="202"/>
      <c r="E460" s="300"/>
      <c r="F460" s="210"/>
      <c r="G460" s="203"/>
      <c r="H460" s="203"/>
      <c r="I460" s="203"/>
      <c r="J460" s="203"/>
      <c r="K460" s="205"/>
      <c r="L460" s="291"/>
      <c r="M460" s="263"/>
      <c r="N460" s="264"/>
      <c r="O460" s="265"/>
      <c r="P460" s="265"/>
      <c r="Q460" s="265"/>
      <c r="R460" s="265"/>
      <c r="S460" s="265"/>
      <c r="T460" s="265"/>
      <c r="U460" s="265"/>
    </row>
    <row r="461" spans="1:24" ht="30" customHeight="1">
      <c r="A461" s="204" t="str">
        <f>IF(ISBLANK(D461)," ",412-COUNTBLANK($D$6:D461))</f>
        <v xml:space="preserve"> </v>
      </c>
      <c r="B461" s="202"/>
      <c r="C461" s="202"/>
      <c r="D461" s="202"/>
      <c r="E461" s="300"/>
      <c r="F461" s="210"/>
      <c r="G461" s="203"/>
      <c r="H461" s="203"/>
      <c r="I461" s="203"/>
      <c r="J461" s="203"/>
      <c r="K461" s="205"/>
      <c r="L461" s="291"/>
      <c r="M461" s="263"/>
      <c r="N461" s="264"/>
      <c r="O461" s="265"/>
      <c r="P461" s="265"/>
      <c r="Q461" s="265"/>
      <c r="R461" s="265"/>
      <c r="S461" s="265"/>
      <c r="T461" s="265"/>
      <c r="U461" s="265"/>
    </row>
    <row r="462" spans="1:24" ht="30" customHeight="1">
      <c r="A462" s="204" t="str">
        <f>IF(ISBLANK(D462)," ",413-COUNTBLANK($D$6:D462))</f>
        <v xml:space="preserve"> </v>
      </c>
      <c r="B462" s="202"/>
      <c r="C462" s="202"/>
      <c r="D462" s="202"/>
      <c r="E462" s="300"/>
      <c r="F462" s="210"/>
      <c r="G462" s="203"/>
      <c r="H462" s="203"/>
      <c r="I462" s="203"/>
      <c r="J462" s="203"/>
      <c r="K462" s="205"/>
      <c r="L462" s="291"/>
      <c r="M462" s="263"/>
      <c r="N462" s="264"/>
      <c r="O462" s="265"/>
      <c r="P462" s="265"/>
      <c r="Q462" s="265"/>
      <c r="R462" s="265"/>
      <c r="S462" s="265"/>
      <c r="T462" s="265"/>
      <c r="U462" s="265"/>
    </row>
    <row r="463" spans="1:24" ht="30" customHeight="1">
      <c r="A463" s="204" t="str">
        <f>IF(ISBLANK(D463)," ",414-COUNTBLANK($D$6:D463))</f>
        <v xml:space="preserve"> </v>
      </c>
      <c r="B463" s="202"/>
      <c r="C463" s="202"/>
      <c r="D463" s="202"/>
      <c r="E463" s="300"/>
      <c r="F463" s="210"/>
      <c r="G463" s="203"/>
      <c r="H463" s="203"/>
      <c r="I463" s="203"/>
      <c r="J463" s="203"/>
      <c r="K463" s="205"/>
      <c r="L463" s="291"/>
      <c r="M463" s="263"/>
      <c r="N463" s="264"/>
      <c r="O463" s="265"/>
      <c r="P463" s="265"/>
      <c r="Q463" s="265"/>
      <c r="R463" s="265"/>
      <c r="S463" s="265"/>
      <c r="T463" s="265"/>
      <c r="U463" s="265"/>
    </row>
    <row r="464" spans="1:24" ht="30" customHeight="1">
      <c r="A464" s="204" t="str">
        <f>IF(ISBLANK(D464)," ",415-COUNTBLANK($D$6:D464))</f>
        <v xml:space="preserve"> </v>
      </c>
      <c r="B464" s="202"/>
      <c r="C464" s="202"/>
      <c r="D464" s="202"/>
      <c r="E464" s="300"/>
      <c r="F464" s="210"/>
      <c r="G464" s="203"/>
      <c r="H464" s="203"/>
      <c r="I464" s="203"/>
      <c r="J464" s="203"/>
      <c r="K464" s="205"/>
      <c r="L464" s="291"/>
      <c r="M464" s="263"/>
      <c r="N464" s="264"/>
      <c r="O464" s="265"/>
      <c r="P464" s="265"/>
      <c r="Q464" s="265"/>
      <c r="R464" s="265"/>
      <c r="S464" s="265"/>
      <c r="T464" s="265"/>
      <c r="U464" s="265"/>
    </row>
    <row r="465" spans="1:24" ht="30" customHeight="1">
      <c r="A465" s="204" t="str">
        <f>IF(ISBLANK(D465)," ",416-COUNTBLANK($D$6:D465))</f>
        <v xml:space="preserve"> </v>
      </c>
      <c r="B465" s="202"/>
      <c r="C465" s="202"/>
      <c r="D465" s="202"/>
      <c r="E465" s="300"/>
      <c r="F465" s="210"/>
      <c r="G465" s="203"/>
      <c r="H465" s="203"/>
      <c r="I465" s="203"/>
      <c r="J465" s="203"/>
      <c r="K465" s="205"/>
      <c r="L465" s="291"/>
      <c r="M465" s="263"/>
      <c r="N465" s="266"/>
      <c r="O465" s="265"/>
      <c r="P465" s="265"/>
      <c r="Q465" s="265"/>
      <c r="R465" s="265"/>
      <c r="S465" s="265"/>
      <c r="T465" s="265"/>
      <c r="U465" s="267"/>
    </row>
    <row r="466" spans="1:24" ht="30" customHeight="1">
      <c r="A466" s="204" t="str">
        <f>IF(ISBLANK(D466)," ",417-COUNTBLANK($D$6:D466))</f>
        <v xml:space="preserve"> </v>
      </c>
      <c r="B466" s="202"/>
      <c r="C466" s="202"/>
      <c r="D466" s="202"/>
      <c r="E466" s="300"/>
      <c r="F466" s="210"/>
      <c r="G466" s="203"/>
      <c r="H466" s="203"/>
      <c r="I466" s="203"/>
      <c r="J466" s="203"/>
      <c r="K466" s="205"/>
      <c r="L466" s="291"/>
      <c r="M466" s="263"/>
      <c r="N466" s="266"/>
      <c r="O466" s="265"/>
      <c r="P466" s="265"/>
      <c r="Q466" s="265"/>
      <c r="R466" s="265"/>
      <c r="S466" s="265"/>
      <c r="T466" s="265"/>
      <c r="U466" s="267"/>
    </row>
    <row r="467" spans="1:24" ht="30" customHeight="1">
      <c r="A467" s="204" t="str">
        <f>IF(ISBLANK(D467)," ",418-COUNTBLANK($D$6:D467))</f>
        <v xml:space="preserve"> </v>
      </c>
      <c r="B467" s="202"/>
      <c r="C467" s="202"/>
      <c r="D467" s="202"/>
      <c r="E467" s="300"/>
      <c r="F467" s="210"/>
      <c r="G467" s="203"/>
      <c r="H467" s="203"/>
      <c r="I467" s="203"/>
      <c r="J467" s="203"/>
      <c r="K467" s="205"/>
      <c r="L467" s="291"/>
      <c r="M467" s="263"/>
      <c r="N467" s="266"/>
      <c r="O467" s="265"/>
      <c r="P467" s="265"/>
      <c r="Q467" s="265"/>
      <c r="R467" s="265"/>
      <c r="S467" s="265"/>
      <c r="T467" s="265"/>
      <c r="U467" s="267"/>
    </row>
    <row r="468" spans="1:24" ht="30" customHeight="1">
      <c r="A468" s="204" t="str">
        <f>IF(ISBLANK(D468)," ",419-COUNTBLANK($D$6:D468))</f>
        <v xml:space="preserve"> </v>
      </c>
      <c r="B468" s="202"/>
      <c r="C468" s="202"/>
      <c r="D468" s="202"/>
      <c r="E468" s="300"/>
      <c r="F468" s="210"/>
      <c r="G468" s="203"/>
      <c r="H468" s="203"/>
      <c r="I468" s="203"/>
      <c r="J468" s="203"/>
      <c r="K468" s="205"/>
      <c r="L468" s="291"/>
      <c r="M468" s="263"/>
      <c r="N468" s="266"/>
      <c r="O468" s="265"/>
      <c r="P468" s="265"/>
      <c r="Q468" s="265"/>
      <c r="R468" s="265"/>
      <c r="S468" s="265"/>
      <c r="T468" s="265"/>
      <c r="U468" s="267"/>
    </row>
    <row r="469" spans="1:24" ht="30" customHeight="1">
      <c r="A469" s="304" t="s">
        <v>52</v>
      </c>
      <c r="B469" s="296"/>
      <c r="C469" s="305"/>
      <c r="D469" s="306"/>
      <c r="E469" s="297"/>
      <c r="F469" s="298">
        <f>SUM(F449:F468)</f>
        <v>0</v>
      </c>
      <c r="G469" s="282"/>
      <c r="H469" s="282"/>
      <c r="I469" s="282"/>
      <c r="J469" s="282"/>
      <c r="K469" s="283"/>
      <c r="L469" s="303"/>
      <c r="M469" s="263"/>
      <c r="N469" s="264"/>
      <c r="O469" s="265"/>
      <c r="P469" s="265"/>
      <c r="Q469" s="265"/>
      <c r="R469" s="265"/>
      <c r="S469" s="265"/>
      <c r="T469" s="265"/>
      <c r="U469" s="284"/>
      <c r="V469" s="265"/>
      <c r="W469" s="265"/>
      <c r="X469" s="265"/>
    </row>
    <row r="470" spans="1:24" ht="30" customHeight="1">
      <c r="A470" s="260" t="str">
        <f>IF(ISBLANK(D470)," ",421-COUNTBLANK($D$6:D470))</f>
        <v xml:space="preserve"> </v>
      </c>
      <c r="B470" s="200"/>
      <c r="C470" s="200"/>
      <c r="D470" s="200"/>
      <c r="E470" s="299"/>
      <c r="F470" s="209"/>
      <c r="G470" s="201"/>
      <c r="H470" s="201"/>
      <c r="I470" s="201"/>
      <c r="J470" s="201"/>
      <c r="K470" s="262"/>
      <c r="L470" s="291"/>
      <c r="M470" s="263"/>
      <c r="N470" s="266"/>
      <c r="O470" s="265"/>
      <c r="P470" s="265"/>
      <c r="Q470" s="265"/>
      <c r="R470" s="265"/>
      <c r="S470" s="265"/>
      <c r="T470" s="265"/>
      <c r="U470" s="284"/>
      <c r="V470" s="265"/>
      <c r="W470" s="265"/>
      <c r="X470" s="265"/>
    </row>
    <row r="471" spans="1:24" ht="30" customHeight="1">
      <c r="A471" s="204" t="str">
        <f>IF(ISBLANK(D471)," ",422-COUNTBLANK($D$6:D471))</f>
        <v xml:space="preserve"> </v>
      </c>
      <c r="B471" s="202"/>
      <c r="C471" s="202"/>
      <c r="D471" s="202"/>
      <c r="E471" s="300"/>
      <c r="F471" s="210"/>
      <c r="G471" s="203"/>
      <c r="H471" s="203"/>
      <c r="I471" s="203"/>
      <c r="J471" s="203"/>
      <c r="K471" s="205"/>
      <c r="L471" s="291"/>
      <c r="M471" s="263"/>
      <c r="N471" s="264"/>
      <c r="O471" s="265"/>
      <c r="P471" s="265"/>
      <c r="Q471" s="265"/>
      <c r="R471" s="265"/>
      <c r="S471" s="265"/>
      <c r="T471" s="265"/>
      <c r="U471" s="265"/>
    </row>
    <row r="472" spans="1:24" ht="30" customHeight="1">
      <c r="A472" s="204" t="str">
        <f>IF(ISBLANK(D472)," ",423-COUNTBLANK($D$6:D472))</f>
        <v xml:space="preserve"> </v>
      </c>
      <c r="B472" s="202"/>
      <c r="C472" s="202"/>
      <c r="D472" s="202"/>
      <c r="E472" s="300"/>
      <c r="F472" s="210"/>
      <c r="G472" s="203"/>
      <c r="H472" s="203"/>
      <c r="I472" s="203"/>
      <c r="J472" s="203"/>
      <c r="K472" s="205"/>
      <c r="L472" s="291"/>
      <c r="M472" s="263"/>
      <c r="N472" s="264"/>
      <c r="O472" s="265"/>
      <c r="P472" s="265"/>
      <c r="Q472" s="265"/>
      <c r="R472" s="265"/>
      <c r="S472" s="265"/>
      <c r="T472" s="265"/>
      <c r="U472" s="265"/>
    </row>
    <row r="473" spans="1:24" ht="30" customHeight="1">
      <c r="A473" s="204" t="str">
        <f>IF(ISBLANK(D473)," ",424-COUNTBLANK($D$6:D473))</f>
        <v xml:space="preserve"> </v>
      </c>
      <c r="B473" s="202"/>
      <c r="C473" s="202"/>
      <c r="D473" s="202"/>
      <c r="E473" s="300"/>
      <c r="F473" s="210"/>
      <c r="G473" s="203"/>
      <c r="H473" s="203"/>
      <c r="I473" s="203"/>
      <c r="J473" s="203"/>
      <c r="K473" s="205"/>
      <c r="L473" s="291"/>
      <c r="M473" s="263"/>
      <c r="N473" s="264"/>
      <c r="O473" s="265"/>
      <c r="P473" s="265"/>
      <c r="Q473" s="265"/>
      <c r="R473" s="265"/>
      <c r="S473" s="265"/>
      <c r="T473" s="265"/>
      <c r="U473" s="265"/>
    </row>
    <row r="474" spans="1:24" ht="30" customHeight="1">
      <c r="A474" s="204" t="str">
        <f>IF(ISBLANK(D474)," ",425-COUNTBLANK($D$6:D474))</f>
        <v xml:space="preserve"> </v>
      </c>
      <c r="B474" s="202"/>
      <c r="C474" s="202"/>
      <c r="D474" s="202"/>
      <c r="E474" s="300"/>
      <c r="F474" s="210"/>
      <c r="G474" s="203"/>
      <c r="H474" s="203"/>
      <c r="I474" s="203"/>
      <c r="J474" s="203"/>
      <c r="K474" s="205"/>
      <c r="L474" s="291"/>
      <c r="M474" s="263"/>
      <c r="N474" s="264"/>
      <c r="O474" s="265"/>
      <c r="P474" s="265"/>
      <c r="Q474" s="265"/>
      <c r="R474" s="265"/>
      <c r="S474" s="265"/>
      <c r="T474" s="265"/>
      <c r="U474" s="265"/>
    </row>
    <row r="475" spans="1:24" ht="30" customHeight="1">
      <c r="A475" s="204" t="str">
        <f>IF(ISBLANK(D475)," ",426-COUNTBLANK($D$6:D475))</f>
        <v xml:space="preserve"> </v>
      </c>
      <c r="B475" s="202"/>
      <c r="C475" s="202"/>
      <c r="D475" s="202"/>
      <c r="E475" s="300"/>
      <c r="F475" s="210"/>
      <c r="G475" s="203"/>
      <c r="H475" s="203"/>
      <c r="I475" s="203"/>
      <c r="J475" s="203"/>
      <c r="K475" s="205"/>
      <c r="L475" s="291"/>
      <c r="M475" s="263"/>
      <c r="N475" s="264"/>
      <c r="O475" s="265"/>
      <c r="P475" s="265"/>
      <c r="Q475" s="265"/>
      <c r="R475" s="265"/>
      <c r="S475" s="265"/>
      <c r="T475" s="265"/>
      <c r="U475" s="265"/>
    </row>
    <row r="476" spans="1:24" ht="30" customHeight="1">
      <c r="A476" s="204" t="str">
        <f>IF(ISBLANK(D476)," ",427-COUNTBLANK($D$6:D476))</f>
        <v xml:space="preserve"> </v>
      </c>
      <c r="B476" s="202"/>
      <c r="C476" s="202"/>
      <c r="D476" s="202"/>
      <c r="E476" s="300"/>
      <c r="F476" s="210"/>
      <c r="G476" s="203"/>
      <c r="H476" s="203"/>
      <c r="I476" s="203"/>
      <c r="J476" s="203"/>
      <c r="K476" s="205"/>
      <c r="L476" s="291"/>
      <c r="M476" s="263"/>
      <c r="N476" s="264"/>
      <c r="O476" s="265"/>
      <c r="P476" s="265"/>
      <c r="Q476" s="265"/>
      <c r="R476" s="265"/>
      <c r="S476" s="265"/>
      <c r="T476" s="265"/>
      <c r="U476" s="265"/>
    </row>
    <row r="477" spans="1:24" ht="30" customHeight="1">
      <c r="A477" s="204" t="str">
        <f>IF(ISBLANK(D477)," ",428-COUNTBLANK($D$6:D477))</f>
        <v xml:space="preserve"> </v>
      </c>
      <c r="B477" s="202"/>
      <c r="C477" s="202"/>
      <c r="D477" s="202"/>
      <c r="E477" s="300"/>
      <c r="F477" s="210"/>
      <c r="G477" s="203"/>
      <c r="H477" s="203"/>
      <c r="I477" s="203"/>
      <c r="J477" s="203"/>
      <c r="K477" s="205"/>
      <c r="L477" s="291"/>
      <c r="M477" s="263"/>
      <c r="N477" s="264"/>
      <c r="O477" s="265"/>
      <c r="P477" s="265"/>
      <c r="Q477" s="265"/>
      <c r="R477" s="265"/>
      <c r="S477" s="265"/>
      <c r="T477" s="265"/>
      <c r="U477" s="265"/>
    </row>
    <row r="478" spans="1:24" ht="30" customHeight="1">
      <c r="A478" s="204" t="str">
        <f>IF(ISBLANK(D478)," ",429-COUNTBLANK($D$6:D478))</f>
        <v xml:space="preserve"> </v>
      </c>
      <c r="B478" s="202"/>
      <c r="C478" s="202"/>
      <c r="D478" s="202"/>
      <c r="E478" s="300"/>
      <c r="F478" s="210"/>
      <c r="G478" s="203"/>
      <c r="H478" s="203"/>
      <c r="I478" s="203"/>
      <c r="J478" s="203"/>
      <c r="K478" s="205"/>
      <c r="L478" s="291"/>
      <c r="M478" s="263"/>
      <c r="N478" s="264"/>
      <c r="O478" s="265"/>
      <c r="P478" s="265"/>
      <c r="Q478" s="265"/>
      <c r="R478" s="265"/>
      <c r="S478" s="265"/>
      <c r="T478" s="265"/>
      <c r="U478" s="265"/>
    </row>
    <row r="479" spans="1:24" ht="30" customHeight="1">
      <c r="A479" s="204" t="str">
        <f>IF(ISBLANK(D479)," ",430-COUNTBLANK($D$6:D479))</f>
        <v xml:space="preserve"> </v>
      </c>
      <c r="B479" s="202"/>
      <c r="C479" s="202"/>
      <c r="D479" s="202"/>
      <c r="E479" s="300"/>
      <c r="F479" s="210"/>
      <c r="G479" s="203"/>
      <c r="H479" s="203"/>
      <c r="I479" s="203"/>
      <c r="J479" s="203"/>
      <c r="K479" s="205"/>
      <c r="L479" s="291"/>
      <c r="M479" s="263"/>
      <c r="N479" s="264"/>
      <c r="O479" s="265"/>
      <c r="P479" s="265"/>
      <c r="Q479" s="265"/>
      <c r="R479" s="265"/>
      <c r="S479" s="265"/>
      <c r="T479" s="265"/>
      <c r="U479" s="265"/>
    </row>
    <row r="480" spans="1:24" ht="30" customHeight="1">
      <c r="A480" s="204" t="str">
        <f>IF(ISBLANK(D480)," ",431-COUNTBLANK($D$6:D480))</f>
        <v xml:space="preserve"> </v>
      </c>
      <c r="B480" s="202"/>
      <c r="C480" s="202"/>
      <c r="D480" s="202"/>
      <c r="E480" s="300"/>
      <c r="F480" s="210"/>
      <c r="G480" s="203"/>
      <c r="H480" s="203"/>
      <c r="I480" s="203"/>
      <c r="J480" s="203"/>
      <c r="K480" s="205"/>
      <c r="L480" s="291"/>
      <c r="M480" s="263"/>
      <c r="N480" s="264"/>
      <c r="O480" s="265"/>
      <c r="P480" s="265"/>
      <c r="Q480" s="265"/>
      <c r="R480" s="265"/>
      <c r="S480" s="265"/>
      <c r="T480" s="265"/>
      <c r="U480" s="265"/>
    </row>
    <row r="481" spans="1:24" ht="30" customHeight="1">
      <c r="A481" s="204" t="str">
        <f>IF(ISBLANK(D481)," ",432-COUNTBLANK($D$6:D481))</f>
        <v xml:space="preserve"> </v>
      </c>
      <c r="B481" s="202"/>
      <c r="C481" s="202"/>
      <c r="D481" s="202"/>
      <c r="E481" s="300"/>
      <c r="F481" s="210"/>
      <c r="G481" s="203"/>
      <c r="H481" s="203"/>
      <c r="I481" s="203"/>
      <c r="J481" s="203"/>
      <c r="K481" s="205"/>
      <c r="L481" s="291"/>
      <c r="M481" s="263"/>
      <c r="N481" s="264"/>
      <c r="O481" s="265"/>
      <c r="P481" s="265"/>
      <c r="Q481" s="265"/>
      <c r="R481" s="265"/>
      <c r="S481" s="265"/>
      <c r="T481" s="265"/>
      <c r="U481" s="265"/>
    </row>
    <row r="482" spans="1:24" ht="30" customHeight="1">
      <c r="A482" s="204" t="str">
        <f>IF(ISBLANK(D482)," ",433-COUNTBLANK($D$6:D482))</f>
        <v xml:space="preserve"> </v>
      </c>
      <c r="B482" s="202"/>
      <c r="C482" s="202"/>
      <c r="D482" s="202"/>
      <c r="E482" s="300"/>
      <c r="F482" s="210"/>
      <c r="G482" s="203"/>
      <c r="H482" s="203"/>
      <c r="I482" s="203"/>
      <c r="J482" s="203"/>
      <c r="K482" s="205"/>
      <c r="L482" s="291"/>
      <c r="M482" s="263"/>
      <c r="N482" s="264"/>
      <c r="O482" s="265"/>
      <c r="P482" s="265"/>
      <c r="Q482" s="265"/>
      <c r="R482" s="265"/>
      <c r="S482" s="265"/>
      <c r="T482" s="265"/>
      <c r="U482" s="265"/>
    </row>
    <row r="483" spans="1:24" ht="30" customHeight="1">
      <c r="A483" s="204" t="str">
        <f>IF(ISBLANK(D483)," ",434-COUNTBLANK($D$6:D483))</f>
        <v xml:space="preserve"> </v>
      </c>
      <c r="B483" s="202"/>
      <c r="C483" s="202"/>
      <c r="D483" s="202"/>
      <c r="E483" s="300"/>
      <c r="F483" s="210"/>
      <c r="G483" s="203"/>
      <c r="H483" s="203"/>
      <c r="I483" s="203"/>
      <c r="J483" s="203"/>
      <c r="K483" s="205"/>
      <c r="L483" s="291"/>
      <c r="M483" s="263"/>
      <c r="N483" s="264"/>
      <c r="O483" s="265"/>
      <c r="P483" s="265"/>
      <c r="Q483" s="265"/>
      <c r="R483" s="265"/>
      <c r="S483" s="265"/>
      <c r="T483" s="265"/>
      <c r="U483" s="265"/>
    </row>
    <row r="484" spans="1:24" ht="30" customHeight="1">
      <c r="A484" s="204" t="str">
        <f>IF(ISBLANK(D484)," ",435-COUNTBLANK($D$6:D484))</f>
        <v xml:space="preserve"> </v>
      </c>
      <c r="B484" s="202"/>
      <c r="C484" s="202"/>
      <c r="D484" s="202"/>
      <c r="E484" s="300"/>
      <c r="F484" s="210"/>
      <c r="G484" s="203"/>
      <c r="H484" s="203"/>
      <c r="I484" s="203"/>
      <c r="J484" s="203"/>
      <c r="K484" s="205"/>
      <c r="L484" s="291"/>
      <c r="M484" s="263"/>
      <c r="N484" s="264"/>
      <c r="O484" s="265"/>
      <c r="P484" s="265"/>
      <c r="Q484" s="265"/>
      <c r="R484" s="265"/>
      <c r="S484" s="265"/>
      <c r="T484" s="265"/>
      <c r="U484" s="265"/>
    </row>
    <row r="485" spans="1:24" ht="27.75" customHeight="1">
      <c r="A485" s="204" t="str">
        <f>IF(ISBLANK(D485)," ",436-COUNTBLANK($D$6:D485))</f>
        <v xml:space="preserve"> </v>
      </c>
      <c r="B485" s="202"/>
      <c r="C485" s="202"/>
      <c r="D485" s="202"/>
      <c r="E485" s="300"/>
      <c r="F485" s="210"/>
      <c r="G485" s="203"/>
      <c r="H485" s="203"/>
      <c r="I485" s="203"/>
      <c r="J485" s="203"/>
      <c r="K485" s="205"/>
      <c r="L485" s="291"/>
      <c r="M485" s="263"/>
      <c r="N485" s="264"/>
      <c r="O485" s="265"/>
      <c r="P485" s="265"/>
      <c r="Q485" s="265"/>
      <c r="R485" s="265"/>
      <c r="S485" s="265"/>
      <c r="T485" s="265"/>
      <c r="U485" s="265"/>
    </row>
    <row r="486" spans="1:24" ht="27.75" customHeight="1">
      <c r="A486" s="204" t="str">
        <f>IF(ISBLANK(D486)," ",437-COUNTBLANK($D$6:D486))</f>
        <v xml:space="preserve"> </v>
      </c>
      <c r="B486" s="202"/>
      <c r="C486" s="202"/>
      <c r="D486" s="202"/>
      <c r="E486" s="300"/>
      <c r="F486" s="210"/>
      <c r="G486" s="203"/>
      <c r="H486" s="203"/>
      <c r="I486" s="203"/>
      <c r="J486" s="203"/>
      <c r="K486" s="205"/>
      <c r="L486" s="291"/>
      <c r="M486" s="263"/>
      <c r="N486" s="266"/>
      <c r="O486" s="265"/>
      <c r="P486" s="265"/>
      <c r="Q486" s="265"/>
      <c r="R486" s="265"/>
      <c r="S486" s="265"/>
      <c r="T486" s="265"/>
      <c r="U486" s="267"/>
    </row>
    <row r="487" spans="1:24" ht="27.75" customHeight="1">
      <c r="A487" s="204" t="str">
        <f>IF(ISBLANK(D487)," ",438-COUNTBLANK($D$6:D487))</f>
        <v xml:space="preserve"> </v>
      </c>
      <c r="B487" s="202"/>
      <c r="C487" s="202"/>
      <c r="D487" s="202"/>
      <c r="E487" s="300"/>
      <c r="F487" s="210"/>
      <c r="G487" s="203"/>
      <c r="H487" s="203"/>
      <c r="I487" s="203"/>
      <c r="J487" s="203"/>
      <c r="K487" s="205"/>
      <c r="L487" s="291"/>
      <c r="M487" s="263"/>
      <c r="N487" s="266"/>
      <c r="O487" s="265"/>
      <c r="P487" s="265"/>
      <c r="Q487" s="265"/>
      <c r="R487" s="265"/>
      <c r="S487" s="265"/>
      <c r="T487" s="265"/>
      <c r="U487" s="267"/>
    </row>
    <row r="488" spans="1:24" ht="27.75" customHeight="1">
      <c r="A488" s="204" t="str">
        <f>IF(ISBLANK(D488)," ",439-COUNTBLANK($D$6:D488))</f>
        <v xml:space="preserve"> </v>
      </c>
      <c r="B488" s="202"/>
      <c r="C488" s="202"/>
      <c r="D488" s="202"/>
      <c r="E488" s="300"/>
      <c r="F488" s="210"/>
      <c r="G488" s="203"/>
      <c r="H488" s="203"/>
      <c r="I488" s="203"/>
      <c r="J488" s="203"/>
      <c r="K488" s="205"/>
      <c r="L488" s="291"/>
      <c r="M488" s="263"/>
      <c r="N488" s="266"/>
      <c r="O488" s="265"/>
      <c r="P488" s="265"/>
      <c r="Q488" s="265"/>
      <c r="R488" s="265"/>
      <c r="S488" s="265"/>
      <c r="T488" s="265"/>
      <c r="U488" s="267"/>
    </row>
    <row r="489" spans="1:24" ht="27.75" customHeight="1">
      <c r="A489" s="204" t="str">
        <f>IF(ISBLANK(D489)," ",440-COUNTBLANK($D$6:D489))</f>
        <v xml:space="preserve"> </v>
      </c>
      <c r="B489" s="202"/>
      <c r="C489" s="202"/>
      <c r="D489" s="202"/>
      <c r="E489" s="300"/>
      <c r="F489" s="210"/>
      <c r="G489" s="203"/>
      <c r="H489" s="203"/>
      <c r="I489" s="203"/>
      <c r="J489" s="203"/>
      <c r="K489" s="205"/>
      <c r="L489" s="291"/>
      <c r="M489" s="263"/>
      <c r="N489" s="266"/>
      <c r="O489" s="265"/>
      <c r="P489" s="265"/>
      <c r="Q489" s="265"/>
      <c r="R489" s="265"/>
      <c r="S489" s="265"/>
      <c r="T489" s="265"/>
      <c r="U489" s="267"/>
    </row>
    <row r="490" spans="1:24" ht="27.75" customHeight="1">
      <c r="A490" s="304" t="s">
        <v>52</v>
      </c>
      <c r="B490" s="296"/>
      <c r="C490" s="305"/>
      <c r="D490" s="306"/>
      <c r="E490" s="297"/>
      <c r="F490" s="298">
        <f>SUM(F470:F489)</f>
        <v>0</v>
      </c>
      <c r="G490" s="282"/>
      <c r="H490" s="282"/>
      <c r="I490" s="282"/>
      <c r="J490" s="282"/>
      <c r="K490" s="283"/>
      <c r="L490" s="303"/>
      <c r="M490" s="263"/>
      <c r="N490" s="264"/>
      <c r="O490" s="265"/>
      <c r="P490" s="265"/>
      <c r="Q490" s="265"/>
      <c r="R490" s="265"/>
      <c r="S490" s="265"/>
      <c r="T490" s="265"/>
      <c r="U490" s="284"/>
      <c r="V490" s="265"/>
      <c r="W490" s="265"/>
      <c r="X490" s="265"/>
    </row>
    <row r="491" spans="1:24" ht="27.75" customHeight="1">
      <c r="A491" s="260" t="str">
        <f>IF(ISBLANK(D491)," ",442-COUNTBLANK($D$6:D491))</f>
        <v xml:space="preserve"> </v>
      </c>
      <c r="B491" s="200"/>
      <c r="C491" s="200"/>
      <c r="D491" s="200"/>
      <c r="E491" s="299"/>
      <c r="F491" s="209"/>
      <c r="G491" s="201"/>
      <c r="H491" s="201"/>
      <c r="I491" s="201"/>
      <c r="J491" s="201"/>
      <c r="K491" s="262"/>
      <c r="L491" s="291"/>
      <c r="M491" s="263"/>
      <c r="N491" s="266"/>
      <c r="O491" s="265"/>
      <c r="P491" s="265"/>
      <c r="Q491" s="265"/>
      <c r="R491" s="265"/>
      <c r="S491" s="265"/>
      <c r="T491" s="265"/>
      <c r="U491" s="284"/>
      <c r="V491" s="265"/>
      <c r="W491" s="265"/>
      <c r="X491" s="265"/>
    </row>
    <row r="492" spans="1:24" ht="27.75" customHeight="1">
      <c r="A492" s="204" t="str">
        <f>IF(ISBLANK(D492)," ",443-COUNTBLANK($D$6:D492))</f>
        <v xml:space="preserve"> </v>
      </c>
      <c r="B492" s="202"/>
      <c r="C492" s="202"/>
      <c r="D492" s="202"/>
      <c r="E492" s="300"/>
      <c r="F492" s="210"/>
      <c r="G492" s="203"/>
      <c r="H492" s="203"/>
      <c r="I492" s="203"/>
      <c r="J492" s="203"/>
      <c r="K492" s="205"/>
      <c r="L492" s="291"/>
      <c r="M492" s="263"/>
      <c r="N492" s="264"/>
      <c r="O492" s="265"/>
      <c r="P492" s="265"/>
      <c r="Q492" s="265"/>
      <c r="R492" s="265"/>
      <c r="S492" s="265"/>
      <c r="T492" s="265"/>
      <c r="U492" s="265"/>
    </row>
    <row r="493" spans="1:24" ht="27.75" customHeight="1">
      <c r="A493" s="204" t="str">
        <f>IF(ISBLANK(D493)," ",444-COUNTBLANK($D$6:D493))</f>
        <v xml:space="preserve"> </v>
      </c>
      <c r="B493" s="202"/>
      <c r="C493" s="202"/>
      <c r="D493" s="202"/>
      <c r="E493" s="300"/>
      <c r="F493" s="210"/>
      <c r="G493" s="203"/>
      <c r="H493" s="203"/>
      <c r="I493" s="203"/>
      <c r="J493" s="203"/>
      <c r="K493" s="205"/>
      <c r="L493" s="291"/>
      <c r="M493" s="263"/>
      <c r="N493" s="264"/>
      <c r="O493" s="265"/>
      <c r="P493" s="265"/>
      <c r="Q493" s="265"/>
      <c r="R493" s="265"/>
      <c r="S493" s="265"/>
      <c r="T493" s="265"/>
      <c r="U493" s="265"/>
    </row>
    <row r="494" spans="1:24" ht="27.75" customHeight="1">
      <c r="A494" s="204" t="str">
        <f>IF(ISBLANK(D494)," ",445-COUNTBLANK($D$6:D494))</f>
        <v xml:space="preserve"> </v>
      </c>
      <c r="B494" s="202"/>
      <c r="C494" s="202"/>
      <c r="D494" s="202"/>
      <c r="E494" s="300"/>
      <c r="F494" s="210"/>
      <c r="G494" s="203"/>
      <c r="H494" s="203"/>
      <c r="I494" s="203"/>
      <c r="J494" s="203"/>
      <c r="K494" s="205"/>
      <c r="L494" s="291"/>
      <c r="M494" s="263"/>
      <c r="N494" s="264"/>
      <c r="O494" s="265"/>
      <c r="P494" s="265"/>
      <c r="Q494" s="265"/>
      <c r="R494" s="265"/>
      <c r="S494" s="265"/>
      <c r="T494" s="265"/>
      <c r="U494" s="265"/>
    </row>
    <row r="495" spans="1:24" ht="27.75" customHeight="1">
      <c r="A495" s="204" t="str">
        <f>IF(ISBLANK(D495)," ",446-COUNTBLANK($D$6:D495))</f>
        <v xml:space="preserve"> </v>
      </c>
      <c r="B495" s="202"/>
      <c r="C495" s="202"/>
      <c r="D495" s="202"/>
      <c r="E495" s="300"/>
      <c r="F495" s="210"/>
      <c r="G495" s="203"/>
      <c r="H495" s="203"/>
      <c r="I495" s="203"/>
      <c r="J495" s="203"/>
      <c r="K495" s="205"/>
      <c r="L495" s="291"/>
      <c r="M495" s="263"/>
      <c r="N495" s="264"/>
      <c r="O495" s="265"/>
      <c r="P495" s="265"/>
      <c r="Q495" s="265"/>
      <c r="R495" s="265"/>
      <c r="S495" s="265"/>
      <c r="T495" s="265"/>
      <c r="U495" s="265"/>
    </row>
    <row r="496" spans="1:24" ht="27.75" customHeight="1">
      <c r="A496" s="204" t="str">
        <f>IF(ISBLANK(D496)," ",447-COUNTBLANK($D$6:D496))</f>
        <v xml:space="preserve"> </v>
      </c>
      <c r="B496" s="202"/>
      <c r="C496" s="202"/>
      <c r="D496" s="202"/>
      <c r="E496" s="300"/>
      <c r="F496" s="210"/>
      <c r="G496" s="203"/>
      <c r="H496" s="203"/>
      <c r="I496" s="203"/>
      <c r="J496" s="203"/>
      <c r="K496" s="205"/>
      <c r="L496" s="291"/>
      <c r="M496" s="263"/>
      <c r="N496" s="264"/>
      <c r="O496" s="265"/>
      <c r="P496" s="265"/>
      <c r="Q496" s="265"/>
      <c r="R496" s="265"/>
      <c r="S496" s="265"/>
      <c r="T496" s="265"/>
      <c r="U496" s="265"/>
    </row>
    <row r="497" spans="1:24" ht="27.75" customHeight="1">
      <c r="A497" s="204" t="str">
        <f>IF(ISBLANK(D497)," ",448-COUNTBLANK($D$6:D497))</f>
        <v xml:space="preserve"> </v>
      </c>
      <c r="B497" s="202"/>
      <c r="C497" s="202"/>
      <c r="D497" s="202"/>
      <c r="E497" s="300"/>
      <c r="F497" s="210"/>
      <c r="G497" s="203"/>
      <c r="H497" s="203"/>
      <c r="I497" s="203"/>
      <c r="J497" s="203"/>
      <c r="K497" s="205"/>
      <c r="L497" s="291"/>
      <c r="M497" s="263"/>
      <c r="N497" s="264"/>
      <c r="O497" s="265"/>
      <c r="P497" s="265"/>
      <c r="Q497" s="265"/>
      <c r="R497" s="265"/>
      <c r="S497" s="265"/>
      <c r="T497" s="265"/>
      <c r="U497" s="265"/>
    </row>
    <row r="498" spans="1:24" ht="27.75" customHeight="1">
      <c r="A498" s="204" t="str">
        <f>IF(ISBLANK(D498)," ",449-COUNTBLANK($D$6:D498))</f>
        <v xml:space="preserve"> </v>
      </c>
      <c r="B498" s="202"/>
      <c r="C498" s="202"/>
      <c r="D498" s="202"/>
      <c r="E498" s="300"/>
      <c r="F498" s="210"/>
      <c r="G498" s="203"/>
      <c r="H498" s="203"/>
      <c r="I498" s="203"/>
      <c r="J498" s="203"/>
      <c r="K498" s="205"/>
      <c r="L498" s="291"/>
      <c r="M498" s="263"/>
      <c r="N498" s="264"/>
      <c r="O498" s="265"/>
      <c r="P498" s="265"/>
      <c r="Q498" s="265"/>
      <c r="R498" s="265"/>
      <c r="S498" s="265"/>
      <c r="T498" s="265"/>
      <c r="U498" s="265"/>
    </row>
    <row r="499" spans="1:24" ht="27.75" customHeight="1">
      <c r="A499" s="204" t="str">
        <f>IF(ISBLANK(D499)," ",450-COUNTBLANK($D$6:D499))</f>
        <v xml:space="preserve"> </v>
      </c>
      <c r="B499" s="202"/>
      <c r="C499" s="202"/>
      <c r="D499" s="202"/>
      <c r="E499" s="300"/>
      <c r="F499" s="210"/>
      <c r="G499" s="203"/>
      <c r="H499" s="203"/>
      <c r="I499" s="203"/>
      <c r="J499" s="203"/>
      <c r="K499" s="205"/>
      <c r="L499" s="291"/>
      <c r="M499" s="263"/>
      <c r="N499" s="264"/>
      <c r="O499" s="265"/>
      <c r="P499" s="265"/>
      <c r="Q499" s="265"/>
      <c r="R499" s="265"/>
      <c r="S499" s="265"/>
      <c r="T499" s="265"/>
      <c r="U499" s="265"/>
    </row>
    <row r="500" spans="1:24" ht="27.75" customHeight="1">
      <c r="A500" s="204" t="str">
        <f>IF(ISBLANK(D500)," ",451-COUNTBLANK($D$6:D500))</f>
        <v xml:space="preserve"> </v>
      </c>
      <c r="B500" s="202"/>
      <c r="C500" s="202"/>
      <c r="D500" s="202"/>
      <c r="E500" s="300"/>
      <c r="F500" s="210"/>
      <c r="G500" s="203"/>
      <c r="H500" s="203"/>
      <c r="I500" s="203"/>
      <c r="J500" s="203"/>
      <c r="K500" s="205"/>
      <c r="L500" s="291"/>
      <c r="M500" s="263"/>
      <c r="N500" s="264"/>
      <c r="O500" s="265"/>
      <c r="P500" s="265"/>
      <c r="Q500" s="265"/>
      <c r="R500" s="265"/>
      <c r="S500" s="265"/>
      <c r="T500" s="265"/>
      <c r="U500" s="265"/>
    </row>
    <row r="501" spans="1:24" ht="27.75" customHeight="1">
      <c r="A501" s="204" t="str">
        <f>IF(ISBLANK(D501)," ",452-COUNTBLANK($D$6:D501))</f>
        <v xml:space="preserve"> </v>
      </c>
      <c r="B501" s="202"/>
      <c r="C501" s="202"/>
      <c r="D501" s="202"/>
      <c r="E501" s="300"/>
      <c r="F501" s="210"/>
      <c r="G501" s="203"/>
      <c r="H501" s="203"/>
      <c r="I501" s="203"/>
      <c r="J501" s="203"/>
      <c r="K501" s="205"/>
      <c r="L501" s="291"/>
      <c r="M501" s="263"/>
      <c r="N501" s="264"/>
      <c r="O501" s="265"/>
      <c r="P501" s="265"/>
      <c r="Q501" s="265"/>
      <c r="R501" s="265"/>
      <c r="S501" s="265"/>
      <c r="T501" s="265"/>
      <c r="U501" s="265"/>
    </row>
    <row r="502" spans="1:24" ht="27.75" customHeight="1">
      <c r="A502" s="204" t="str">
        <f>IF(ISBLANK(D502)," ",453-COUNTBLANK($D$6:D502))</f>
        <v xml:space="preserve"> </v>
      </c>
      <c r="B502" s="202"/>
      <c r="C502" s="202"/>
      <c r="D502" s="202"/>
      <c r="E502" s="300"/>
      <c r="F502" s="210"/>
      <c r="G502" s="203"/>
      <c r="H502" s="203"/>
      <c r="I502" s="203"/>
      <c r="J502" s="203"/>
      <c r="K502" s="205"/>
      <c r="L502" s="291"/>
      <c r="M502" s="263"/>
      <c r="N502" s="264"/>
      <c r="O502" s="265"/>
      <c r="P502" s="265"/>
      <c r="Q502" s="265"/>
      <c r="R502" s="265"/>
      <c r="S502" s="265"/>
      <c r="T502" s="265"/>
      <c r="U502" s="265"/>
    </row>
    <row r="503" spans="1:24" ht="27.75" customHeight="1">
      <c r="A503" s="204" t="str">
        <f>IF(ISBLANK(D503)," ",454-COUNTBLANK($D$6:D503))</f>
        <v xml:space="preserve"> </v>
      </c>
      <c r="B503" s="202"/>
      <c r="C503" s="202"/>
      <c r="D503" s="202"/>
      <c r="E503" s="300"/>
      <c r="F503" s="210"/>
      <c r="G503" s="203"/>
      <c r="H503" s="203"/>
      <c r="I503" s="203"/>
      <c r="J503" s="203"/>
      <c r="K503" s="205"/>
      <c r="L503" s="291"/>
      <c r="M503" s="263"/>
      <c r="N503" s="264"/>
      <c r="O503" s="265"/>
      <c r="P503" s="265"/>
      <c r="Q503" s="265"/>
      <c r="R503" s="265"/>
      <c r="S503" s="265"/>
      <c r="T503" s="265"/>
      <c r="U503" s="265"/>
    </row>
    <row r="504" spans="1:24" ht="27.75" customHeight="1">
      <c r="A504" s="204" t="str">
        <f>IF(ISBLANK(D504)," ",455-COUNTBLANK($D$6:D504))</f>
        <v xml:space="preserve"> </v>
      </c>
      <c r="B504" s="202"/>
      <c r="C504" s="202"/>
      <c r="D504" s="202"/>
      <c r="E504" s="300"/>
      <c r="F504" s="210"/>
      <c r="G504" s="203"/>
      <c r="H504" s="203"/>
      <c r="I504" s="203"/>
      <c r="J504" s="203"/>
      <c r="K504" s="205"/>
      <c r="L504" s="291"/>
      <c r="M504" s="263"/>
      <c r="N504" s="264"/>
      <c r="O504" s="265"/>
      <c r="P504" s="265"/>
      <c r="Q504" s="265"/>
      <c r="R504" s="265"/>
      <c r="S504" s="265"/>
      <c r="T504" s="265"/>
      <c r="U504" s="265"/>
    </row>
    <row r="505" spans="1:24" ht="27.75" customHeight="1">
      <c r="A505" s="204" t="str">
        <f>IF(ISBLANK(D505)," ",456-COUNTBLANK($D$6:D505))</f>
        <v xml:space="preserve"> </v>
      </c>
      <c r="B505" s="202"/>
      <c r="C505" s="202"/>
      <c r="D505" s="202"/>
      <c r="E505" s="300"/>
      <c r="F505" s="210"/>
      <c r="G505" s="203"/>
      <c r="H505" s="203"/>
      <c r="I505" s="203"/>
      <c r="J505" s="203"/>
      <c r="K505" s="205"/>
      <c r="L505" s="291"/>
      <c r="M505" s="263"/>
      <c r="N505" s="264"/>
      <c r="O505" s="265"/>
      <c r="P505" s="265"/>
      <c r="Q505" s="265"/>
      <c r="R505" s="265"/>
      <c r="S505" s="265"/>
      <c r="T505" s="265"/>
      <c r="U505" s="265"/>
    </row>
    <row r="506" spans="1:24" ht="27.75" customHeight="1">
      <c r="A506" s="204" t="str">
        <f>IF(ISBLANK(D506)," ",457-COUNTBLANK($D$6:D506))</f>
        <v xml:space="preserve"> </v>
      </c>
      <c r="B506" s="202"/>
      <c r="C506" s="202"/>
      <c r="D506" s="202"/>
      <c r="E506" s="300"/>
      <c r="F506" s="210"/>
      <c r="G506" s="203"/>
      <c r="H506" s="203"/>
      <c r="I506" s="203"/>
      <c r="J506" s="203"/>
      <c r="K506" s="205"/>
      <c r="L506" s="291"/>
      <c r="M506" s="263"/>
      <c r="N506" s="264"/>
      <c r="O506" s="265"/>
      <c r="P506" s="265"/>
      <c r="Q506" s="265"/>
      <c r="R506" s="265"/>
      <c r="S506" s="265"/>
      <c r="T506" s="265"/>
      <c r="U506" s="265"/>
    </row>
    <row r="507" spans="1:24" ht="27.75" customHeight="1">
      <c r="A507" s="204" t="str">
        <f>IF(ISBLANK(D507)," ",458-COUNTBLANK($D$6:D507))</f>
        <v xml:space="preserve"> </v>
      </c>
      <c r="B507" s="202"/>
      <c r="C507" s="202"/>
      <c r="D507" s="202"/>
      <c r="E507" s="300"/>
      <c r="F507" s="210"/>
      <c r="G507" s="203"/>
      <c r="H507" s="203"/>
      <c r="I507" s="203"/>
      <c r="J507" s="203"/>
      <c r="K507" s="205"/>
      <c r="L507" s="291"/>
      <c r="M507" s="263"/>
      <c r="N507" s="266"/>
      <c r="O507" s="265"/>
      <c r="P507" s="265"/>
      <c r="Q507" s="265"/>
      <c r="R507" s="265"/>
      <c r="S507" s="265"/>
      <c r="T507" s="265"/>
      <c r="U507" s="267"/>
    </row>
    <row r="508" spans="1:24" ht="27.75" customHeight="1">
      <c r="A508" s="204" t="str">
        <f>IF(ISBLANK(D508)," ",459-COUNTBLANK($D$6:D508))</f>
        <v xml:space="preserve"> </v>
      </c>
      <c r="B508" s="202"/>
      <c r="C508" s="202"/>
      <c r="D508" s="202"/>
      <c r="E508" s="300"/>
      <c r="F508" s="210"/>
      <c r="G508" s="203"/>
      <c r="H508" s="203"/>
      <c r="I508" s="203"/>
      <c r="J508" s="203"/>
      <c r="K508" s="205"/>
      <c r="L508" s="291"/>
      <c r="M508" s="263"/>
      <c r="N508" s="266"/>
      <c r="O508" s="265"/>
      <c r="P508" s="265"/>
      <c r="Q508" s="265"/>
      <c r="R508" s="265"/>
      <c r="S508" s="265"/>
      <c r="T508" s="265"/>
      <c r="U508" s="267"/>
    </row>
    <row r="509" spans="1:24" ht="27.75" customHeight="1">
      <c r="A509" s="204" t="str">
        <f>IF(ISBLANK(D509)," ",460-COUNTBLANK($D$6:D509))</f>
        <v xml:space="preserve"> </v>
      </c>
      <c r="B509" s="202"/>
      <c r="C509" s="202"/>
      <c r="D509" s="202"/>
      <c r="E509" s="300"/>
      <c r="F509" s="210"/>
      <c r="G509" s="203"/>
      <c r="H509" s="203"/>
      <c r="I509" s="203"/>
      <c r="J509" s="203"/>
      <c r="K509" s="205"/>
      <c r="L509" s="291"/>
      <c r="M509" s="263"/>
      <c r="N509" s="266"/>
      <c r="O509" s="265"/>
      <c r="P509" s="265"/>
      <c r="Q509" s="265"/>
      <c r="R509" s="265"/>
      <c r="S509" s="265"/>
      <c r="T509" s="265"/>
      <c r="U509" s="267"/>
    </row>
    <row r="510" spans="1:24" ht="27.75" customHeight="1">
      <c r="A510" s="204" t="str">
        <f>IF(ISBLANK(D510)," ",461-COUNTBLANK($D$6:D510))</f>
        <v xml:space="preserve"> </v>
      </c>
      <c r="B510" s="202"/>
      <c r="C510" s="202"/>
      <c r="D510" s="202"/>
      <c r="E510" s="300"/>
      <c r="F510" s="210"/>
      <c r="G510" s="203"/>
      <c r="H510" s="203"/>
      <c r="I510" s="203"/>
      <c r="J510" s="203"/>
      <c r="K510" s="205"/>
      <c r="L510" s="291"/>
      <c r="M510" s="263"/>
      <c r="N510" s="266"/>
      <c r="O510" s="265"/>
      <c r="P510" s="265"/>
      <c r="Q510" s="265"/>
      <c r="R510" s="265"/>
      <c r="S510" s="265"/>
      <c r="T510" s="265"/>
      <c r="U510" s="267"/>
    </row>
    <row r="511" spans="1:24" ht="27.75" customHeight="1">
      <c r="A511" s="304" t="s">
        <v>52</v>
      </c>
      <c r="B511" s="296"/>
      <c r="C511" s="305"/>
      <c r="D511" s="306"/>
      <c r="E511" s="297"/>
      <c r="F511" s="298">
        <f>SUM(F491:F510)</f>
        <v>0</v>
      </c>
      <c r="G511" s="282"/>
      <c r="H511" s="282"/>
      <c r="I511" s="282"/>
      <c r="J511" s="282"/>
      <c r="K511" s="283"/>
      <c r="L511" s="303"/>
      <c r="M511" s="263"/>
      <c r="N511" s="264"/>
      <c r="O511" s="265"/>
      <c r="P511" s="265"/>
      <c r="Q511" s="265"/>
      <c r="R511" s="265"/>
      <c r="S511" s="265"/>
      <c r="T511" s="265"/>
      <c r="U511" s="284"/>
      <c r="V511" s="265"/>
      <c r="W511" s="265"/>
      <c r="X511" s="265"/>
    </row>
    <row r="512" spans="1:24" ht="27.75" customHeight="1">
      <c r="A512" s="260" t="str">
        <f>IF(ISBLANK(D512)," ",463-COUNTBLANK($D$6:D512))</f>
        <v xml:space="preserve"> </v>
      </c>
      <c r="B512" s="200"/>
      <c r="C512" s="200"/>
      <c r="D512" s="200"/>
      <c r="E512" s="299"/>
      <c r="F512" s="209"/>
      <c r="G512" s="201"/>
      <c r="H512" s="201"/>
      <c r="I512" s="201"/>
      <c r="J512" s="201"/>
      <c r="K512" s="262"/>
      <c r="L512" s="291"/>
      <c r="M512" s="263"/>
      <c r="N512" s="266"/>
      <c r="O512" s="265"/>
      <c r="P512" s="265"/>
      <c r="Q512" s="265"/>
      <c r="R512" s="265"/>
      <c r="S512" s="265"/>
      <c r="T512" s="265"/>
      <c r="U512" s="284"/>
      <c r="V512" s="265"/>
      <c r="W512" s="265"/>
      <c r="X512" s="265"/>
    </row>
    <row r="513" spans="1:21" ht="27.75" customHeight="1">
      <c r="A513" s="204" t="str">
        <f>IF(ISBLANK(D513)," ",464-COUNTBLANK($D$6:D513))</f>
        <v xml:space="preserve"> </v>
      </c>
      <c r="B513" s="202"/>
      <c r="C513" s="202"/>
      <c r="D513" s="202"/>
      <c r="E513" s="300"/>
      <c r="F513" s="210"/>
      <c r="G513" s="203"/>
      <c r="H513" s="203"/>
      <c r="I513" s="203"/>
      <c r="J513" s="203"/>
      <c r="K513" s="205"/>
      <c r="L513" s="291"/>
      <c r="M513" s="263"/>
      <c r="N513" s="264"/>
      <c r="O513" s="265"/>
      <c r="P513" s="265"/>
      <c r="Q513" s="265"/>
      <c r="R513" s="265"/>
      <c r="S513" s="265"/>
      <c r="T513" s="265"/>
      <c r="U513" s="265"/>
    </row>
    <row r="514" spans="1:21" ht="27.75" customHeight="1">
      <c r="A514" s="204" t="str">
        <f>IF(ISBLANK(D514)," ",465-COUNTBLANK($D$6:D514))</f>
        <v xml:space="preserve"> </v>
      </c>
      <c r="B514" s="202"/>
      <c r="C514" s="202"/>
      <c r="D514" s="202"/>
      <c r="E514" s="300"/>
      <c r="F514" s="210"/>
      <c r="G514" s="203"/>
      <c r="H514" s="203"/>
      <c r="I514" s="203"/>
      <c r="J514" s="203"/>
      <c r="K514" s="205"/>
      <c r="L514" s="291"/>
      <c r="M514" s="263"/>
      <c r="N514" s="264"/>
      <c r="O514" s="265"/>
      <c r="P514" s="265"/>
      <c r="Q514" s="265"/>
      <c r="R514" s="265"/>
      <c r="S514" s="265"/>
      <c r="T514" s="265"/>
      <c r="U514" s="265"/>
    </row>
    <row r="515" spans="1:21" ht="27.75" customHeight="1">
      <c r="A515" s="204" t="str">
        <f>IF(ISBLANK(D515)," ",466-COUNTBLANK($D$6:D515))</f>
        <v xml:space="preserve"> </v>
      </c>
      <c r="B515" s="202"/>
      <c r="C515" s="202"/>
      <c r="D515" s="202"/>
      <c r="E515" s="300"/>
      <c r="F515" s="210"/>
      <c r="G515" s="203"/>
      <c r="H515" s="203"/>
      <c r="I515" s="203"/>
      <c r="J515" s="203"/>
      <c r="K515" s="205"/>
      <c r="L515" s="291"/>
      <c r="M515" s="263"/>
      <c r="N515" s="264"/>
      <c r="O515" s="265"/>
      <c r="P515" s="265"/>
      <c r="Q515" s="265"/>
      <c r="R515" s="265"/>
      <c r="S515" s="265"/>
      <c r="T515" s="265"/>
      <c r="U515" s="265"/>
    </row>
    <row r="516" spans="1:21" ht="27.75" customHeight="1">
      <c r="A516" s="204" t="str">
        <f>IF(ISBLANK(D516)," ",467-COUNTBLANK($D$6:D516))</f>
        <v xml:space="preserve"> </v>
      </c>
      <c r="B516" s="202"/>
      <c r="C516" s="202"/>
      <c r="D516" s="202"/>
      <c r="E516" s="300"/>
      <c r="F516" s="210"/>
      <c r="G516" s="203"/>
      <c r="H516" s="203"/>
      <c r="I516" s="203"/>
      <c r="J516" s="203"/>
      <c r="K516" s="205"/>
      <c r="L516" s="291"/>
      <c r="M516" s="263"/>
      <c r="N516" s="264"/>
      <c r="O516" s="265"/>
      <c r="P516" s="265"/>
      <c r="Q516" s="265"/>
      <c r="R516" s="265"/>
      <c r="S516" s="265"/>
      <c r="T516" s="265"/>
      <c r="U516" s="265"/>
    </row>
    <row r="517" spans="1:21" ht="27.75" customHeight="1">
      <c r="A517" s="204" t="str">
        <f>IF(ISBLANK(D517)," ",468-COUNTBLANK($D$6:D517))</f>
        <v xml:space="preserve"> </v>
      </c>
      <c r="B517" s="202"/>
      <c r="C517" s="202"/>
      <c r="D517" s="202"/>
      <c r="E517" s="300"/>
      <c r="F517" s="210"/>
      <c r="G517" s="203"/>
      <c r="H517" s="203"/>
      <c r="I517" s="203"/>
      <c r="J517" s="203"/>
      <c r="K517" s="205"/>
      <c r="L517" s="291"/>
      <c r="M517" s="263"/>
      <c r="N517" s="264"/>
      <c r="O517" s="265"/>
      <c r="P517" s="265"/>
      <c r="Q517" s="265"/>
      <c r="R517" s="265"/>
      <c r="S517" s="265"/>
      <c r="T517" s="265"/>
      <c r="U517" s="265"/>
    </row>
    <row r="518" spans="1:21" ht="27.75" customHeight="1">
      <c r="A518" s="204" t="str">
        <f>IF(ISBLANK(D518)," ",469-COUNTBLANK($D$6:D518))</f>
        <v xml:space="preserve"> </v>
      </c>
      <c r="B518" s="202"/>
      <c r="C518" s="202"/>
      <c r="D518" s="202"/>
      <c r="E518" s="300"/>
      <c r="F518" s="210"/>
      <c r="G518" s="203"/>
      <c r="H518" s="203"/>
      <c r="I518" s="203"/>
      <c r="J518" s="203"/>
      <c r="K518" s="205"/>
      <c r="L518" s="291"/>
      <c r="M518" s="263"/>
      <c r="N518" s="264"/>
      <c r="O518" s="265"/>
      <c r="P518" s="265"/>
      <c r="Q518" s="265"/>
      <c r="R518" s="265"/>
      <c r="S518" s="265"/>
      <c r="T518" s="265"/>
      <c r="U518" s="265"/>
    </row>
    <row r="519" spans="1:21" ht="27.75" customHeight="1">
      <c r="A519" s="204" t="str">
        <f>IF(ISBLANK(D519)," ",470-COUNTBLANK($D$6:D519))</f>
        <v xml:space="preserve"> </v>
      </c>
      <c r="B519" s="202"/>
      <c r="C519" s="202"/>
      <c r="D519" s="202"/>
      <c r="E519" s="300"/>
      <c r="F519" s="210"/>
      <c r="G519" s="203"/>
      <c r="H519" s="203"/>
      <c r="I519" s="203"/>
      <c r="J519" s="203"/>
      <c r="K519" s="205"/>
      <c r="L519" s="291"/>
      <c r="M519" s="263"/>
      <c r="N519" s="264"/>
      <c r="O519" s="265"/>
      <c r="P519" s="265"/>
      <c r="Q519" s="265"/>
      <c r="R519" s="265"/>
      <c r="S519" s="265"/>
      <c r="T519" s="265"/>
      <c r="U519" s="265"/>
    </row>
    <row r="520" spans="1:21" ht="27.75" customHeight="1">
      <c r="A520" s="204" t="str">
        <f>IF(ISBLANK(D520)," ",471-COUNTBLANK($D$6:D520))</f>
        <v xml:space="preserve"> </v>
      </c>
      <c r="B520" s="202"/>
      <c r="C520" s="202"/>
      <c r="D520" s="202"/>
      <c r="E520" s="300"/>
      <c r="F520" s="210"/>
      <c r="G520" s="203"/>
      <c r="H520" s="203"/>
      <c r="I520" s="203"/>
      <c r="J520" s="203"/>
      <c r="K520" s="205"/>
      <c r="L520" s="291"/>
      <c r="M520" s="263"/>
      <c r="N520" s="264"/>
      <c r="O520" s="265"/>
      <c r="P520" s="265"/>
      <c r="Q520" s="265"/>
      <c r="R520" s="265"/>
      <c r="S520" s="265"/>
      <c r="T520" s="265"/>
      <c r="U520" s="265"/>
    </row>
    <row r="521" spans="1:21" ht="27.75" customHeight="1">
      <c r="A521" s="204" t="str">
        <f>IF(ISBLANK(D521)," ",472-COUNTBLANK($D$6:D521))</f>
        <v xml:space="preserve"> </v>
      </c>
      <c r="B521" s="202"/>
      <c r="C521" s="202"/>
      <c r="D521" s="202"/>
      <c r="E521" s="300"/>
      <c r="F521" s="210"/>
      <c r="G521" s="203"/>
      <c r="H521" s="203"/>
      <c r="I521" s="203"/>
      <c r="J521" s="203"/>
      <c r="K521" s="205"/>
      <c r="L521" s="291"/>
      <c r="M521" s="263"/>
      <c r="N521" s="264"/>
      <c r="O521" s="265"/>
      <c r="P521" s="265"/>
      <c r="Q521" s="265"/>
      <c r="R521" s="265"/>
      <c r="S521" s="265"/>
      <c r="T521" s="265"/>
      <c r="U521" s="265"/>
    </row>
    <row r="522" spans="1:21" ht="27.75" customHeight="1">
      <c r="A522" s="204" t="str">
        <f>IF(ISBLANK(D522)," ",473-COUNTBLANK($D$6:D522))</f>
        <v xml:space="preserve"> </v>
      </c>
      <c r="B522" s="202"/>
      <c r="C522" s="202"/>
      <c r="D522" s="202"/>
      <c r="E522" s="300"/>
      <c r="F522" s="210"/>
      <c r="G522" s="203"/>
      <c r="H522" s="203"/>
      <c r="I522" s="203"/>
      <c r="J522" s="203"/>
      <c r="K522" s="205"/>
      <c r="L522" s="291"/>
      <c r="M522" s="263"/>
      <c r="N522" s="264"/>
      <c r="O522" s="265"/>
      <c r="P522" s="265"/>
      <c r="Q522" s="265"/>
      <c r="R522" s="265"/>
      <c r="S522" s="265"/>
      <c r="T522" s="265"/>
      <c r="U522" s="265"/>
    </row>
    <row r="523" spans="1:21" ht="27.75" customHeight="1">
      <c r="A523" s="204" t="str">
        <f>IF(ISBLANK(D523)," ",474-COUNTBLANK($D$6:D523))</f>
        <v xml:space="preserve"> </v>
      </c>
      <c r="B523" s="202"/>
      <c r="C523" s="202"/>
      <c r="D523" s="202"/>
      <c r="E523" s="300"/>
      <c r="F523" s="210"/>
      <c r="G523" s="203"/>
      <c r="H523" s="203"/>
      <c r="I523" s="203"/>
      <c r="J523" s="203"/>
      <c r="K523" s="205"/>
      <c r="L523" s="291"/>
      <c r="M523" s="263"/>
      <c r="N523" s="264"/>
      <c r="O523" s="265"/>
      <c r="P523" s="265"/>
      <c r="Q523" s="265"/>
      <c r="R523" s="265"/>
      <c r="S523" s="265"/>
      <c r="T523" s="265"/>
      <c r="U523" s="265"/>
    </row>
    <row r="524" spans="1:21" ht="27.75" customHeight="1">
      <c r="A524" s="204" t="str">
        <f>IF(ISBLANK(D524)," ",475-COUNTBLANK($D$6:D524))</f>
        <v xml:space="preserve"> </v>
      </c>
      <c r="B524" s="202"/>
      <c r="C524" s="202"/>
      <c r="D524" s="202"/>
      <c r="E524" s="300"/>
      <c r="F524" s="210"/>
      <c r="G524" s="203"/>
      <c r="H524" s="203"/>
      <c r="I524" s="203"/>
      <c r="J524" s="203"/>
      <c r="K524" s="205"/>
      <c r="L524" s="291"/>
      <c r="M524" s="263"/>
      <c r="N524" s="264"/>
      <c r="O524" s="265"/>
      <c r="P524" s="265"/>
      <c r="Q524" s="265"/>
      <c r="R524" s="265"/>
      <c r="S524" s="265"/>
      <c r="T524" s="265"/>
      <c r="U524" s="265"/>
    </row>
    <row r="525" spans="1:21" ht="27.75" customHeight="1">
      <c r="A525" s="204" t="str">
        <f>IF(ISBLANK(D525)," ",476-COUNTBLANK($D$6:D525))</f>
        <v xml:space="preserve"> </v>
      </c>
      <c r="B525" s="202"/>
      <c r="C525" s="202"/>
      <c r="D525" s="202"/>
      <c r="E525" s="300"/>
      <c r="F525" s="210"/>
      <c r="G525" s="203"/>
      <c r="H525" s="203"/>
      <c r="I525" s="203"/>
      <c r="J525" s="203"/>
      <c r="K525" s="205"/>
      <c r="L525" s="291"/>
      <c r="M525" s="263"/>
      <c r="N525" s="264"/>
      <c r="O525" s="265"/>
      <c r="P525" s="265"/>
      <c r="Q525" s="265"/>
      <c r="R525" s="265"/>
      <c r="S525" s="265"/>
      <c r="T525" s="265"/>
      <c r="U525" s="265"/>
    </row>
    <row r="526" spans="1:21" ht="27.75" customHeight="1">
      <c r="A526" s="204" t="str">
        <f>IF(ISBLANK(D526)," ",477-COUNTBLANK($D$6:D526))</f>
        <v xml:space="preserve"> </v>
      </c>
      <c r="B526" s="202"/>
      <c r="C526" s="202"/>
      <c r="D526" s="202"/>
      <c r="E526" s="300"/>
      <c r="F526" s="210"/>
      <c r="G526" s="203"/>
      <c r="H526" s="203"/>
      <c r="I526" s="203"/>
      <c r="J526" s="203"/>
      <c r="K526" s="205"/>
      <c r="L526" s="291"/>
      <c r="M526" s="263"/>
      <c r="N526" s="264"/>
      <c r="O526" s="265"/>
      <c r="P526" s="265"/>
      <c r="Q526" s="265"/>
      <c r="R526" s="265"/>
      <c r="S526" s="265"/>
      <c r="T526" s="265"/>
      <c r="U526" s="265"/>
    </row>
    <row r="527" spans="1:21" ht="27.75" customHeight="1">
      <c r="A527" s="204" t="str">
        <f>IF(ISBLANK(D527)," ",478-COUNTBLANK($D$6:D527))</f>
        <v xml:space="preserve"> </v>
      </c>
      <c r="B527" s="202"/>
      <c r="C527" s="202"/>
      <c r="D527" s="202"/>
      <c r="E527" s="300"/>
      <c r="F527" s="210"/>
      <c r="G527" s="203"/>
      <c r="H527" s="203"/>
      <c r="I527" s="203"/>
      <c r="J527" s="203"/>
      <c r="K527" s="205"/>
      <c r="L527" s="291"/>
      <c r="M527" s="263"/>
      <c r="N527" s="264"/>
      <c r="O527" s="265"/>
      <c r="P527" s="265"/>
      <c r="Q527" s="265"/>
      <c r="R527" s="265"/>
      <c r="S527" s="265"/>
      <c r="T527" s="265"/>
      <c r="U527" s="265"/>
    </row>
    <row r="528" spans="1:21" ht="27.75" customHeight="1">
      <c r="A528" s="204" t="str">
        <f>IF(ISBLANK(D528)," ",479-COUNTBLANK($D$6:D528))</f>
        <v xml:space="preserve"> </v>
      </c>
      <c r="B528" s="202"/>
      <c r="C528" s="202"/>
      <c r="D528" s="202"/>
      <c r="E528" s="300"/>
      <c r="F528" s="210"/>
      <c r="G528" s="203"/>
      <c r="H528" s="203"/>
      <c r="I528" s="203"/>
      <c r="J528" s="203"/>
      <c r="K528" s="205"/>
      <c r="L528" s="291"/>
      <c r="M528" s="263"/>
      <c r="N528" s="266"/>
      <c r="O528" s="265"/>
      <c r="P528" s="265"/>
      <c r="Q528" s="265"/>
      <c r="R528" s="265"/>
      <c r="S528" s="265"/>
      <c r="T528" s="265"/>
      <c r="U528" s="267"/>
    </row>
    <row r="529" spans="1:24" ht="27.75" customHeight="1">
      <c r="A529" s="204" t="str">
        <f>IF(ISBLANK(D529)," ",480-COUNTBLANK($D$6:D529))</f>
        <v xml:space="preserve"> </v>
      </c>
      <c r="B529" s="202"/>
      <c r="C529" s="202"/>
      <c r="D529" s="202"/>
      <c r="E529" s="300"/>
      <c r="F529" s="210"/>
      <c r="G529" s="203"/>
      <c r="H529" s="203"/>
      <c r="I529" s="203"/>
      <c r="J529" s="203"/>
      <c r="K529" s="205"/>
      <c r="L529" s="291"/>
      <c r="M529" s="263"/>
      <c r="N529" s="266"/>
      <c r="O529" s="265"/>
      <c r="P529" s="265"/>
      <c r="Q529" s="265"/>
      <c r="R529" s="265"/>
      <c r="S529" s="265"/>
      <c r="T529" s="265"/>
      <c r="U529" s="267"/>
    </row>
    <row r="530" spans="1:24" ht="27.75" customHeight="1">
      <c r="A530" s="204" t="str">
        <f>IF(ISBLANK(D530)," ",481-COUNTBLANK($D$6:D530))</f>
        <v xml:space="preserve"> </v>
      </c>
      <c r="B530" s="202"/>
      <c r="C530" s="202"/>
      <c r="D530" s="202"/>
      <c r="E530" s="300"/>
      <c r="F530" s="210"/>
      <c r="G530" s="203"/>
      <c r="H530" s="203"/>
      <c r="I530" s="203"/>
      <c r="J530" s="203"/>
      <c r="K530" s="205"/>
      <c r="L530" s="291"/>
      <c r="M530" s="263"/>
      <c r="N530" s="266"/>
      <c r="O530" s="265"/>
      <c r="P530" s="265"/>
      <c r="Q530" s="265"/>
      <c r="R530" s="265"/>
      <c r="S530" s="265"/>
      <c r="T530" s="265"/>
      <c r="U530" s="267"/>
    </row>
    <row r="531" spans="1:24" ht="27.75" customHeight="1">
      <c r="A531" s="204" t="str">
        <f>IF(ISBLANK(D531)," ",482-COUNTBLANK($D$6:D531))</f>
        <v xml:space="preserve"> </v>
      </c>
      <c r="B531" s="202"/>
      <c r="C531" s="202"/>
      <c r="D531" s="202"/>
      <c r="E531" s="300"/>
      <c r="F531" s="210"/>
      <c r="G531" s="203"/>
      <c r="H531" s="203"/>
      <c r="I531" s="203"/>
      <c r="J531" s="203"/>
      <c r="K531" s="205"/>
      <c r="L531" s="291"/>
      <c r="M531" s="263"/>
      <c r="N531" s="266"/>
      <c r="O531" s="265"/>
      <c r="P531" s="265"/>
      <c r="Q531" s="265"/>
      <c r="R531" s="265"/>
      <c r="S531" s="265"/>
      <c r="T531" s="265"/>
      <c r="U531" s="267"/>
    </row>
    <row r="532" spans="1:24" ht="27.75" customHeight="1">
      <c r="A532" s="304" t="s">
        <v>52</v>
      </c>
      <c r="B532" s="296"/>
      <c r="C532" s="305"/>
      <c r="D532" s="306"/>
      <c r="E532" s="297"/>
      <c r="F532" s="298">
        <f>SUM(F512:F531)</f>
        <v>0</v>
      </c>
      <c r="G532" s="282"/>
      <c r="H532" s="282"/>
      <c r="I532" s="282"/>
      <c r="J532" s="282"/>
      <c r="K532" s="283"/>
      <c r="L532" s="303"/>
      <c r="M532" s="263"/>
      <c r="N532" s="264"/>
      <c r="O532" s="265"/>
      <c r="P532" s="265"/>
      <c r="Q532" s="265"/>
      <c r="R532" s="265"/>
      <c r="S532" s="265"/>
      <c r="T532" s="265"/>
      <c r="U532" s="284"/>
      <c r="V532" s="265"/>
      <c r="W532" s="265"/>
      <c r="X532" s="265"/>
    </row>
    <row r="533" spans="1:24" ht="27.75" customHeight="1">
      <c r="A533" s="260" t="str">
        <f>IF(ISBLANK(D533)," ",484-COUNTBLANK($D$6:D533))</f>
        <v xml:space="preserve"> </v>
      </c>
      <c r="B533" s="200"/>
      <c r="C533" s="200"/>
      <c r="D533" s="200"/>
      <c r="E533" s="299"/>
      <c r="F533" s="209"/>
      <c r="G533" s="201"/>
      <c r="H533" s="201"/>
      <c r="I533" s="201"/>
      <c r="J533" s="201"/>
      <c r="K533" s="262"/>
      <c r="L533" s="291"/>
      <c r="M533" s="263"/>
      <c r="N533" s="266"/>
      <c r="O533" s="265"/>
      <c r="P533" s="265"/>
      <c r="Q533" s="265"/>
      <c r="R533" s="265"/>
      <c r="S533" s="265"/>
      <c r="T533" s="265"/>
      <c r="U533" s="284"/>
      <c r="V533" s="265"/>
      <c r="W533" s="265"/>
      <c r="X533" s="265"/>
    </row>
    <row r="534" spans="1:24" ht="27.75" customHeight="1">
      <c r="A534" s="204" t="str">
        <f>IF(ISBLANK(D534)," ",485-COUNTBLANK($D$6:D534))</f>
        <v xml:space="preserve"> </v>
      </c>
      <c r="B534" s="202"/>
      <c r="C534" s="202"/>
      <c r="D534" s="202"/>
      <c r="E534" s="300"/>
      <c r="F534" s="210"/>
      <c r="G534" s="203"/>
      <c r="H534" s="203"/>
      <c r="I534" s="203"/>
      <c r="J534" s="203"/>
      <c r="K534" s="205"/>
      <c r="L534" s="291"/>
      <c r="M534" s="263"/>
      <c r="N534" s="264"/>
      <c r="O534" s="265"/>
      <c r="P534" s="265"/>
      <c r="Q534" s="265"/>
      <c r="R534" s="265"/>
      <c r="S534" s="265"/>
      <c r="T534" s="265"/>
      <c r="U534" s="265"/>
    </row>
    <row r="535" spans="1:24" ht="27.75" customHeight="1">
      <c r="A535" s="204" t="str">
        <f>IF(ISBLANK(D535)," ",486-COUNTBLANK($D$6:D535))</f>
        <v xml:space="preserve"> </v>
      </c>
      <c r="B535" s="202"/>
      <c r="C535" s="202"/>
      <c r="D535" s="202"/>
      <c r="E535" s="300"/>
      <c r="F535" s="210"/>
      <c r="G535" s="203"/>
      <c r="H535" s="203"/>
      <c r="I535" s="203"/>
      <c r="J535" s="203"/>
      <c r="K535" s="205"/>
      <c r="L535" s="291"/>
      <c r="M535" s="263"/>
      <c r="N535" s="264"/>
      <c r="O535" s="265"/>
      <c r="P535" s="265"/>
      <c r="Q535" s="265"/>
      <c r="R535" s="265"/>
      <c r="S535" s="265"/>
      <c r="T535" s="265"/>
      <c r="U535" s="265"/>
    </row>
    <row r="536" spans="1:24" ht="27.75" customHeight="1">
      <c r="A536" s="204" t="str">
        <f>IF(ISBLANK(D536)," ",487-COUNTBLANK($D$6:D536))</f>
        <v xml:space="preserve"> </v>
      </c>
      <c r="B536" s="202"/>
      <c r="C536" s="202"/>
      <c r="D536" s="202"/>
      <c r="E536" s="300"/>
      <c r="F536" s="210"/>
      <c r="G536" s="203"/>
      <c r="H536" s="203"/>
      <c r="I536" s="203"/>
      <c r="J536" s="203"/>
      <c r="K536" s="205"/>
      <c r="L536" s="291"/>
      <c r="M536" s="263"/>
      <c r="N536" s="264"/>
      <c r="O536" s="265"/>
      <c r="P536" s="265"/>
      <c r="Q536" s="265"/>
      <c r="R536" s="265"/>
      <c r="S536" s="265"/>
      <c r="T536" s="265"/>
      <c r="U536" s="265"/>
    </row>
    <row r="537" spans="1:24" ht="27.75" customHeight="1">
      <c r="A537" s="204" t="str">
        <f>IF(ISBLANK(D537)," ",488-COUNTBLANK($D$6:D537))</f>
        <v xml:space="preserve"> </v>
      </c>
      <c r="B537" s="202"/>
      <c r="C537" s="202"/>
      <c r="D537" s="202"/>
      <c r="E537" s="300"/>
      <c r="F537" s="210"/>
      <c r="G537" s="203"/>
      <c r="H537" s="203"/>
      <c r="I537" s="203"/>
      <c r="J537" s="203"/>
      <c r="K537" s="205"/>
      <c r="L537" s="291"/>
      <c r="M537" s="263"/>
      <c r="N537" s="264"/>
      <c r="O537" s="265"/>
      <c r="P537" s="265"/>
      <c r="Q537" s="265"/>
      <c r="R537" s="265"/>
      <c r="S537" s="265"/>
      <c r="T537" s="265"/>
      <c r="U537" s="265"/>
    </row>
    <row r="538" spans="1:24" ht="27.75" customHeight="1">
      <c r="A538" s="204" t="str">
        <f>IF(ISBLANK(D538)," ",489-COUNTBLANK($D$6:D538))</f>
        <v xml:space="preserve"> </v>
      </c>
      <c r="B538" s="202"/>
      <c r="C538" s="202"/>
      <c r="D538" s="202"/>
      <c r="E538" s="300"/>
      <c r="F538" s="210"/>
      <c r="G538" s="203"/>
      <c r="H538" s="203"/>
      <c r="I538" s="203"/>
      <c r="J538" s="203"/>
      <c r="K538" s="205"/>
      <c r="L538" s="291"/>
      <c r="M538" s="263"/>
      <c r="N538" s="264"/>
      <c r="O538" s="265"/>
      <c r="P538" s="265"/>
      <c r="Q538" s="265"/>
      <c r="R538" s="265"/>
      <c r="S538" s="265"/>
      <c r="T538" s="265"/>
      <c r="U538" s="265"/>
    </row>
    <row r="539" spans="1:24" ht="27.75" customHeight="1">
      <c r="A539" s="204" t="str">
        <f>IF(ISBLANK(D539)," ",490-COUNTBLANK($D$6:D539))</f>
        <v xml:space="preserve"> </v>
      </c>
      <c r="B539" s="202"/>
      <c r="C539" s="202"/>
      <c r="D539" s="202"/>
      <c r="E539" s="300"/>
      <c r="F539" s="210"/>
      <c r="G539" s="203"/>
      <c r="H539" s="203"/>
      <c r="I539" s="203"/>
      <c r="J539" s="203"/>
      <c r="K539" s="205"/>
      <c r="L539" s="291"/>
      <c r="M539" s="263"/>
      <c r="N539" s="264"/>
      <c r="O539" s="265"/>
      <c r="P539" s="265"/>
      <c r="Q539" s="265"/>
      <c r="R539" s="265"/>
      <c r="S539" s="265"/>
      <c r="T539" s="265"/>
      <c r="U539" s="265"/>
    </row>
    <row r="540" spans="1:24" ht="27.75" customHeight="1">
      <c r="A540" s="204" t="str">
        <f>IF(ISBLANK(D540)," ",491-COUNTBLANK($D$6:D540))</f>
        <v xml:space="preserve"> </v>
      </c>
      <c r="B540" s="202"/>
      <c r="C540" s="202"/>
      <c r="D540" s="202"/>
      <c r="E540" s="300"/>
      <c r="F540" s="210"/>
      <c r="G540" s="203"/>
      <c r="H540" s="203"/>
      <c r="I540" s="203"/>
      <c r="J540" s="203"/>
      <c r="K540" s="205"/>
      <c r="L540" s="291"/>
      <c r="M540" s="263"/>
      <c r="N540" s="264"/>
      <c r="O540" s="265"/>
      <c r="P540" s="265"/>
      <c r="Q540" s="265"/>
      <c r="R540" s="265"/>
      <c r="S540" s="265"/>
      <c r="T540" s="265"/>
      <c r="U540" s="265"/>
    </row>
    <row r="541" spans="1:24" ht="27.75" customHeight="1">
      <c r="A541" s="204" t="str">
        <f>IF(ISBLANK(D541)," ",492-COUNTBLANK($D$6:D541))</f>
        <v xml:space="preserve"> </v>
      </c>
      <c r="B541" s="202"/>
      <c r="C541" s="202"/>
      <c r="D541" s="202"/>
      <c r="E541" s="300"/>
      <c r="F541" s="210"/>
      <c r="G541" s="203"/>
      <c r="H541" s="203"/>
      <c r="I541" s="203"/>
      <c r="J541" s="203"/>
      <c r="K541" s="205"/>
      <c r="L541" s="291"/>
      <c r="M541" s="263"/>
      <c r="N541" s="264"/>
      <c r="O541" s="265"/>
      <c r="P541" s="265"/>
      <c r="Q541" s="265"/>
      <c r="R541" s="265"/>
      <c r="S541" s="265"/>
      <c r="T541" s="265"/>
      <c r="U541" s="265"/>
    </row>
    <row r="542" spans="1:24" ht="27.75" customHeight="1">
      <c r="A542" s="204" t="str">
        <f>IF(ISBLANK(D542)," ",493-COUNTBLANK($D$6:D542))</f>
        <v xml:space="preserve"> </v>
      </c>
      <c r="B542" s="202"/>
      <c r="C542" s="202"/>
      <c r="D542" s="202"/>
      <c r="E542" s="300"/>
      <c r="F542" s="210"/>
      <c r="G542" s="203"/>
      <c r="H542" s="203"/>
      <c r="I542" s="203"/>
      <c r="J542" s="203"/>
      <c r="K542" s="205"/>
      <c r="L542" s="291"/>
      <c r="M542" s="263"/>
      <c r="N542" s="264"/>
      <c r="O542" s="265"/>
      <c r="P542" s="265"/>
      <c r="Q542" s="265"/>
      <c r="R542" s="265"/>
      <c r="S542" s="265"/>
      <c r="T542" s="265"/>
      <c r="U542" s="265"/>
    </row>
    <row r="543" spans="1:24" ht="27.75" customHeight="1">
      <c r="A543" s="204" t="str">
        <f>IF(ISBLANK(D543)," ",494-COUNTBLANK($D$6:D543))</f>
        <v xml:space="preserve"> </v>
      </c>
      <c r="B543" s="202"/>
      <c r="C543" s="202"/>
      <c r="D543" s="202"/>
      <c r="E543" s="300"/>
      <c r="F543" s="210"/>
      <c r="G543" s="203"/>
      <c r="H543" s="203"/>
      <c r="I543" s="203"/>
      <c r="J543" s="203"/>
      <c r="K543" s="205"/>
      <c r="L543" s="291"/>
      <c r="M543" s="263"/>
      <c r="N543" s="264"/>
      <c r="O543" s="265"/>
      <c r="P543" s="265"/>
      <c r="Q543" s="265"/>
      <c r="R543" s="265"/>
      <c r="S543" s="265"/>
      <c r="T543" s="265"/>
      <c r="U543" s="265"/>
    </row>
    <row r="544" spans="1:24" ht="27.75" customHeight="1">
      <c r="A544" s="204" t="str">
        <f>IF(ISBLANK(D544)," ",495-COUNTBLANK($D$6:D544))</f>
        <v xml:space="preserve"> </v>
      </c>
      <c r="B544" s="202"/>
      <c r="C544" s="202"/>
      <c r="D544" s="202"/>
      <c r="E544" s="300"/>
      <c r="F544" s="210"/>
      <c r="G544" s="203"/>
      <c r="H544" s="203"/>
      <c r="I544" s="203"/>
      <c r="J544" s="203"/>
      <c r="K544" s="205"/>
      <c r="L544" s="291"/>
      <c r="M544" s="263"/>
      <c r="N544" s="264"/>
      <c r="O544" s="265"/>
      <c r="P544" s="265"/>
      <c r="Q544" s="265"/>
      <c r="R544" s="265"/>
      <c r="S544" s="265"/>
      <c r="T544" s="265"/>
      <c r="U544" s="265"/>
    </row>
    <row r="545" spans="1:24" ht="27.75" customHeight="1">
      <c r="A545" s="204" t="str">
        <f>IF(ISBLANK(D545)," ",496-COUNTBLANK($D$6:D545))</f>
        <v xml:space="preserve"> </v>
      </c>
      <c r="B545" s="202"/>
      <c r="C545" s="202"/>
      <c r="D545" s="202"/>
      <c r="E545" s="300"/>
      <c r="F545" s="210"/>
      <c r="G545" s="203"/>
      <c r="H545" s="203"/>
      <c r="I545" s="203"/>
      <c r="J545" s="203"/>
      <c r="K545" s="205"/>
      <c r="L545" s="291"/>
      <c r="M545" s="263"/>
      <c r="N545" s="264"/>
      <c r="O545" s="265"/>
      <c r="P545" s="265"/>
      <c r="Q545" s="265"/>
      <c r="R545" s="265"/>
      <c r="S545" s="265"/>
      <c r="T545" s="265"/>
      <c r="U545" s="265"/>
    </row>
    <row r="546" spans="1:24" ht="27.75" customHeight="1">
      <c r="A546" s="204" t="str">
        <f>IF(ISBLANK(D546)," ",497-COUNTBLANK($D$6:D546))</f>
        <v xml:space="preserve"> </v>
      </c>
      <c r="B546" s="202"/>
      <c r="C546" s="202"/>
      <c r="D546" s="202"/>
      <c r="E546" s="300"/>
      <c r="F546" s="210"/>
      <c r="G546" s="203"/>
      <c r="H546" s="203"/>
      <c r="I546" s="203"/>
      <c r="J546" s="203"/>
      <c r="K546" s="205"/>
      <c r="L546" s="291"/>
      <c r="M546" s="263"/>
      <c r="N546" s="264"/>
      <c r="O546" s="265"/>
      <c r="P546" s="265"/>
      <c r="Q546" s="265"/>
      <c r="R546" s="265"/>
      <c r="S546" s="265"/>
      <c r="T546" s="265"/>
      <c r="U546" s="265"/>
    </row>
    <row r="547" spans="1:24" ht="27.75" customHeight="1">
      <c r="A547" s="204" t="str">
        <f>IF(ISBLANK(D547)," ",498-COUNTBLANK($D$6:D547))</f>
        <v xml:space="preserve"> </v>
      </c>
      <c r="B547" s="202"/>
      <c r="C547" s="202"/>
      <c r="D547" s="202"/>
      <c r="E547" s="300"/>
      <c r="F547" s="210"/>
      <c r="G547" s="203"/>
      <c r="H547" s="203"/>
      <c r="I547" s="203"/>
      <c r="J547" s="203"/>
      <c r="K547" s="205"/>
      <c r="L547" s="291"/>
      <c r="M547" s="263"/>
      <c r="N547" s="264"/>
      <c r="O547" s="265"/>
      <c r="P547" s="265"/>
      <c r="Q547" s="265"/>
      <c r="R547" s="265"/>
      <c r="S547" s="265"/>
      <c r="T547" s="265"/>
      <c r="U547" s="265"/>
    </row>
    <row r="548" spans="1:24" ht="27.75" customHeight="1">
      <c r="A548" s="204" t="str">
        <f>IF(ISBLANK(D548)," ",499-COUNTBLANK($D$6:D548))</f>
        <v xml:space="preserve"> </v>
      </c>
      <c r="B548" s="202"/>
      <c r="C548" s="202"/>
      <c r="D548" s="202"/>
      <c r="E548" s="300"/>
      <c r="F548" s="210"/>
      <c r="G548" s="203"/>
      <c r="H548" s="203"/>
      <c r="I548" s="203"/>
      <c r="J548" s="203"/>
      <c r="K548" s="205"/>
      <c r="L548" s="291"/>
      <c r="M548" s="263"/>
      <c r="N548" s="264"/>
      <c r="O548" s="265"/>
      <c r="P548" s="265"/>
      <c r="Q548" s="265"/>
      <c r="R548" s="265"/>
      <c r="S548" s="265"/>
      <c r="T548" s="265"/>
      <c r="U548" s="265"/>
    </row>
    <row r="549" spans="1:24" ht="27.75" customHeight="1">
      <c r="A549" s="204" t="str">
        <f>IF(ISBLANK(D549)," ",500-COUNTBLANK($D$6:D549))</f>
        <v xml:space="preserve"> </v>
      </c>
      <c r="B549" s="202"/>
      <c r="C549" s="202"/>
      <c r="D549" s="202"/>
      <c r="E549" s="300"/>
      <c r="F549" s="210"/>
      <c r="G549" s="203"/>
      <c r="H549" s="203"/>
      <c r="I549" s="203"/>
      <c r="J549" s="203"/>
      <c r="K549" s="205"/>
      <c r="L549" s="291"/>
      <c r="M549" s="263"/>
      <c r="N549" s="266"/>
      <c r="O549" s="265"/>
      <c r="P549" s="265"/>
      <c r="Q549" s="265"/>
      <c r="R549" s="265"/>
      <c r="S549" s="265"/>
      <c r="T549" s="265"/>
      <c r="U549" s="267"/>
    </row>
    <row r="550" spans="1:24" ht="27.75" customHeight="1">
      <c r="A550" s="204" t="str">
        <f>IF(ISBLANK(D550)," ",501-COUNTBLANK($D$6:D550))</f>
        <v xml:space="preserve"> </v>
      </c>
      <c r="B550" s="202"/>
      <c r="C550" s="202"/>
      <c r="D550" s="202"/>
      <c r="E550" s="300"/>
      <c r="F550" s="210"/>
      <c r="G550" s="203"/>
      <c r="H550" s="203"/>
      <c r="I550" s="203"/>
      <c r="J550" s="203"/>
      <c r="K550" s="205"/>
      <c r="L550" s="291"/>
      <c r="M550" s="263"/>
      <c r="N550" s="266"/>
      <c r="O550" s="265"/>
      <c r="P550" s="265"/>
      <c r="Q550" s="265"/>
      <c r="R550" s="265"/>
      <c r="S550" s="265"/>
      <c r="T550" s="265"/>
      <c r="U550" s="267"/>
    </row>
    <row r="551" spans="1:24" ht="27.75" customHeight="1">
      <c r="A551" s="204" t="str">
        <f>IF(ISBLANK(D551)," ",502-COUNTBLANK($D$6:D551))</f>
        <v xml:space="preserve"> </v>
      </c>
      <c r="B551" s="202"/>
      <c r="C551" s="202"/>
      <c r="D551" s="202"/>
      <c r="E551" s="300"/>
      <c r="F551" s="210"/>
      <c r="G551" s="203"/>
      <c r="H551" s="203"/>
      <c r="I551" s="203"/>
      <c r="J551" s="203"/>
      <c r="K551" s="205"/>
      <c r="L551" s="291"/>
      <c r="M551" s="263"/>
      <c r="N551" s="266"/>
      <c r="O551" s="265"/>
      <c r="P551" s="265"/>
      <c r="Q551" s="265"/>
      <c r="R551" s="265"/>
      <c r="S551" s="265"/>
      <c r="T551" s="265"/>
      <c r="U551" s="267"/>
    </row>
    <row r="552" spans="1:24" ht="27.75" customHeight="1">
      <c r="A552" s="204" t="str">
        <f>IF(ISBLANK(D552)," ",503-COUNTBLANK($D$6:D552))</f>
        <v xml:space="preserve"> </v>
      </c>
      <c r="B552" s="202"/>
      <c r="C552" s="202"/>
      <c r="D552" s="202"/>
      <c r="E552" s="300"/>
      <c r="F552" s="210"/>
      <c r="G552" s="203"/>
      <c r="H552" s="203"/>
      <c r="I552" s="203"/>
      <c r="J552" s="203"/>
      <c r="K552" s="205"/>
      <c r="L552" s="291"/>
      <c r="M552" s="263"/>
      <c r="N552" s="266"/>
      <c r="O552" s="265"/>
      <c r="P552" s="265"/>
      <c r="Q552" s="265"/>
      <c r="R552" s="265"/>
      <c r="S552" s="265"/>
      <c r="T552" s="265"/>
      <c r="U552" s="267"/>
    </row>
    <row r="553" spans="1:24" ht="27.75" customHeight="1">
      <c r="A553" s="304" t="s">
        <v>52</v>
      </c>
      <c r="B553" s="296"/>
      <c r="C553" s="305"/>
      <c r="D553" s="306"/>
      <c r="E553" s="297"/>
      <c r="F553" s="298">
        <f>SUM(F533:F552)</f>
        <v>0</v>
      </c>
      <c r="G553" s="282"/>
      <c r="H553" s="282"/>
      <c r="I553" s="282"/>
      <c r="J553" s="282"/>
      <c r="K553" s="283"/>
      <c r="L553" s="303"/>
      <c r="M553" s="263"/>
      <c r="N553" s="264"/>
      <c r="O553" s="265"/>
      <c r="P553" s="265"/>
      <c r="Q553" s="265"/>
      <c r="R553" s="265"/>
      <c r="S553" s="265"/>
      <c r="T553" s="265"/>
      <c r="U553" s="284"/>
      <c r="V553" s="265"/>
      <c r="W553" s="265"/>
      <c r="X553" s="265"/>
    </row>
    <row r="554" spans="1:24" ht="27.75" customHeight="1">
      <c r="A554" s="260" t="str">
        <f>IF(ISBLANK(D554)," ",505-COUNTBLANK($D$6:D554))</f>
        <v xml:space="preserve"> </v>
      </c>
      <c r="B554" s="200"/>
      <c r="C554" s="200"/>
      <c r="D554" s="200"/>
      <c r="E554" s="299"/>
      <c r="F554" s="209"/>
      <c r="G554" s="201"/>
      <c r="H554" s="201"/>
      <c r="I554" s="201"/>
      <c r="J554" s="201"/>
      <c r="K554" s="262"/>
      <c r="L554" s="291"/>
      <c r="M554" s="263"/>
      <c r="N554" s="266"/>
      <c r="O554" s="265"/>
      <c r="P554" s="265"/>
      <c r="Q554" s="265"/>
      <c r="R554" s="265"/>
      <c r="S554" s="265"/>
      <c r="T554" s="265"/>
      <c r="U554" s="284"/>
      <c r="V554" s="265"/>
      <c r="W554" s="265"/>
      <c r="X554" s="265"/>
    </row>
    <row r="555" spans="1:24" ht="27.75" customHeight="1">
      <c r="A555" s="204" t="str">
        <f>IF(ISBLANK(D555)," ",506-COUNTBLANK($D$6:D555))</f>
        <v xml:space="preserve"> </v>
      </c>
      <c r="B555" s="202"/>
      <c r="C555" s="202"/>
      <c r="D555" s="202"/>
      <c r="E555" s="300"/>
      <c r="F555" s="210"/>
      <c r="G555" s="203"/>
      <c r="H555" s="203"/>
      <c r="I555" s="203"/>
      <c r="J555" s="203"/>
      <c r="K555" s="205"/>
      <c r="L555" s="291"/>
      <c r="M555" s="263"/>
      <c r="N555" s="264"/>
      <c r="O555" s="265"/>
      <c r="P555" s="265"/>
      <c r="Q555" s="265"/>
      <c r="R555" s="265"/>
      <c r="S555" s="265"/>
      <c r="T555" s="265"/>
      <c r="U555" s="265"/>
    </row>
    <row r="556" spans="1:24" ht="27.75" customHeight="1">
      <c r="A556" s="204" t="str">
        <f>IF(ISBLANK(D556)," ",507-COUNTBLANK($D$6:D556))</f>
        <v xml:space="preserve"> </v>
      </c>
      <c r="B556" s="202"/>
      <c r="C556" s="202"/>
      <c r="D556" s="202"/>
      <c r="E556" s="300"/>
      <c r="F556" s="210"/>
      <c r="G556" s="203"/>
      <c r="H556" s="203"/>
      <c r="I556" s="203"/>
      <c r="J556" s="203"/>
      <c r="K556" s="205"/>
      <c r="L556" s="291"/>
      <c r="M556" s="263"/>
      <c r="N556" s="264"/>
      <c r="O556" s="265"/>
      <c r="P556" s="265"/>
      <c r="Q556" s="265"/>
      <c r="R556" s="265"/>
      <c r="S556" s="265"/>
      <c r="T556" s="265"/>
      <c r="U556" s="265"/>
    </row>
    <row r="557" spans="1:24" ht="27.75" customHeight="1">
      <c r="A557" s="204" t="str">
        <f>IF(ISBLANK(D557)," ",508-COUNTBLANK($D$6:D557))</f>
        <v xml:space="preserve"> </v>
      </c>
      <c r="B557" s="202"/>
      <c r="C557" s="202"/>
      <c r="D557" s="202"/>
      <c r="E557" s="300"/>
      <c r="F557" s="210"/>
      <c r="G557" s="203"/>
      <c r="H557" s="203"/>
      <c r="I557" s="203"/>
      <c r="J557" s="203"/>
      <c r="K557" s="205"/>
      <c r="L557" s="291"/>
      <c r="M557" s="263"/>
      <c r="N557" s="264"/>
      <c r="O557" s="265"/>
      <c r="P557" s="265"/>
      <c r="Q557" s="265"/>
      <c r="R557" s="265"/>
      <c r="S557" s="265"/>
      <c r="T557" s="265"/>
      <c r="U557" s="265"/>
    </row>
    <row r="558" spans="1:24" ht="27.75" customHeight="1">
      <c r="A558" s="204" t="str">
        <f>IF(ISBLANK(D558)," ",509-COUNTBLANK($D$6:D558))</f>
        <v xml:space="preserve"> </v>
      </c>
      <c r="B558" s="202"/>
      <c r="C558" s="202"/>
      <c r="D558" s="202"/>
      <c r="E558" s="300"/>
      <c r="F558" s="210"/>
      <c r="G558" s="203"/>
      <c r="H558" s="203"/>
      <c r="I558" s="203"/>
      <c r="J558" s="203"/>
      <c r="K558" s="205"/>
      <c r="L558" s="291"/>
      <c r="M558" s="263"/>
      <c r="N558" s="264"/>
      <c r="O558" s="265"/>
      <c r="P558" s="265"/>
      <c r="Q558" s="265"/>
      <c r="R558" s="265"/>
      <c r="S558" s="265"/>
      <c r="T558" s="265"/>
      <c r="U558" s="265"/>
    </row>
    <row r="559" spans="1:24" ht="27.75" customHeight="1">
      <c r="A559" s="204" t="str">
        <f>IF(ISBLANK(D559)," ",510-COUNTBLANK($D$6:D559))</f>
        <v xml:space="preserve"> </v>
      </c>
      <c r="B559" s="202"/>
      <c r="C559" s="202"/>
      <c r="D559" s="202"/>
      <c r="E559" s="300"/>
      <c r="F559" s="210"/>
      <c r="G559" s="203"/>
      <c r="H559" s="203"/>
      <c r="I559" s="203"/>
      <c r="J559" s="203"/>
      <c r="K559" s="205"/>
      <c r="L559" s="291"/>
      <c r="M559" s="263"/>
      <c r="N559" s="264"/>
      <c r="O559" s="265"/>
      <c r="P559" s="265"/>
      <c r="Q559" s="265"/>
      <c r="R559" s="265"/>
      <c r="S559" s="265"/>
      <c r="T559" s="265"/>
      <c r="U559" s="265"/>
    </row>
    <row r="560" spans="1:24" ht="27.75" customHeight="1">
      <c r="A560" s="204" t="str">
        <f>IF(ISBLANK(D560)," ",511-COUNTBLANK($D$6:D560))</f>
        <v xml:space="preserve"> </v>
      </c>
      <c r="B560" s="202"/>
      <c r="C560" s="202"/>
      <c r="D560" s="202"/>
      <c r="E560" s="300"/>
      <c r="F560" s="210"/>
      <c r="G560" s="203"/>
      <c r="H560" s="203"/>
      <c r="I560" s="203"/>
      <c r="J560" s="203"/>
      <c r="K560" s="205"/>
      <c r="L560" s="291"/>
      <c r="M560" s="263"/>
      <c r="N560" s="264"/>
      <c r="O560" s="265"/>
      <c r="P560" s="265"/>
      <c r="Q560" s="265"/>
      <c r="R560" s="265"/>
      <c r="S560" s="265"/>
      <c r="T560" s="265"/>
      <c r="U560" s="265"/>
    </row>
    <row r="561" spans="1:24" ht="27.75" customHeight="1">
      <c r="A561" s="204" t="str">
        <f>IF(ISBLANK(D561)," ",512-COUNTBLANK($D$6:D561))</f>
        <v xml:space="preserve"> </v>
      </c>
      <c r="B561" s="202"/>
      <c r="C561" s="202"/>
      <c r="D561" s="202"/>
      <c r="E561" s="300"/>
      <c r="F561" s="210"/>
      <c r="G561" s="203"/>
      <c r="H561" s="203"/>
      <c r="I561" s="203"/>
      <c r="J561" s="203"/>
      <c r="K561" s="205"/>
      <c r="L561" s="291"/>
      <c r="M561" s="263"/>
      <c r="N561" s="264"/>
      <c r="O561" s="265"/>
      <c r="P561" s="265"/>
      <c r="Q561" s="265"/>
      <c r="R561" s="265"/>
      <c r="S561" s="265"/>
      <c r="T561" s="265"/>
      <c r="U561" s="265"/>
    </row>
    <row r="562" spans="1:24" ht="27.75" customHeight="1">
      <c r="A562" s="204" t="str">
        <f>IF(ISBLANK(D562)," ",513-COUNTBLANK($D$6:D562))</f>
        <v xml:space="preserve"> </v>
      </c>
      <c r="B562" s="202"/>
      <c r="C562" s="202"/>
      <c r="D562" s="202"/>
      <c r="E562" s="300"/>
      <c r="F562" s="210"/>
      <c r="G562" s="203"/>
      <c r="H562" s="203"/>
      <c r="I562" s="203"/>
      <c r="J562" s="203"/>
      <c r="K562" s="205"/>
      <c r="L562" s="291"/>
      <c r="M562" s="263"/>
      <c r="N562" s="264"/>
      <c r="O562" s="265"/>
      <c r="P562" s="265"/>
      <c r="Q562" s="265"/>
      <c r="R562" s="265"/>
      <c r="S562" s="265"/>
      <c r="T562" s="265"/>
      <c r="U562" s="265"/>
    </row>
    <row r="563" spans="1:24" ht="27.75" customHeight="1">
      <c r="A563" s="204" t="str">
        <f>IF(ISBLANK(D563)," ",514-COUNTBLANK($D$6:D563))</f>
        <v xml:space="preserve"> </v>
      </c>
      <c r="B563" s="202"/>
      <c r="C563" s="202"/>
      <c r="D563" s="202"/>
      <c r="E563" s="300"/>
      <c r="F563" s="210"/>
      <c r="G563" s="203"/>
      <c r="H563" s="203"/>
      <c r="I563" s="203"/>
      <c r="J563" s="203"/>
      <c r="K563" s="205"/>
      <c r="L563" s="291"/>
      <c r="M563" s="263"/>
      <c r="N563" s="264"/>
      <c r="O563" s="265"/>
      <c r="P563" s="265"/>
      <c r="Q563" s="265"/>
      <c r="R563" s="265"/>
      <c r="S563" s="265"/>
      <c r="T563" s="265"/>
      <c r="U563" s="265"/>
    </row>
    <row r="564" spans="1:24" ht="27.75" customHeight="1">
      <c r="A564" s="204" t="str">
        <f>IF(ISBLANK(D564)," ",515-COUNTBLANK($D$6:D564))</f>
        <v xml:space="preserve"> </v>
      </c>
      <c r="B564" s="202"/>
      <c r="C564" s="202"/>
      <c r="D564" s="202"/>
      <c r="E564" s="300"/>
      <c r="F564" s="210"/>
      <c r="G564" s="203"/>
      <c r="H564" s="203"/>
      <c r="I564" s="203"/>
      <c r="J564" s="203"/>
      <c r="K564" s="205"/>
      <c r="L564" s="291"/>
      <c r="M564" s="263"/>
      <c r="N564" s="264"/>
      <c r="O564" s="265"/>
      <c r="P564" s="265"/>
      <c r="Q564" s="265"/>
      <c r="R564" s="265"/>
      <c r="S564" s="265"/>
      <c r="T564" s="265"/>
      <c r="U564" s="265"/>
    </row>
    <row r="565" spans="1:24" ht="27.75" customHeight="1">
      <c r="A565" s="204" t="str">
        <f>IF(ISBLANK(D565)," ",516-COUNTBLANK($D$6:D565))</f>
        <v xml:space="preserve"> </v>
      </c>
      <c r="B565" s="202"/>
      <c r="C565" s="202"/>
      <c r="D565" s="202"/>
      <c r="E565" s="300"/>
      <c r="F565" s="210"/>
      <c r="G565" s="203"/>
      <c r="H565" s="203"/>
      <c r="I565" s="203"/>
      <c r="J565" s="203"/>
      <c r="K565" s="205"/>
      <c r="L565" s="291"/>
      <c r="M565" s="263"/>
      <c r="N565" s="264"/>
      <c r="O565" s="265"/>
      <c r="P565" s="265"/>
      <c r="Q565" s="265"/>
      <c r="R565" s="265"/>
      <c r="S565" s="265"/>
      <c r="T565" s="265"/>
      <c r="U565" s="265"/>
    </row>
    <row r="566" spans="1:24" ht="27.75" customHeight="1">
      <c r="A566" s="204" t="str">
        <f>IF(ISBLANK(D566)," ",517-COUNTBLANK($D$6:D566))</f>
        <v xml:space="preserve"> </v>
      </c>
      <c r="B566" s="202"/>
      <c r="C566" s="202"/>
      <c r="D566" s="202"/>
      <c r="E566" s="300"/>
      <c r="F566" s="210"/>
      <c r="G566" s="203"/>
      <c r="H566" s="203"/>
      <c r="I566" s="203"/>
      <c r="J566" s="203"/>
      <c r="K566" s="205"/>
      <c r="L566" s="291"/>
      <c r="M566" s="263"/>
      <c r="N566" s="264"/>
      <c r="O566" s="265"/>
      <c r="P566" s="265"/>
      <c r="Q566" s="265"/>
      <c r="R566" s="265"/>
      <c r="S566" s="265"/>
      <c r="T566" s="265"/>
      <c r="U566" s="265"/>
    </row>
    <row r="567" spans="1:24" ht="27.75" customHeight="1">
      <c r="A567" s="204" t="str">
        <f>IF(ISBLANK(D567)," ",518-COUNTBLANK($D$6:D567))</f>
        <v xml:space="preserve"> </v>
      </c>
      <c r="B567" s="202"/>
      <c r="C567" s="202"/>
      <c r="D567" s="202"/>
      <c r="E567" s="300"/>
      <c r="F567" s="210"/>
      <c r="G567" s="203"/>
      <c r="H567" s="203"/>
      <c r="I567" s="203"/>
      <c r="J567" s="203"/>
      <c r="K567" s="205"/>
      <c r="L567" s="291"/>
      <c r="M567" s="263"/>
      <c r="N567" s="264"/>
      <c r="O567" s="265"/>
      <c r="P567" s="265"/>
      <c r="Q567" s="265"/>
      <c r="R567" s="265"/>
      <c r="S567" s="265"/>
      <c r="T567" s="265"/>
      <c r="U567" s="265"/>
    </row>
    <row r="568" spans="1:24" ht="27.75" customHeight="1">
      <c r="A568" s="204" t="str">
        <f>IF(ISBLANK(D568)," ",519-COUNTBLANK($D$6:D568))</f>
        <v xml:space="preserve"> </v>
      </c>
      <c r="B568" s="202"/>
      <c r="C568" s="202"/>
      <c r="D568" s="202"/>
      <c r="E568" s="300"/>
      <c r="F568" s="210"/>
      <c r="G568" s="203"/>
      <c r="H568" s="203"/>
      <c r="I568" s="203"/>
      <c r="J568" s="203"/>
      <c r="K568" s="205"/>
      <c r="L568" s="291"/>
      <c r="M568" s="263"/>
      <c r="N568" s="264"/>
      <c r="O568" s="265"/>
      <c r="P568" s="265"/>
      <c r="Q568" s="265"/>
      <c r="R568" s="265"/>
      <c r="S568" s="265"/>
      <c r="T568" s="265"/>
      <c r="U568" s="265"/>
    </row>
    <row r="569" spans="1:24" ht="27.75" customHeight="1">
      <c r="A569" s="204" t="str">
        <f>IF(ISBLANK(D569)," ",520-COUNTBLANK($D$6:D569))</f>
        <v xml:space="preserve"> </v>
      </c>
      <c r="B569" s="202"/>
      <c r="C569" s="202"/>
      <c r="D569" s="202"/>
      <c r="E569" s="300"/>
      <c r="F569" s="210"/>
      <c r="G569" s="203"/>
      <c r="H569" s="203"/>
      <c r="I569" s="203"/>
      <c r="J569" s="203"/>
      <c r="K569" s="205"/>
      <c r="L569" s="291"/>
      <c r="M569" s="263"/>
      <c r="N569" s="264"/>
      <c r="O569" s="265"/>
      <c r="P569" s="265"/>
      <c r="Q569" s="265"/>
      <c r="R569" s="265"/>
      <c r="S569" s="265"/>
      <c r="T569" s="265"/>
      <c r="U569" s="265"/>
    </row>
    <row r="570" spans="1:24" ht="27.75" customHeight="1">
      <c r="A570" s="204" t="str">
        <f>IF(ISBLANK(D570)," ",521-COUNTBLANK($D$6:D570))</f>
        <v xml:space="preserve"> </v>
      </c>
      <c r="B570" s="202"/>
      <c r="C570" s="202"/>
      <c r="D570" s="202"/>
      <c r="E570" s="300"/>
      <c r="F570" s="210"/>
      <c r="G570" s="203"/>
      <c r="H570" s="203"/>
      <c r="I570" s="203"/>
      <c r="J570" s="203"/>
      <c r="K570" s="205"/>
      <c r="L570" s="291"/>
      <c r="M570" s="263"/>
      <c r="N570" s="266"/>
      <c r="O570" s="265"/>
      <c r="P570" s="265"/>
      <c r="Q570" s="265"/>
      <c r="R570" s="265"/>
      <c r="S570" s="265"/>
      <c r="T570" s="265"/>
      <c r="U570" s="267"/>
    </row>
    <row r="571" spans="1:24" ht="27.75" customHeight="1">
      <c r="A571" s="204" t="str">
        <f>IF(ISBLANK(D571)," ",522-COUNTBLANK($D$6:D571))</f>
        <v xml:space="preserve"> </v>
      </c>
      <c r="B571" s="202"/>
      <c r="C571" s="202"/>
      <c r="D571" s="202"/>
      <c r="E571" s="300"/>
      <c r="F571" s="210"/>
      <c r="G571" s="203"/>
      <c r="H571" s="203"/>
      <c r="I571" s="203"/>
      <c r="J571" s="203"/>
      <c r="K571" s="205"/>
      <c r="L571" s="291"/>
      <c r="M571" s="263"/>
      <c r="N571" s="266"/>
      <c r="O571" s="265"/>
      <c r="P571" s="265"/>
      <c r="Q571" s="265"/>
      <c r="R571" s="265"/>
      <c r="S571" s="265"/>
      <c r="T571" s="265"/>
      <c r="U571" s="267"/>
    </row>
    <row r="572" spans="1:24" ht="27.75" customHeight="1">
      <c r="A572" s="204" t="str">
        <f>IF(ISBLANK(D572)," ",523-COUNTBLANK($D$6:D572))</f>
        <v xml:space="preserve"> </v>
      </c>
      <c r="B572" s="202"/>
      <c r="C572" s="202"/>
      <c r="D572" s="202"/>
      <c r="E572" s="300"/>
      <c r="F572" s="210"/>
      <c r="G572" s="203"/>
      <c r="H572" s="203"/>
      <c r="I572" s="203"/>
      <c r="J572" s="203"/>
      <c r="K572" s="205"/>
      <c r="L572" s="291"/>
      <c r="M572" s="263"/>
      <c r="N572" s="266"/>
      <c r="O572" s="265"/>
      <c r="P572" s="265"/>
      <c r="Q572" s="265"/>
      <c r="R572" s="265"/>
      <c r="S572" s="265"/>
      <c r="T572" s="265"/>
      <c r="U572" s="267"/>
    </row>
    <row r="573" spans="1:24" ht="27.75" customHeight="1">
      <c r="A573" s="204" t="str">
        <f>IF(ISBLANK(D573)," ",524-COUNTBLANK($D$6:D573))</f>
        <v xml:space="preserve"> </v>
      </c>
      <c r="B573" s="202"/>
      <c r="C573" s="202"/>
      <c r="D573" s="202"/>
      <c r="E573" s="300"/>
      <c r="F573" s="210"/>
      <c r="G573" s="203"/>
      <c r="H573" s="203"/>
      <c r="I573" s="203"/>
      <c r="J573" s="203"/>
      <c r="K573" s="205"/>
      <c r="L573" s="291"/>
      <c r="M573" s="263"/>
      <c r="N573" s="266"/>
      <c r="O573" s="265"/>
      <c r="P573" s="265"/>
      <c r="Q573" s="265"/>
      <c r="R573" s="265"/>
      <c r="S573" s="265"/>
      <c r="T573" s="265"/>
      <c r="U573" s="267"/>
    </row>
    <row r="574" spans="1:24" ht="27.75" customHeight="1">
      <c r="A574" s="304" t="s">
        <v>52</v>
      </c>
      <c r="B574" s="296"/>
      <c r="C574" s="305"/>
      <c r="D574" s="306"/>
      <c r="E574" s="297"/>
      <c r="F574" s="298">
        <f>SUM(F554:F573)</f>
        <v>0</v>
      </c>
      <c r="G574" s="282"/>
      <c r="H574" s="282"/>
      <c r="I574" s="282"/>
      <c r="J574" s="282"/>
      <c r="K574" s="283"/>
      <c r="L574" s="303"/>
      <c r="M574" s="263"/>
      <c r="N574" s="264"/>
      <c r="O574" s="265"/>
      <c r="P574" s="265"/>
      <c r="Q574" s="265"/>
      <c r="R574" s="265"/>
      <c r="S574" s="265"/>
      <c r="T574" s="265"/>
      <c r="U574" s="284"/>
      <c r="V574" s="265"/>
      <c r="W574" s="265"/>
      <c r="X574" s="265"/>
    </row>
    <row r="575" spans="1:24" ht="27.75" customHeight="1">
      <c r="M575" s="263"/>
      <c r="N575" s="266"/>
      <c r="O575" s="265"/>
      <c r="P575" s="265"/>
      <c r="Q575" s="265"/>
      <c r="R575" s="265"/>
      <c r="S575" s="265"/>
      <c r="T575" s="265"/>
      <c r="U575" s="284"/>
      <c r="V575" s="265"/>
      <c r="W575" s="265"/>
      <c r="X575" s="265"/>
    </row>
    <row r="576" spans="1:24" ht="27.75" customHeight="1">
      <c r="M576" s="263"/>
      <c r="N576" s="264"/>
      <c r="O576" s="265"/>
      <c r="P576" s="265"/>
      <c r="Q576" s="265"/>
      <c r="R576" s="265"/>
      <c r="S576" s="265"/>
      <c r="T576" s="265"/>
      <c r="U576" s="265"/>
    </row>
    <row r="577" spans="13:21" ht="27.75" customHeight="1">
      <c r="M577" s="263"/>
      <c r="N577" s="264"/>
      <c r="O577" s="265"/>
      <c r="P577" s="265"/>
      <c r="Q577" s="265"/>
      <c r="R577" s="265"/>
      <c r="S577" s="265"/>
      <c r="T577" s="265"/>
      <c r="U577" s="265"/>
    </row>
    <row r="578" spans="13:21" ht="27.75" customHeight="1">
      <c r="M578" s="263"/>
      <c r="N578" s="264"/>
      <c r="O578" s="265"/>
      <c r="P578" s="265"/>
      <c r="Q578" s="265"/>
      <c r="R578" s="265"/>
      <c r="S578" s="265"/>
      <c r="T578" s="265"/>
      <c r="U578" s="265"/>
    </row>
    <row r="579" spans="13:21" ht="27.75" customHeight="1">
      <c r="M579" s="263"/>
      <c r="N579" s="264"/>
      <c r="O579" s="265"/>
      <c r="P579" s="265"/>
      <c r="Q579" s="265"/>
      <c r="R579" s="265"/>
      <c r="S579" s="265"/>
      <c r="T579" s="265"/>
      <c r="U579" s="265"/>
    </row>
    <row r="580" spans="13:21" ht="27.75" customHeight="1">
      <c r="M580" s="263"/>
      <c r="N580" s="264"/>
      <c r="O580" s="265"/>
      <c r="P580" s="265"/>
      <c r="Q580" s="265"/>
      <c r="R580" s="265"/>
      <c r="S580" s="265"/>
      <c r="T580" s="265"/>
      <c r="U580" s="265"/>
    </row>
    <row r="581" spans="13:21" ht="27.75" customHeight="1">
      <c r="M581" s="263"/>
      <c r="N581" s="264"/>
      <c r="O581" s="265"/>
      <c r="P581" s="265"/>
      <c r="Q581" s="265"/>
      <c r="R581" s="265"/>
      <c r="S581" s="265"/>
      <c r="T581" s="265"/>
      <c r="U581" s="265"/>
    </row>
    <row r="582" spans="13:21" ht="27.75" customHeight="1">
      <c r="M582" s="263"/>
      <c r="N582" s="264"/>
      <c r="O582" s="265"/>
      <c r="P582" s="265"/>
      <c r="Q582" s="265"/>
      <c r="R582" s="265"/>
      <c r="S582" s="265"/>
      <c r="T582" s="265"/>
      <c r="U582" s="265"/>
    </row>
    <row r="583" spans="13:21" ht="27.75" customHeight="1">
      <c r="M583" s="263"/>
      <c r="N583" s="264"/>
      <c r="O583" s="265"/>
      <c r="P583" s="265"/>
      <c r="Q583" s="265"/>
      <c r="R583" s="265"/>
      <c r="S583" s="265"/>
      <c r="T583" s="265"/>
      <c r="U583" s="265"/>
    </row>
    <row r="584" spans="13:21" ht="27.75" customHeight="1">
      <c r="M584" s="263"/>
      <c r="N584" s="264"/>
      <c r="O584" s="265"/>
      <c r="P584" s="265"/>
      <c r="Q584" s="265"/>
      <c r="R584" s="265"/>
      <c r="S584" s="265"/>
      <c r="T584" s="265"/>
      <c r="U584" s="265"/>
    </row>
    <row r="585" spans="13:21" ht="27.75" customHeight="1">
      <c r="M585" s="263"/>
      <c r="N585" s="264"/>
      <c r="O585" s="265"/>
      <c r="P585" s="265"/>
      <c r="Q585" s="265"/>
      <c r="R585" s="265"/>
      <c r="S585" s="265"/>
      <c r="T585" s="265"/>
      <c r="U585" s="265"/>
    </row>
    <row r="586" spans="13:21" ht="27.75" customHeight="1">
      <c r="M586" s="263"/>
      <c r="N586" s="264"/>
      <c r="O586" s="265"/>
      <c r="P586" s="265"/>
      <c r="Q586" s="265"/>
      <c r="R586" s="265"/>
      <c r="S586" s="265"/>
      <c r="T586" s="265"/>
      <c r="U586" s="265"/>
    </row>
    <row r="587" spans="13:21" ht="27.75" customHeight="1">
      <c r="M587" s="263"/>
      <c r="N587" s="264"/>
      <c r="O587" s="265"/>
      <c r="P587" s="265"/>
      <c r="Q587" s="265"/>
      <c r="R587" s="265"/>
      <c r="S587" s="265"/>
      <c r="T587" s="265"/>
      <c r="U587" s="265"/>
    </row>
    <row r="588" spans="13:21" ht="27.75" customHeight="1">
      <c r="M588" s="263"/>
      <c r="N588" s="264"/>
      <c r="O588" s="265"/>
      <c r="P588" s="265"/>
      <c r="Q588" s="265"/>
      <c r="R588" s="265"/>
      <c r="S588" s="265"/>
      <c r="T588" s="265"/>
      <c r="U588" s="265"/>
    </row>
    <row r="589" spans="13:21" ht="27.75" customHeight="1">
      <c r="M589" s="263"/>
      <c r="N589" s="264"/>
      <c r="O589" s="265"/>
      <c r="P589" s="265"/>
      <c r="Q589" s="265"/>
      <c r="R589" s="265"/>
      <c r="S589" s="265"/>
      <c r="T589" s="265"/>
      <c r="U589" s="265"/>
    </row>
    <row r="590" spans="13:21" ht="27.75" customHeight="1">
      <c r="M590" s="263"/>
      <c r="N590" s="264"/>
      <c r="O590" s="265"/>
      <c r="P590" s="265"/>
      <c r="Q590" s="265"/>
      <c r="R590" s="265"/>
      <c r="S590" s="265"/>
      <c r="T590" s="265"/>
      <c r="U590" s="265"/>
    </row>
    <row r="591" spans="13:21" ht="27.75" customHeight="1">
      <c r="M591" s="263"/>
      <c r="N591" s="266"/>
      <c r="O591" s="265"/>
      <c r="P591" s="265"/>
      <c r="Q591" s="265"/>
      <c r="R591" s="265"/>
      <c r="S591" s="265"/>
      <c r="T591" s="265"/>
      <c r="U591" s="267"/>
    </row>
    <row r="592" spans="13:21" ht="27.75" customHeight="1">
      <c r="M592" s="263"/>
      <c r="N592" s="266"/>
      <c r="O592" s="265"/>
      <c r="P592" s="265"/>
      <c r="Q592" s="265"/>
      <c r="R592" s="265"/>
      <c r="S592" s="265"/>
      <c r="T592" s="265"/>
      <c r="U592" s="267"/>
    </row>
    <row r="593" spans="13:24" ht="27.75" customHeight="1">
      <c r="M593" s="263"/>
      <c r="N593" s="266"/>
      <c r="O593" s="265"/>
      <c r="P593" s="265"/>
      <c r="Q593" s="265"/>
      <c r="R593" s="265"/>
      <c r="S593" s="265"/>
      <c r="T593" s="265"/>
      <c r="U593" s="267"/>
    </row>
    <row r="594" spans="13:24" ht="27.75" customHeight="1">
      <c r="M594" s="263"/>
      <c r="N594" s="266"/>
      <c r="O594" s="265"/>
      <c r="P594" s="265"/>
      <c r="Q594" s="265"/>
      <c r="R594" s="265"/>
      <c r="S594" s="265"/>
      <c r="T594" s="265"/>
      <c r="U594" s="267"/>
    </row>
    <row r="595" spans="13:24" ht="27.75" customHeight="1">
      <c r="M595" s="263"/>
      <c r="N595" s="264"/>
      <c r="O595" s="265"/>
      <c r="P595" s="265"/>
      <c r="Q595" s="265"/>
      <c r="R595" s="265"/>
      <c r="S595" s="265"/>
      <c r="T595" s="265"/>
      <c r="U595" s="284"/>
      <c r="V595" s="265"/>
      <c r="W595" s="265"/>
      <c r="X595" s="265"/>
    </row>
    <row r="596" spans="13:24" ht="27.75" customHeight="1">
      <c r="M596" s="263"/>
      <c r="N596" s="266"/>
      <c r="O596" s="265"/>
      <c r="P596" s="265"/>
      <c r="Q596" s="265"/>
      <c r="R596" s="265"/>
      <c r="S596" s="265"/>
      <c r="T596" s="265"/>
      <c r="U596" s="284"/>
      <c r="V596" s="265"/>
      <c r="W596" s="265"/>
      <c r="X596" s="265"/>
    </row>
    <row r="597" spans="13:24" ht="27.75" customHeight="1">
      <c r="M597" s="263"/>
      <c r="N597" s="264"/>
      <c r="O597" s="265"/>
      <c r="P597" s="265"/>
      <c r="Q597" s="265"/>
      <c r="R597" s="265"/>
      <c r="S597" s="265"/>
      <c r="T597" s="265"/>
      <c r="U597" s="265"/>
    </row>
    <row r="598" spans="13:24" ht="27.75" customHeight="1">
      <c r="M598" s="263"/>
      <c r="N598" s="264"/>
      <c r="O598" s="265"/>
      <c r="P598" s="265"/>
      <c r="Q598" s="265"/>
      <c r="R598" s="265"/>
      <c r="S598" s="265"/>
      <c r="T598" s="265"/>
      <c r="U598" s="265"/>
    </row>
    <row r="599" spans="13:24" ht="27.75" customHeight="1">
      <c r="M599" s="263"/>
      <c r="N599" s="264"/>
      <c r="O599" s="265"/>
      <c r="P599" s="265"/>
      <c r="Q599" s="265"/>
      <c r="R599" s="265"/>
      <c r="S599" s="265"/>
      <c r="T599" s="265"/>
      <c r="U599" s="265"/>
    </row>
    <row r="600" spans="13:24" ht="27.75" customHeight="1">
      <c r="M600" s="263"/>
      <c r="N600" s="264"/>
      <c r="O600" s="265"/>
      <c r="P600" s="265"/>
      <c r="Q600" s="265"/>
      <c r="R600" s="265"/>
      <c r="S600" s="265"/>
      <c r="T600" s="265"/>
      <c r="U600" s="265"/>
    </row>
    <row r="601" spans="13:24" ht="27.75" customHeight="1">
      <c r="M601" s="263"/>
      <c r="N601" s="264"/>
      <c r="O601" s="265"/>
      <c r="P601" s="265"/>
      <c r="Q601" s="265"/>
      <c r="R601" s="265"/>
      <c r="S601" s="265"/>
      <c r="T601" s="265"/>
      <c r="U601" s="265"/>
    </row>
    <row r="602" spans="13:24" ht="27.75" customHeight="1">
      <c r="M602" s="263"/>
      <c r="N602" s="264"/>
      <c r="O602" s="265"/>
      <c r="P602" s="265"/>
      <c r="Q602" s="265"/>
      <c r="R602" s="265"/>
      <c r="S602" s="265"/>
      <c r="T602" s="265"/>
      <c r="U602" s="265"/>
    </row>
    <row r="603" spans="13:24" ht="27.75" customHeight="1">
      <c r="M603" s="263"/>
      <c r="N603" s="264"/>
      <c r="O603" s="265"/>
      <c r="P603" s="265"/>
      <c r="Q603" s="265"/>
      <c r="R603" s="265"/>
      <c r="S603" s="265"/>
      <c r="T603" s="265"/>
      <c r="U603" s="265"/>
    </row>
    <row r="604" spans="13:24" ht="27.75" customHeight="1">
      <c r="M604" s="263"/>
      <c r="N604" s="264"/>
      <c r="O604" s="265"/>
      <c r="P604" s="265"/>
      <c r="Q604" s="265"/>
      <c r="R604" s="265"/>
      <c r="S604" s="265"/>
      <c r="T604" s="265"/>
      <c r="U604" s="265"/>
    </row>
    <row r="605" spans="13:24" ht="27.75" customHeight="1">
      <c r="M605" s="263"/>
      <c r="N605" s="264"/>
      <c r="O605" s="265"/>
      <c r="P605" s="265"/>
      <c r="Q605" s="265"/>
      <c r="R605" s="265"/>
      <c r="S605" s="265"/>
      <c r="T605" s="265"/>
      <c r="U605" s="265"/>
    </row>
    <row r="606" spans="13:24" ht="27.75" customHeight="1">
      <c r="M606" s="263"/>
      <c r="N606" s="264"/>
      <c r="O606" s="265"/>
      <c r="P606" s="265"/>
      <c r="Q606" s="265"/>
      <c r="R606" s="265"/>
      <c r="S606" s="265"/>
      <c r="T606" s="265"/>
      <c r="U606" s="265"/>
    </row>
    <row r="607" spans="13:24" ht="27.75" customHeight="1">
      <c r="M607" s="263"/>
      <c r="N607" s="264"/>
      <c r="O607" s="265"/>
      <c r="P607" s="265"/>
      <c r="Q607" s="265"/>
      <c r="R607" s="265"/>
      <c r="S607" s="265"/>
      <c r="T607" s="265"/>
      <c r="U607" s="265"/>
    </row>
    <row r="608" spans="13:24" ht="27.75" customHeight="1">
      <c r="M608" s="263"/>
      <c r="N608" s="264"/>
      <c r="O608" s="265"/>
      <c r="P608" s="265"/>
      <c r="Q608" s="265"/>
      <c r="R608" s="265"/>
      <c r="S608" s="265"/>
      <c r="T608" s="265"/>
      <c r="U608" s="265"/>
    </row>
    <row r="609" spans="13:24" ht="27.75" customHeight="1">
      <c r="M609" s="263"/>
      <c r="N609" s="264"/>
      <c r="O609" s="265"/>
      <c r="P609" s="265"/>
      <c r="Q609" s="265"/>
      <c r="R609" s="265"/>
      <c r="S609" s="265"/>
      <c r="T609" s="265"/>
      <c r="U609" s="265"/>
    </row>
    <row r="610" spans="13:24" ht="27.75" customHeight="1">
      <c r="M610" s="263"/>
      <c r="N610" s="264"/>
      <c r="O610" s="265"/>
      <c r="P610" s="265"/>
      <c r="Q610" s="265"/>
      <c r="R610" s="265"/>
      <c r="S610" s="265"/>
      <c r="T610" s="265"/>
      <c r="U610" s="265"/>
    </row>
    <row r="611" spans="13:24" ht="27.75" customHeight="1">
      <c r="M611" s="263"/>
      <c r="N611" s="264"/>
      <c r="O611" s="265"/>
      <c r="P611" s="265"/>
      <c r="Q611" s="265"/>
      <c r="R611" s="265"/>
      <c r="S611" s="265"/>
      <c r="T611" s="265"/>
      <c r="U611" s="265"/>
    </row>
    <row r="612" spans="13:24" ht="27.75" customHeight="1">
      <c r="M612" s="263"/>
      <c r="N612" s="266"/>
      <c r="O612" s="265"/>
      <c r="P612" s="265"/>
      <c r="Q612" s="265"/>
      <c r="R612" s="265"/>
      <c r="S612" s="265"/>
      <c r="T612" s="265"/>
      <c r="U612" s="267"/>
    </row>
    <row r="613" spans="13:24" ht="27.75" customHeight="1">
      <c r="M613" s="263"/>
      <c r="N613" s="266"/>
      <c r="O613" s="265"/>
      <c r="P613" s="265"/>
      <c r="Q613" s="265"/>
      <c r="R613" s="265"/>
      <c r="S613" s="265"/>
      <c r="T613" s="265"/>
      <c r="U613" s="267"/>
    </row>
    <row r="614" spans="13:24" ht="27.75" customHeight="1">
      <c r="M614" s="263"/>
      <c r="N614" s="266"/>
      <c r="O614" s="265"/>
      <c r="P614" s="265"/>
      <c r="Q614" s="265"/>
      <c r="R614" s="265"/>
      <c r="S614" s="265"/>
      <c r="T614" s="265"/>
      <c r="U614" s="267"/>
    </row>
    <row r="615" spans="13:24" ht="27.75" customHeight="1">
      <c r="M615" s="263"/>
      <c r="N615" s="266"/>
      <c r="O615" s="265"/>
      <c r="P615" s="265"/>
      <c r="Q615" s="265"/>
      <c r="R615" s="265"/>
      <c r="S615" s="265"/>
      <c r="T615" s="265"/>
      <c r="U615" s="267"/>
    </row>
    <row r="616" spans="13:24" ht="27.75" customHeight="1">
      <c r="M616" s="263"/>
      <c r="N616" s="264"/>
      <c r="O616" s="265"/>
      <c r="P616" s="265"/>
      <c r="Q616" s="265"/>
      <c r="R616" s="265"/>
      <c r="S616" s="265"/>
      <c r="T616" s="265"/>
      <c r="U616" s="284"/>
      <c r="V616" s="265"/>
      <c r="W616" s="265"/>
      <c r="X616" s="265"/>
    </row>
    <row r="617" spans="13:24" ht="27.75" customHeight="1">
      <c r="M617" s="263"/>
      <c r="N617" s="266"/>
      <c r="O617" s="265"/>
      <c r="P617" s="265"/>
      <c r="Q617" s="265"/>
      <c r="R617" s="265"/>
      <c r="S617" s="265"/>
      <c r="T617" s="265"/>
      <c r="U617" s="284"/>
      <c r="V617" s="265"/>
      <c r="W617" s="265"/>
      <c r="X617" s="265"/>
    </row>
    <row r="618" spans="13:24" ht="27.75" customHeight="1">
      <c r="M618" s="263"/>
      <c r="N618" s="264"/>
      <c r="O618" s="265"/>
      <c r="P618" s="265"/>
      <c r="Q618" s="265"/>
      <c r="R618" s="265"/>
      <c r="S618" s="265"/>
      <c r="T618" s="265"/>
      <c r="U618" s="265"/>
    </row>
    <row r="619" spans="13:24" ht="27.75" customHeight="1">
      <c r="M619" s="263"/>
      <c r="N619" s="264"/>
      <c r="O619" s="265"/>
      <c r="P619" s="265"/>
      <c r="Q619" s="265"/>
      <c r="R619" s="265"/>
      <c r="S619" s="265"/>
      <c r="T619" s="265"/>
      <c r="U619" s="265"/>
    </row>
    <row r="620" spans="13:24" ht="27.75" customHeight="1">
      <c r="M620" s="263"/>
      <c r="N620" s="264"/>
      <c r="O620" s="265"/>
      <c r="P620" s="265"/>
      <c r="Q620" s="265"/>
      <c r="R620" s="265"/>
      <c r="S620" s="265"/>
      <c r="T620" s="265"/>
      <c r="U620" s="265"/>
    </row>
    <row r="621" spans="13:24" ht="27.75" customHeight="1">
      <c r="M621" s="263"/>
      <c r="N621" s="264"/>
      <c r="O621" s="265"/>
      <c r="P621" s="265"/>
      <c r="Q621" s="265"/>
      <c r="R621" s="265"/>
      <c r="S621" s="265"/>
      <c r="T621" s="265"/>
      <c r="U621" s="265"/>
    </row>
    <row r="622" spans="13:24" ht="27.75" customHeight="1">
      <c r="M622" s="263"/>
      <c r="N622" s="264"/>
      <c r="O622" s="265"/>
      <c r="P622" s="265"/>
      <c r="Q622" s="265"/>
      <c r="R622" s="265"/>
      <c r="S622" s="265"/>
      <c r="T622" s="265"/>
      <c r="U622" s="265"/>
    </row>
    <row r="623" spans="13:24" ht="27.75" customHeight="1">
      <c r="M623" s="263"/>
      <c r="N623" s="264"/>
      <c r="O623" s="265"/>
      <c r="P623" s="265"/>
      <c r="Q623" s="265"/>
      <c r="R623" s="265"/>
      <c r="S623" s="265"/>
      <c r="T623" s="265"/>
      <c r="U623" s="265"/>
    </row>
    <row r="624" spans="13:24" ht="27.75" customHeight="1">
      <c r="M624" s="263"/>
      <c r="N624" s="264"/>
      <c r="O624" s="265"/>
      <c r="P624" s="265"/>
      <c r="Q624" s="265"/>
      <c r="R624" s="265"/>
      <c r="S624" s="265"/>
      <c r="T624" s="265"/>
      <c r="U624" s="265"/>
    </row>
    <row r="625" spans="13:24" ht="27.75" customHeight="1">
      <c r="M625" s="263"/>
      <c r="N625" s="264"/>
      <c r="O625" s="265"/>
      <c r="P625" s="265"/>
      <c r="Q625" s="265"/>
      <c r="R625" s="265"/>
      <c r="S625" s="265"/>
      <c r="T625" s="265"/>
      <c r="U625" s="265"/>
    </row>
    <row r="626" spans="13:24" ht="27.75" customHeight="1">
      <c r="M626" s="263"/>
      <c r="N626" s="264"/>
      <c r="O626" s="265"/>
      <c r="P626" s="265"/>
      <c r="Q626" s="265"/>
      <c r="R626" s="265"/>
      <c r="S626" s="265"/>
      <c r="T626" s="265"/>
      <c r="U626" s="265"/>
    </row>
    <row r="627" spans="13:24" ht="27.75" customHeight="1">
      <c r="M627" s="263"/>
      <c r="N627" s="264"/>
      <c r="O627" s="265"/>
      <c r="P627" s="265"/>
      <c r="Q627" s="265"/>
      <c r="R627" s="265"/>
      <c r="S627" s="265"/>
      <c r="T627" s="265"/>
      <c r="U627" s="265"/>
    </row>
    <row r="628" spans="13:24" ht="27.75" customHeight="1">
      <c r="M628" s="263"/>
      <c r="N628" s="264"/>
      <c r="O628" s="265"/>
      <c r="P628" s="265"/>
      <c r="Q628" s="265"/>
      <c r="R628" s="265"/>
      <c r="S628" s="265"/>
      <c r="T628" s="265"/>
      <c r="U628" s="265"/>
    </row>
    <row r="629" spans="13:24" ht="27.75" customHeight="1">
      <c r="M629" s="263"/>
      <c r="N629" s="264"/>
      <c r="O629" s="265"/>
      <c r="P629" s="265"/>
      <c r="Q629" s="265"/>
      <c r="R629" s="265"/>
      <c r="S629" s="265"/>
      <c r="T629" s="265"/>
      <c r="U629" s="265"/>
    </row>
    <row r="630" spans="13:24" ht="27.75" customHeight="1">
      <c r="M630" s="263"/>
      <c r="N630" s="264"/>
      <c r="O630" s="265"/>
      <c r="P630" s="265"/>
      <c r="Q630" s="265"/>
      <c r="R630" s="265"/>
      <c r="S630" s="265"/>
      <c r="T630" s="265"/>
      <c r="U630" s="265"/>
    </row>
    <row r="631" spans="13:24" ht="27.75" customHeight="1">
      <c r="M631" s="263"/>
      <c r="N631" s="264"/>
      <c r="O631" s="265"/>
      <c r="P631" s="265"/>
      <c r="Q631" s="265"/>
      <c r="R631" s="265"/>
      <c r="S631" s="265"/>
      <c r="T631" s="265"/>
      <c r="U631" s="265"/>
    </row>
    <row r="632" spans="13:24" ht="27.75" customHeight="1">
      <c r="M632" s="263"/>
      <c r="N632" s="264"/>
      <c r="O632" s="265"/>
      <c r="P632" s="265"/>
      <c r="Q632" s="265"/>
      <c r="R632" s="265"/>
      <c r="S632" s="265"/>
      <c r="T632" s="265"/>
      <c r="U632" s="265"/>
    </row>
    <row r="633" spans="13:24" ht="27.75" customHeight="1">
      <c r="M633" s="263"/>
      <c r="N633" s="266"/>
      <c r="O633" s="265"/>
      <c r="P633" s="265"/>
      <c r="Q633" s="265"/>
      <c r="R633" s="265"/>
      <c r="S633" s="265"/>
      <c r="T633" s="265"/>
      <c r="U633" s="267"/>
    </row>
    <row r="634" spans="13:24" ht="27.75" customHeight="1">
      <c r="M634" s="263"/>
      <c r="N634" s="266"/>
      <c r="O634" s="265"/>
      <c r="P634" s="265"/>
      <c r="Q634" s="265"/>
      <c r="R634" s="265"/>
      <c r="S634" s="265"/>
      <c r="T634" s="265"/>
      <c r="U634" s="267"/>
    </row>
    <row r="635" spans="13:24" ht="27.75" customHeight="1">
      <c r="M635" s="263"/>
      <c r="N635" s="266"/>
      <c r="O635" s="265"/>
      <c r="P635" s="265"/>
      <c r="Q635" s="265"/>
      <c r="R635" s="265"/>
      <c r="S635" s="265"/>
      <c r="T635" s="265"/>
      <c r="U635" s="267"/>
    </row>
    <row r="636" spans="13:24" ht="27.75" customHeight="1">
      <c r="M636" s="263"/>
      <c r="N636" s="266"/>
      <c r="O636" s="265"/>
      <c r="P636" s="265"/>
      <c r="Q636" s="265"/>
      <c r="R636" s="265"/>
      <c r="S636" s="265"/>
      <c r="T636" s="265"/>
      <c r="U636" s="267"/>
    </row>
    <row r="637" spans="13:24" ht="27.75" customHeight="1">
      <c r="M637" s="263"/>
      <c r="N637" s="264"/>
      <c r="O637" s="265"/>
      <c r="P637" s="265"/>
      <c r="Q637" s="265"/>
      <c r="R637" s="265"/>
      <c r="S637" s="265"/>
      <c r="T637" s="265"/>
      <c r="U637" s="284"/>
      <c r="V637" s="265"/>
      <c r="W637" s="265"/>
      <c r="X637" s="265"/>
    </row>
    <row r="638" spans="13:24" ht="27.75" customHeight="1">
      <c r="M638" s="263"/>
      <c r="N638" s="266"/>
      <c r="O638" s="265"/>
      <c r="P638" s="265"/>
      <c r="Q638" s="265"/>
      <c r="R638" s="265"/>
      <c r="S638" s="265"/>
      <c r="T638" s="265"/>
      <c r="U638" s="284"/>
      <c r="V638" s="265"/>
      <c r="W638" s="265"/>
      <c r="X638" s="265"/>
    </row>
    <row r="639" spans="13:24" ht="27.75" customHeight="1">
      <c r="M639" s="263"/>
      <c r="N639" s="264"/>
      <c r="O639" s="265"/>
      <c r="P639" s="265"/>
      <c r="Q639" s="265"/>
      <c r="R639" s="265"/>
      <c r="S639" s="265"/>
      <c r="T639" s="265"/>
      <c r="U639" s="265"/>
    </row>
    <row r="640" spans="13:24" ht="27.75" customHeight="1">
      <c r="M640" s="263"/>
      <c r="N640" s="264"/>
      <c r="O640" s="265"/>
      <c r="P640" s="265"/>
      <c r="Q640" s="265"/>
      <c r="R640" s="265"/>
      <c r="S640" s="265"/>
      <c r="T640" s="265"/>
      <c r="U640" s="265"/>
    </row>
    <row r="641" spans="13:21" ht="27.75" customHeight="1">
      <c r="M641" s="263"/>
      <c r="N641" s="264"/>
      <c r="O641" s="265"/>
      <c r="P641" s="265"/>
      <c r="Q641" s="265"/>
      <c r="R641" s="265"/>
      <c r="S641" s="265"/>
      <c r="T641" s="265"/>
      <c r="U641" s="265"/>
    </row>
    <row r="642" spans="13:21" ht="27.75" customHeight="1">
      <c r="M642" s="263"/>
      <c r="N642" s="264"/>
      <c r="O642" s="265"/>
      <c r="P642" s="265"/>
      <c r="Q642" s="265"/>
      <c r="R642" s="265"/>
      <c r="S642" s="265"/>
      <c r="T642" s="265"/>
      <c r="U642" s="265"/>
    </row>
    <row r="643" spans="13:21" ht="27.75" customHeight="1">
      <c r="M643" s="263"/>
      <c r="N643" s="264"/>
      <c r="O643" s="265"/>
      <c r="P643" s="265"/>
      <c r="Q643" s="265"/>
      <c r="R643" s="265"/>
      <c r="S643" s="265"/>
      <c r="T643" s="265"/>
      <c r="U643" s="265"/>
    </row>
    <row r="644" spans="13:21" ht="27.75" customHeight="1">
      <c r="M644" s="263"/>
      <c r="N644" s="264"/>
      <c r="O644" s="265"/>
      <c r="P644" s="265"/>
      <c r="Q644" s="265"/>
      <c r="R644" s="265"/>
      <c r="S644" s="265"/>
      <c r="T644" s="265"/>
      <c r="U644" s="265"/>
    </row>
    <row r="645" spans="13:21" ht="27.75" customHeight="1">
      <c r="M645" s="263"/>
      <c r="N645" s="264"/>
      <c r="O645" s="265"/>
      <c r="P645" s="265"/>
      <c r="Q645" s="265"/>
      <c r="R645" s="265"/>
      <c r="S645" s="265"/>
      <c r="T645" s="265"/>
      <c r="U645" s="265"/>
    </row>
    <row r="646" spans="13:21" ht="27.75" customHeight="1">
      <c r="M646" s="263"/>
      <c r="N646" s="264"/>
      <c r="O646" s="265"/>
      <c r="P646" s="265"/>
      <c r="Q646" s="265"/>
      <c r="R646" s="265"/>
      <c r="S646" s="265"/>
      <c r="T646" s="265"/>
      <c r="U646" s="265"/>
    </row>
    <row r="647" spans="13:21" ht="27.75" customHeight="1">
      <c r="M647" s="263"/>
      <c r="N647" s="264"/>
      <c r="O647" s="265"/>
      <c r="P647" s="265"/>
      <c r="Q647" s="265"/>
      <c r="R647" s="265"/>
      <c r="S647" s="265"/>
      <c r="T647" s="265"/>
      <c r="U647" s="265"/>
    </row>
    <row r="648" spans="13:21" ht="27.75" customHeight="1">
      <c r="M648" s="263"/>
      <c r="N648" s="264"/>
      <c r="O648" s="265"/>
      <c r="P648" s="265"/>
      <c r="Q648" s="265"/>
      <c r="R648" s="265"/>
      <c r="S648" s="265"/>
      <c r="T648" s="265"/>
      <c r="U648" s="265"/>
    </row>
    <row r="649" spans="13:21" ht="27.75" customHeight="1">
      <c r="M649" s="263"/>
      <c r="N649" s="264"/>
      <c r="O649" s="265"/>
      <c r="P649" s="265"/>
      <c r="Q649" s="265"/>
      <c r="R649" s="265"/>
      <c r="S649" s="265"/>
      <c r="T649" s="265"/>
      <c r="U649" s="265"/>
    </row>
    <row r="650" spans="13:21" ht="27.75" customHeight="1">
      <c r="M650" s="263"/>
      <c r="N650" s="264"/>
      <c r="O650" s="265"/>
      <c r="P650" s="265"/>
      <c r="Q650" s="265"/>
      <c r="R650" s="265"/>
      <c r="S650" s="265"/>
      <c r="T650" s="265"/>
      <c r="U650" s="265"/>
    </row>
    <row r="651" spans="13:21" ht="27.75" customHeight="1">
      <c r="M651" s="263"/>
      <c r="N651" s="264"/>
      <c r="O651" s="265"/>
      <c r="P651" s="265"/>
      <c r="Q651" s="265"/>
      <c r="R651" s="265"/>
      <c r="S651" s="265"/>
      <c r="T651" s="265"/>
      <c r="U651" s="265"/>
    </row>
    <row r="652" spans="13:21" ht="27.75" customHeight="1">
      <c r="M652" s="263"/>
      <c r="N652" s="264"/>
      <c r="O652" s="265"/>
      <c r="P652" s="265"/>
      <c r="Q652" s="265"/>
      <c r="R652" s="265"/>
      <c r="S652" s="265"/>
      <c r="T652" s="265"/>
      <c r="U652" s="265"/>
    </row>
    <row r="653" spans="13:21" ht="27.75" customHeight="1">
      <c r="M653" s="263"/>
      <c r="N653" s="264"/>
      <c r="O653" s="265"/>
      <c r="P653" s="265"/>
      <c r="Q653" s="265"/>
      <c r="R653" s="265"/>
      <c r="S653" s="265"/>
      <c r="T653" s="265"/>
      <c r="U653" s="265"/>
    </row>
    <row r="654" spans="13:21" ht="27.75" customHeight="1">
      <c r="M654" s="263"/>
      <c r="N654" s="266"/>
      <c r="O654" s="265"/>
      <c r="P654" s="265"/>
      <c r="Q654" s="265"/>
      <c r="R654" s="265"/>
      <c r="S654" s="265"/>
      <c r="T654" s="265"/>
      <c r="U654" s="267"/>
    </row>
    <row r="655" spans="13:21" ht="27.75" customHeight="1">
      <c r="M655" s="263"/>
      <c r="N655" s="266"/>
      <c r="O655" s="265"/>
      <c r="P655" s="265"/>
      <c r="Q655" s="265"/>
      <c r="R655" s="265"/>
      <c r="S655" s="265"/>
      <c r="T655" s="265"/>
      <c r="U655" s="267"/>
    </row>
    <row r="656" spans="13:21" ht="27.75" customHeight="1">
      <c r="M656" s="263"/>
      <c r="N656" s="266"/>
      <c r="O656" s="265"/>
      <c r="P656" s="265"/>
      <c r="Q656" s="265"/>
      <c r="R656" s="265"/>
      <c r="S656" s="265"/>
      <c r="T656" s="265"/>
      <c r="U656" s="267"/>
    </row>
    <row r="657" spans="13:24" ht="27.75" customHeight="1">
      <c r="M657" s="263"/>
      <c r="N657" s="266"/>
      <c r="O657" s="265"/>
      <c r="P657" s="265"/>
      <c r="Q657" s="265"/>
      <c r="R657" s="265"/>
      <c r="S657" s="265"/>
      <c r="T657" s="265"/>
      <c r="U657" s="267"/>
    </row>
    <row r="658" spans="13:24" ht="27.75" customHeight="1">
      <c r="M658" s="263"/>
      <c r="N658" s="264"/>
      <c r="O658" s="265"/>
      <c r="P658" s="265"/>
      <c r="Q658" s="265"/>
      <c r="R658" s="265"/>
      <c r="S658" s="265"/>
      <c r="T658" s="265"/>
      <c r="U658" s="284"/>
      <c r="V658" s="265"/>
      <c r="W658" s="265"/>
      <c r="X658" s="265"/>
    </row>
    <row r="659" spans="13:24" ht="27.75" customHeight="1">
      <c r="M659" s="263"/>
      <c r="N659" s="266"/>
      <c r="O659" s="265"/>
      <c r="P659" s="265"/>
      <c r="Q659" s="265"/>
      <c r="R659" s="265"/>
      <c r="S659" s="265"/>
      <c r="T659" s="265"/>
      <c r="U659" s="284"/>
      <c r="V659" s="265"/>
      <c r="W659" s="265"/>
      <c r="X659" s="265"/>
    </row>
    <row r="660" spans="13:24">
      <c r="N660" s="312"/>
      <c r="O660" s="311"/>
      <c r="P660" s="311"/>
      <c r="Q660" s="311"/>
      <c r="R660" s="311"/>
      <c r="S660" s="311"/>
      <c r="T660" s="311"/>
      <c r="U660" s="311"/>
    </row>
    <row r="661" spans="13:24">
      <c r="N661" s="312"/>
      <c r="O661" s="311"/>
      <c r="P661" s="311"/>
      <c r="Q661" s="311"/>
      <c r="R661" s="311"/>
      <c r="S661" s="311"/>
      <c r="T661" s="311"/>
      <c r="U661" s="311"/>
    </row>
  </sheetData>
  <mergeCells count="8">
    <mergeCell ref="B119:B120"/>
    <mergeCell ref="A119:A120"/>
    <mergeCell ref="M4:M5"/>
    <mergeCell ref="N4:N5"/>
    <mergeCell ref="B4:C4"/>
    <mergeCell ref="D4:D5"/>
    <mergeCell ref="G4:H4"/>
    <mergeCell ref="L4:L5"/>
  </mergeCells>
  <phoneticPr fontId="5" type="noConversion"/>
  <printOptions horizontalCentered="1" verticalCentered="1"/>
  <pageMargins left="0.19685039370078741" right="0.19685039370078741" top="1.3779527559055118" bottom="0.59055118110236227" header="0.78740157480314965" footer="0.19685039370078741"/>
  <pageSetup paperSize="9" scale="88" orientation="portrait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53"/>
  <sheetViews>
    <sheetView showGridLines="0" showZeros="0" tabSelected="1" view="pageBreakPreview" zoomScaleSheetLayoutView="100" workbookViewId="0">
      <selection activeCell="M15" sqref="M15"/>
    </sheetView>
  </sheetViews>
  <sheetFormatPr defaultRowHeight="11.25"/>
  <cols>
    <col min="1" max="1" width="4.33203125" style="240" customWidth="1"/>
    <col min="2" max="3" width="6.33203125" style="307" customWidth="1"/>
    <col min="4" max="4" width="3.77734375" style="240" customWidth="1"/>
    <col min="5" max="5" width="7.77734375" style="308" customWidth="1"/>
    <col min="6" max="7" width="7.77734375" style="309" customWidth="1"/>
    <col min="8" max="8" width="5.77734375" style="240" customWidth="1"/>
    <col min="9" max="9" width="7.77734375" style="310" hidden="1" customWidth="1"/>
    <col min="10" max="10" width="17.44140625" style="240" hidden="1" customWidth="1"/>
    <col min="11" max="11" width="14.77734375" style="310" customWidth="1"/>
    <col min="12" max="12" width="17.44140625" style="240" customWidth="1"/>
    <col min="13" max="13" width="6.77734375" style="240" customWidth="1"/>
    <col min="14" max="14" width="10.77734375" style="240" customWidth="1"/>
    <col min="15" max="15" width="6.77734375" style="240" customWidth="1"/>
    <col min="16" max="16" width="5.77734375" style="240" customWidth="1"/>
    <col min="17" max="22" width="9.77734375" style="240" customWidth="1"/>
    <col min="23" max="23" width="10.77734375" style="240" customWidth="1"/>
    <col min="24" max="16384" width="8.88671875" style="240"/>
  </cols>
  <sheetData>
    <row r="1" spans="1:23" ht="27" customHeight="1">
      <c r="A1" s="314" t="s">
        <v>67</v>
      </c>
      <c r="B1" s="315"/>
      <c r="C1" s="315"/>
      <c r="D1" s="248"/>
      <c r="E1" s="316"/>
      <c r="F1" s="317"/>
      <c r="G1" s="317"/>
      <c r="H1" s="248"/>
      <c r="I1" s="248"/>
      <c r="J1" s="248"/>
      <c r="K1" s="248"/>
      <c r="L1" s="248"/>
      <c r="M1" s="248"/>
      <c r="N1" s="248"/>
      <c r="O1" s="249"/>
      <c r="P1" s="248"/>
      <c r="Q1" s="239"/>
      <c r="R1" s="239"/>
      <c r="S1" s="239"/>
      <c r="T1" s="239"/>
      <c r="U1" s="239"/>
      <c r="V1" s="239"/>
      <c r="W1" s="239"/>
    </row>
    <row r="2" spans="1:23" ht="19.899999999999999" customHeight="1">
      <c r="A2" s="252"/>
      <c r="B2" s="251"/>
      <c r="C2" s="251"/>
      <c r="D2" s="252"/>
      <c r="E2" s="253"/>
      <c r="F2" s="254"/>
      <c r="G2" s="254"/>
      <c r="H2" s="252"/>
      <c r="I2" s="255"/>
      <c r="J2" s="343"/>
      <c r="K2" s="255"/>
      <c r="L2" s="343"/>
      <c r="M2" s="344" t="s">
        <v>69</v>
      </c>
      <c r="N2" s="345"/>
      <c r="O2" s="346"/>
      <c r="P2" s="345"/>
      <c r="Q2" s="239"/>
      <c r="R2" s="239"/>
      <c r="S2" s="239"/>
      <c r="T2" s="239"/>
      <c r="U2" s="239"/>
      <c r="V2" s="239"/>
      <c r="W2" s="239"/>
    </row>
    <row r="3" spans="1:23" ht="18" customHeight="1">
      <c r="A3" s="444" t="s">
        <v>39</v>
      </c>
      <c r="B3" s="508" t="s">
        <v>40</v>
      </c>
      <c r="C3" s="509"/>
      <c r="D3" s="511" t="s">
        <v>41</v>
      </c>
      <c r="E3" s="445" t="s">
        <v>42</v>
      </c>
      <c r="F3" s="508" t="s">
        <v>1451</v>
      </c>
      <c r="G3" s="510"/>
      <c r="H3" s="509"/>
      <c r="I3" s="508" t="s">
        <v>131</v>
      </c>
      <c r="J3" s="509"/>
      <c r="K3" s="508" t="s">
        <v>1463</v>
      </c>
      <c r="L3" s="509"/>
      <c r="M3" s="446" t="s">
        <v>46</v>
      </c>
      <c r="N3" s="447"/>
      <c r="O3" s="448"/>
      <c r="P3" s="513" t="s">
        <v>31</v>
      </c>
      <c r="Q3" s="239"/>
      <c r="R3" s="258"/>
      <c r="S3" s="258"/>
      <c r="T3" s="258"/>
      <c r="U3" s="258"/>
      <c r="V3" s="258"/>
      <c r="W3" s="258"/>
    </row>
    <row r="4" spans="1:23" ht="18" customHeight="1">
      <c r="A4" s="449" t="s">
        <v>47</v>
      </c>
      <c r="B4" s="450" t="s">
        <v>1438</v>
      </c>
      <c r="C4" s="450" t="s">
        <v>1439</v>
      </c>
      <c r="D4" s="512"/>
      <c r="E4" s="451" t="s">
        <v>59</v>
      </c>
      <c r="F4" s="450" t="s">
        <v>1438</v>
      </c>
      <c r="G4" s="450" t="s">
        <v>130</v>
      </c>
      <c r="H4" s="450" t="s">
        <v>138</v>
      </c>
      <c r="I4" s="450" t="s">
        <v>49</v>
      </c>
      <c r="J4" s="452" t="s">
        <v>50</v>
      </c>
      <c r="K4" s="450" t="s">
        <v>49</v>
      </c>
      <c r="L4" s="452" t="s">
        <v>50</v>
      </c>
      <c r="M4" s="450" t="s">
        <v>49</v>
      </c>
      <c r="N4" s="450" t="s">
        <v>50</v>
      </c>
      <c r="O4" s="453" t="s">
        <v>51</v>
      </c>
      <c r="P4" s="514"/>
      <c r="Q4" s="258"/>
      <c r="R4" s="259"/>
      <c r="S4" s="259"/>
      <c r="T4" s="259"/>
      <c r="U4" s="259"/>
      <c r="V4" s="259"/>
      <c r="W4" s="239"/>
    </row>
    <row r="5" spans="1:23" ht="18" customHeight="1">
      <c r="A5" s="341">
        <v>1</v>
      </c>
      <c r="B5" s="202" t="s">
        <v>617</v>
      </c>
      <c r="C5" s="202" t="s">
        <v>617</v>
      </c>
      <c r="D5" s="461" t="s">
        <v>81</v>
      </c>
      <c r="E5" s="465">
        <v>9821</v>
      </c>
      <c r="F5" s="459">
        <v>158</v>
      </c>
      <c r="G5" s="207">
        <v>158</v>
      </c>
      <c r="H5" s="207">
        <f>G5-F5</f>
        <v>0</v>
      </c>
      <c r="I5" s="203" t="s">
        <v>511</v>
      </c>
      <c r="J5" s="203" t="s">
        <v>712</v>
      </c>
      <c r="K5" s="203" t="s">
        <v>712</v>
      </c>
      <c r="L5" s="203" t="s">
        <v>511</v>
      </c>
      <c r="M5" s="203"/>
      <c r="N5" s="203"/>
      <c r="O5" s="203"/>
      <c r="P5" s="276"/>
      <c r="Q5" s="265"/>
      <c r="R5" s="265"/>
      <c r="S5" s="265"/>
      <c r="T5" s="265"/>
      <c r="U5" s="265"/>
      <c r="V5" s="265"/>
      <c r="W5" s="265"/>
    </row>
    <row r="6" spans="1:23" ht="18" customHeight="1">
      <c r="A6" s="341">
        <f>A5+1</f>
        <v>2</v>
      </c>
      <c r="B6" s="202" t="s">
        <v>618</v>
      </c>
      <c r="C6" s="202" t="s">
        <v>618</v>
      </c>
      <c r="D6" s="461" t="s">
        <v>90</v>
      </c>
      <c r="E6" s="464">
        <v>10</v>
      </c>
      <c r="F6" s="459">
        <v>10</v>
      </c>
      <c r="G6" s="207">
        <v>10</v>
      </c>
      <c r="H6" s="207">
        <f t="shared" ref="H6:H69" si="0">G6-F6</f>
        <v>0</v>
      </c>
      <c r="I6" s="203" t="s">
        <v>451</v>
      </c>
      <c r="J6" s="203" t="s">
        <v>452</v>
      </c>
      <c r="K6" s="203" t="s">
        <v>452</v>
      </c>
      <c r="L6" s="203" t="s">
        <v>451</v>
      </c>
      <c r="M6" s="203"/>
      <c r="N6" s="203"/>
      <c r="O6" s="203"/>
      <c r="P6" s="276"/>
      <c r="Q6" s="265"/>
      <c r="R6" s="265"/>
      <c r="S6" s="265"/>
      <c r="T6" s="265"/>
      <c r="U6" s="265"/>
      <c r="V6" s="265"/>
      <c r="W6" s="265"/>
    </row>
    <row r="7" spans="1:23" ht="18" customHeight="1">
      <c r="A7" s="341">
        <f t="shared" ref="A7:A70" si="1">A6+1</f>
        <v>3</v>
      </c>
      <c r="B7" s="202" t="s">
        <v>619</v>
      </c>
      <c r="C7" s="202" t="s">
        <v>619</v>
      </c>
      <c r="D7" s="461" t="s">
        <v>91</v>
      </c>
      <c r="E7" s="464">
        <v>34</v>
      </c>
      <c r="F7" s="459">
        <v>34</v>
      </c>
      <c r="G7" s="207">
        <v>34</v>
      </c>
      <c r="H7" s="207">
        <f t="shared" si="0"/>
        <v>0</v>
      </c>
      <c r="I7" s="203" t="s">
        <v>516</v>
      </c>
      <c r="J7" s="203" t="s">
        <v>1397</v>
      </c>
      <c r="K7" s="203" t="s">
        <v>452</v>
      </c>
      <c r="L7" s="203" t="s">
        <v>451</v>
      </c>
      <c r="M7" s="203"/>
      <c r="N7" s="203"/>
      <c r="O7" s="203"/>
      <c r="P7" s="276"/>
      <c r="Q7" s="265"/>
      <c r="R7" s="265"/>
      <c r="S7" s="265"/>
      <c r="T7" s="265"/>
      <c r="U7" s="265"/>
      <c r="V7" s="265"/>
      <c r="W7" s="265"/>
    </row>
    <row r="8" spans="1:23" ht="18" customHeight="1">
      <c r="A8" s="341">
        <f t="shared" si="1"/>
        <v>4</v>
      </c>
      <c r="B8" s="202" t="s">
        <v>620</v>
      </c>
      <c r="C8" s="202" t="s">
        <v>718</v>
      </c>
      <c r="D8" s="461" t="s">
        <v>80</v>
      </c>
      <c r="E8" s="464">
        <v>19</v>
      </c>
      <c r="F8" s="459">
        <v>23</v>
      </c>
      <c r="G8" s="207">
        <v>19</v>
      </c>
      <c r="H8" s="207">
        <f t="shared" si="0"/>
        <v>-4</v>
      </c>
      <c r="I8" s="203" t="s">
        <v>713</v>
      </c>
      <c r="J8" s="203" t="s">
        <v>1398</v>
      </c>
      <c r="K8" s="203" t="s">
        <v>1453</v>
      </c>
      <c r="L8" s="203" t="s">
        <v>1452</v>
      </c>
      <c r="M8" s="203"/>
      <c r="N8" s="203"/>
      <c r="O8" s="203"/>
      <c r="P8" s="276"/>
      <c r="Q8" s="265"/>
      <c r="R8" s="265"/>
      <c r="S8" s="265"/>
      <c r="T8" s="265"/>
      <c r="U8" s="265"/>
      <c r="V8" s="265"/>
      <c r="W8" s="265"/>
    </row>
    <row r="9" spans="1:23" ht="18" customHeight="1">
      <c r="A9" s="341">
        <f t="shared" si="1"/>
        <v>5</v>
      </c>
      <c r="B9" s="202" t="s">
        <v>621</v>
      </c>
      <c r="C9" s="202" t="s">
        <v>621</v>
      </c>
      <c r="D9" s="461" t="s">
        <v>450</v>
      </c>
      <c r="E9" s="464">
        <v>1401</v>
      </c>
      <c r="F9" s="459">
        <v>152</v>
      </c>
      <c r="G9" s="207">
        <v>152</v>
      </c>
      <c r="H9" s="207">
        <f t="shared" si="0"/>
        <v>0</v>
      </c>
      <c r="I9" s="203" t="s">
        <v>451</v>
      </c>
      <c r="J9" s="203" t="s">
        <v>452</v>
      </c>
      <c r="K9" s="203" t="s">
        <v>452</v>
      </c>
      <c r="L9" s="203" t="s">
        <v>451</v>
      </c>
      <c r="M9" s="203"/>
      <c r="N9" s="203"/>
      <c r="O9" s="203"/>
      <c r="P9" s="276"/>
      <c r="Q9" s="265"/>
      <c r="R9" s="265"/>
      <c r="S9" s="265"/>
      <c r="T9" s="265"/>
      <c r="U9" s="265"/>
      <c r="V9" s="265"/>
      <c r="W9" s="265"/>
    </row>
    <row r="10" spans="1:23" ht="18" customHeight="1">
      <c r="A10" s="341">
        <f t="shared" si="1"/>
        <v>6</v>
      </c>
      <c r="B10" s="202" t="s">
        <v>622</v>
      </c>
      <c r="C10" s="202" t="s">
        <v>622</v>
      </c>
      <c r="D10" s="461" t="s">
        <v>450</v>
      </c>
      <c r="E10" s="464">
        <v>81</v>
      </c>
      <c r="F10" s="459">
        <v>26</v>
      </c>
      <c r="G10" s="207">
        <v>26</v>
      </c>
      <c r="H10" s="207">
        <f t="shared" si="0"/>
        <v>0</v>
      </c>
      <c r="I10" s="203" t="s">
        <v>713</v>
      </c>
      <c r="J10" s="203" t="s">
        <v>713</v>
      </c>
      <c r="K10" s="203" t="s">
        <v>452</v>
      </c>
      <c r="L10" s="203" t="s">
        <v>451</v>
      </c>
      <c r="M10" s="203"/>
      <c r="N10" s="203"/>
      <c r="O10" s="203"/>
      <c r="P10" s="276"/>
      <c r="Q10" s="265"/>
      <c r="R10" s="265"/>
      <c r="S10" s="265"/>
      <c r="T10" s="265"/>
      <c r="U10" s="265"/>
      <c r="V10" s="265"/>
      <c r="W10" s="265"/>
    </row>
    <row r="11" spans="1:23" ht="18" customHeight="1">
      <c r="A11" s="341">
        <f t="shared" si="1"/>
        <v>7</v>
      </c>
      <c r="B11" s="202" t="s">
        <v>623</v>
      </c>
      <c r="C11" s="202" t="s">
        <v>623</v>
      </c>
      <c r="D11" s="461" t="s">
        <v>91</v>
      </c>
      <c r="E11" s="464">
        <v>1532</v>
      </c>
      <c r="F11" s="459">
        <v>296</v>
      </c>
      <c r="G11" s="207">
        <v>296</v>
      </c>
      <c r="H11" s="207">
        <f t="shared" si="0"/>
        <v>0</v>
      </c>
      <c r="I11" s="203" t="s">
        <v>451</v>
      </c>
      <c r="J11" s="203" t="s">
        <v>452</v>
      </c>
      <c r="K11" s="203" t="s">
        <v>452</v>
      </c>
      <c r="L11" s="203" t="s">
        <v>451</v>
      </c>
      <c r="M11" s="203"/>
      <c r="N11" s="203"/>
      <c r="O11" s="203"/>
      <c r="P11" s="276"/>
      <c r="Q11" s="265"/>
      <c r="R11" s="265"/>
      <c r="S11" s="265"/>
      <c r="T11" s="265"/>
      <c r="U11" s="265"/>
      <c r="V11" s="265"/>
      <c r="W11" s="265"/>
    </row>
    <row r="12" spans="1:23" ht="18" customHeight="1">
      <c r="A12" s="341">
        <f t="shared" si="1"/>
        <v>8</v>
      </c>
      <c r="B12" s="202" t="s">
        <v>624</v>
      </c>
      <c r="C12" s="202" t="s">
        <v>624</v>
      </c>
      <c r="D12" s="461" t="s">
        <v>80</v>
      </c>
      <c r="E12" s="464">
        <v>2297</v>
      </c>
      <c r="F12" s="459">
        <v>2297</v>
      </c>
      <c r="G12" s="207">
        <v>2297</v>
      </c>
      <c r="H12" s="207">
        <f t="shared" si="0"/>
        <v>0</v>
      </c>
      <c r="I12" s="203" t="s">
        <v>451</v>
      </c>
      <c r="J12" s="203" t="s">
        <v>452</v>
      </c>
      <c r="K12" s="203" t="s">
        <v>452</v>
      </c>
      <c r="L12" s="203" t="s">
        <v>451</v>
      </c>
      <c r="M12" s="203"/>
      <c r="N12" s="203"/>
      <c r="O12" s="203"/>
      <c r="P12" s="276"/>
      <c r="Q12" s="265"/>
      <c r="R12" s="265"/>
      <c r="S12" s="265"/>
      <c r="T12" s="265"/>
      <c r="U12" s="265"/>
      <c r="V12" s="265"/>
      <c r="W12" s="267"/>
    </row>
    <row r="13" spans="1:23" ht="18" customHeight="1">
      <c r="A13" s="341">
        <f t="shared" si="1"/>
        <v>9</v>
      </c>
      <c r="B13" s="202" t="s">
        <v>625</v>
      </c>
      <c r="C13" s="202" t="s">
        <v>625</v>
      </c>
      <c r="D13" s="461" t="s">
        <v>162</v>
      </c>
      <c r="E13" s="464">
        <v>1007</v>
      </c>
      <c r="F13" s="459">
        <v>1007</v>
      </c>
      <c r="G13" s="207">
        <v>1007</v>
      </c>
      <c r="H13" s="207">
        <f t="shared" si="0"/>
        <v>0</v>
      </c>
      <c r="I13" s="203" t="s">
        <v>451</v>
      </c>
      <c r="J13" s="203" t="s">
        <v>452</v>
      </c>
      <c r="K13" s="203" t="s">
        <v>452</v>
      </c>
      <c r="L13" s="203" t="s">
        <v>451</v>
      </c>
      <c r="M13" s="203"/>
      <c r="N13" s="203"/>
      <c r="O13" s="203"/>
      <c r="P13" s="276"/>
      <c r="Q13" s="265"/>
      <c r="R13" s="265"/>
      <c r="S13" s="265"/>
      <c r="T13" s="265"/>
      <c r="U13" s="265"/>
      <c r="V13" s="265"/>
      <c r="W13" s="267"/>
    </row>
    <row r="14" spans="1:23" ht="18" customHeight="1">
      <c r="A14" s="341">
        <f t="shared" si="1"/>
        <v>10</v>
      </c>
      <c r="B14" s="202" t="s">
        <v>626</v>
      </c>
      <c r="C14" s="202" t="s">
        <v>626</v>
      </c>
      <c r="D14" s="461" t="s">
        <v>162</v>
      </c>
      <c r="E14" s="464">
        <v>594</v>
      </c>
      <c r="F14" s="459">
        <v>594</v>
      </c>
      <c r="G14" s="207">
        <v>594</v>
      </c>
      <c r="H14" s="207">
        <f t="shared" si="0"/>
        <v>0</v>
      </c>
      <c r="I14" s="203" t="s">
        <v>511</v>
      </c>
      <c r="J14" s="203" t="s">
        <v>452</v>
      </c>
      <c r="K14" s="203" t="s">
        <v>452</v>
      </c>
      <c r="L14" s="203" t="s">
        <v>511</v>
      </c>
      <c r="M14" s="203"/>
      <c r="N14" s="203"/>
      <c r="O14" s="203"/>
      <c r="P14" s="276"/>
      <c r="Q14" s="265"/>
      <c r="R14" s="265"/>
      <c r="S14" s="265"/>
      <c r="T14" s="265"/>
      <c r="U14" s="265"/>
      <c r="V14" s="265"/>
      <c r="W14" s="267"/>
    </row>
    <row r="15" spans="1:23" ht="18" customHeight="1">
      <c r="A15" s="341">
        <f t="shared" si="1"/>
        <v>11</v>
      </c>
      <c r="B15" s="202" t="s">
        <v>627</v>
      </c>
      <c r="C15" s="202" t="s">
        <v>627</v>
      </c>
      <c r="D15" s="461" t="s">
        <v>81</v>
      </c>
      <c r="E15" s="464">
        <v>10</v>
      </c>
      <c r="F15" s="459">
        <v>10</v>
      </c>
      <c r="G15" s="207">
        <v>10</v>
      </c>
      <c r="H15" s="207">
        <f t="shared" si="0"/>
        <v>0</v>
      </c>
      <c r="I15" s="203" t="s">
        <v>511</v>
      </c>
      <c r="J15" s="203" t="s">
        <v>712</v>
      </c>
      <c r="K15" s="203" t="s">
        <v>712</v>
      </c>
      <c r="L15" s="203" t="s">
        <v>511</v>
      </c>
      <c r="M15" s="203"/>
      <c r="N15" s="203"/>
      <c r="O15" s="203"/>
      <c r="P15" s="276"/>
      <c r="Q15" s="265"/>
      <c r="R15" s="265"/>
      <c r="S15" s="265"/>
      <c r="T15" s="265"/>
      <c r="U15" s="265"/>
      <c r="V15" s="265"/>
      <c r="W15" s="267"/>
    </row>
    <row r="16" spans="1:23" ht="18" customHeight="1">
      <c r="A16" s="341">
        <f t="shared" si="1"/>
        <v>12</v>
      </c>
      <c r="B16" s="202" t="s">
        <v>628</v>
      </c>
      <c r="C16" s="202" t="s">
        <v>628</v>
      </c>
      <c r="D16" s="461" t="s">
        <v>162</v>
      </c>
      <c r="E16" s="464">
        <v>574.29999999999995</v>
      </c>
      <c r="F16" s="459">
        <v>574.29999999999995</v>
      </c>
      <c r="G16" s="207">
        <v>574.29999999999995</v>
      </c>
      <c r="H16" s="207">
        <f t="shared" si="0"/>
        <v>0</v>
      </c>
      <c r="I16" s="203" t="s">
        <v>511</v>
      </c>
      <c r="J16" s="203" t="s">
        <v>712</v>
      </c>
      <c r="K16" s="203" t="s">
        <v>712</v>
      </c>
      <c r="L16" s="203" t="s">
        <v>511</v>
      </c>
      <c r="M16" s="203"/>
      <c r="N16" s="203"/>
      <c r="O16" s="203"/>
      <c r="P16" s="276"/>
      <c r="Q16" s="265"/>
      <c r="R16" s="265"/>
      <c r="S16" s="265"/>
      <c r="T16" s="265"/>
      <c r="U16" s="265"/>
      <c r="V16" s="265"/>
      <c r="W16" s="267"/>
    </row>
    <row r="17" spans="1:23" ht="18" customHeight="1">
      <c r="A17" s="341">
        <f t="shared" si="1"/>
        <v>13</v>
      </c>
      <c r="B17" s="202" t="s">
        <v>629</v>
      </c>
      <c r="C17" s="202" t="s">
        <v>629</v>
      </c>
      <c r="D17" s="461" t="s">
        <v>81</v>
      </c>
      <c r="E17" s="464">
        <v>134</v>
      </c>
      <c r="F17" s="459">
        <v>134</v>
      </c>
      <c r="G17" s="207">
        <v>134</v>
      </c>
      <c r="H17" s="207">
        <f t="shared" si="0"/>
        <v>0</v>
      </c>
      <c r="I17" s="203" t="s">
        <v>451</v>
      </c>
      <c r="J17" s="203" t="s">
        <v>452</v>
      </c>
      <c r="K17" s="203" t="s">
        <v>452</v>
      </c>
      <c r="L17" s="203" t="s">
        <v>451</v>
      </c>
      <c r="M17" s="203"/>
      <c r="N17" s="203"/>
      <c r="O17" s="203"/>
      <c r="P17" s="276"/>
      <c r="Q17" s="265"/>
      <c r="R17" s="265"/>
      <c r="S17" s="265"/>
      <c r="T17" s="265"/>
      <c r="U17" s="265"/>
      <c r="V17" s="265"/>
      <c r="W17" s="267"/>
    </row>
    <row r="18" spans="1:23" ht="18" customHeight="1">
      <c r="A18" s="341">
        <f t="shared" si="1"/>
        <v>14</v>
      </c>
      <c r="B18" s="202" t="s">
        <v>630</v>
      </c>
      <c r="C18" s="202" t="s">
        <v>630</v>
      </c>
      <c r="D18" s="461" t="s">
        <v>162</v>
      </c>
      <c r="E18" s="464">
        <v>1514.1</v>
      </c>
      <c r="F18" s="459">
        <v>1514.1</v>
      </c>
      <c r="G18" s="207">
        <v>1514.1</v>
      </c>
      <c r="H18" s="207">
        <f t="shared" si="0"/>
        <v>0</v>
      </c>
      <c r="I18" s="203" t="s">
        <v>451</v>
      </c>
      <c r="J18" s="203" t="s">
        <v>452</v>
      </c>
      <c r="K18" s="203" t="s">
        <v>452</v>
      </c>
      <c r="L18" s="203" t="s">
        <v>451</v>
      </c>
      <c r="M18" s="203"/>
      <c r="N18" s="203"/>
      <c r="O18" s="203"/>
      <c r="P18" s="276"/>
      <c r="Q18" s="265"/>
      <c r="R18" s="265"/>
      <c r="S18" s="265"/>
      <c r="T18" s="265"/>
      <c r="U18" s="265"/>
      <c r="V18" s="265"/>
      <c r="W18" s="267"/>
    </row>
    <row r="19" spans="1:23" ht="18" customHeight="1">
      <c r="A19" s="341">
        <f t="shared" si="1"/>
        <v>15</v>
      </c>
      <c r="B19" s="202" t="s">
        <v>631</v>
      </c>
      <c r="C19" s="202" t="s">
        <v>631</v>
      </c>
      <c r="D19" s="461" t="s">
        <v>90</v>
      </c>
      <c r="E19" s="464">
        <v>1813.3</v>
      </c>
      <c r="F19" s="459">
        <v>1813.3</v>
      </c>
      <c r="G19" s="207">
        <v>1813.3</v>
      </c>
      <c r="H19" s="207">
        <f t="shared" si="0"/>
        <v>0</v>
      </c>
      <c r="I19" s="203" t="s">
        <v>451</v>
      </c>
      <c r="J19" s="203" t="s">
        <v>452</v>
      </c>
      <c r="K19" s="203" t="s">
        <v>452</v>
      </c>
      <c r="L19" s="203" t="s">
        <v>451</v>
      </c>
      <c r="M19" s="203"/>
      <c r="N19" s="203"/>
      <c r="O19" s="203"/>
      <c r="P19" s="276"/>
      <c r="Q19" s="265"/>
      <c r="R19" s="265"/>
      <c r="S19" s="265"/>
      <c r="T19" s="265"/>
      <c r="U19" s="265"/>
      <c r="V19" s="265"/>
      <c r="W19" s="267"/>
    </row>
    <row r="20" spans="1:23" ht="18" customHeight="1">
      <c r="A20" s="341">
        <f t="shared" si="1"/>
        <v>16</v>
      </c>
      <c r="B20" s="202" t="s">
        <v>632</v>
      </c>
      <c r="C20" s="202" t="s">
        <v>632</v>
      </c>
      <c r="D20" s="461" t="s">
        <v>90</v>
      </c>
      <c r="E20" s="464">
        <v>189.2</v>
      </c>
      <c r="F20" s="459">
        <v>189.2</v>
      </c>
      <c r="G20" s="207">
        <v>189.2</v>
      </c>
      <c r="H20" s="207">
        <f t="shared" si="0"/>
        <v>0</v>
      </c>
      <c r="I20" s="203" t="s">
        <v>511</v>
      </c>
      <c r="J20" s="203" t="s">
        <v>712</v>
      </c>
      <c r="K20" s="203" t="s">
        <v>712</v>
      </c>
      <c r="L20" s="203" t="s">
        <v>511</v>
      </c>
      <c r="M20" s="203"/>
      <c r="N20" s="203"/>
      <c r="O20" s="203"/>
      <c r="P20" s="276"/>
      <c r="Q20" s="265"/>
      <c r="R20" s="265"/>
      <c r="S20" s="265"/>
      <c r="T20" s="265"/>
      <c r="U20" s="265"/>
      <c r="V20" s="265"/>
      <c r="W20" s="267"/>
    </row>
    <row r="21" spans="1:23" ht="18" customHeight="1">
      <c r="A21" s="341">
        <f t="shared" si="1"/>
        <v>17</v>
      </c>
      <c r="B21" s="202" t="s">
        <v>633</v>
      </c>
      <c r="C21" s="202" t="s">
        <v>633</v>
      </c>
      <c r="D21" s="461" t="s">
        <v>81</v>
      </c>
      <c r="E21" s="464">
        <v>116.8</v>
      </c>
      <c r="F21" s="459">
        <v>116.8</v>
      </c>
      <c r="G21" s="207">
        <v>116.8</v>
      </c>
      <c r="H21" s="207">
        <f t="shared" si="0"/>
        <v>0</v>
      </c>
      <c r="I21" s="203" t="s">
        <v>511</v>
      </c>
      <c r="J21" s="203" t="s">
        <v>712</v>
      </c>
      <c r="K21" s="203" t="s">
        <v>712</v>
      </c>
      <c r="L21" s="203" t="s">
        <v>511</v>
      </c>
      <c r="M21" s="203"/>
      <c r="N21" s="203"/>
      <c r="O21" s="203"/>
      <c r="P21" s="276"/>
      <c r="Q21" s="265"/>
      <c r="R21" s="265"/>
      <c r="S21" s="265"/>
      <c r="T21" s="265"/>
      <c r="U21" s="265"/>
      <c r="V21" s="265"/>
      <c r="W21" s="267"/>
    </row>
    <row r="22" spans="1:23" ht="18" customHeight="1">
      <c r="A22" s="341">
        <f t="shared" si="1"/>
        <v>18</v>
      </c>
      <c r="B22" s="202" t="s">
        <v>634</v>
      </c>
      <c r="C22" s="202" t="s">
        <v>634</v>
      </c>
      <c r="D22" s="461" t="s">
        <v>79</v>
      </c>
      <c r="E22" s="464">
        <v>1125.8</v>
      </c>
      <c r="F22" s="459">
        <v>1125.8</v>
      </c>
      <c r="G22" s="207">
        <v>1125.8</v>
      </c>
      <c r="H22" s="207">
        <f t="shared" si="0"/>
        <v>0</v>
      </c>
      <c r="I22" s="203" t="s">
        <v>451</v>
      </c>
      <c r="J22" s="203" t="s">
        <v>452</v>
      </c>
      <c r="K22" s="203" t="s">
        <v>452</v>
      </c>
      <c r="L22" s="203" t="s">
        <v>451</v>
      </c>
      <c r="M22" s="203"/>
      <c r="N22" s="203"/>
      <c r="O22" s="203"/>
      <c r="P22" s="276"/>
      <c r="Q22" s="265"/>
      <c r="R22" s="265"/>
      <c r="S22" s="265"/>
      <c r="T22" s="265"/>
      <c r="U22" s="265"/>
      <c r="V22" s="265"/>
      <c r="W22" s="267"/>
    </row>
    <row r="23" spans="1:23" ht="18" customHeight="1">
      <c r="A23" s="341">
        <f t="shared" si="1"/>
        <v>19</v>
      </c>
      <c r="B23" s="202" t="s">
        <v>635</v>
      </c>
      <c r="C23" s="202" t="s">
        <v>635</v>
      </c>
      <c r="D23" s="461" t="s">
        <v>90</v>
      </c>
      <c r="E23" s="464">
        <v>394.1</v>
      </c>
      <c r="F23" s="459">
        <v>394.1</v>
      </c>
      <c r="G23" s="207">
        <v>394.1</v>
      </c>
      <c r="H23" s="207">
        <f t="shared" si="0"/>
        <v>0</v>
      </c>
      <c r="I23" s="203" t="s">
        <v>451</v>
      </c>
      <c r="J23" s="203" t="s">
        <v>452</v>
      </c>
      <c r="K23" s="203" t="s">
        <v>452</v>
      </c>
      <c r="L23" s="203" t="s">
        <v>451</v>
      </c>
      <c r="M23" s="203"/>
      <c r="N23" s="203"/>
      <c r="O23" s="203"/>
      <c r="P23" s="276"/>
      <c r="Q23" s="265"/>
      <c r="R23" s="265"/>
      <c r="S23" s="265"/>
      <c r="T23" s="265"/>
      <c r="U23" s="265"/>
      <c r="V23" s="265"/>
      <c r="W23" s="267"/>
    </row>
    <row r="24" spans="1:23" ht="18" customHeight="1">
      <c r="A24" s="341">
        <f t="shared" si="1"/>
        <v>20</v>
      </c>
      <c r="B24" s="202" t="s">
        <v>636</v>
      </c>
      <c r="C24" s="202" t="s">
        <v>636</v>
      </c>
      <c r="D24" s="461" t="s">
        <v>90</v>
      </c>
      <c r="E24" s="464">
        <v>670</v>
      </c>
      <c r="F24" s="459">
        <v>670</v>
      </c>
      <c r="G24" s="207">
        <v>670</v>
      </c>
      <c r="H24" s="207">
        <f t="shared" si="0"/>
        <v>0</v>
      </c>
      <c r="I24" s="203" t="s">
        <v>451</v>
      </c>
      <c r="J24" s="203" t="s">
        <v>452</v>
      </c>
      <c r="K24" s="203" t="s">
        <v>452</v>
      </c>
      <c r="L24" s="203" t="s">
        <v>451</v>
      </c>
      <c r="M24" s="203"/>
      <c r="N24" s="203"/>
      <c r="O24" s="203"/>
      <c r="P24" s="276"/>
      <c r="Q24" s="265"/>
      <c r="R24" s="265"/>
      <c r="S24" s="265"/>
      <c r="T24" s="265"/>
      <c r="U24" s="265"/>
      <c r="V24" s="265"/>
      <c r="W24" s="267"/>
    </row>
    <row r="25" spans="1:23" ht="18" customHeight="1">
      <c r="A25" s="341">
        <f t="shared" si="1"/>
        <v>21</v>
      </c>
      <c r="B25" s="202" t="s">
        <v>637</v>
      </c>
      <c r="C25" s="202" t="s">
        <v>637</v>
      </c>
      <c r="D25" s="461" t="s">
        <v>80</v>
      </c>
      <c r="E25" s="464">
        <v>126</v>
      </c>
      <c r="F25" s="459">
        <v>126</v>
      </c>
      <c r="G25" s="207">
        <v>126</v>
      </c>
      <c r="H25" s="207">
        <f t="shared" si="0"/>
        <v>0</v>
      </c>
      <c r="I25" s="203" t="s">
        <v>451</v>
      </c>
      <c r="J25" s="203" t="s">
        <v>452</v>
      </c>
      <c r="K25" s="203" t="s">
        <v>452</v>
      </c>
      <c r="L25" s="203" t="s">
        <v>451</v>
      </c>
      <c r="M25" s="203"/>
      <c r="N25" s="203"/>
      <c r="O25" s="203"/>
      <c r="P25" s="276"/>
      <c r="Q25" s="265"/>
      <c r="R25" s="265"/>
      <c r="S25" s="265"/>
      <c r="T25" s="265"/>
      <c r="U25" s="265"/>
      <c r="V25" s="265"/>
      <c r="W25" s="267"/>
    </row>
    <row r="26" spans="1:23" ht="18" customHeight="1">
      <c r="A26" s="341">
        <f t="shared" si="1"/>
        <v>22</v>
      </c>
      <c r="B26" s="202" t="s">
        <v>638</v>
      </c>
      <c r="C26" s="202" t="s">
        <v>638</v>
      </c>
      <c r="D26" s="461" t="s">
        <v>80</v>
      </c>
      <c r="E26" s="464">
        <v>89.4</v>
      </c>
      <c r="F26" s="459">
        <v>89.4</v>
      </c>
      <c r="G26" s="207">
        <v>89.4</v>
      </c>
      <c r="H26" s="207">
        <f t="shared" si="0"/>
        <v>0</v>
      </c>
      <c r="I26" s="203" t="s">
        <v>511</v>
      </c>
      <c r="J26" s="203" t="s">
        <v>712</v>
      </c>
      <c r="K26" s="203" t="s">
        <v>712</v>
      </c>
      <c r="L26" s="203" t="s">
        <v>511</v>
      </c>
      <c r="M26" s="203"/>
      <c r="N26" s="203"/>
      <c r="O26" s="203"/>
      <c r="P26" s="276"/>
      <c r="Q26" s="265"/>
      <c r="R26" s="265"/>
      <c r="S26" s="265"/>
      <c r="T26" s="265"/>
      <c r="U26" s="265"/>
      <c r="V26" s="265"/>
      <c r="W26" s="267"/>
    </row>
    <row r="27" spans="1:23" ht="18" customHeight="1">
      <c r="A27" s="341">
        <f t="shared" si="1"/>
        <v>23</v>
      </c>
      <c r="B27" s="202" t="s">
        <v>639</v>
      </c>
      <c r="C27" s="202" t="s">
        <v>639</v>
      </c>
      <c r="D27" s="461" t="s">
        <v>79</v>
      </c>
      <c r="E27" s="464">
        <v>502.7</v>
      </c>
      <c r="F27" s="459">
        <v>502.7</v>
      </c>
      <c r="G27" s="207">
        <v>502.7</v>
      </c>
      <c r="H27" s="207">
        <f t="shared" si="0"/>
        <v>0</v>
      </c>
      <c r="I27" s="203" t="s">
        <v>451</v>
      </c>
      <c r="J27" s="203" t="s">
        <v>452</v>
      </c>
      <c r="K27" s="203" t="s">
        <v>452</v>
      </c>
      <c r="L27" s="203" t="s">
        <v>451</v>
      </c>
      <c r="M27" s="203"/>
      <c r="N27" s="203"/>
      <c r="O27" s="203"/>
      <c r="P27" s="276"/>
      <c r="Q27" s="265"/>
      <c r="R27" s="265"/>
      <c r="S27" s="265"/>
      <c r="T27" s="265"/>
      <c r="U27" s="265"/>
      <c r="V27" s="265"/>
      <c r="W27" s="267"/>
    </row>
    <row r="28" spans="1:23" ht="18" customHeight="1">
      <c r="A28" s="341">
        <f t="shared" si="1"/>
        <v>24</v>
      </c>
      <c r="B28" s="202" t="s">
        <v>640</v>
      </c>
      <c r="C28" s="202" t="s">
        <v>640</v>
      </c>
      <c r="D28" s="461" t="s">
        <v>90</v>
      </c>
      <c r="E28" s="464">
        <v>485.6</v>
      </c>
      <c r="F28" s="459">
        <v>485.6</v>
      </c>
      <c r="G28" s="207">
        <v>485.6</v>
      </c>
      <c r="H28" s="207">
        <f t="shared" si="0"/>
        <v>0</v>
      </c>
      <c r="I28" s="203" t="s">
        <v>451</v>
      </c>
      <c r="J28" s="203" t="s">
        <v>452</v>
      </c>
      <c r="K28" s="203" t="s">
        <v>452</v>
      </c>
      <c r="L28" s="203" t="s">
        <v>451</v>
      </c>
      <c r="M28" s="203"/>
      <c r="N28" s="203"/>
      <c r="O28" s="203"/>
      <c r="P28" s="276"/>
      <c r="Q28" s="265"/>
      <c r="R28" s="265"/>
      <c r="S28" s="265"/>
      <c r="T28" s="265"/>
      <c r="U28" s="265"/>
      <c r="V28" s="265"/>
      <c r="W28" s="267"/>
    </row>
    <row r="29" spans="1:23" ht="18" customHeight="1">
      <c r="A29" s="341">
        <f t="shared" si="1"/>
        <v>25</v>
      </c>
      <c r="B29" s="202" t="s">
        <v>641</v>
      </c>
      <c r="C29" s="202" t="s">
        <v>641</v>
      </c>
      <c r="D29" s="461" t="s">
        <v>90</v>
      </c>
      <c r="E29" s="464">
        <v>272</v>
      </c>
      <c r="F29" s="459">
        <v>272</v>
      </c>
      <c r="G29" s="207">
        <v>272</v>
      </c>
      <c r="H29" s="207">
        <f t="shared" si="0"/>
        <v>0</v>
      </c>
      <c r="I29" s="203" t="s">
        <v>511</v>
      </c>
      <c r="J29" s="203" t="s">
        <v>712</v>
      </c>
      <c r="K29" s="203" t="s">
        <v>712</v>
      </c>
      <c r="L29" s="203" t="s">
        <v>511</v>
      </c>
      <c r="M29" s="203"/>
      <c r="N29" s="203"/>
      <c r="O29" s="203"/>
      <c r="P29" s="276"/>
      <c r="Q29" s="265"/>
      <c r="R29" s="265"/>
      <c r="S29" s="265"/>
      <c r="T29" s="265"/>
      <c r="U29" s="265"/>
      <c r="V29" s="265"/>
      <c r="W29" s="267"/>
    </row>
    <row r="30" spans="1:23" ht="18" customHeight="1">
      <c r="A30" s="341">
        <f t="shared" si="1"/>
        <v>26</v>
      </c>
      <c r="B30" s="202" t="s">
        <v>642</v>
      </c>
      <c r="C30" s="202" t="s">
        <v>642</v>
      </c>
      <c r="D30" s="461" t="s">
        <v>81</v>
      </c>
      <c r="E30" s="464">
        <v>618.29999999999995</v>
      </c>
      <c r="F30" s="459">
        <v>618.29999999999995</v>
      </c>
      <c r="G30" s="207">
        <v>618.29999999999995</v>
      </c>
      <c r="H30" s="207">
        <f t="shared" si="0"/>
        <v>0</v>
      </c>
      <c r="I30" s="203" t="s">
        <v>451</v>
      </c>
      <c r="J30" s="203" t="s">
        <v>452</v>
      </c>
      <c r="K30" s="203" t="s">
        <v>452</v>
      </c>
      <c r="L30" s="203" t="s">
        <v>451</v>
      </c>
      <c r="M30" s="203"/>
      <c r="N30" s="203"/>
      <c r="O30" s="203"/>
      <c r="P30" s="276"/>
      <c r="Q30" s="265"/>
      <c r="R30" s="265"/>
      <c r="S30" s="265"/>
      <c r="T30" s="265"/>
      <c r="U30" s="265"/>
      <c r="V30" s="265"/>
      <c r="W30" s="267"/>
    </row>
    <row r="31" spans="1:23" ht="18" customHeight="1">
      <c r="A31" s="341">
        <f t="shared" si="1"/>
        <v>27</v>
      </c>
      <c r="B31" s="202" t="s">
        <v>643</v>
      </c>
      <c r="C31" s="202" t="s">
        <v>643</v>
      </c>
      <c r="D31" s="461" t="s">
        <v>90</v>
      </c>
      <c r="E31" s="464">
        <v>765</v>
      </c>
      <c r="F31" s="459">
        <v>765</v>
      </c>
      <c r="G31" s="207">
        <v>765</v>
      </c>
      <c r="H31" s="207">
        <f t="shared" si="0"/>
        <v>0</v>
      </c>
      <c r="I31" s="203" t="s">
        <v>451</v>
      </c>
      <c r="J31" s="203" t="s">
        <v>452</v>
      </c>
      <c r="K31" s="203" t="s">
        <v>452</v>
      </c>
      <c r="L31" s="203" t="s">
        <v>451</v>
      </c>
      <c r="M31" s="203"/>
      <c r="N31" s="203"/>
      <c r="O31" s="203"/>
      <c r="P31" s="276"/>
      <c r="Q31" s="265"/>
      <c r="R31" s="265"/>
      <c r="S31" s="265"/>
      <c r="T31" s="265"/>
      <c r="U31" s="265"/>
      <c r="V31" s="265"/>
      <c r="W31" s="267"/>
    </row>
    <row r="32" spans="1:23" ht="18" customHeight="1">
      <c r="A32" s="341">
        <f t="shared" si="1"/>
        <v>28</v>
      </c>
      <c r="B32" s="202" t="s">
        <v>644</v>
      </c>
      <c r="C32" s="202" t="s">
        <v>644</v>
      </c>
      <c r="D32" s="461" t="s">
        <v>90</v>
      </c>
      <c r="E32" s="464">
        <v>1804</v>
      </c>
      <c r="F32" s="459">
        <v>1804</v>
      </c>
      <c r="G32" s="207">
        <v>1804</v>
      </c>
      <c r="H32" s="207">
        <f t="shared" si="0"/>
        <v>0</v>
      </c>
      <c r="I32" s="203" t="s">
        <v>451</v>
      </c>
      <c r="J32" s="203" t="s">
        <v>452</v>
      </c>
      <c r="K32" s="203" t="s">
        <v>452</v>
      </c>
      <c r="L32" s="203" t="s">
        <v>451</v>
      </c>
      <c r="M32" s="203"/>
      <c r="N32" s="203"/>
      <c r="O32" s="203"/>
      <c r="P32" s="276"/>
      <c r="Q32" s="265"/>
      <c r="R32" s="265"/>
      <c r="S32" s="265"/>
      <c r="T32" s="265"/>
      <c r="U32" s="265"/>
      <c r="V32" s="265"/>
      <c r="W32" s="267"/>
    </row>
    <row r="33" spans="1:23" ht="18" customHeight="1">
      <c r="A33" s="341">
        <f t="shared" si="1"/>
        <v>29</v>
      </c>
      <c r="B33" s="202" t="s">
        <v>645</v>
      </c>
      <c r="C33" s="202" t="s">
        <v>645</v>
      </c>
      <c r="D33" s="461" t="s">
        <v>90</v>
      </c>
      <c r="E33" s="464">
        <v>378</v>
      </c>
      <c r="F33" s="459">
        <v>378</v>
      </c>
      <c r="G33" s="207">
        <v>378</v>
      </c>
      <c r="H33" s="207">
        <f t="shared" si="0"/>
        <v>0</v>
      </c>
      <c r="I33" s="203" t="s">
        <v>451</v>
      </c>
      <c r="J33" s="203" t="s">
        <v>452</v>
      </c>
      <c r="K33" s="203" t="s">
        <v>452</v>
      </c>
      <c r="L33" s="203" t="s">
        <v>451</v>
      </c>
      <c r="M33" s="203"/>
      <c r="N33" s="203"/>
      <c r="O33" s="203"/>
      <c r="P33" s="276"/>
      <c r="Q33" s="265"/>
      <c r="R33" s="265"/>
      <c r="S33" s="265"/>
      <c r="T33" s="265"/>
      <c r="U33" s="265"/>
      <c r="V33" s="265"/>
      <c r="W33" s="267"/>
    </row>
    <row r="34" spans="1:23" ht="18" customHeight="1">
      <c r="A34" s="341">
        <f t="shared" si="1"/>
        <v>30</v>
      </c>
      <c r="B34" s="202" t="s">
        <v>646</v>
      </c>
      <c r="C34" s="202" t="s">
        <v>646</v>
      </c>
      <c r="D34" s="461" t="s">
        <v>90</v>
      </c>
      <c r="E34" s="464">
        <v>138</v>
      </c>
      <c r="F34" s="459">
        <v>138</v>
      </c>
      <c r="G34" s="207">
        <v>138</v>
      </c>
      <c r="H34" s="207">
        <f t="shared" si="0"/>
        <v>0</v>
      </c>
      <c r="I34" s="203" t="s">
        <v>451</v>
      </c>
      <c r="J34" s="203" t="s">
        <v>452</v>
      </c>
      <c r="K34" s="203" t="s">
        <v>452</v>
      </c>
      <c r="L34" s="203" t="s">
        <v>451</v>
      </c>
      <c r="M34" s="203"/>
      <c r="N34" s="203"/>
      <c r="O34" s="203"/>
      <c r="P34" s="276"/>
      <c r="Q34" s="265"/>
      <c r="R34" s="265"/>
      <c r="S34" s="265"/>
      <c r="T34" s="265"/>
      <c r="U34" s="265"/>
      <c r="V34" s="265"/>
      <c r="W34" s="267"/>
    </row>
    <row r="35" spans="1:23" ht="18" customHeight="1">
      <c r="A35" s="341">
        <f t="shared" si="1"/>
        <v>31</v>
      </c>
      <c r="B35" s="202" t="s">
        <v>647</v>
      </c>
      <c r="C35" s="202" t="s">
        <v>647</v>
      </c>
      <c r="D35" s="461" t="s">
        <v>90</v>
      </c>
      <c r="E35" s="464">
        <v>72</v>
      </c>
      <c r="F35" s="459">
        <v>72</v>
      </c>
      <c r="G35" s="207">
        <v>72</v>
      </c>
      <c r="H35" s="207">
        <f t="shared" si="0"/>
        <v>0</v>
      </c>
      <c r="I35" s="203" t="s">
        <v>451</v>
      </c>
      <c r="J35" s="203" t="s">
        <v>452</v>
      </c>
      <c r="K35" s="203" t="s">
        <v>452</v>
      </c>
      <c r="L35" s="203" t="s">
        <v>451</v>
      </c>
      <c r="M35" s="203"/>
      <c r="N35" s="203"/>
      <c r="O35" s="203"/>
      <c r="P35" s="276"/>
      <c r="Q35" s="265"/>
      <c r="R35" s="265"/>
      <c r="S35" s="265"/>
      <c r="T35" s="265"/>
      <c r="U35" s="265"/>
      <c r="V35" s="265"/>
      <c r="W35" s="267"/>
    </row>
    <row r="36" spans="1:23" ht="18" customHeight="1">
      <c r="A36" s="341">
        <f t="shared" si="1"/>
        <v>32</v>
      </c>
      <c r="B36" s="202" t="s">
        <v>648</v>
      </c>
      <c r="C36" s="202" t="s">
        <v>648</v>
      </c>
      <c r="D36" s="461" t="s">
        <v>90</v>
      </c>
      <c r="E36" s="464">
        <v>37</v>
      </c>
      <c r="F36" s="459">
        <v>37</v>
      </c>
      <c r="G36" s="207">
        <v>37</v>
      </c>
      <c r="H36" s="207">
        <f t="shared" si="0"/>
        <v>0</v>
      </c>
      <c r="I36" s="203" t="s">
        <v>451</v>
      </c>
      <c r="J36" s="203" t="s">
        <v>452</v>
      </c>
      <c r="K36" s="203" t="s">
        <v>452</v>
      </c>
      <c r="L36" s="203" t="s">
        <v>451</v>
      </c>
      <c r="M36" s="203"/>
      <c r="N36" s="203"/>
      <c r="O36" s="203"/>
      <c r="P36" s="276"/>
      <c r="Q36" s="265"/>
      <c r="R36" s="265"/>
      <c r="S36" s="265"/>
      <c r="T36" s="265"/>
      <c r="U36" s="265"/>
      <c r="V36" s="265"/>
      <c r="W36" s="267"/>
    </row>
    <row r="37" spans="1:23" ht="18" customHeight="1">
      <c r="A37" s="341">
        <f t="shared" si="1"/>
        <v>33</v>
      </c>
      <c r="B37" s="202" t="s">
        <v>649</v>
      </c>
      <c r="C37" s="202" t="s">
        <v>649</v>
      </c>
      <c r="D37" s="461" t="s">
        <v>90</v>
      </c>
      <c r="E37" s="464">
        <v>91</v>
      </c>
      <c r="F37" s="459">
        <v>91</v>
      </c>
      <c r="G37" s="207">
        <v>91</v>
      </c>
      <c r="H37" s="207">
        <f t="shared" si="0"/>
        <v>0</v>
      </c>
      <c r="I37" s="203" t="s">
        <v>451</v>
      </c>
      <c r="J37" s="203" t="s">
        <v>452</v>
      </c>
      <c r="K37" s="203" t="s">
        <v>452</v>
      </c>
      <c r="L37" s="203" t="s">
        <v>451</v>
      </c>
      <c r="M37" s="203"/>
      <c r="N37" s="203"/>
      <c r="O37" s="203"/>
      <c r="P37" s="276"/>
      <c r="Q37" s="265"/>
      <c r="R37" s="265"/>
      <c r="S37" s="265"/>
      <c r="T37" s="265"/>
      <c r="U37" s="265"/>
      <c r="V37" s="265"/>
      <c r="W37" s="267"/>
    </row>
    <row r="38" spans="1:23" ht="18" customHeight="1">
      <c r="A38" s="341">
        <f t="shared" si="1"/>
        <v>34</v>
      </c>
      <c r="B38" s="202" t="s">
        <v>650</v>
      </c>
      <c r="C38" s="202" t="s">
        <v>650</v>
      </c>
      <c r="D38" s="461" t="s">
        <v>90</v>
      </c>
      <c r="E38" s="464">
        <v>128</v>
      </c>
      <c r="F38" s="459">
        <v>128</v>
      </c>
      <c r="G38" s="207">
        <v>128</v>
      </c>
      <c r="H38" s="207">
        <f t="shared" si="0"/>
        <v>0</v>
      </c>
      <c r="I38" s="203" t="s">
        <v>451</v>
      </c>
      <c r="J38" s="203" t="s">
        <v>452</v>
      </c>
      <c r="K38" s="203" t="s">
        <v>452</v>
      </c>
      <c r="L38" s="203" t="s">
        <v>451</v>
      </c>
      <c r="M38" s="203"/>
      <c r="N38" s="203"/>
      <c r="O38" s="203"/>
      <c r="P38" s="276"/>
      <c r="Q38" s="265"/>
      <c r="R38" s="265"/>
      <c r="S38" s="265"/>
      <c r="T38" s="265"/>
      <c r="U38" s="265"/>
      <c r="V38" s="265"/>
      <c r="W38" s="267"/>
    </row>
    <row r="39" spans="1:23" ht="18" customHeight="1">
      <c r="A39" s="341">
        <f t="shared" si="1"/>
        <v>35</v>
      </c>
      <c r="B39" s="202" t="s">
        <v>651</v>
      </c>
      <c r="C39" s="202" t="s">
        <v>651</v>
      </c>
      <c r="D39" s="461" t="s">
        <v>90</v>
      </c>
      <c r="E39" s="464">
        <v>84</v>
      </c>
      <c r="F39" s="459">
        <v>84</v>
      </c>
      <c r="G39" s="207">
        <v>84</v>
      </c>
      <c r="H39" s="207">
        <f t="shared" si="0"/>
        <v>0</v>
      </c>
      <c r="I39" s="203" t="s">
        <v>451</v>
      </c>
      <c r="J39" s="203" t="s">
        <v>452</v>
      </c>
      <c r="K39" s="203" t="s">
        <v>452</v>
      </c>
      <c r="L39" s="203" t="s">
        <v>451</v>
      </c>
      <c r="M39" s="203"/>
      <c r="N39" s="203"/>
      <c r="O39" s="203"/>
      <c r="P39" s="276"/>
      <c r="Q39" s="265"/>
      <c r="R39" s="265"/>
      <c r="S39" s="265"/>
      <c r="T39" s="265"/>
      <c r="U39" s="265"/>
      <c r="V39" s="265"/>
      <c r="W39" s="267"/>
    </row>
    <row r="40" spans="1:23" ht="18" customHeight="1">
      <c r="A40" s="341">
        <f t="shared" si="1"/>
        <v>36</v>
      </c>
      <c r="B40" s="202" t="s">
        <v>652</v>
      </c>
      <c r="C40" s="202" t="s">
        <v>652</v>
      </c>
      <c r="D40" s="461" t="s">
        <v>90</v>
      </c>
      <c r="E40" s="464">
        <v>336</v>
      </c>
      <c r="F40" s="459">
        <v>336</v>
      </c>
      <c r="G40" s="207">
        <v>336</v>
      </c>
      <c r="H40" s="207">
        <f t="shared" si="0"/>
        <v>0</v>
      </c>
      <c r="I40" s="203" t="s">
        <v>451</v>
      </c>
      <c r="J40" s="203" t="s">
        <v>452</v>
      </c>
      <c r="K40" s="203" t="s">
        <v>452</v>
      </c>
      <c r="L40" s="203" t="s">
        <v>451</v>
      </c>
      <c r="M40" s="203"/>
      <c r="N40" s="203"/>
      <c r="O40" s="203"/>
      <c r="P40" s="276"/>
      <c r="Q40" s="265"/>
      <c r="R40" s="265"/>
      <c r="S40" s="265"/>
      <c r="T40" s="265"/>
      <c r="U40" s="265"/>
      <c r="V40" s="265"/>
      <c r="W40" s="267"/>
    </row>
    <row r="41" spans="1:23" ht="18" customHeight="1">
      <c r="A41" s="341">
        <f t="shared" si="1"/>
        <v>37</v>
      </c>
      <c r="B41" s="202" t="s">
        <v>653</v>
      </c>
      <c r="C41" s="202" t="s">
        <v>653</v>
      </c>
      <c r="D41" s="461" t="s">
        <v>90</v>
      </c>
      <c r="E41" s="464">
        <v>298</v>
      </c>
      <c r="F41" s="459">
        <v>298</v>
      </c>
      <c r="G41" s="207">
        <v>298</v>
      </c>
      <c r="H41" s="207">
        <f t="shared" si="0"/>
        <v>0</v>
      </c>
      <c r="I41" s="203" t="s">
        <v>714</v>
      </c>
      <c r="J41" s="203" t="s">
        <v>1399</v>
      </c>
      <c r="K41" s="203" t="s">
        <v>1455</v>
      </c>
      <c r="L41" s="203" t="s">
        <v>1454</v>
      </c>
      <c r="M41" s="203"/>
      <c r="N41" s="203"/>
      <c r="O41" s="203"/>
      <c r="P41" s="276"/>
      <c r="Q41" s="265"/>
      <c r="R41" s="265"/>
      <c r="S41" s="265"/>
      <c r="T41" s="265"/>
      <c r="U41" s="265"/>
      <c r="V41" s="265"/>
      <c r="W41" s="267"/>
    </row>
    <row r="42" spans="1:23" ht="18" customHeight="1">
      <c r="A42" s="341">
        <f t="shared" si="1"/>
        <v>38</v>
      </c>
      <c r="B42" s="202" t="s">
        <v>654</v>
      </c>
      <c r="C42" s="202" t="s">
        <v>654</v>
      </c>
      <c r="D42" s="461" t="s">
        <v>79</v>
      </c>
      <c r="E42" s="464">
        <v>266</v>
      </c>
      <c r="F42" s="459">
        <v>266</v>
      </c>
      <c r="G42" s="207">
        <v>266</v>
      </c>
      <c r="H42" s="207">
        <f t="shared" si="0"/>
        <v>0</v>
      </c>
      <c r="I42" s="203" t="s">
        <v>451</v>
      </c>
      <c r="J42" s="203" t="s">
        <v>452</v>
      </c>
      <c r="K42" s="203" t="s">
        <v>452</v>
      </c>
      <c r="L42" s="203" t="s">
        <v>451</v>
      </c>
      <c r="M42" s="203"/>
      <c r="N42" s="203"/>
      <c r="O42" s="203"/>
      <c r="P42" s="276"/>
      <c r="Q42" s="265"/>
      <c r="R42" s="265"/>
      <c r="S42" s="265"/>
      <c r="T42" s="265"/>
      <c r="U42" s="265"/>
      <c r="V42" s="265"/>
      <c r="W42" s="267"/>
    </row>
    <row r="43" spans="1:23" ht="18" customHeight="1">
      <c r="A43" s="341">
        <f t="shared" si="1"/>
        <v>39</v>
      </c>
      <c r="B43" s="202" t="s">
        <v>655</v>
      </c>
      <c r="C43" s="202" t="s">
        <v>655</v>
      </c>
      <c r="D43" s="461" t="s">
        <v>80</v>
      </c>
      <c r="E43" s="464">
        <v>35</v>
      </c>
      <c r="F43" s="459">
        <v>35</v>
      </c>
      <c r="G43" s="207">
        <v>35</v>
      </c>
      <c r="H43" s="207">
        <f t="shared" si="0"/>
        <v>0</v>
      </c>
      <c r="I43" s="203" t="s">
        <v>451</v>
      </c>
      <c r="J43" s="203" t="s">
        <v>452</v>
      </c>
      <c r="K43" s="203" t="s">
        <v>452</v>
      </c>
      <c r="L43" s="203" t="s">
        <v>451</v>
      </c>
      <c r="M43" s="203"/>
      <c r="N43" s="203"/>
      <c r="O43" s="203"/>
      <c r="P43" s="276"/>
      <c r="Q43" s="265"/>
      <c r="R43" s="265"/>
      <c r="S43" s="265"/>
      <c r="T43" s="265"/>
      <c r="U43" s="265"/>
      <c r="V43" s="265"/>
      <c r="W43" s="267"/>
    </row>
    <row r="44" spans="1:23" ht="18" customHeight="1">
      <c r="A44" s="341">
        <f t="shared" si="1"/>
        <v>40</v>
      </c>
      <c r="B44" s="202" t="s">
        <v>656</v>
      </c>
      <c r="C44" s="202" t="s">
        <v>656</v>
      </c>
      <c r="D44" s="461" t="s">
        <v>92</v>
      </c>
      <c r="E44" s="464">
        <v>11</v>
      </c>
      <c r="F44" s="459">
        <v>11</v>
      </c>
      <c r="G44" s="207">
        <v>11</v>
      </c>
      <c r="H44" s="207">
        <f t="shared" si="0"/>
        <v>0</v>
      </c>
      <c r="I44" s="203" t="s">
        <v>451</v>
      </c>
      <c r="J44" s="203" t="s">
        <v>452</v>
      </c>
      <c r="K44" s="203" t="s">
        <v>452</v>
      </c>
      <c r="L44" s="203" t="s">
        <v>451</v>
      </c>
      <c r="M44" s="203"/>
      <c r="N44" s="203"/>
      <c r="O44" s="203"/>
      <c r="P44" s="276"/>
      <c r="Q44" s="265"/>
      <c r="R44" s="265"/>
      <c r="S44" s="265"/>
      <c r="T44" s="265"/>
      <c r="U44" s="265"/>
      <c r="V44" s="265"/>
      <c r="W44" s="267"/>
    </row>
    <row r="45" spans="1:23" ht="18" customHeight="1">
      <c r="A45" s="341">
        <f t="shared" si="1"/>
        <v>41</v>
      </c>
      <c r="B45" s="202" t="s">
        <v>657</v>
      </c>
      <c r="C45" s="202" t="s">
        <v>657</v>
      </c>
      <c r="D45" s="461" t="s">
        <v>92</v>
      </c>
      <c r="E45" s="464">
        <v>1633</v>
      </c>
      <c r="F45" s="459">
        <v>910</v>
      </c>
      <c r="G45" s="207">
        <v>910</v>
      </c>
      <c r="H45" s="207">
        <f t="shared" si="0"/>
        <v>0</v>
      </c>
      <c r="I45" s="203" t="s">
        <v>511</v>
      </c>
      <c r="J45" s="203" t="s">
        <v>715</v>
      </c>
      <c r="K45" s="203" t="s">
        <v>715</v>
      </c>
      <c r="L45" s="203" t="s">
        <v>511</v>
      </c>
      <c r="M45" s="203"/>
      <c r="N45" s="203"/>
      <c r="O45" s="203"/>
      <c r="P45" s="276"/>
      <c r="Q45" s="265"/>
      <c r="R45" s="265"/>
      <c r="S45" s="265"/>
      <c r="T45" s="265"/>
      <c r="U45" s="265"/>
      <c r="V45" s="265"/>
      <c r="W45" s="267"/>
    </row>
    <row r="46" spans="1:23" ht="18" customHeight="1">
      <c r="A46" s="341">
        <f t="shared" si="1"/>
        <v>42</v>
      </c>
      <c r="B46" s="202" t="s">
        <v>658</v>
      </c>
      <c r="C46" s="202" t="s">
        <v>658</v>
      </c>
      <c r="D46" s="461" t="s">
        <v>79</v>
      </c>
      <c r="E46" s="464">
        <v>198</v>
      </c>
      <c r="F46" s="459">
        <v>198</v>
      </c>
      <c r="G46" s="207">
        <v>198</v>
      </c>
      <c r="H46" s="207">
        <f t="shared" si="0"/>
        <v>0</v>
      </c>
      <c r="I46" s="203" t="s">
        <v>451</v>
      </c>
      <c r="J46" s="203" t="s">
        <v>452</v>
      </c>
      <c r="K46" s="203" t="s">
        <v>452</v>
      </c>
      <c r="L46" s="203" t="s">
        <v>451</v>
      </c>
      <c r="M46" s="203"/>
      <c r="N46" s="203"/>
      <c r="O46" s="203"/>
      <c r="P46" s="276"/>
      <c r="Q46" s="265"/>
      <c r="R46" s="265"/>
      <c r="S46" s="265"/>
      <c r="T46" s="265"/>
      <c r="U46" s="265"/>
      <c r="V46" s="265"/>
      <c r="W46" s="267"/>
    </row>
    <row r="47" spans="1:23" ht="18" customHeight="1">
      <c r="A47" s="341">
        <f t="shared" si="1"/>
        <v>43</v>
      </c>
      <c r="B47" s="202" t="s">
        <v>659</v>
      </c>
      <c r="C47" s="202" t="s">
        <v>659</v>
      </c>
      <c r="D47" s="461" t="s">
        <v>79</v>
      </c>
      <c r="E47" s="464">
        <v>1348</v>
      </c>
      <c r="F47" s="459">
        <v>385</v>
      </c>
      <c r="G47" s="207">
        <v>385</v>
      </c>
      <c r="H47" s="207">
        <f t="shared" si="0"/>
        <v>0</v>
      </c>
      <c r="I47" s="203" t="s">
        <v>451</v>
      </c>
      <c r="J47" s="203" t="s">
        <v>452</v>
      </c>
      <c r="K47" s="203" t="s">
        <v>452</v>
      </c>
      <c r="L47" s="203" t="s">
        <v>451</v>
      </c>
      <c r="M47" s="203"/>
      <c r="N47" s="203"/>
      <c r="O47" s="203"/>
      <c r="P47" s="276"/>
      <c r="Q47" s="265"/>
      <c r="R47" s="265"/>
      <c r="S47" s="265"/>
      <c r="T47" s="265"/>
      <c r="U47" s="265"/>
      <c r="V47" s="265"/>
      <c r="W47" s="267"/>
    </row>
    <row r="48" spans="1:23" ht="18" customHeight="1">
      <c r="A48" s="341">
        <f t="shared" si="1"/>
        <v>44</v>
      </c>
      <c r="B48" s="202" t="s">
        <v>660</v>
      </c>
      <c r="C48" s="202" t="s">
        <v>660</v>
      </c>
      <c r="D48" s="461" t="s">
        <v>79</v>
      </c>
      <c r="E48" s="464">
        <v>193</v>
      </c>
      <c r="F48" s="459">
        <v>193</v>
      </c>
      <c r="G48" s="207">
        <v>193</v>
      </c>
      <c r="H48" s="207">
        <f t="shared" si="0"/>
        <v>0</v>
      </c>
      <c r="I48" s="203" t="s">
        <v>451</v>
      </c>
      <c r="J48" s="203" t="s">
        <v>452</v>
      </c>
      <c r="K48" s="203" t="s">
        <v>452</v>
      </c>
      <c r="L48" s="203" t="s">
        <v>451</v>
      </c>
      <c r="M48" s="203"/>
      <c r="N48" s="203"/>
      <c r="O48" s="203"/>
      <c r="P48" s="276"/>
      <c r="Q48" s="265"/>
      <c r="R48" s="265"/>
      <c r="S48" s="265"/>
      <c r="T48" s="265"/>
      <c r="U48" s="265"/>
      <c r="V48" s="265"/>
      <c r="W48" s="267"/>
    </row>
    <row r="49" spans="1:23" ht="18" customHeight="1">
      <c r="A49" s="341">
        <f t="shared" si="1"/>
        <v>45</v>
      </c>
      <c r="B49" s="202" t="s">
        <v>661</v>
      </c>
      <c r="C49" s="202" t="s">
        <v>661</v>
      </c>
      <c r="D49" s="461" t="s">
        <v>79</v>
      </c>
      <c r="E49" s="464">
        <v>887</v>
      </c>
      <c r="F49" s="459">
        <v>887</v>
      </c>
      <c r="G49" s="207">
        <v>887</v>
      </c>
      <c r="H49" s="207">
        <f t="shared" si="0"/>
        <v>0</v>
      </c>
      <c r="I49" s="203" t="s">
        <v>451</v>
      </c>
      <c r="J49" s="203" t="s">
        <v>452</v>
      </c>
      <c r="K49" s="203" t="s">
        <v>452</v>
      </c>
      <c r="L49" s="203" t="s">
        <v>451</v>
      </c>
      <c r="M49" s="203"/>
      <c r="N49" s="203"/>
      <c r="O49" s="203"/>
      <c r="P49" s="276"/>
      <c r="Q49" s="265"/>
      <c r="R49" s="265"/>
      <c r="S49" s="265"/>
      <c r="T49" s="265"/>
      <c r="U49" s="265"/>
      <c r="V49" s="265"/>
      <c r="W49" s="267"/>
    </row>
    <row r="50" spans="1:23" ht="18" customHeight="1">
      <c r="A50" s="341">
        <f t="shared" si="1"/>
        <v>46</v>
      </c>
      <c r="B50" s="202" t="s">
        <v>662</v>
      </c>
      <c r="C50" s="202" t="s">
        <v>662</v>
      </c>
      <c r="D50" s="461" t="s">
        <v>92</v>
      </c>
      <c r="E50" s="464">
        <v>1010</v>
      </c>
      <c r="F50" s="459">
        <v>324</v>
      </c>
      <c r="G50" s="207">
        <v>324</v>
      </c>
      <c r="H50" s="207">
        <f t="shared" si="0"/>
        <v>0</v>
      </c>
      <c r="I50" s="203" t="s">
        <v>451</v>
      </c>
      <c r="J50" s="203" t="s">
        <v>452</v>
      </c>
      <c r="K50" s="203" t="s">
        <v>452</v>
      </c>
      <c r="L50" s="203" t="s">
        <v>451</v>
      </c>
      <c r="M50" s="203"/>
      <c r="N50" s="203"/>
      <c r="O50" s="203"/>
      <c r="P50" s="276"/>
      <c r="Q50" s="265"/>
      <c r="R50" s="265"/>
      <c r="S50" s="265"/>
      <c r="T50" s="265"/>
      <c r="U50" s="265"/>
      <c r="V50" s="265"/>
      <c r="W50" s="267"/>
    </row>
    <row r="51" spans="1:23" ht="18" customHeight="1">
      <c r="A51" s="341">
        <f t="shared" si="1"/>
        <v>47</v>
      </c>
      <c r="B51" s="202" t="s">
        <v>663</v>
      </c>
      <c r="C51" s="202" t="s">
        <v>663</v>
      </c>
      <c r="D51" s="461" t="s">
        <v>79</v>
      </c>
      <c r="E51" s="464">
        <v>770</v>
      </c>
      <c r="F51" s="459">
        <v>635</v>
      </c>
      <c r="G51" s="207">
        <f>593+42</f>
        <v>635</v>
      </c>
      <c r="H51" s="207">
        <f t="shared" si="0"/>
        <v>0</v>
      </c>
      <c r="I51" s="203" t="s">
        <v>451</v>
      </c>
      <c r="J51" s="203" t="s">
        <v>452</v>
      </c>
      <c r="K51" s="203" t="s">
        <v>452</v>
      </c>
      <c r="L51" s="203" t="s">
        <v>451</v>
      </c>
      <c r="M51" s="203"/>
      <c r="N51" s="203"/>
      <c r="O51" s="203"/>
      <c r="P51" s="276"/>
      <c r="Q51" s="265"/>
      <c r="R51" s="265"/>
      <c r="S51" s="265"/>
      <c r="T51" s="265"/>
      <c r="U51" s="265"/>
      <c r="V51" s="265"/>
      <c r="W51" s="267"/>
    </row>
    <row r="52" spans="1:23" ht="18" customHeight="1">
      <c r="A52" s="341">
        <f t="shared" si="1"/>
        <v>48</v>
      </c>
      <c r="B52" s="202" t="s">
        <v>664</v>
      </c>
      <c r="C52" s="202" t="s">
        <v>664</v>
      </c>
      <c r="D52" s="461" t="s">
        <v>79</v>
      </c>
      <c r="E52" s="464">
        <v>463</v>
      </c>
      <c r="F52" s="459">
        <v>325</v>
      </c>
      <c r="G52" s="207">
        <v>325</v>
      </c>
      <c r="H52" s="207">
        <f t="shared" si="0"/>
        <v>0</v>
      </c>
      <c r="I52" s="203" t="s">
        <v>511</v>
      </c>
      <c r="J52" s="203" t="s">
        <v>715</v>
      </c>
      <c r="K52" s="203" t="s">
        <v>715</v>
      </c>
      <c r="L52" s="203" t="s">
        <v>511</v>
      </c>
      <c r="M52" s="203"/>
      <c r="N52" s="203"/>
      <c r="O52" s="203"/>
      <c r="P52" s="276"/>
      <c r="Q52" s="265"/>
      <c r="R52" s="265"/>
      <c r="S52" s="265"/>
      <c r="T52" s="265"/>
      <c r="U52" s="265"/>
      <c r="V52" s="265"/>
      <c r="W52" s="267"/>
    </row>
    <row r="53" spans="1:23" ht="18" customHeight="1">
      <c r="A53" s="341">
        <f t="shared" si="1"/>
        <v>49</v>
      </c>
      <c r="B53" s="202" t="s">
        <v>665</v>
      </c>
      <c r="C53" s="202" t="s">
        <v>665</v>
      </c>
      <c r="D53" s="461" t="s">
        <v>79</v>
      </c>
      <c r="E53" s="464">
        <v>278</v>
      </c>
      <c r="F53" s="459">
        <v>195</v>
      </c>
      <c r="G53" s="207">
        <v>195</v>
      </c>
      <c r="H53" s="207">
        <f t="shared" si="0"/>
        <v>0</v>
      </c>
      <c r="I53" s="203" t="s">
        <v>451</v>
      </c>
      <c r="J53" s="203" t="s">
        <v>452</v>
      </c>
      <c r="K53" s="203" t="s">
        <v>452</v>
      </c>
      <c r="L53" s="203" t="s">
        <v>451</v>
      </c>
      <c r="M53" s="203"/>
      <c r="N53" s="203"/>
      <c r="O53" s="203"/>
      <c r="P53" s="276"/>
      <c r="Q53" s="265"/>
      <c r="R53" s="265"/>
      <c r="S53" s="265"/>
      <c r="T53" s="265"/>
      <c r="U53" s="265"/>
      <c r="V53" s="265"/>
      <c r="W53" s="267"/>
    </row>
    <row r="54" spans="1:23" ht="18" customHeight="1">
      <c r="A54" s="341">
        <f t="shared" si="1"/>
        <v>50</v>
      </c>
      <c r="B54" s="202" t="s">
        <v>666</v>
      </c>
      <c r="C54" s="202" t="s">
        <v>666</v>
      </c>
      <c r="D54" s="461" t="s">
        <v>79</v>
      </c>
      <c r="E54" s="464">
        <v>377</v>
      </c>
      <c r="F54" s="459"/>
      <c r="G54" s="207"/>
      <c r="H54" s="207">
        <f t="shared" si="0"/>
        <v>0</v>
      </c>
      <c r="I54" s="203" t="s">
        <v>451</v>
      </c>
      <c r="J54" s="203" t="s">
        <v>452</v>
      </c>
      <c r="K54" s="203" t="s">
        <v>452</v>
      </c>
      <c r="L54" s="203" t="s">
        <v>451</v>
      </c>
      <c r="M54" s="203"/>
      <c r="N54" s="203"/>
      <c r="O54" s="203"/>
      <c r="P54" s="276"/>
      <c r="Q54" s="265"/>
      <c r="R54" s="265"/>
      <c r="S54" s="265"/>
      <c r="T54" s="265"/>
      <c r="U54" s="265"/>
      <c r="V54" s="265"/>
      <c r="W54" s="267"/>
    </row>
    <row r="55" spans="1:23" ht="18" customHeight="1">
      <c r="A55" s="341">
        <f t="shared" si="1"/>
        <v>51</v>
      </c>
      <c r="B55" s="202" t="s">
        <v>667</v>
      </c>
      <c r="C55" s="202" t="s">
        <v>667</v>
      </c>
      <c r="D55" s="461" t="s">
        <v>79</v>
      </c>
      <c r="E55" s="464">
        <v>413</v>
      </c>
      <c r="F55" s="459">
        <v>97</v>
      </c>
      <c r="G55" s="207">
        <v>97</v>
      </c>
      <c r="H55" s="207">
        <f t="shared" si="0"/>
        <v>0</v>
      </c>
      <c r="I55" s="203" t="s">
        <v>511</v>
      </c>
      <c r="J55" s="203" t="s">
        <v>715</v>
      </c>
      <c r="K55" s="203" t="s">
        <v>715</v>
      </c>
      <c r="L55" s="203" t="s">
        <v>511</v>
      </c>
      <c r="M55" s="203"/>
      <c r="N55" s="203"/>
      <c r="O55" s="203"/>
      <c r="P55" s="276"/>
      <c r="Q55" s="265"/>
      <c r="R55" s="265"/>
      <c r="S55" s="265"/>
      <c r="T55" s="265"/>
      <c r="U55" s="265"/>
      <c r="V55" s="265"/>
      <c r="W55" s="267"/>
    </row>
    <row r="56" spans="1:23" ht="18" customHeight="1">
      <c r="A56" s="341">
        <f t="shared" si="1"/>
        <v>52</v>
      </c>
      <c r="B56" s="202" t="s">
        <v>668</v>
      </c>
      <c r="C56" s="202" t="s">
        <v>668</v>
      </c>
      <c r="D56" s="461" t="s">
        <v>79</v>
      </c>
      <c r="E56" s="464">
        <v>4100</v>
      </c>
      <c r="F56" s="459">
        <v>862</v>
      </c>
      <c r="G56" s="207">
        <v>862</v>
      </c>
      <c r="H56" s="207">
        <f t="shared" si="0"/>
        <v>0</v>
      </c>
      <c r="I56" s="203" t="s">
        <v>511</v>
      </c>
      <c r="J56" s="203" t="s">
        <v>715</v>
      </c>
      <c r="K56" s="203" t="s">
        <v>715</v>
      </c>
      <c r="L56" s="203" t="s">
        <v>511</v>
      </c>
      <c r="M56" s="203"/>
      <c r="N56" s="203"/>
      <c r="O56" s="203"/>
      <c r="P56" s="276"/>
      <c r="Q56" s="265"/>
      <c r="R56" s="265"/>
      <c r="S56" s="265"/>
      <c r="T56" s="265"/>
      <c r="U56" s="265"/>
      <c r="V56" s="265"/>
      <c r="W56" s="267"/>
    </row>
    <row r="57" spans="1:23" ht="18" customHeight="1">
      <c r="A57" s="341">
        <f t="shared" si="1"/>
        <v>53</v>
      </c>
      <c r="B57" s="202" t="s">
        <v>669</v>
      </c>
      <c r="C57" s="202" t="s">
        <v>669</v>
      </c>
      <c r="D57" s="461" t="s">
        <v>79</v>
      </c>
      <c r="E57" s="464">
        <v>440</v>
      </c>
      <c r="F57" s="459">
        <v>328</v>
      </c>
      <c r="G57" s="207">
        <v>328</v>
      </c>
      <c r="H57" s="207">
        <f t="shared" si="0"/>
        <v>0</v>
      </c>
      <c r="I57" s="203" t="s">
        <v>511</v>
      </c>
      <c r="J57" s="203" t="s">
        <v>715</v>
      </c>
      <c r="K57" s="203" t="s">
        <v>715</v>
      </c>
      <c r="L57" s="203" t="s">
        <v>511</v>
      </c>
      <c r="M57" s="203"/>
      <c r="N57" s="203"/>
      <c r="O57" s="203"/>
      <c r="P57" s="276"/>
      <c r="Q57" s="265"/>
      <c r="R57" s="265"/>
      <c r="S57" s="265"/>
      <c r="T57" s="265"/>
      <c r="U57" s="265"/>
      <c r="V57" s="265"/>
      <c r="W57" s="267"/>
    </row>
    <row r="58" spans="1:23" ht="18" customHeight="1">
      <c r="A58" s="341">
        <f t="shared" si="1"/>
        <v>54</v>
      </c>
      <c r="B58" s="202" t="s">
        <v>670</v>
      </c>
      <c r="C58" s="202" t="s">
        <v>670</v>
      </c>
      <c r="D58" s="461" t="s">
        <v>79</v>
      </c>
      <c r="E58" s="464">
        <v>462</v>
      </c>
      <c r="F58" s="459">
        <v>392</v>
      </c>
      <c r="G58" s="207">
        <v>392</v>
      </c>
      <c r="H58" s="207">
        <f t="shared" si="0"/>
        <v>0</v>
      </c>
      <c r="I58" s="203" t="s">
        <v>451</v>
      </c>
      <c r="J58" s="203" t="s">
        <v>452</v>
      </c>
      <c r="K58" s="203" t="s">
        <v>452</v>
      </c>
      <c r="L58" s="203" t="s">
        <v>451</v>
      </c>
      <c r="M58" s="203"/>
      <c r="N58" s="203"/>
      <c r="O58" s="203"/>
      <c r="P58" s="276"/>
      <c r="Q58" s="265"/>
      <c r="R58" s="265"/>
      <c r="S58" s="265"/>
      <c r="T58" s="265"/>
      <c r="U58" s="265"/>
      <c r="V58" s="265"/>
      <c r="W58" s="267"/>
    </row>
    <row r="59" spans="1:23" ht="18" customHeight="1">
      <c r="A59" s="341">
        <f t="shared" si="1"/>
        <v>55</v>
      </c>
      <c r="B59" s="202" t="s">
        <v>671</v>
      </c>
      <c r="C59" s="202" t="s">
        <v>671</v>
      </c>
      <c r="D59" s="461" t="s">
        <v>79</v>
      </c>
      <c r="E59" s="464">
        <v>66</v>
      </c>
      <c r="F59" s="459">
        <v>66</v>
      </c>
      <c r="G59" s="207">
        <v>66</v>
      </c>
      <c r="H59" s="207">
        <f t="shared" si="0"/>
        <v>0</v>
      </c>
      <c r="I59" s="203" t="s">
        <v>451</v>
      </c>
      <c r="J59" s="203" t="s">
        <v>452</v>
      </c>
      <c r="K59" s="203" t="s">
        <v>452</v>
      </c>
      <c r="L59" s="203" t="s">
        <v>451</v>
      </c>
      <c r="M59" s="203"/>
      <c r="N59" s="203"/>
      <c r="O59" s="203"/>
      <c r="P59" s="276"/>
      <c r="Q59" s="265"/>
      <c r="R59" s="265"/>
      <c r="S59" s="265"/>
      <c r="T59" s="265"/>
      <c r="U59" s="265"/>
      <c r="V59" s="265"/>
      <c r="W59" s="267"/>
    </row>
    <row r="60" spans="1:23" ht="18" customHeight="1">
      <c r="A60" s="341">
        <f t="shared" si="1"/>
        <v>56</v>
      </c>
      <c r="B60" s="202" t="s">
        <v>672</v>
      </c>
      <c r="C60" s="202" t="s">
        <v>672</v>
      </c>
      <c r="D60" s="461" t="s">
        <v>79</v>
      </c>
      <c r="E60" s="464">
        <v>124</v>
      </c>
      <c r="F60" s="459">
        <v>124</v>
      </c>
      <c r="G60" s="207">
        <v>124</v>
      </c>
      <c r="H60" s="207">
        <f t="shared" si="0"/>
        <v>0</v>
      </c>
      <c r="I60" s="203" t="s">
        <v>451</v>
      </c>
      <c r="J60" s="203" t="s">
        <v>452</v>
      </c>
      <c r="K60" s="203" t="s">
        <v>452</v>
      </c>
      <c r="L60" s="203" t="s">
        <v>451</v>
      </c>
      <c r="M60" s="203"/>
      <c r="N60" s="203"/>
      <c r="O60" s="203"/>
      <c r="P60" s="276"/>
      <c r="Q60" s="265"/>
      <c r="R60" s="265"/>
      <c r="S60" s="265"/>
      <c r="T60" s="265"/>
      <c r="U60" s="265"/>
      <c r="V60" s="265"/>
      <c r="W60" s="267"/>
    </row>
    <row r="61" spans="1:23" ht="18" customHeight="1">
      <c r="A61" s="341">
        <f t="shared" si="1"/>
        <v>57</v>
      </c>
      <c r="B61" s="202" t="s">
        <v>673</v>
      </c>
      <c r="C61" s="202" t="s">
        <v>673</v>
      </c>
      <c r="D61" s="461" t="s">
        <v>79</v>
      </c>
      <c r="E61" s="464">
        <v>413</v>
      </c>
      <c r="F61" s="459">
        <v>413</v>
      </c>
      <c r="G61" s="207">
        <v>413</v>
      </c>
      <c r="H61" s="207">
        <f t="shared" si="0"/>
        <v>0</v>
      </c>
      <c r="I61" s="203" t="s">
        <v>451</v>
      </c>
      <c r="J61" s="203" t="s">
        <v>452</v>
      </c>
      <c r="K61" s="203" t="s">
        <v>452</v>
      </c>
      <c r="L61" s="203" t="s">
        <v>451</v>
      </c>
      <c r="M61" s="203"/>
      <c r="N61" s="203"/>
      <c r="O61" s="203"/>
      <c r="P61" s="276"/>
      <c r="Q61" s="265"/>
      <c r="R61" s="265"/>
      <c r="S61" s="265"/>
      <c r="T61" s="265"/>
      <c r="U61" s="265"/>
      <c r="V61" s="265"/>
      <c r="W61" s="267"/>
    </row>
    <row r="62" spans="1:23" ht="18" customHeight="1">
      <c r="A62" s="341">
        <f t="shared" si="1"/>
        <v>58</v>
      </c>
      <c r="B62" s="202" t="s">
        <v>674</v>
      </c>
      <c r="C62" s="202" t="s">
        <v>674</v>
      </c>
      <c r="D62" s="461" t="s">
        <v>79</v>
      </c>
      <c r="E62" s="464">
        <v>132</v>
      </c>
      <c r="F62" s="459">
        <v>132</v>
      </c>
      <c r="G62" s="207">
        <v>132</v>
      </c>
      <c r="H62" s="207">
        <f t="shared" si="0"/>
        <v>0</v>
      </c>
      <c r="I62" s="203" t="s">
        <v>451</v>
      </c>
      <c r="J62" s="203" t="s">
        <v>452</v>
      </c>
      <c r="K62" s="203" t="s">
        <v>452</v>
      </c>
      <c r="L62" s="203" t="s">
        <v>451</v>
      </c>
      <c r="M62" s="203"/>
      <c r="N62" s="203"/>
      <c r="O62" s="203"/>
      <c r="P62" s="276"/>
      <c r="Q62" s="265"/>
      <c r="R62" s="265"/>
      <c r="S62" s="265"/>
      <c r="T62" s="265"/>
      <c r="U62" s="265"/>
      <c r="V62" s="265"/>
      <c r="W62" s="267"/>
    </row>
    <row r="63" spans="1:23" ht="18" customHeight="1">
      <c r="A63" s="341">
        <f t="shared" si="1"/>
        <v>59</v>
      </c>
      <c r="B63" s="202" t="s">
        <v>675</v>
      </c>
      <c r="C63" s="202" t="s">
        <v>675</v>
      </c>
      <c r="D63" s="461" t="s">
        <v>79</v>
      </c>
      <c r="E63" s="464">
        <v>466</v>
      </c>
      <c r="F63" s="459">
        <v>466</v>
      </c>
      <c r="G63" s="207">
        <v>466</v>
      </c>
      <c r="H63" s="207">
        <f t="shared" si="0"/>
        <v>0</v>
      </c>
      <c r="I63" s="203" t="s">
        <v>511</v>
      </c>
      <c r="J63" s="203" t="s">
        <v>715</v>
      </c>
      <c r="K63" s="203" t="s">
        <v>715</v>
      </c>
      <c r="L63" s="203" t="s">
        <v>511</v>
      </c>
      <c r="M63" s="203"/>
      <c r="N63" s="203"/>
      <c r="O63" s="203"/>
      <c r="P63" s="276"/>
      <c r="Q63" s="265"/>
      <c r="R63" s="265"/>
      <c r="S63" s="265"/>
      <c r="T63" s="265"/>
      <c r="U63" s="265"/>
      <c r="V63" s="265"/>
      <c r="W63" s="267"/>
    </row>
    <row r="64" spans="1:23" ht="18" customHeight="1">
      <c r="A64" s="341">
        <f t="shared" si="1"/>
        <v>60</v>
      </c>
      <c r="B64" s="202" t="s">
        <v>676</v>
      </c>
      <c r="C64" s="202" t="s">
        <v>676</v>
      </c>
      <c r="D64" s="461" t="s">
        <v>79</v>
      </c>
      <c r="E64" s="464">
        <v>638</v>
      </c>
      <c r="F64" s="459">
        <v>638</v>
      </c>
      <c r="G64" s="207">
        <v>638</v>
      </c>
      <c r="H64" s="207">
        <f t="shared" si="0"/>
        <v>0</v>
      </c>
      <c r="I64" s="203" t="s">
        <v>451</v>
      </c>
      <c r="J64" s="203" t="s">
        <v>452</v>
      </c>
      <c r="K64" s="203" t="s">
        <v>452</v>
      </c>
      <c r="L64" s="203" t="s">
        <v>451</v>
      </c>
      <c r="M64" s="203"/>
      <c r="N64" s="203"/>
      <c r="O64" s="203"/>
      <c r="P64" s="276"/>
      <c r="Q64" s="265"/>
      <c r="R64" s="265"/>
      <c r="S64" s="265"/>
      <c r="T64" s="265"/>
      <c r="U64" s="265"/>
      <c r="V64" s="265"/>
      <c r="W64" s="267"/>
    </row>
    <row r="65" spans="1:23" ht="18" customHeight="1">
      <c r="A65" s="341">
        <f t="shared" si="1"/>
        <v>61</v>
      </c>
      <c r="B65" s="202" t="s">
        <v>677</v>
      </c>
      <c r="C65" s="202" t="s">
        <v>677</v>
      </c>
      <c r="D65" s="461" t="s">
        <v>79</v>
      </c>
      <c r="E65" s="464">
        <v>30</v>
      </c>
      <c r="F65" s="459">
        <v>30</v>
      </c>
      <c r="G65" s="207">
        <v>30</v>
      </c>
      <c r="H65" s="207">
        <f t="shared" si="0"/>
        <v>0</v>
      </c>
      <c r="I65" s="203" t="s">
        <v>451</v>
      </c>
      <c r="J65" s="203" t="s">
        <v>452</v>
      </c>
      <c r="K65" s="203" t="s">
        <v>452</v>
      </c>
      <c r="L65" s="203" t="s">
        <v>451</v>
      </c>
      <c r="M65" s="203"/>
      <c r="N65" s="203"/>
      <c r="O65" s="203"/>
      <c r="P65" s="276"/>
      <c r="Q65" s="265"/>
      <c r="R65" s="265"/>
      <c r="S65" s="265"/>
      <c r="T65" s="265"/>
      <c r="U65" s="265"/>
      <c r="V65" s="265"/>
      <c r="W65" s="267"/>
    </row>
    <row r="66" spans="1:23" ht="18" customHeight="1">
      <c r="A66" s="341">
        <f t="shared" si="1"/>
        <v>62</v>
      </c>
      <c r="B66" s="202" t="s">
        <v>678</v>
      </c>
      <c r="C66" s="202" t="s">
        <v>678</v>
      </c>
      <c r="D66" s="461" t="s">
        <v>79</v>
      </c>
      <c r="E66" s="464">
        <v>30</v>
      </c>
      <c r="F66" s="459">
        <v>30</v>
      </c>
      <c r="G66" s="207">
        <v>30</v>
      </c>
      <c r="H66" s="207">
        <f t="shared" si="0"/>
        <v>0</v>
      </c>
      <c r="I66" s="203" t="s">
        <v>451</v>
      </c>
      <c r="J66" s="203" t="s">
        <v>452</v>
      </c>
      <c r="K66" s="203" t="s">
        <v>452</v>
      </c>
      <c r="L66" s="203" t="s">
        <v>451</v>
      </c>
      <c r="M66" s="203"/>
      <c r="N66" s="203"/>
      <c r="O66" s="203"/>
      <c r="P66" s="276"/>
      <c r="Q66" s="265"/>
      <c r="R66" s="265"/>
      <c r="S66" s="265"/>
      <c r="T66" s="265"/>
      <c r="U66" s="265"/>
      <c r="V66" s="265"/>
      <c r="W66" s="267"/>
    </row>
    <row r="67" spans="1:23" ht="18" customHeight="1">
      <c r="A67" s="341">
        <f t="shared" si="1"/>
        <v>63</v>
      </c>
      <c r="B67" s="202" t="s">
        <v>679</v>
      </c>
      <c r="C67" s="202" t="s">
        <v>679</v>
      </c>
      <c r="D67" s="461" t="s">
        <v>79</v>
      </c>
      <c r="E67" s="464">
        <v>38</v>
      </c>
      <c r="F67" s="459">
        <v>38</v>
      </c>
      <c r="G67" s="207">
        <v>38</v>
      </c>
      <c r="H67" s="207">
        <f t="shared" si="0"/>
        <v>0</v>
      </c>
      <c r="I67" s="203" t="s">
        <v>511</v>
      </c>
      <c r="J67" s="203" t="s">
        <v>712</v>
      </c>
      <c r="K67" s="203" t="s">
        <v>712</v>
      </c>
      <c r="L67" s="203" t="s">
        <v>511</v>
      </c>
      <c r="M67" s="203"/>
      <c r="N67" s="203"/>
      <c r="O67" s="203"/>
      <c r="P67" s="276"/>
      <c r="Q67" s="265"/>
      <c r="R67" s="265"/>
      <c r="S67" s="265"/>
      <c r="T67" s="265"/>
      <c r="U67" s="265"/>
      <c r="V67" s="265"/>
      <c r="W67" s="267"/>
    </row>
    <row r="68" spans="1:23" ht="18" customHeight="1">
      <c r="A68" s="341">
        <f t="shared" si="1"/>
        <v>64</v>
      </c>
      <c r="B68" s="202" t="s">
        <v>680</v>
      </c>
      <c r="C68" s="202" t="s">
        <v>680</v>
      </c>
      <c r="D68" s="461" t="s">
        <v>81</v>
      </c>
      <c r="E68" s="464">
        <v>77</v>
      </c>
      <c r="F68" s="459">
        <v>77</v>
      </c>
      <c r="G68" s="207">
        <v>77</v>
      </c>
      <c r="H68" s="207">
        <f t="shared" si="0"/>
        <v>0</v>
      </c>
      <c r="I68" s="203" t="s">
        <v>511</v>
      </c>
      <c r="J68" s="203" t="s">
        <v>712</v>
      </c>
      <c r="K68" s="203" t="s">
        <v>712</v>
      </c>
      <c r="L68" s="203" t="s">
        <v>511</v>
      </c>
      <c r="M68" s="203"/>
      <c r="N68" s="203"/>
      <c r="O68" s="203"/>
      <c r="P68" s="276"/>
      <c r="Q68" s="265"/>
      <c r="R68" s="265"/>
      <c r="S68" s="265"/>
      <c r="T68" s="265"/>
      <c r="U68" s="265"/>
      <c r="V68" s="265"/>
      <c r="W68" s="267"/>
    </row>
    <row r="69" spans="1:23" ht="18" customHeight="1">
      <c r="A69" s="341">
        <f t="shared" si="1"/>
        <v>65</v>
      </c>
      <c r="B69" s="202" t="s">
        <v>681</v>
      </c>
      <c r="C69" s="202" t="s">
        <v>681</v>
      </c>
      <c r="D69" s="461" t="s">
        <v>81</v>
      </c>
      <c r="E69" s="464">
        <v>77</v>
      </c>
      <c r="F69" s="459">
        <v>77</v>
      </c>
      <c r="G69" s="207">
        <v>77</v>
      </c>
      <c r="H69" s="207">
        <f t="shared" si="0"/>
        <v>0</v>
      </c>
      <c r="I69" s="203" t="s">
        <v>451</v>
      </c>
      <c r="J69" s="203" t="s">
        <v>452</v>
      </c>
      <c r="K69" s="203" t="s">
        <v>452</v>
      </c>
      <c r="L69" s="203" t="s">
        <v>451</v>
      </c>
      <c r="M69" s="203"/>
      <c r="N69" s="203"/>
      <c r="O69" s="203"/>
      <c r="P69" s="276"/>
      <c r="Q69" s="265"/>
      <c r="R69" s="265"/>
      <c r="S69" s="265"/>
      <c r="T69" s="265"/>
      <c r="U69" s="265"/>
      <c r="V69" s="265"/>
      <c r="W69" s="267"/>
    </row>
    <row r="70" spans="1:23" ht="18" customHeight="1">
      <c r="A70" s="341">
        <f t="shared" si="1"/>
        <v>66</v>
      </c>
      <c r="B70" s="202" t="s">
        <v>682</v>
      </c>
      <c r="C70" s="202" t="s">
        <v>682</v>
      </c>
      <c r="D70" s="461" t="s">
        <v>79</v>
      </c>
      <c r="E70" s="464">
        <v>691</v>
      </c>
      <c r="F70" s="459">
        <v>691</v>
      </c>
      <c r="G70" s="207">
        <v>691</v>
      </c>
      <c r="H70" s="207">
        <f t="shared" ref="H70:H133" si="2">G70-F70</f>
        <v>0</v>
      </c>
      <c r="I70" s="203" t="s">
        <v>511</v>
      </c>
      <c r="J70" s="203" t="s">
        <v>715</v>
      </c>
      <c r="K70" s="203" t="s">
        <v>715</v>
      </c>
      <c r="L70" s="203" t="s">
        <v>511</v>
      </c>
      <c r="M70" s="203"/>
      <c r="N70" s="203"/>
      <c r="O70" s="203"/>
      <c r="P70" s="276"/>
      <c r="Q70" s="265"/>
      <c r="R70" s="265"/>
      <c r="S70" s="265"/>
      <c r="T70" s="265"/>
      <c r="U70" s="265"/>
      <c r="V70" s="265"/>
      <c r="W70" s="267"/>
    </row>
    <row r="71" spans="1:23" ht="18" customHeight="1">
      <c r="A71" s="341">
        <f t="shared" ref="A71:A117" si="3">A70+1</f>
        <v>67</v>
      </c>
      <c r="B71" s="202" t="s">
        <v>683</v>
      </c>
      <c r="C71" s="202" t="s">
        <v>683</v>
      </c>
      <c r="D71" s="461" t="s">
        <v>79</v>
      </c>
      <c r="E71" s="464">
        <v>10</v>
      </c>
      <c r="F71" s="459">
        <v>10</v>
      </c>
      <c r="G71" s="207">
        <v>10</v>
      </c>
      <c r="H71" s="207">
        <f t="shared" si="2"/>
        <v>0</v>
      </c>
      <c r="I71" s="203" t="s">
        <v>511</v>
      </c>
      <c r="J71" s="203" t="s">
        <v>715</v>
      </c>
      <c r="K71" s="203" t="s">
        <v>715</v>
      </c>
      <c r="L71" s="203" t="s">
        <v>511</v>
      </c>
      <c r="M71" s="203"/>
      <c r="N71" s="203"/>
      <c r="O71" s="203"/>
      <c r="P71" s="276"/>
      <c r="Q71" s="265"/>
      <c r="R71" s="265"/>
      <c r="S71" s="265"/>
      <c r="T71" s="265"/>
      <c r="U71" s="265"/>
      <c r="V71" s="265"/>
      <c r="W71" s="267"/>
    </row>
    <row r="72" spans="1:23" ht="18" customHeight="1">
      <c r="A72" s="341">
        <f t="shared" si="3"/>
        <v>68</v>
      </c>
      <c r="B72" s="202" t="s">
        <v>684</v>
      </c>
      <c r="C72" s="202" t="s">
        <v>684</v>
      </c>
      <c r="D72" s="461" t="s">
        <v>79</v>
      </c>
      <c r="E72" s="464">
        <v>231</v>
      </c>
      <c r="F72" s="459">
        <v>231</v>
      </c>
      <c r="G72" s="207">
        <v>231</v>
      </c>
      <c r="H72" s="207">
        <f t="shared" si="2"/>
        <v>0</v>
      </c>
      <c r="I72" s="203" t="s">
        <v>451</v>
      </c>
      <c r="J72" s="203" t="s">
        <v>452</v>
      </c>
      <c r="K72" s="203" t="s">
        <v>452</v>
      </c>
      <c r="L72" s="203" t="s">
        <v>451</v>
      </c>
      <c r="M72" s="203"/>
      <c r="N72" s="203"/>
      <c r="O72" s="203"/>
      <c r="P72" s="276"/>
      <c r="Q72" s="265"/>
      <c r="R72" s="265"/>
      <c r="S72" s="265"/>
      <c r="T72" s="265"/>
      <c r="U72" s="265"/>
      <c r="V72" s="265"/>
      <c r="W72" s="267"/>
    </row>
    <row r="73" spans="1:23" ht="18" customHeight="1">
      <c r="A73" s="341">
        <f t="shared" si="3"/>
        <v>69</v>
      </c>
      <c r="B73" s="202" t="s">
        <v>685</v>
      </c>
      <c r="C73" s="202" t="s">
        <v>685</v>
      </c>
      <c r="D73" s="461" t="s">
        <v>79</v>
      </c>
      <c r="E73" s="464">
        <v>241</v>
      </c>
      <c r="F73" s="459">
        <v>232</v>
      </c>
      <c r="G73" s="207">
        <v>232</v>
      </c>
      <c r="H73" s="207">
        <f t="shared" si="2"/>
        <v>0</v>
      </c>
      <c r="I73" s="203" t="s">
        <v>451</v>
      </c>
      <c r="J73" s="203" t="s">
        <v>452</v>
      </c>
      <c r="K73" s="203" t="s">
        <v>452</v>
      </c>
      <c r="L73" s="203" t="s">
        <v>451</v>
      </c>
      <c r="M73" s="203"/>
      <c r="N73" s="203"/>
      <c r="O73" s="203"/>
      <c r="P73" s="276"/>
      <c r="Q73" s="265"/>
      <c r="R73" s="265"/>
      <c r="S73" s="265"/>
      <c r="T73" s="265"/>
      <c r="U73" s="265"/>
      <c r="V73" s="265"/>
      <c r="W73" s="267"/>
    </row>
    <row r="74" spans="1:23" ht="18" customHeight="1">
      <c r="A74" s="341">
        <f t="shared" si="3"/>
        <v>70</v>
      </c>
      <c r="B74" s="202" t="s">
        <v>686</v>
      </c>
      <c r="C74" s="202" t="s">
        <v>686</v>
      </c>
      <c r="D74" s="461" t="s">
        <v>79</v>
      </c>
      <c r="E74" s="464">
        <v>46</v>
      </c>
      <c r="F74" s="459">
        <v>46</v>
      </c>
      <c r="G74" s="207">
        <v>46</v>
      </c>
      <c r="H74" s="207">
        <f t="shared" si="2"/>
        <v>0</v>
      </c>
      <c r="I74" s="203" t="s">
        <v>511</v>
      </c>
      <c r="J74" s="203" t="s">
        <v>715</v>
      </c>
      <c r="K74" s="203" t="s">
        <v>715</v>
      </c>
      <c r="L74" s="203" t="s">
        <v>511</v>
      </c>
      <c r="M74" s="203"/>
      <c r="N74" s="203"/>
      <c r="O74" s="203"/>
      <c r="P74" s="276"/>
      <c r="Q74" s="265"/>
      <c r="R74" s="265"/>
      <c r="S74" s="265"/>
      <c r="T74" s="265"/>
      <c r="U74" s="265"/>
      <c r="V74" s="265"/>
      <c r="W74" s="267"/>
    </row>
    <row r="75" spans="1:23" ht="18" customHeight="1">
      <c r="A75" s="341">
        <f t="shared" si="3"/>
        <v>71</v>
      </c>
      <c r="B75" s="202" t="s">
        <v>687</v>
      </c>
      <c r="C75" s="202" t="s">
        <v>687</v>
      </c>
      <c r="D75" s="461" t="s">
        <v>79</v>
      </c>
      <c r="E75" s="464">
        <v>221</v>
      </c>
      <c r="F75" s="459">
        <v>194</v>
      </c>
      <c r="G75" s="207">
        <v>194</v>
      </c>
      <c r="H75" s="207">
        <f t="shared" si="2"/>
        <v>0</v>
      </c>
      <c r="I75" s="203" t="s">
        <v>511</v>
      </c>
      <c r="J75" s="203" t="s">
        <v>715</v>
      </c>
      <c r="K75" s="203" t="s">
        <v>715</v>
      </c>
      <c r="L75" s="203" t="s">
        <v>511</v>
      </c>
      <c r="M75" s="203"/>
      <c r="N75" s="203"/>
      <c r="O75" s="203"/>
      <c r="P75" s="276"/>
      <c r="Q75" s="265"/>
      <c r="R75" s="265"/>
      <c r="S75" s="265"/>
      <c r="T75" s="265"/>
      <c r="U75" s="265"/>
      <c r="V75" s="265"/>
      <c r="W75" s="267"/>
    </row>
    <row r="76" spans="1:23" ht="18" customHeight="1">
      <c r="A76" s="341">
        <f t="shared" si="3"/>
        <v>72</v>
      </c>
      <c r="B76" s="202" t="s">
        <v>688</v>
      </c>
      <c r="C76" s="202" t="s">
        <v>688</v>
      </c>
      <c r="D76" s="461" t="s">
        <v>79</v>
      </c>
      <c r="E76" s="464">
        <v>737</v>
      </c>
      <c r="F76" s="459">
        <v>217</v>
      </c>
      <c r="G76" s="207">
        <v>217</v>
      </c>
      <c r="H76" s="207">
        <f t="shared" si="2"/>
        <v>0</v>
      </c>
      <c r="I76" s="203" t="s">
        <v>511</v>
      </c>
      <c r="J76" s="203" t="s">
        <v>715</v>
      </c>
      <c r="K76" s="203" t="s">
        <v>715</v>
      </c>
      <c r="L76" s="203" t="s">
        <v>511</v>
      </c>
      <c r="M76" s="203"/>
      <c r="N76" s="203"/>
      <c r="O76" s="203"/>
      <c r="P76" s="276"/>
      <c r="Q76" s="265"/>
      <c r="R76" s="265"/>
      <c r="S76" s="265"/>
      <c r="T76" s="265"/>
      <c r="U76" s="265"/>
      <c r="V76" s="265"/>
      <c r="W76" s="267"/>
    </row>
    <row r="77" spans="1:23" ht="18" customHeight="1">
      <c r="A77" s="341">
        <f t="shared" si="3"/>
        <v>73</v>
      </c>
      <c r="B77" s="202" t="s">
        <v>689</v>
      </c>
      <c r="C77" s="202" t="s">
        <v>689</v>
      </c>
      <c r="D77" s="461" t="s">
        <v>79</v>
      </c>
      <c r="E77" s="464">
        <v>2</v>
      </c>
      <c r="F77" s="459">
        <v>2</v>
      </c>
      <c r="G77" s="207">
        <v>2</v>
      </c>
      <c r="H77" s="207">
        <f t="shared" si="2"/>
        <v>0</v>
      </c>
      <c r="I77" s="203" t="s">
        <v>451</v>
      </c>
      <c r="J77" s="203" t="s">
        <v>452</v>
      </c>
      <c r="K77" s="203" t="s">
        <v>452</v>
      </c>
      <c r="L77" s="203" t="s">
        <v>451</v>
      </c>
      <c r="M77" s="203"/>
      <c r="N77" s="203"/>
      <c r="O77" s="203"/>
      <c r="P77" s="276"/>
      <c r="Q77" s="265"/>
      <c r="R77" s="265"/>
      <c r="S77" s="265"/>
      <c r="T77" s="265"/>
      <c r="U77" s="265"/>
      <c r="V77" s="265"/>
      <c r="W77" s="267"/>
    </row>
    <row r="78" spans="1:23" ht="18" customHeight="1">
      <c r="A78" s="341">
        <f t="shared" si="3"/>
        <v>74</v>
      </c>
      <c r="B78" s="202" t="s">
        <v>690</v>
      </c>
      <c r="C78" s="202" t="s">
        <v>690</v>
      </c>
      <c r="D78" s="461" t="s">
        <v>90</v>
      </c>
      <c r="E78" s="464">
        <v>566</v>
      </c>
      <c r="F78" s="459">
        <v>426</v>
      </c>
      <c r="G78" s="207">
        <v>426</v>
      </c>
      <c r="H78" s="207">
        <f t="shared" si="2"/>
        <v>0</v>
      </c>
      <c r="I78" s="203" t="s">
        <v>451</v>
      </c>
      <c r="J78" s="203" t="s">
        <v>452</v>
      </c>
      <c r="K78" s="203" t="s">
        <v>452</v>
      </c>
      <c r="L78" s="203" t="s">
        <v>451</v>
      </c>
      <c r="M78" s="203"/>
      <c r="N78" s="203"/>
      <c r="O78" s="203"/>
      <c r="P78" s="276"/>
      <c r="Q78" s="265"/>
      <c r="R78" s="265"/>
      <c r="S78" s="265"/>
      <c r="T78" s="265"/>
      <c r="U78" s="265"/>
      <c r="V78" s="265"/>
      <c r="W78" s="267"/>
    </row>
    <row r="79" spans="1:23" ht="18" customHeight="1">
      <c r="A79" s="341">
        <f t="shared" si="3"/>
        <v>75</v>
      </c>
      <c r="B79" s="202" t="s">
        <v>691</v>
      </c>
      <c r="C79" s="202" t="s">
        <v>691</v>
      </c>
      <c r="D79" s="461" t="s">
        <v>90</v>
      </c>
      <c r="E79" s="464">
        <v>195</v>
      </c>
      <c r="F79" s="459">
        <v>195</v>
      </c>
      <c r="G79" s="207">
        <v>195</v>
      </c>
      <c r="H79" s="207">
        <f t="shared" si="2"/>
        <v>0</v>
      </c>
      <c r="I79" s="203" t="s">
        <v>451</v>
      </c>
      <c r="J79" s="203" t="s">
        <v>452</v>
      </c>
      <c r="K79" s="203" t="s">
        <v>452</v>
      </c>
      <c r="L79" s="203" t="s">
        <v>451</v>
      </c>
      <c r="M79" s="203"/>
      <c r="N79" s="203"/>
      <c r="O79" s="203"/>
      <c r="P79" s="276"/>
      <c r="Q79" s="265"/>
      <c r="R79" s="265"/>
      <c r="S79" s="265"/>
      <c r="T79" s="265"/>
      <c r="U79" s="265"/>
      <c r="V79" s="265"/>
      <c r="W79" s="267"/>
    </row>
    <row r="80" spans="1:23" ht="18" customHeight="1">
      <c r="A80" s="341">
        <f t="shared" si="3"/>
        <v>76</v>
      </c>
      <c r="B80" s="202" t="s">
        <v>692</v>
      </c>
      <c r="C80" s="202" t="s">
        <v>692</v>
      </c>
      <c r="D80" s="461" t="s">
        <v>90</v>
      </c>
      <c r="E80" s="464">
        <v>76</v>
      </c>
      <c r="F80" s="459">
        <v>65</v>
      </c>
      <c r="G80" s="207">
        <v>65</v>
      </c>
      <c r="H80" s="207">
        <f t="shared" si="2"/>
        <v>0</v>
      </c>
      <c r="I80" s="203" t="s">
        <v>451</v>
      </c>
      <c r="J80" s="203" t="s">
        <v>452</v>
      </c>
      <c r="K80" s="203" t="s">
        <v>452</v>
      </c>
      <c r="L80" s="203" t="s">
        <v>451</v>
      </c>
      <c r="M80" s="203"/>
      <c r="N80" s="203"/>
      <c r="O80" s="203"/>
      <c r="P80" s="276"/>
      <c r="Q80" s="265"/>
      <c r="R80" s="265"/>
      <c r="S80" s="265"/>
      <c r="T80" s="265"/>
      <c r="U80" s="265"/>
      <c r="V80" s="265"/>
      <c r="W80" s="267"/>
    </row>
    <row r="81" spans="1:23" ht="18" customHeight="1">
      <c r="A81" s="341">
        <f t="shared" si="3"/>
        <v>77</v>
      </c>
      <c r="B81" s="202" t="s">
        <v>693</v>
      </c>
      <c r="C81" s="202" t="s">
        <v>693</v>
      </c>
      <c r="D81" s="461" t="s">
        <v>79</v>
      </c>
      <c r="E81" s="464">
        <v>46</v>
      </c>
      <c r="F81" s="459">
        <v>46</v>
      </c>
      <c r="G81" s="207">
        <v>46</v>
      </c>
      <c r="H81" s="207">
        <f t="shared" si="2"/>
        <v>0</v>
      </c>
      <c r="I81" s="203" t="s">
        <v>511</v>
      </c>
      <c r="J81" s="203" t="s">
        <v>715</v>
      </c>
      <c r="K81" s="203" t="s">
        <v>715</v>
      </c>
      <c r="L81" s="203" t="s">
        <v>511</v>
      </c>
      <c r="M81" s="203"/>
      <c r="N81" s="203"/>
      <c r="O81" s="203"/>
      <c r="P81" s="276"/>
      <c r="Q81" s="265"/>
      <c r="R81" s="265"/>
      <c r="S81" s="265"/>
      <c r="T81" s="265"/>
      <c r="U81" s="265"/>
      <c r="V81" s="265"/>
      <c r="W81" s="267"/>
    </row>
    <row r="82" spans="1:23" ht="18" customHeight="1">
      <c r="A82" s="341">
        <f t="shared" si="3"/>
        <v>78</v>
      </c>
      <c r="B82" s="202" t="s">
        <v>694</v>
      </c>
      <c r="C82" s="202" t="s">
        <v>694</v>
      </c>
      <c r="D82" s="461" t="s">
        <v>79</v>
      </c>
      <c r="E82" s="464">
        <v>207</v>
      </c>
      <c r="F82" s="459">
        <v>207</v>
      </c>
      <c r="G82" s="207">
        <v>207</v>
      </c>
      <c r="H82" s="207">
        <f t="shared" si="2"/>
        <v>0</v>
      </c>
      <c r="I82" s="203" t="s">
        <v>451</v>
      </c>
      <c r="J82" s="203" t="s">
        <v>452</v>
      </c>
      <c r="K82" s="203" t="s">
        <v>452</v>
      </c>
      <c r="L82" s="203" t="s">
        <v>451</v>
      </c>
      <c r="M82" s="203"/>
      <c r="N82" s="203"/>
      <c r="O82" s="203"/>
      <c r="P82" s="276"/>
      <c r="Q82" s="265"/>
      <c r="R82" s="265"/>
      <c r="S82" s="265"/>
      <c r="T82" s="265"/>
      <c r="U82" s="265"/>
      <c r="V82" s="265"/>
      <c r="W82" s="267"/>
    </row>
    <row r="83" spans="1:23" ht="18" customHeight="1">
      <c r="A83" s="341">
        <f t="shared" si="3"/>
        <v>79</v>
      </c>
      <c r="B83" s="202" t="s">
        <v>695</v>
      </c>
      <c r="C83" s="202" t="s">
        <v>695</v>
      </c>
      <c r="D83" s="461" t="s">
        <v>90</v>
      </c>
      <c r="E83" s="464">
        <v>179</v>
      </c>
      <c r="F83" s="459">
        <v>179</v>
      </c>
      <c r="G83" s="207">
        <v>179</v>
      </c>
      <c r="H83" s="207">
        <f t="shared" si="2"/>
        <v>0</v>
      </c>
      <c r="I83" s="203" t="s">
        <v>451</v>
      </c>
      <c r="J83" s="203" t="s">
        <v>452</v>
      </c>
      <c r="K83" s="203" t="s">
        <v>452</v>
      </c>
      <c r="L83" s="203" t="s">
        <v>451</v>
      </c>
      <c r="M83" s="203"/>
      <c r="N83" s="203"/>
      <c r="O83" s="203"/>
      <c r="P83" s="276"/>
      <c r="Q83" s="265"/>
      <c r="R83" s="265"/>
      <c r="S83" s="265"/>
      <c r="T83" s="265"/>
      <c r="U83" s="265"/>
      <c r="V83" s="265"/>
      <c r="W83" s="267"/>
    </row>
    <row r="84" spans="1:23" ht="18" customHeight="1">
      <c r="A84" s="341">
        <f t="shared" si="3"/>
        <v>80</v>
      </c>
      <c r="B84" s="202" t="s">
        <v>696</v>
      </c>
      <c r="C84" s="202" t="s">
        <v>696</v>
      </c>
      <c r="D84" s="461" t="s">
        <v>79</v>
      </c>
      <c r="E84" s="464">
        <v>541</v>
      </c>
      <c r="F84" s="459">
        <v>541</v>
      </c>
      <c r="G84" s="207">
        <v>541</v>
      </c>
      <c r="H84" s="207">
        <f t="shared" si="2"/>
        <v>0</v>
      </c>
      <c r="I84" s="203" t="s">
        <v>451</v>
      </c>
      <c r="J84" s="203" t="s">
        <v>452</v>
      </c>
      <c r="K84" s="203" t="s">
        <v>452</v>
      </c>
      <c r="L84" s="203" t="s">
        <v>451</v>
      </c>
      <c r="M84" s="203"/>
      <c r="N84" s="203"/>
      <c r="O84" s="203"/>
      <c r="P84" s="276"/>
      <c r="Q84" s="265"/>
      <c r="R84" s="265"/>
      <c r="S84" s="265"/>
      <c r="T84" s="265"/>
      <c r="U84" s="265"/>
      <c r="V84" s="265"/>
      <c r="W84" s="267"/>
    </row>
    <row r="85" spans="1:23" ht="18" customHeight="1">
      <c r="A85" s="341">
        <f t="shared" si="3"/>
        <v>81</v>
      </c>
      <c r="B85" s="202" t="s">
        <v>697</v>
      </c>
      <c r="C85" s="202" t="s">
        <v>697</v>
      </c>
      <c r="D85" s="461" t="s">
        <v>90</v>
      </c>
      <c r="E85" s="464">
        <v>99</v>
      </c>
      <c r="F85" s="459">
        <v>99</v>
      </c>
      <c r="G85" s="207">
        <v>99</v>
      </c>
      <c r="H85" s="207">
        <f t="shared" si="2"/>
        <v>0</v>
      </c>
      <c r="I85" s="203" t="s">
        <v>511</v>
      </c>
      <c r="J85" s="203" t="s">
        <v>715</v>
      </c>
      <c r="K85" s="203" t="s">
        <v>715</v>
      </c>
      <c r="L85" s="203" t="s">
        <v>511</v>
      </c>
      <c r="M85" s="203"/>
      <c r="N85" s="203"/>
      <c r="O85" s="203"/>
      <c r="P85" s="276"/>
      <c r="Q85" s="265"/>
      <c r="R85" s="265"/>
      <c r="S85" s="265"/>
      <c r="T85" s="265"/>
      <c r="U85" s="265"/>
      <c r="V85" s="265"/>
      <c r="W85" s="267"/>
    </row>
    <row r="86" spans="1:23" ht="18" customHeight="1">
      <c r="A86" s="341">
        <f t="shared" si="3"/>
        <v>82</v>
      </c>
      <c r="B86" s="202" t="s">
        <v>698</v>
      </c>
      <c r="C86" s="202" t="s">
        <v>698</v>
      </c>
      <c r="D86" s="461" t="s">
        <v>79</v>
      </c>
      <c r="E86" s="464">
        <v>21</v>
      </c>
      <c r="F86" s="459">
        <v>21</v>
      </c>
      <c r="G86" s="207">
        <v>21</v>
      </c>
      <c r="H86" s="207">
        <f t="shared" si="2"/>
        <v>0</v>
      </c>
      <c r="I86" s="203" t="s">
        <v>451</v>
      </c>
      <c r="J86" s="203" t="s">
        <v>452</v>
      </c>
      <c r="K86" s="203" t="s">
        <v>452</v>
      </c>
      <c r="L86" s="203" t="s">
        <v>451</v>
      </c>
      <c r="M86" s="203"/>
      <c r="N86" s="203"/>
      <c r="O86" s="203"/>
      <c r="P86" s="276"/>
      <c r="Q86" s="265"/>
      <c r="R86" s="265"/>
      <c r="S86" s="265"/>
      <c r="T86" s="265"/>
      <c r="U86" s="265"/>
      <c r="V86" s="265"/>
      <c r="W86" s="267"/>
    </row>
    <row r="87" spans="1:23" ht="18" customHeight="1">
      <c r="A87" s="341">
        <f t="shared" si="3"/>
        <v>83</v>
      </c>
      <c r="B87" s="202" t="s">
        <v>699</v>
      </c>
      <c r="C87" s="202" t="s">
        <v>699</v>
      </c>
      <c r="D87" s="461" t="s">
        <v>79</v>
      </c>
      <c r="E87" s="464">
        <v>322</v>
      </c>
      <c r="F87" s="459">
        <v>322</v>
      </c>
      <c r="G87" s="207">
        <v>322</v>
      </c>
      <c r="H87" s="207">
        <f t="shared" si="2"/>
        <v>0</v>
      </c>
      <c r="I87" s="203" t="s">
        <v>451</v>
      </c>
      <c r="J87" s="203" t="s">
        <v>452</v>
      </c>
      <c r="K87" s="203" t="s">
        <v>452</v>
      </c>
      <c r="L87" s="203" t="s">
        <v>451</v>
      </c>
      <c r="M87" s="203"/>
      <c r="N87" s="203"/>
      <c r="O87" s="203"/>
      <c r="P87" s="276"/>
      <c r="Q87" s="265"/>
      <c r="R87" s="265"/>
      <c r="S87" s="265"/>
      <c r="T87" s="265"/>
      <c r="U87" s="265"/>
      <c r="V87" s="265"/>
      <c r="W87" s="267"/>
    </row>
    <row r="88" spans="1:23" ht="18" customHeight="1">
      <c r="A88" s="341">
        <f t="shared" si="3"/>
        <v>84</v>
      </c>
      <c r="B88" s="202" t="s">
        <v>700</v>
      </c>
      <c r="C88" s="202" t="s">
        <v>700</v>
      </c>
      <c r="D88" s="461" t="s">
        <v>90</v>
      </c>
      <c r="E88" s="464">
        <v>553</v>
      </c>
      <c r="F88" s="459">
        <v>553</v>
      </c>
      <c r="G88" s="207">
        <v>553</v>
      </c>
      <c r="H88" s="207">
        <f t="shared" si="2"/>
        <v>0</v>
      </c>
      <c r="I88" s="203" t="s">
        <v>451</v>
      </c>
      <c r="J88" s="203" t="s">
        <v>452</v>
      </c>
      <c r="K88" s="203" t="s">
        <v>452</v>
      </c>
      <c r="L88" s="203" t="s">
        <v>451</v>
      </c>
      <c r="M88" s="203"/>
      <c r="N88" s="203"/>
      <c r="O88" s="203"/>
      <c r="P88" s="276"/>
      <c r="Q88" s="265"/>
      <c r="R88" s="265"/>
      <c r="S88" s="265"/>
      <c r="T88" s="265"/>
      <c r="U88" s="265"/>
      <c r="V88" s="265"/>
      <c r="W88" s="267"/>
    </row>
    <row r="89" spans="1:23" ht="18" customHeight="1">
      <c r="A89" s="341">
        <f t="shared" si="3"/>
        <v>85</v>
      </c>
      <c r="B89" s="202" t="s">
        <v>701</v>
      </c>
      <c r="C89" s="202" t="s">
        <v>701</v>
      </c>
      <c r="D89" s="461" t="s">
        <v>90</v>
      </c>
      <c r="E89" s="464">
        <v>105</v>
      </c>
      <c r="F89" s="459">
        <v>105</v>
      </c>
      <c r="G89" s="207">
        <v>105</v>
      </c>
      <c r="H89" s="207">
        <f t="shared" si="2"/>
        <v>0</v>
      </c>
      <c r="I89" s="203" t="s">
        <v>451</v>
      </c>
      <c r="J89" s="203" t="s">
        <v>452</v>
      </c>
      <c r="K89" s="203" t="s">
        <v>452</v>
      </c>
      <c r="L89" s="203" t="s">
        <v>451</v>
      </c>
      <c r="M89" s="203"/>
      <c r="N89" s="203"/>
      <c r="O89" s="203"/>
      <c r="P89" s="276"/>
      <c r="Q89" s="265"/>
      <c r="R89" s="265"/>
      <c r="S89" s="265"/>
      <c r="T89" s="265"/>
      <c r="U89" s="265"/>
      <c r="V89" s="265"/>
      <c r="W89" s="267"/>
    </row>
    <row r="90" spans="1:23" ht="18" customHeight="1">
      <c r="A90" s="341">
        <f t="shared" si="3"/>
        <v>86</v>
      </c>
      <c r="B90" s="202" t="s">
        <v>702</v>
      </c>
      <c r="C90" s="202" t="s">
        <v>702</v>
      </c>
      <c r="D90" s="461" t="s">
        <v>79</v>
      </c>
      <c r="E90" s="464">
        <v>228</v>
      </c>
      <c r="F90" s="459">
        <v>176</v>
      </c>
      <c r="G90" s="207">
        <v>176</v>
      </c>
      <c r="H90" s="207">
        <f t="shared" si="2"/>
        <v>0</v>
      </c>
      <c r="I90" s="203" t="s">
        <v>511</v>
      </c>
      <c r="J90" s="203" t="s">
        <v>715</v>
      </c>
      <c r="K90" s="203" t="s">
        <v>715</v>
      </c>
      <c r="L90" s="203" t="s">
        <v>511</v>
      </c>
      <c r="M90" s="203"/>
      <c r="N90" s="203"/>
      <c r="O90" s="203"/>
      <c r="P90" s="276"/>
      <c r="Q90" s="265"/>
      <c r="R90" s="265"/>
      <c r="S90" s="265"/>
      <c r="T90" s="265"/>
      <c r="U90" s="265"/>
      <c r="V90" s="265"/>
      <c r="W90" s="267"/>
    </row>
    <row r="91" spans="1:23" ht="18" customHeight="1">
      <c r="A91" s="341">
        <f t="shared" si="3"/>
        <v>87</v>
      </c>
      <c r="B91" s="202" t="s">
        <v>703</v>
      </c>
      <c r="C91" s="202" t="s">
        <v>703</v>
      </c>
      <c r="D91" s="461" t="s">
        <v>79</v>
      </c>
      <c r="E91" s="464">
        <v>350</v>
      </c>
      <c r="F91" s="459">
        <v>350</v>
      </c>
      <c r="G91" s="207">
        <v>350</v>
      </c>
      <c r="H91" s="207">
        <f t="shared" si="2"/>
        <v>0</v>
      </c>
      <c r="I91" s="203" t="s">
        <v>451</v>
      </c>
      <c r="J91" s="203" t="s">
        <v>452</v>
      </c>
      <c r="K91" s="203" t="s">
        <v>452</v>
      </c>
      <c r="L91" s="203" t="s">
        <v>451</v>
      </c>
      <c r="M91" s="203"/>
      <c r="N91" s="203"/>
      <c r="O91" s="203"/>
      <c r="P91" s="276"/>
      <c r="Q91" s="265"/>
      <c r="R91" s="265"/>
      <c r="S91" s="265"/>
      <c r="T91" s="265"/>
      <c r="U91" s="265"/>
      <c r="V91" s="265"/>
      <c r="W91" s="267"/>
    </row>
    <row r="92" spans="1:23" ht="18" customHeight="1">
      <c r="A92" s="341">
        <f t="shared" si="3"/>
        <v>88</v>
      </c>
      <c r="B92" s="202" t="s">
        <v>704</v>
      </c>
      <c r="C92" s="202" t="s">
        <v>704</v>
      </c>
      <c r="D92" s="461" t="s">
        <v>90</v>
      </c>
      <c r="E92" s="464">
        <v>296</v>
      </c>
      <c r="F92" s="459">
        <v>296</v>
      </c>
      <c r="G92" s="207">
        <v>296</v>
      </c>
      <c r="H92" s="207">
        <f t="shared" si="2"/>
        <v>0</v>
      </c>
      <c r="I92" s="203" t="s">
        <v>451</v>
      </c>
      <c r="J92" s="203" t="s">
        <v>452</v>
      </c>
      <c r="K92" s="203" t="s">
        <v>452</v>
      </c>
      <c r="L92" s="203" t="s">
        <v>451</v>
      </c>
      <c r="M92" s="203"/>
      <c r="N92" s="203"/>
      <c r="O92" s="203"/>
      <c r="P92" s="276"/>
      <c r="Q92" s="265"/>
      <c r="R92" s="265"/>
      <c r="S92" s="265"/>
      <c r="T92" s="265"/>
      <c r="U92" s="265"/>
      <c r="V92" s="265"/>
      <c r="W92" s="267"/>
    </row>
    <row r="93" spans="1:23" ht="18" customHeight="1">
      <c r="A93" s="341">
        <f t="shared" si="3"/>
        <v>89</v>
      </c>
      <c r="B93" s="202" t="s">
        <v>705</v>
      </c>
      <c r="C93" s="202" t="s">
        <v>705</v>
      </c>
      <c r="D93" s="461" t="s">
        <v>79</v>
      </c>
      <c r="E93" s="464">
        <v>241</v>
      </c>
      <c r="F93" s="459">
        <v>225</v>
      </c>
      <c r="G93" s="207">
        <v>225</v>
      </c>
      <c r="H93" s="207">
        <f t="shared" si="2"/>
        <v>0</v>
      </c>
      <c r="I93" s="203" t="s">
        <v>511</v>
      </c>
      <c r="J93" s="203" t="s">
        <v>715</v>
      </c>
      <c r="K93" s="203" t="s">
        <v>715</v>
      </c>
      <c r="L93" s="203" t="s">
        <v>511</v>
      </c>
      <c r="M93" s="203"/>
      <c r="N93" s="203"/>
      <c r="O93" s="203"/>
      <c r="P93" s="276"/>
      <c r="Q93" s="265"/>
      <c r="R93" s="265"/>
      <c r="S93" s="265"/>
      <c r="T93" s="265"/>
      <c r="U93" s="265"/>
      <c r="V93" s="265"/>
      <c r="W93" s="267"/>
    </row>
    <row r="94" spans="1:23" ht="18" customHeight="1">
      <c r="A94" s="341">
        <f t="shared" si="3"/>
        <v>90</v>
      </c>
      <c r="B94" s="202" t="s">
        <v>706</v>
      </c>
      <c r="C94" s="202" t="s">
        <v>706</v>
      </c>
      <c r="D94" s="461" t="s">
        <v>79</v>
      </c>
      <c r="E94" s="464">
        <v>7</v>
      </c>
      <c r="F94" s="459">
        <v>7</v>
      </c>
      <c r="G94" s="207">
        <v>7</v>
      </c>
      <c r="H94" s="207">
        <f t="shared" si="2"/>
        <v>0</v>
      </c>
      <c r="I94" s="203" t="s">
        <v>451</v>
      </c>
      <c r="J94" s="203" t="s">
        <v>452</v>
      </c>
      <c r="K94" s="203" t="s">
        <v>452</v>
      </c>
      <c r="L94" s="203" t="s">
        <v>451</v>
      </c>
      <c r="M94" s="203"/>
      <c r="N94" s="203"/>
      <c r="O94" s="203"/>
      <c r="P94" s="276"/>
      <c r="Q94" s="265"/>
      <c r="R94" s="265"/>
      <c r="S94" s="265"/>
      <c r="T94" s="265"/>
      <c r="U94" s="265"/>
      <c r="V94" s="265"/>
      <c r="W94" s="267"/>
    </row>
    <row r="95" spans="1:23" ht="18" customHeight="1">
      <c r="A95" s="341">
        <f t="shared" si="3"/>
        <v>91</v>
      </c>
      <c r="B95" s="202" t="s">
        <v>707</v>
      </c>
      <c r="C95" s="202" t="s">
        <v>707</v>
      </c>
      <c r="D95" s="461" t="s">
        <v>90</v>
      </c>
      <c r="E95" s="464">
        <v>444</v>
      </c>
      <c r="F95" s="459">
        <v>187</v>
      </c>
      <c r="G95" s="207">
        <v>187</v>
      </c>
      <c r="H95" s="207">
        <f t="shared" si="2"/>
        <v>0</v>
      </c>
      <c r="I95" s="203" t="s">
        <v>451</v>
      </c>
      <c r="J95" s="203" t="s">
        <v>452</v>
      </c>
      <c r="K95" s="203" t="s">
        <v>452</v>
      </c>
      <c r="L95" s="203" t="s">
        <v>451</v>
      </c>
      <c r="M95" s="203"/>
      <c r="N95" s="203"/>
      <c r="O95" s="203"/>
      <c r="P95" s="276"/>
      <c r="Q95" s="265"/>
      <c r="R95" s="265"/>
      <c r="S95" s="265"/>
      <c r="T95" s="265"/>
      <c r="U95" s="265"/>
      <c r="V95" s="265"/>
      <c r="W95" s="267"/>
    </row>
    <row r="96" spans="1:23" ht="18" customHeight="1">
      <c r="A96" s="341">
        <f t="shared" si="3"/>
        <v>92</v>
      </c>
      <c r="B96" s="202" t="s">
        <v>708</v>
      </c>
      <c r="C96" s="202" t="s">
        <v>708</v>
      </c>
      <c r="D96" s="461" t="s">
        <v>79</v>
      </c>
      <c r="E96" s="464">
        <v>217</v>
      </c>
      <c r="F96" s="459">
        <v>217</v>
      </c>
      <c r="G96" s="207">
        <v>217</v>
      </c>
      <c r="H96" s="207">
        <f t="shared" si="2"/>
        <v>0</v>
      </c>
      <c r="I96" s="203" t="s">
        <v>451</v>
      </c>
      <c r="J96" s="203" t="s">
        <v>452</v>
      </c>
      <c r="K96" s="203" t="s">
        <v>452</v>
      </c>
      <c r="L96" s="203" t="s">
        <v>451</v>
      </c>
      <c r="M96" s="203"/>
      <c r="N96" s="203"/>
      <c r="O96" s="203"/>
      <c r="P96" s="276"/>
      <c r="Q96" s="265"/>
      <c r="R96" s="265"/>
      <c r="S96" s="265"/>
      <c r="T96" s="265"/>
      <c r="U96" s="265"/>
      <c r="V96" s="265"/>
      <c r="W96" s="267"/>
    </row>
    <row r="97" spans="1:23" ht="18" customHeight="1">
      <c r="A97" s="341">
        <f t="shared" si="3"/>
        <v>93</v>
      </c>
      <c r="B97" s="202" t="s">
        <v>709</v>
      </c>
      <c r="C97" s="202" t="s">
        <v>709</v>
      </c>
      <c r="D97" s="461" t="s">
        <v>90</v>
      </c>
      <c r="E97" s="464">
        <v>100</v>
      </c>
      <c r="F97" s="459">
        <v>100</v>
      </c>
      <c r="G97" s="207">
        <v>100</v>
      </c>
      <c r="H97" s="207">
        <f t="shared" si="2"/>
        <v>0</v>
      </c>
      <c r="I97" s="203" t="s">
        <v>451</v>
      </c>
      <c r="J97" s="203" t="s">
        <v>452</v>
      </c>
      <c r="K97" s="203" t="s">
        <v>452</v>
      </c>
      <c r="L97" s="203" t="s">
        <v>451</v>
      </c>
      <c r="M97" s="203"/>
      <c r="N97" s="203"/>
      <c r="O97" s="203"/>
      <c r="P97" s="276"/>
      <c r="Q97" s="265"/>
      <c r="R97" s="265"/>
      <c r="S97" s="265"/>
      <c r="T97" s="265"/>
      <c r="U97" s="265"/>
      <c r="V97" s="265"/>
      <c r="W97" s="267"/>
    </row>
    <row r="98" spans="1:23" ht="18" customHeight="1">
      <c r="A98" s="341">
        <f t="shared" si="3"/>
        <v>94</v>
      </c>
      <c r="B98" s="202" t="s">
        <v>710</v>
      </c>
      <c r="C98" s="202" t="s">
        <v>710</v>
      </c>
      <c r="D98" s="461" t="s">
        <v>79</v>
      </c>
      <c r="E98" s="464">
        <v>200</v>
      </c>
      <c r="F98" s="459">
        <v>200</v>
      </c>
      <c r="G98" s="207">
        <v>200</v>
      </c>
      <c r="H98" s="207">
        <f t="shared" si="2"/>
        <v>0</v>
      </c>
      <c r="I98" s="203" t="s">
        <v>451</v>
      </c>
      <c r="J98" s="203" t="s">
        <v>452</v>
      </c>
      <c r="K98" s="203" t="s">
        <v>452</v>
      </c>
      <c r="L98" s="203" t="s">
        <v>451</v>
      </c>
      <c r="M98" s="203"/>
      <c r="N98" s="203"/>
      <c r="O98" s="203"/>
      <c r="P98" s="276"/>
      <c r="Q98" s="265"/>
      <c r="R98" s="265"/>
      <c r="S98" s="265"/>
      <c r="T98" s="265"/>
      <c r="U98" s="265"/>
      <c r="V98" s="265"/>
      <c r="W98" s="267"/>
    </row>
    <row r="99" spans="1:23" ht="18" customHeight="1">
      <c r="A99" s="341">
        <f t="shared" si="3"/>
        <v>95</v>
      </c>
      <c r="B99" s="202" t="s">
        <v>711</v>
      </c>
      <c r="C99" s="202" t="s">
        <v>711</v>
      </c>
      <c r="D99" s="461" t="s">
        <v>90</v>
      </c>
      <c r="E99" s="464">
        <v>2457</v>
      </c>
      <c r="F99" s="459">
        <v>2457</v>
      </c>
      <c r="G99" s="207">
        <v>2457</v>
      </c>
      <c r="H99" s="207">
        <f t="shared" si="2"/>
        <v>0</v>
      </c>
      <c r="I99" s="203" t="s">
        <v>451</v>
      </c>
      <c r="J99" s="203" t="s">
        <v>452</v>
      </c>
      <c r="K99" s="203" t="s">
        <v>452</v>
      </c>
      <c r="L99" s="203" t="s">
        <v>451</v>
      </c>
      <c r="M99" s="203"/>
      <c r="N99" s="203"/>
      <c r="O99" s="203"/>
      <c r="P99" s="276"/>
      <c r="Q99" s="265"/>
      <c r="R99" s="265"/>
      <c r="S99" s="265"/>
      <c r="T99" s="265"/>
      <c r="U99" s="265"/>
      <c r="V99" s="265"/>
      <c r="W99" s="267"/>
    </row>
    <row r="100" spans="1:23" ht="18" customHeight="1">
      <c r="A100" s="341">
        <f t="shared" si="3"/>
        <v>96</v>
      </c>
      <c r="B100" s="202" t="s">
        <v>454</v>
      </c>
      <c r="C100" s="202" t="s">
        <v>454</v>
      </c>
      <c r="D100" s="461" t="s">
        <v>92</v>
      </c>
      <c r="E100" s="464">
        <v>219</v>
      </c>
      <c r="F100" s="459">
        <v>212</v>
      </c>
      <c r="G100" s="207">
        <v>212</v>
      </c>
      <c r="H100" s="207">
        <f t="shared" si="2"/>
        <v>0</v>
      </c>
      <c r="I100" s="203" t="s">
        <v>451</v>
      </c>
      <c r="J100" s="203" t="s">
        <v>452</v>
      </c>
      <c r="K100" s="203" t="s">
        <v>452</v>
      </c>
      <c r="L100" s="203" t="s">
        <v>451</v>
      </c>
      <c r="M100" s="203"/>
      <c r="N100" s="203"/>
      <c r="O100" s="203"/>
      <c r="P100" s="276"/>
      <c r="Q100" s="265"/>
      <c r="R100" s="265"/>
      <c r="S100" s="265"/>
      <c r="T100" s="265"/>
      <c r="U100" s="265"/>
      <c r="V100" s="265"/>
      <c r="W100" s="267"/>
    </row>
    <row r="101" spans="1:23" s="329" customFormat="1" ht="18" customHeight="1">
      <c r="A101" s="347">
        <f t="shared" si="3"/>
        <v>97</v>
      </c>
      <c r="B101" s="348" t="s">
        <v>456</v>
      </c>
      <c r="C101" s="348" t="s">
        <v>719</v>
      </c>
      <c r="D101" s="460" t="s">
        <v>455</v>
      </c>
      <c r="E101" s="464">
        <v>43</v>
      </c>
      <c r="F101" s="457">
        <v>25</v>
      </c>
      <c r="G101" s="349">
        <v>43</v>
      </c>
      <c r="H101" s="349">
        <f t="shared" si="2"/>
        <v>18</v>
      </c>
      <c r="I101" s="350" t="s">
        <v>509</v>
      </c>
      <c r="J101" s="350" t="s">
        <v>1401</v>
      </c>
      <c r="K101" s="350" t="s">
        <v>1456</v>
      </c>
      <c r="L101" s="350" t="s">
        <v>1457</v>
      </c>
      <c r="M101" s="350"/>
      <c r="N101" s="350"/>
      <c r="O101" s="350"/>
      <c r="P101" s="351"/>
      <c r="Q101" s="327"/>
      <c r="R101" s="327"/>
      <c r="S101" s="327"/>
      <c r="T101" s="327"/>
      <c r="U101" s="327"/>
      <c r="V101" s="327"/>
      <c r="W101" s="328"/>
    </row>
    <row r="102" spans="1:23" ht="18" customHeight="1">
      <c r="A102" s="341">
        <f t="shared" si="3"/>
        <v>98</v>
      </c>
      <c r="B102" s="202" t="s">
        <v>457</v>
      </c>
      <c r="C102" s="202" t="s">
        <v>720</v>
      </c>
      <c r="D102" s="461" t="s">
        <v>93</v>
      </c>
      <c r="E102" s="464">
        <v>16</v>
      </c>
      <c r="F102" s="459">
        <v>29</v>
      </c>
      <c r="G102" s="207">
        <v>16</v>
      </c>
      <c r="H102" s="207">
        <f t="shared" si="2"/>
        <v>-13</v>
      </c>
      <c r="I102" s="203" t="s">
        <v>510</v>
      </c>
      <c r="J102" s="203" t="s">
        <v>1400</v>
      </c>
      <c r="K102" s="203" t="s">
        <v>1458</v>
      </c>
      <c r="L102" s="203" t="s">
        <v>1459</v>
      </c>
      <c r="M102" s="203"/>
      <c r="N102" s="203"/>
      <c r="O102" s="203"/>
      <c r="P102" s="276"/>
      <c r="Q102" s="265"/>
      <c r="R102" s="265"/>
      <c r="S102" s="265"/>
      <c r="T102" s="265"/>
      <c r="U102" s="265"/>
      <c r="V102" s="265"/>
      <c r="W102" s="267"/>
    </row>
    <row r="103" spans="1:23" ht="18" customHeight="1">
      <c r="A103" s="341">
        <f t="shared" si="3"/>
        <v>99</v>
      </c>
      <c r="B103" s="202" t="s">
        <v>458</v>
      </c>
      <c r="C103" s="202" t="s">
        <v>721</v>
      </c>
      <c r="D103" s="461" t="s">
        <v>7</v>
      </c>
      <c r="E103" s="464">
        <v>14</v>
      </c>
      <c r="F103" s="459">
        <v>26</v>
      </c>
      <c r="G103" s="207">
        <v>14</v>
      </c>
      <c r="H103" s="207">
        <f t="shared" si="2"/>
        <v>-12</v>
      </c>
      <c r="I103" s="203" t="s">
        <v>510</v>
      </c>
      <c r="J103" s="203" t="s">
        <v>1400</v>
      </c>
      <c r="K103" s="463" t="s">
        <v>1458</v>
      </c>
      <c r="L103" s="463" t="s">
        <v>1459</v>
      </c>
      <c r="M103" s="203"/>
      <c r="N103" s="203"/>
      <c r="O103" s="203"/>
      <c r="P103" s="276"/>
      <c r="Q103" s="265"/>
      <c r="R103" s="265"/>
      <c r="S103" s="265"/>
      <c r="T103" s="265"/>
      <c r="U103" s="265"/>
      <c r="V103" s="265"/>
      <c r="W103" s="267"/>
    </row>
    <row r="104" spans="1:23" ht="18" customHeight="1">
      <c r="A104" s="341">
        <f t="shared" si="3"/>
        <v>100</v>
      </c>
      <c r="B104" s="202" t="s">
        <v>460</v>
      </c>
      <c r="C104" s="202" t="s">
        <v>722</v>
      </c>
      <c r="D104" s="461" t="s">
        <v>459</v>
      </c>
      <c r="E104" s="464">
        <v>2</v>
      </c>
      <c r="F104" s="459">
        <v>5</v>
      </c>
      <c r="G104" s="207">
        <v>2</v>
      </c>
      <c r="H104" s="207">
        <f t="shared" si="2"/>
        <v>-3</v>
      </c>
      <c r="I104" s="203" t="s">
        <v>509</v>
      </c>
      <c r="J104" s="350" t="s">
        <v>1401</v>
      </c>
      <c r="K104" s="350" t="s">
        <v>1456</v>
      </c>
      <c r="L104" s="350" t="s">
        <v>1457</v>
      </c>
      <c r="M104" s="203"/>
      <c r="N104" s="203"/>
      <c r="O104" s="203"/>
      <c r="P104" s="276"/>
      <c r="Q104" s="265"/>
      <c r="R104" s="265"/>
      <c r="S104" s="265"/>
      <c r="T104" s="265"/>
      <c r="U104" s="265"/>
      <c r="V104" s="265"/>
      <c r="W104" s="267"/>
    </row>
    <row r="105" spans="1:23" ht="18" customHeight="1">
      <c r="A105" s="341">
        <f t="shared" si="3"/>
        <v>101</v>
      </c>
      <c r="B105" s="202" t="s">
        <v>461</v>
      </c>
      <c r="C105" s="202" t="s">
        <v>461</v>
      </c>
      <c r="D105" s="461" t="s">
        <v>459</v>
      </c>
      <c r="E105" s="464">
        <v>5363.7</v>
      </c>
      <c r="F105" s="459">
        <v>88</v>
      </c>
      <c r="G105" s="207">
        <v>88</v>
      </c>
      <c r="H105" s="207">
        <f t="shared" si="2"/>
        <v>0</v>
      </c>
      <c r="I105" s="203" t="s">
        <v>511</v>
      </c>
      <c r="J105" s="203" t="s">
        <v>712</v>
      </c>
      <c r="K105" s="203" t="s">
        <v>712</v>
      </c>
      <c r="L105" s="203" t="s">
        <v>511</v>
      </c>
      <c r="M105" s="203"/>
      <c r="N105" s="203"/>
      <c r="O105" s="203"/>
      <c r="P105" s="276"/>
      <c r="Q105" s="265"/>
      <c r="R105" s="265"/>
      <c r="S105" s="265"/>
      <c r="T105" s="265"/>
      <c r="U105" s="265"/>
      <c r="V105" s="265"/>
      <c r="W105" s="267"/>
    </row>
    <row r="106" spans="1:23" ht="18" customHeight="1">
      <c r="A106" s="341">
        <f t="shared" si="3"/>
        <v>102</v>
      </c>
      <c r="B106" s="202" t="s">
        <v>463</v>
      </c>
      <c r="C106" s="202" t="s">
        <v>723</v>
      </c>
      <c r="D106" s="461" t="s">
        <v>462</v>
      </c>
      <c r="E106" s="464">
        <v>40.1</v>
      </c>
      <c r="F106" s="459">
        <v>42</v>
      </c>
      <c r="G106" s="207">
        <v>40.1</v>
      </c>
      <c r="H106" s="207">
        <f t="shared" si="2"/>
        <v>-1.8999999999999986</v>
      </c>
      <c r="I106" s="203" t="s">
        <v>1403</v>
      </c>
      <c r="J106" s="203" t="s">
        <v>1402</v>
      </c>
      <c r="K106" s="203" t="s">
        <v>1460</v>
      </c>
      <c r="L106" s="203" t="s">
        <v>1461</v>
      </c>
      <c r="M106" s="203"/>
      <c r="N106" s="203"/>
      <c r="O106" s="203"/>
      <c r="P106" s="276"/>
      <c r="Q106" s="265"/>
      <c r="R106" s="265"/>
      <c r="S106" s="265"/>
      <c r="T106" s="265"/>
      <c r="U106" s="265"/>
      <c r="V106" s="265"/>
      <c r="W106" s="267"/>
    </row>
    <row r="107" spans="1:23" ht="18" customHeight="1">
      <c r="A107" s="341">
        <f t="shared" si="3"/>
        <v>103</v>
      </c>
      <c r="B107" s="202" t="s">
        <v>464</v>
      </c>
      <c r="C107" s="202" t="s">
        <v>464</v>
      </c>
      <c r="D107" s="461" t="s">
        <v>8</v>
      </c>
      <c r="E107" s="464">
        <v>4118</v>
      </c>
      <c r="F107" s="459">
        <v>41</v>
      </c>
      <c r="G107" s="207">
        <v>41</v>
      </c>
      <c r="H107" s="207">
        <f t="shared" si="2"/>
        <v>0</v>
      </c>
      <c r="I107" s="203" t="s">
        <v>511</v>
      </c>
      <c r="J107" s="203" t="s">
        <v>712</v>
      </c>
      <c r="K107" s="203" t="s">
        <v>712</v>
      </c>
      <c r="L107" s="203" t="s">
        <v>511</v>
      </c>
      <c r="M107" s="203"/>
      <c r="N107" s="203"/>
      <c r="O107" s="203"/>
      <c r="P107" s="276"/>
      <c r="Q107" s="265"/>
      <c r="R107" s="265"/>
      <c r="S107" s="265"/>
      <c r="T107" s="265"/>
      <c r="U107" s="265"/>
      <c r="V107" s="265"/>
      <c r="W107" s="267"/>
    </row>
    <row r="108" spans="1:23" ht="18" customHeight="1">
      <c r="A108" s="341">
        <f t="shared" si="3"/>
        <v>104</v>
      </c>
      <c r="B108" s="202" t="s">
        <v>465</v>
      </c>
      <c r="C108" s="202" t="s">
        <v>465</v>
      </c>
      <c r="D108" s="461" t="s">
        <v>455</v>
      </c>
      <c r="E108" s="464">
        <v>254</v>
      </c>
      <c r="F108" s="459">
        <v>254</v>
      </c>
      <c r="G108" s="207">
        <v>254</v>
      </c>
      <c r="H108" s="207">
        <f t="shared" si="2"/>
        <v>0</v>
      </c>
      <c r="I108" s="203" t="s">
        <v>451</v>
      </c>
      <c r="J108" s="203" t="s">
        <v>452</v>
      </c>
      <c r="K108" s="203" t="s">
        <v>452</v>
      </c>
      <c r="L108" s="203" t="s">
        <v>451</v>
      </c>
      <c r="M108" s="203"/>
      <c r="N108" s="203"/>
      <c r="O108" s="203"/>
      <c r="P108" s="276"/>
      <c r="Q108" s="265"/>
      <c r="R108" s="265"/>
      <c r="S108" s="265"/>
      <c r="T108" s="265"/>
      <c r="U108" s="265"/>
      <c r="V108" s="265"/>
      <c r="W108" s="267"/>
    </row>
    <row r="109" spans="1:23" ht="18" customHeight="1">
      <c r="A109" s="341">
        <f t="shared" si="3"/>
        <v>105</v>
      </c>
      <c r="B109" s="202" t="s">
        <v>466</v>
      </c>
      <c r="C109" s="202" t="s">
        <v>466</v>
      </c>
      <c r="D109" s="461" t="s">
        <v>455</v>
      </c>
      <c r="E109" s="464">
        <v>195</v>
      </c>
      <c r="F109" s="459">
        <v>195</v>
      </c>
      <c r="G109" s="207">
        <v>195</v>
      </c>
      <c r="H109" s="207">
        <f t="shared" si="2"/>
        <v>0</v>
      </c>
      <c r="I109" s="203" t="s">
        <v>511</v>
      </c>
      <c r="J109" s="203" t="s">
        <v>514</v>
      </c>
      <c r="K109" s="203" t="s">
        <v>514</v>
      </c>
      <c r="L109" s="203" t="s">
        <v>511</v>
      </c>
      <c r="M109" s="203"/>
      <c r="N109" s="203"/>
      <c r="O109" s="203"/>
      <c r="P109" s="276"/>
      <c r="Q109" s="265"/>
      <c r="R109" s="265"/>
      <c r="S109" s="265"/>
      <c r="T109" s="265"/>
      <c r="U109" s="265"/>
      <c r="V109" s="265"/>
      <c r="W109" s="267"/>
    </row>
    <row r="110" spans="1:23" ht="18" customHeight="1">
      <c r="A110" s="341">
        <f t="shared" si="3"/>
        <v>106</v>
      </c>
      <c r="B110" s="202" t="s">
        <v>467</v>
      </c>
      <c r="C110" s="202" t="s">
        <v>467</v>
      </c>
      <c r="D110" s="461" t="s">
        <v>455</v>
      </c>
      <c r="E110" s="464">
        <v>20</v>
      </c>
      <c r="F110" s="459">
        <v>20</v>
      </c>
      <c r="G110" s="207">
        <v>20</v>
      </c>
      <c r="H110" s="207">
        <f t="shared" si="2"/>
        <v>0</v>
      </c>
      <c r="I110" s="203" t="s">
        <v>511</v>
      </c>
      <c r="J110" s="203" t="s">
        <v>514</v>
      </c>
      <c r="K110" s="203" t="s">
        <v>514</v>
      </c>
      <c r="L110" s="203" t="s">
        <v>511</v>
      </c>
      <c r="M110" s="203"/>
      <c r="N110" s="203"/>
      <c r="O110" s="203"/>
      <c r="P110" s="276"/>
      <c r="Q110" s="265"/>
      <c r="R110" s="265"/>
      <c r="S110" s="265"/>
      <c r="T110" s="265"/>
      <c r="U110" s="265"/>
      <c r="V110" s="265"/>
      <c r="W110" s="267"/>
    </row>
    <row r="111" spans="1:23" ht="18" customHeight="1">
      <c r="A111" s="341">
        <f t="shared" si="3"/>
        <v>107</v>
      </c>
      <c r="B111" s="202" t="s">
        <v>468</v>
      </c>
      <c r="C111" s="202" t="s">
        <v>468</v>
      </c>
      <c r="D111" s="461" t="s">
        <v>455</v>
      </c>
      <c r="E111" s="464">
        <v>4</v>
      </c>
      <c r="F111" s="459">
        <v>4</v>
      </c>
      <c r="G111" s="207">
        <v>4</v>
      </c>
      <c r="H111" s="207">
        <f t="shared" si="2"/>
        <v>0</v>
      </c>
      <c r="I111" s="203" t="s">
        <v>451</v>
      </c>
      <c r="J111" s="203" t="s">
        <v>452</v>
      </c>
      <c r="K111" s="203" t="s">
        <v>452</v>
      </c>
      <c r="L111" s="203" t="s">
        <v>451</v>
      </c>
      <c r="M111" s="203"/>
      <c r="N111" s="203"/>
      <c r="O111" s="203"/>
      <c r="P111" s="276"/>
      <c r="Q111" s="265"/>
      <c r="R111" s="265"/>
      <c r="S111" s="265"/>
      <c r="T111" s="265"/>
      <c r="U111" s="265"/>
      <c r="V111" s="265"/>
      <c r="W111" s="267"/>
    </row>
    <row r="112" spans="1:23" ht="18" customHeight="1">
      <c r="A112" s="341">
        <f t="shared" si="3"/>
        <v>108</v>
      </c>
      <c r="B112" s="202" t="s">
        <v>469</v>
      </c>
      <c r="C112" s="202" t="s">
        <v>469</v>
      </c>
      <c r="D112" s="461" t="s">
        <v>455</v>
      </c>
      <c r="E112" s="464">
        <v>40</v>
      </c>
      <c r="F112" s="459">
        <v>40</v>
      </c>
      <c r="G112" s="207">
        <v>40</v>
      </c>
      <c r="H112" s="207">
        <f t="shared" si="2"/>
        <v>0</v>
      </c>
      <c r="I112" s="203" t="s">
        <v>451</v>
      </c>
      <c r="J112" s="203" t="s">
        <v>452</v>
      </c>
      <c r="K112" s="203" t="s">
        <v>452</v>
      </c>
      <c r="L112" s="203" t="s">
        <v>451</v>
      </c>
      <c r="M112" s="203"/>
      <c r="N112" s="203"/>
      <c r="O112" s="203"/>
      <c r="P112" s="276"/>
      <c r="Q112" s="265"/>
      <c r="R112" s="265"/>
      <c r="S112" s="265"/>
      <c r="T112" s="265"/>
      <c r="U112" s="265"/>
      <c r="V112" s="265"/>
      <c r="W112" s="267"/>
    </row>
    <row r="113" spans="1:23" ht="18" customHeight="1">
      <c r="A113" s="341">
        <f t="shared" si="3"/>
        <v>109</v>
      </c>
      <c r="B113" s="202" t="s">
        <v>470</v>
      </c>
      <c r="C113" s="202" t="s">
        <v>470</v>
      </c>
      <c r="D113" s="461" t="s">
        <v>455</v>
      </c>
      <c r="E113" s="464">
        <v>19</v>
      </c>
      <c r="F113" s="459">
        <v>19</v>
      </c>
      <c r="G113" s="207">
        <v>19</v>
      </c>
      <c r="H113" s="207">
        <f t="shared" si="2"/>
        <v>0</v>
      </c>
      <c r="I113" s="203" t="s">
        <v>509</v>
      </c>
      <c r="J113" s="350" t="s">
        <v>1401</v>
      </c>
      <c r="K113" s="463" t="s">
        <v>1458</v>
      </c>
      <c r="L113" s="463" t="s">
        <v>1459</v>
      </c>
      <c r="M113" s="203"/>
      <c r="N113" s="203"/>
      <c r="O113" s="203"/>
      <c r="P113" s="276"/>
      <c r="Q113" s="265"/>
      <c r="R113" s="265"/>
      <c r="S113" s="265"/>
      <c r="T113" s="265"/>
      <c r="U113" s="265"/>
      <c r="V113" s="265"/>
      <c r="W113" s="267"/>
    </row>
    <row r="114" spans="1:23" ht="18" customHeight="1">
      <c r="A114" s="341">
        <f t="shared" si="3"/>
        <v>110</v>
      </c>
      <c r="B114" s="202" t="s">
        <v>471</v>
      </c>
      <c r="C114" s="202" t="s">
        <v>471</v>
      </c>
      <c r="D114" s="461" t="s">
        <v>455</v>
      </c>
      <c r="E114" s="464">
        <v>179</v>
      </c>
      <c r="F114" s="459">
        <v>179</v>
      </c>
      <c r="G114" s="207">
        <v>179</v>
      </c>
      <c r="H114" s="207">
        <f t="shared" si="2"/>
        <v>0</v>
      </c>
      <c r="I114" s="203" t="s">
        <v>511</v>
      </c>
      <c r="J114" s="203" t="s">
        <v>514</v>
      </c>
      <c r="K114" s="203" t="s">
        <v>514</v>
      </c>
      <c r="L114" s="203" t="s">
        <v>511</v>
      </c>
      <c r="M114" s="203"/>
      <c r="N114" s="203"/>
      <c r="O114" s="203"/>
      <c r="P114" s="276"/>
      <c r="Q114" s="265"/>
      <c r="R114" s="265"/>
      <c r="S114" s="265"/>
      <c r="T114" s="265"/>
      <c r="U114" s="265"/>
      <c r="V114" s="265"/>
      <c r="W114" s="267"/>
    </row>
    <row r="115" spans="1:23" ht="18" customHeight="1">
      <c r="A115" s="341">
        <f t="shared" si="3"/>
        <v>111</v>
      </c>
      <c r="B115" s="202" t="s">
        <v>472</v>
      </c>
      <c r="C115" s="202" t="s">
        <v>724</v>
      </c>
      <c r="D115" s="461" t="s">
        <v>455</v>
      </c>
      <c r="E115" s="464">
        <v>19</v>
      </c>
      <c r="F115" s="459">
        <v>33</v>
      </c>
      <c r="G115" s="207">
        <v>19</v>
      </c>
      <c r="H115" s="207">
        <f t="shared" si="2"/>
        <v>-14</v>
      </c>
      <c r="I115" s="203" t="s">
        <v>509</v>
      </c>
      <c r="J115" s="350" t="s">
        <v>1401</v>
      </c>
      <c r="K115" s="463" t="s">
        <v>1458</v>
      </c>
      <c r="L115" s="463" t="s">
        <v>1459</v>
      </c>
      <c r="M115" s="203"/>
      <c r="N115" s="203"/>
      <c r="O115" s="203"/>
      <c r="P115" s="276"/>
      <c r="Q115" s="265"/>
      <c r="R115" s="265"/>
      <c r="S115" s="265"/>
      <c r="T115" s="265"/>
      <c r="U115" s="265"/>
      <c r="V115" s="265"/>
      <c r="W115" s="267"/>
    </row>
    <row r="116" spans="1:23" ht="18" customHeight="1">
      <c r="A116" s="341">
        <f t="shared" si="3"/>
        <v>112</v>
      </c>
      <c r="B116" s="202" t="s">
        <v>453</v>
      </c>
      <c r="C116" s="202" t="s">
        <v>453</v>
      </c>
      <c r="D116" s="461" t="s">
        <v>7</v>
      </c>
      <c r="E116" s="464">
        <v>61.2</v>
      </c>
      <c r="F116" s="459">
        <v>61.2</v>
      </c>
      <c r="G116" s="207">
        <v>61.2</v>
      </c>
      <c r="H116" s="207">
        <f t="shared" si="2"/>
        <v>0</v>
      </c>
      <c r="I116" s="203" t="s">
        <v>451</v>
      </c>
      <c r="J116" s="203" t="s">
        <v>452</v>
      </c>
      <c r="K116" s="203" t="s">
        <v>452</v>
      </c>
      <c r="L116" s="203" t="s">
        <v>451</v>
      </c>
      <c r="M116" s="203"/>
      <c r="N116" s="203"/>
      <c r="O116" s="203"/>
      <c r="P116" s="276"/>
      <c r="Q116" s="265"/>
      <c r="R116" s="265"/>
      <c r="S116" s="265"/>
      <c r="T116" s="265"/>
      <c r="U116" s="265"/>
      <c r="V116" s="265"/>
      <c r="W116" s="267"/>
    </row>
    <row r="117" spans="1:23" ht="18" customHeight="1">
      <c r="A117" s="341">
        <f t="shared" si="3"/>
        <v>113</v>
      </c>
      <c r="B117" s="202" t="s">
        <v>473</v>
      </c>
      <c r="C117" s="202" t="s">
        <v>725</v>
      </c>
      <c r="D117" s="461" t="s">
        <v>8</v>
      </c>
      <c r="E117" s="464">
        <v>334.1</v>
      </c>
      <c r="F117" s="459">
        <v>350</v>
      </c>
      <c r="G117" s="207">
        <v>334.1</v>
      </c>
      <c r="H117" s="207">
        <f t="shared" si="2"/>
        <v>-15.899999999999977</v>
      </c>
      <c r="I117" s="203" t="s">
        <v>509</v>
      </c>
      <c r="J117" s="350" t="s">
        <v>1401</v>
      </c>
      <c r="K117" s="463" t="s">
        <v>1441</v>
      </c>
      <c r="L117" s="463" t="s">
        <v>1442</v>
      </c>
      <c r="M117" s="203"/>
      <c r="N117" s="463"/>
      <c r="O117" s="203"/>
      <c r="P117" s="276"/>
      <c r="Q117" s="265"/>
      <c r="R117" s="265"/>
      <c r="S117" s="265"/>
      <c r="T117" s="265"/>
      <c r="U117" s="265"/>
      <c r="V117" s="265"/>
      <c r="W117" s="267"/>
    </row>
    <row r="118" spans="1:23" ht="18" customHeight="1">
      <c r="A118" s="505">
        <f>A117+1</f>
        <v>114</v>
      </c>
      <c r="B118" s="491" t="s">
        <v>474</v>
      </c>
      <c r="C118" s="202" t="s">
        <v>726</v>
      </c>
      <c r="D118" s="461" t="s">
        <v>8</v>
      </c>
      <c r="E118" s="464">
        <v>91.5</v>
      </c>
      <c r="F118" s="459">
        <v>342</v>
      </c>
      <c r="G118" s="207">
        <v>91.5</v>
      </c>
      <c r="H118" s="207">
        <f t="shared" si="2"/>
        <v>-250.5</v>
      </c>
      <c r="I118" s="203" t="s">
        <v>515</v>
      </c>
      <c r="J118" s="203" t="s">
        <v>1404</v>
      </c>
      <c r="K118" s="463" t="s">
        <v>515</v>
      </c>
      <c r="L118" s="463" t="s">
        <v>1443</v>
      </c>
      <c r="M118" s="203"/>
      <c r="N118" s="463"/>
      <c r="O118" s="203"/>
      <c r="P118" s="276"/>
      <c r="Q118" s="265"/>
      <c r="R118" s="265"/>
      <c r="S118" s="265"/>
      <c r="T118" s="265"/>
      <c r="U118" s="265"/>
      <c r="V118" s="265"/>
      <c r="W118" s="267"/>
    </row>
    <row r="119" spans="1:23" ht="18" customHeight="1">
      <c r="A119" s="506"/>
      <c r="B119" s="492"/>
      <c r="C119" s="202" t="s">
        <v>727</v>
      </c>
      <c r="D119" s="461" t="s">
        <v>8</v>
      </c>
      <c r="E119" s="464">
        <v>277.3</v>
      </c>
      <c r="F119" s="459"/>
      <c r="G119" s="207">
        <v>277.3</v>
      </c>
      <c r="H119" s="207">
        <f t="shared" si="2"/>
        <v>277.3</v>
      </c>
      <c r="I119" s="203" t="s">
        <v>515</v>
      </c>
      <c r="J119" s="203" t="s">
        <v>1404</v>
      </c>
      <c r="K119" s="463" t="s">
        <v>515</v>
      </c>
      <c r="L119" s="463" t="s">
        <v>1443</v>
      </c>
      <c r="M119" s="203"/>
      <c r="N119" s="463"/>
      <c r="O119" s="203"/>
      <c r="P119" s="276"/>
      <c r="Q119" s="265"/>
      <c r="R119" s="265"/>
      <c r="S119" s="265"/>
      <c r="T119" s="265"/>
      <c r="U119" s="265"/>
      <c r="V119" s="265"/>
      <c r="W119" s="267"/>
    </row>
    <row r="120" spans="1:23" ht="18" customHeight="1">
      <c r="A120" s="341">
        <f>A118+1</f>
        <v>115</v>
      </c>
      <c r="B120" s="202" t="s">
        <v>475</v>
      </c>
      <c r="C120" s="202" t="s">
        <v>728</v>
      </c>
      <c r="D120" s="461" t="s">
        <v>8</v>
      </c>
      <c r="E120" s="464">
        <v>22</v>
      </c>
      <c r="F120" s="459">
        <v>21</v>
      </c>
      <c r="G120" s="207">
        <v>22</v>
      </c>
      <c r="H120" s="207">
        <f t="shared" si="2"/>
        <v>1</v>
      </c>
      <c r="I120" s="203" t="s">
        <v>516</v>
      </c>
      <c r="J120" s="203" t="s">
        <v>1405</v>
      </c>
      <c r="K120" s="463" t="s">
        <v>1458</v>
      </c>
      <c r="L120" s="463" t="s">
        <v>1459</v>
      </c>
      <c r="M120" s="203"/>
      <c r="N120" s="203"/>
      <c r="O120" s="203"/>
      <c r="P120" s="276"/>
      <c r="Q120" s="265"/>
      <c r="R120" s="265"/>
      <c r="S120" s="265"/>
      <c r="T120" s="265"/>
      <c r="U120" s="265"/>
      <c r="V120" s="265"/>
      <c r="W120" s="267"/>
    </row>
    <row r="121" spans="1:23" ht="18" customHeight="1">
      <c r="A121" s="341">
        <f>A120+1</f>
        <v>116</v>
      </c>
      <c r="B121" s="202" t="s">
        <v>476</v>
      </c>
      <c r="C121" s="202" t="s">
        <v>729</v>
      </c>
      <c r="D121" s="461" t="s">
        <v>459</v>
      </c>
      <c r="E121" s="464">
        <v>109</v>
      </c>
      <c r="F121" s="459">
        <v>98</v>
      </c>
      <c r="G121" s="207">
        <v>109</v>
      </c>
      <c r="H121" s="207">
        <f t="shared" si="2"/>
        <v>11</v>
      </c>
      <c r="I121" s="203" t="s">
        <v>516</v>
      </c>
      <c r="J121" s="203" t="s">
        <v>1405</v>
      </c>
      <c r="K121" s="463" t="s">
        <v>1458</v>
      </c>
      <c r="L121" s="463" t="s">
        <v>1459</v>
      </c>
      <c r="M121" s="203"/>
      <c r="N121" s="203"/>
      <c r="O121" s="203"/>
      <c r="P121" s="276"/>
      <c r="Q121" s="265"/>
      <c r="R121" s="265"/>
      <c r="S121" s="265"/>
      <c r="T121" s="265"/>
      <c r="U121" s="265"/>
      <c r="V121" s="265"/>
      <c r="W121" s="267"/>
    </row>
    <row r="122" spans="1:23" ht="18" customHeight="1">
      <c r="A122" s="341">
        <f t="shared" ref="A122:A152" si="4">A121+1</f>
        <v>117</v>
      </c>
      <c r="B122" s="202" t="s">
        <v>477</v>
      </c>
      <c r="C122" s="202" t="s">
        <v>730</v>
      </c>
      <c r="D122" s="461" t="s">
        <v>8</v>
      </c>
      <c r="E122" s="464">
        <v>60.3</v>
      </c>
      <c r="F122" s="459">
        <v>42</v>
      </c>
      <c r="G122" s="207">
        <v>60.3</v>
      </c>
      <c r="H122" s="207">
        <f t="shared" si="2"/>
        <v>18.299999999999997</v>
      </c>
      <c r="I122" s="203" t="s">
        <v>516</v>
      </c>
      <c r="J122" s="203" t="s">
        <v>1405</v>
      </c>
      <c r="K122" s="463" t="s">
        <v>1458</v>
      </c>
      <c r="L122" s="463" t="s">
        <v>1459</v>
      </c>
      <c r="M122" s="203"/>
      <c r="N122" s="203"/>
      <c r="O122" s="203"/>
      <c r="P122" s="276"/>
      <c r="Q122" s="265"/>
      <c r="R122" s="265"/>
      <c r="S122" s="265"/>
      <c r="T122" s="265"/>
      <c r="U122" s="265"/>
      <c r="V122" s="265"/>
      <c r="W122" s="267"/>
    </row>
    <row r="123" spans="1:23" ht="18" customHeight="1">
      <c r="A123" s="341">
        <f t="shared" si="4"/>
        <v>118</v>
      </c>
      <c r="B123" s="202" t="s">
        <v>478</v>
      </c>
      <c r="C123" s="202" t="s">
        <v>478</v>
      </c>
      <c r="D123" s="461" t="s">
        <v>462</v>
      </c>
      <c r="E123" s="464">
        <v>5750</v>
      </c>
      <c r="F123" s="459">
        <v>66</v>
      </c>
      <c r="G123" s="207">
        <v>66</v>
      </c>
      <c r="H123" s="207">
        <f t="shared" si="2"/>
        <v>0</v>
      </c>
      <c r="I123" s="203" t="s">
        <v>511</v>
      </c>
      <c r="J123" s="203" t="s">
        <v>712</v>
      </c>
      <c r="K123" s="203" t="s">
        <v>712</v>
      </c>
      <c r="L123" s="203" t="s">
        <v>511</v>
      </c>
      <c r="M123" s="203"/>
      <c r="N123" s="203"/>
      <c r="O123" s="203"/>
      <c r="P123" s="276"/>
      <c r="Q123" s="265"/>
      <c r="R123" s="265"/>
      <c r="S123" s="265"/>
      <c r="T123" s="265"/>
      <c r="U123" s="265"/>
      <c r="V123" s="265"/>
      <c r="W123" s="267"/>
    </row>
    <row r="124" spans="1:23" ht="18" customHeight="1">
      <c r="A124" s="341">
        <f t="shared" si="4"/>
        <v>119</v>
      </c>
      <c r="B124" s="202" t="s">
        <v>479</v>
      </c>
      <c r="C124" s="202" t="s">
        <v>731</v>
      </c>
      <c r="D124" s="461" t="s">
        <v>93</v>
      </c>
      <c r="E124" s="464">
        <v>192</v>
      </c>
      <c r="F124" s="459">
        <v>64</v>
      </c>
      <c r="G124" s="207">
        <v>192</v>
      </c>
      <c r="H124" s="207">
        <f t="shared" si="2"/>
        <v>128</v>
      </c>
      <c r="I124" s="203" t="s">
        <v>509</v>
      </c>
      <c r="J124" s="350" t="s">
        <v>1401</v>
      </c>
      <c r="K124" s="350" t="s">
        <v>1456</v>
      </c>
      <c r="L124" s="350" t="s">
        <v>1457</v>
      </c>
      <c r="M124" s="203"/>
      <c r="N124" s="203"/>
      <c r="O124" s="203"/>
      <c r="P124" s="276"/>
      <c r="Q124" s="265"/>
      <c r="R124" s="265"/>
      <c r="S124" s="265"/>
      <c r="T124" s="265"/>
      <c r="U124" s="265"/>
      <c r="V124" s="265"/>
      <c r="W124" s="267"/>
    </row>
    <row r="125" spans="1:23" ht="18" customHeight="1">
      <c r="A125" s="341">
        <f t="shared" si="4"/>
        <v>120</v>
      </c>
      <c r="B125" s="202" t="s">
        <v>480</v>
      </c>
      <c r="C125" s="202" t="s">
        <v>732</v>
      </c>
      <c r="D125" s="461" t="s">
        <v>459</v>
      </c>
      <c r="E125" s="464">
        <v>133</v>
      </c>
      <c r="F125" s="459">
        <v>104</v>
      </c>
      <c r="G125" s="207">
        <v>133</v>
      </c>
      <c r="H125" s="207">
        <f t="shared" si="2"/>
        <v>29</v>
      </c>
      <c r="I125" s="203" t="s">
        <v>517</v>
      </c>
      <c r="J125" s="203" t="s">
        <v>1406</v>
      </c>
      <c r="K125" s="463" t="s">
        <v>517</v>
      </c>
      <c r="L125" s="463" t="s">
        <v>1444</v>
      </c>
      <c r="M125" s="203"/>
      <c r="N125" s="463"/>
      <c r="O125" s="203"/>
      <c r="P125" s="276"/>
      <c r="Q125" s="265"/>
      <c r="R125" s="265"/>
      <c r="S125" s="265"/>
      <c r="T125" s="265"/>
      <c r="U125" s="265"/>
      <c r="V125" s="265"/>
      <c r="W125" s="267"/>
    </row>
    <row r="126" spans="1:23" ht="18" customHeight="1">
      <c r="A126" s="341">
        <f t="shared" si="4"/>
        <v>121</v>
      </c>
      <c r="B126" s="202" t="s">
        <v>481</v>
      </c>
      <c r="C126" s="202" t="s">
        <v>481</v>
      </c>
      <c r="D126" s="461" t="s">
        <v>93</v>
      </c>
      <c r="E126" s="464">
        <v>54</v>
      </c>
      <c r="F126" s="459">
        <v>4</v>
      </c>
      <c r="G126" s="207">
        <v>4</v>
      </c>
      <c r="H126" s="207">
        <f t="shared" si="2"/>
        <v>0</v>
      </c>
      <c r="I126" s="203" t="s">
        <v>451</v>
      </c>
      <c r="J126" s="203" t="s">
        <v>452</v>
      </c>
      <c r="K126" s="203" t="s">
        <v>452</v>
      </c>
      <c r="L126" s="203" t="s">
        <v>451</v>
      </c>
      <c r="M126" s="203"/>
      <c r="N126" s="203"/>
      <c r="O126" s="203"/>
      <c r="P126" s="276"/>
      <c r="Q126" s="265"/>
      <c r="R126" s="265"/>
      <c r="S126" s="265"/>
      <c r="T126" s="265"/>
      <c r="U126" s="265"/>
      <c r="V126" s="265"/>
      <c r="W126" s="267"/>
    </row>
    <row r="127" spans="1:23" ht="18" customHeight="1">
      <c r="A127" s="341">
        <f t="shared" si="4"/>
        <v>122</v>
      </c>
      <c r="B127" s="202" t="s">
        <v>482</v>
      </c>
      <c r="C127" s="202" t="s">
        <v>733</v>
      </c>
      <c r="D127" s="461" t="s">
        <v>93</v>
      </c>
      <c r="E127" s="464">
        <v>68</v>
      </c>
      <c r="F127" s="459">
        <v>59</v>
      </c>
      <c r="G127" s="207">
        <v>68</v>
      </c>
      <c r="H127" s="207">
        <f t="shared" si="2"/>
        <v>9</v>
      </c>
      <c r="I127" s="203" t="s">
        <v>518</v>
      </c>
      <c r="J127" s="203" t="s">
        <v>1407</v>
      </c>
      <c r="K127" s="463" t="s">
        <v>518</v>
      </c>
      <c r="L127" s="463" t="s">
        <v>1445</v>
      </c>
      <c r="M127" s="203"/>
      <c r="N127" s="463"/>
      <c r="O127" s="203"/>
      <c r="P127" s="276"/>
      <c r="Q127" s="265"/>
      <c r="R127" s="265"/>
      <c r="S127" s="265"/>
      <c r="T127" s="265"/>
      <c r="U127" s="265"/>
      <c r="V127" s="265"/>
      <c r="W127" s="267"/>
    </row>
    <row r="128" spans="1:23" ht="18" customHeight="1">
      <c r="A128" s="341">
        <f t="shared" si="4"/>
        <v>123</v>
      </c>
      <c r="B128" s="202" t="s">
        <v>483</v>
      </c>
      <c r="C128" s="202" t="s">
        <v>734</v>
      </c>
      <c r="D128" s="461" t="s">
        <v>484</v>
      </c>
      <c r="E128" s="464">
        <v>26</v>
      </c>
      <c r="F128" s="459">
        <v>299</v>
      </c>
      <c r="G128" s="207">
        <v>325</v>
      </c>
      <c r="H128" s="207">
        <f t="shared" si="2"/>
        <v>26</v>
      </c>
      <c r="I128" s="203" t="s">
        <v>519</v>
      </c>
      <c r="J128" s="203" t="s">
        <v>519</v>
      </c>
      <c r="K128" s="463" t="s">
        <v>519</v>
      </c>
      <c r="L128" s="463" t="s">
        <v>519</v>
      </c>
      <c r="M128" s="203"/>
      <c r="N128" s="463"/>
      <c r="O128" s="203"/>
      <c r="P128" s="276"/>
      <c r="Q128" s="265"/>
      <c r="R128" s="265"/>
      <c r="S128" s="265"/>
      <c r="T128" s="265"/>
      <c r="U128" s="265"/>
      <c r="V128" s="265"/>
      <c r="W128" s="267"/>
    </row>
    <row r="129" spans="1:23" ht="18" customHeight="1">
      <c r="A129" s="341">
        <f t="shared" si="4"/>
        <v>124</v>
      </c>
      <c r="B129" s="202" t="s">
        <v>485</v>
      </c>
      <c r="C129" s="202" t="s">
        <v>735</v>
      </c>
      <c r="D129" s="461" t="s">
        <v>8</v>
      </c>
      <c r="E129" s="464">
        <v>271.2</v>
      </c>
      <c r="F129" s="459">
        <v>265</v>
      </c>
      <c r="G129" s="207">
        <v>271.2</v>
      </c>
      <c r="H129" s="207">
        <f t="shared" si="2"/>
        <v>6.1999999999999886</v>
      </c>
      <c r="I129" s="203" t="s">
        <v>520</v>
      </c>
      <c r="J129" s="203" t="s">
        <v>1408</v>
      </c>
      <c r="K129" s="463" t="s">
        <v>520</v>
      </c>
      <c r="L129" s="463" t="s">
        <v>1446</v>
      </c>
      <c r="M129" s="203"/>
      <c r="N129" s="463"/>
      <c r="O129" s="203"/>
      <c r="P129" s="276"/>
      <c r="Q129" s="265"/>
      <c r="R129" s="265"/>
      <c r="S129" s="265"/>
      <c r="T129" s="265"/>
      <c r="U129" s="265"/>
      <c r="V129" s="265"/>
      <c r="W129" s="267"/>
    </row>
    <row r="130" spans="1:23" ht="18" customHeight="1">
      <c r="A130" s="341">
        <f t="shared" si="4"/>
        <v>125</v>
      </c>
      <c r="B130" s="202" t="s">
        <v>486</v>
      </c>
      <c r="C130" s="202" t="s">
        <v>486</v>
      </c>
      <c r="D130" s="461" t="s">
        <v>462</v>
      </c>
      <c r="E130" s="464">
        <v>122.1</v>
      </c>
      <c r="F130" s="459">
        <v>11</v>
      </c>
      <c r="G130" s="207">
        <v>11</v>
      </c>
      <c r="H130" s="207">
        <f t="shared" si="2"/>
        <v>0</v>
      </c>
      <c r="I130" s="203" t="s">
        <v>511</v>
      </c>
      <c r="J130" s="203" t="s">
        <v>712</v>
      </c>
      <c r="K130" s="203" t="s">
        <v>712</v>
      </c>
      <c r="L130" s="203" t="s">
        <v>511</v>
      </c>
      <c r="M130" s="203"/>
      <c r="N130" s="203"/>
      <c r="O130" s="203"/>
      <c r="P130" s="276"/>
      <c r="Q130" s="265"/>
      <c r="R130" s="265"/>
      <c r="S130" s="265"/>
      <c r="T130" s="265"/>
      <c r="U130" s="265"/>
      <c r="V130" s="265"/>
      <c r="W130" s="267"/>
    </row>
    <row r="131" spans="1:23" ht="18" customHeight="1">
      <c r="A131" s="341">
        <f t="shared" si="4"/>
        <v>126</v>
      </c>
      <c r="B131" s="202" t="s">
        <v>487</v>
      </c>
      <c r="C131" s="202" t="s">
        <v>736</v>
      </c>
      <c r="D131" s="461" t="s">
        <v>8</v>
      </c>
      <c r="E131" s="464">
        <v>125.7</v>
      </c>
      <c r="F131" s="459">
        <v>126</v>
      </c>
      <c r="G131" s="207">
        <v>125.7</v>
      </c>
      <c r="H131" s="207">
        <f t="shared" si="2"/>
        <v>-0.29999999999999716</v>
      </c>
      <c r="I131" s="203" t="s">
        <v>521</v>
      </c>
      <c r="J131" s="203" t="s">
        <v>1410</v>
      </c>
      <c r="K131" s="463" t="s">
        <v>1458</v>
      </c>
      <c r="L131" s="463" t="s">
        <v>1459</v>
      </c>
      <c r="M131" s="203"/>
      <c r="N131" s="203"/>
      <c r="O131" s="203"/>
      <c r="P131" s="276"/>
      <c r="Q131" s="265"/>
      <c r="R131" s="265"/>
      <c r="S131" s="265"/>
      <c r="T131" s="265"/>
      <c r="U131" s="265"/>
      <c r="V131" s="265"/>
      <c r="W131" s="267"/>
    </row>
    <row r="132" spans="1:23" ht="18" customHeight="1">
      <c r="A132" s="341">
        <f t="shared" si="4"/>
        <v>127</v>
      </c>
      <c r="B132" s="202" t="s">
        <v>488</v>
      </c>
      <c r="C132" s="202" t="s">
        <v>737</v>
      </c>
      <c r="D132" s="461" t="s">
        <v>8</v>
      </c>
      <c r="E132" s="464">
        <v>278.89999999999998</v>
      </c>
      <c r="F132" s="459">
        <v>291</v>
      </c>
      <c r="G132" s="207">
        <v>278.89999999999998</v>
      </c>
      <c r="H132" s="207">
        <f t="shared" si="2"/>
        <v>-12.100000000000023</v>
      </c>
      <c r="I132" s="203" t="s">
        <v>522</v>
      </c>
      <c r="J132" s="203" t="s">
        <v>1409</v>
      </c>
      <c r="K132" s="463" t="s">
        <v>1458</v>
      </c>
      <c r="L132" s="463" t="s">
        <v>1459</v>
      </c>
      <c r="M132" s="203"/>
      <c r="N132" s="203"/>
      <c r="O132" s="203"/>
      <c r="P132" s="276"/>
      <c r="Q132" s="265"/>
      <c r="R132" s="265"/>
      <c r="S132" s="265"/>
      <c r="T132" s="265"/>
      <c r="U132" s="265"/>
      <c r="V132" s="265"/>
      <c r="W132" s="267"/>
    </row>
    <row r="133" spans="1:23" ht="18" customHeight="1">
      <c r="A133" s="341">
        <f t="shared" si="4"/>
        <v>128</v>
      </c>
      <c r="B133" s="202" t="s">
        <v>489</v>
      </c>
      <c r="C133" s="202" t="s">
        <v>489</v>
      </c>
      <c r="D133" s="461" t="s">
        <v>462</v>
      </c>
      <c r="E133" s="464">
        <v>2043.1</v>
      </c>
      <c r="F133" s="459">
        <v>40</v>
      </c>
      <c r="G133" s="207">
        <v>40</v>
      </c>
      <c r="H133" s="207">
        <f t="shared" si="2"/>
        <v>0</v>
      </c>
      <c r="I133" s="203" t="s">
        <v>511</v>
      </c>
      <c r="J133" s="203" t="s">
        <v>712</v>
      </c>
      <c r="K133" s="203" t="s">
        <v>712</v>
      </c>
      <c r="L133" s="203" t="s">
        <v>511</v>
      </c>
      <c r="M133" s="203"/>
      <c r="N133" s="203"/>
      <c r="O133" s="203"/>
      <c r="P133" s="276"/>
      <c r="Q133" s="265"/>
      <c r="R133" s="265"/>
      <c r="S133" s="265"/>
      <c r="T133" s="265"/>
      <c r="U133" s="265"/>
      <c r="V133" s="265"/>
      <c r="W133" s="267"/>
    </row>
    <row r="134" spans="1:23" ht="18" customHeight="1">
      <c r="A134" s="341">
        <f t="shared" si="4"/>
        <v>129</v>
      </c>
      <c r="B134" s="202" t="s">
        <v>490</v>
      </c>
      <c r="C134" s="202" t="s">
        <v>738</v>
      </c>
      <c r="D134" s="461" t="s">
        <v>8</v>
      </c>
      <c r="E134" s="464">
        <v>135.4</v>
      </c>
      <c r="F134" s="459">
        <v>146</v>
      </c>
      <c r="G134" s="207">
        <v>135.4</v>
      </c>
      <c r="H134" s="207">
        <f t="shared" ref="H134:H152" si="5">G134-F134</f>
        <v>-10.599999999999994</v>
      </c>
      <c r="I134" s="203" t="s">
        <v>522</v>
      </c>
      <c r="J134" s="203" t="s">
        <v>1409</v>
      </c>
      <c r="K134" s="463" t="s">
        <v>1458</v>
      </c>
      <c r="L134" s="463" t="s">
        <v>1459</v>
      </c>
      <c r="M134" s="203"/>
      <c r="N134" s="203"/>
      <c r="O134" s="203"/>
      <c r="P134" s="276"/>
      <c r="Q134" s="265"/>
      <c r="R134" s="265"/>
      <c r="S134" s="265"/>
      <c r="T134" s="265"/>
      <c r="U134" s="265"/>
      <c r="V134" s="265"/>
      <c r="W134" s="267"/>
    </row>
    <row r="135" spans="1:23" ht="18" customHeight="1">
      <c r="A135" s="341">
        <f t="shared" si="4"/>
        <v>130</v>
      </c>
      <c r="B135" s="202" t="s">
        <v>491</v>
      </c>
      <c r="C135" s="202" t="s">
        <v>739</v>
      </c>
      <c r="D135" s="461" t="s">
        <v>8</v>
      </c>
      <c r="E135" s="464">
        <v>128.30000000000001</v>
      </c>
      <c r="F135" s="459">
        <v>139</v>
      </c>
      <c r="G135" s="207">
        <v>128.30000000000001</v>
      </c>
      <c r="H135" s="207">
        <f t="shared" si="5"/>
        <v>-10.699999999999989</v>
      </c>
      <c r="I135" s="268" t="s">
        <v>523</v>
      </c>
      <c r="J135" s="203" t="s">
        <v>1412</v>
      </c>
      <c r="K135" s="463" t="s">
        <v>1458</v>
      </c>
      <c r="L135" s="463" t="s">
        <v>1459</v>
      </c>
      <c r="M135" s="203"/>
      <c r="N135" s="203"/>
      <c r="O135" s="203"/>
      <c r="P135" s="276"/>
      <c r="Q135" s="265"/>
      <c r="R135" s="265"/>
      <c r="S135" s="265"/>
      <c r="T135" s="265"/>
      <c r="U135" s="265"/>
      <c r="V135" s="265"/>
      <c r="W135" s="267"/>
    </row>
    <row r="136" spans="1:23" ht="18" customHeight="1">
      <c r="A136" s="341">
        <f t="shared" si="4"/>
        <v>131</v>
      </c>
      <c r="B136" s="202" t="s">
        <v>492</v>
      </c>
      <c r="C136" s="202" t="s">
        <v>740</v>
      </c>
      <c r="D136" s="461" t="s">
        <v>8</v>
      </c>
      <c r="E136" s="464">
        <v>217.6</v>
      </c>
      <c r="F136" s="459">
        <v>233</v>
      </c>
      <c r="G136" s="207">
        <v>217.6</v>
      </c>
      <c r="H136" s="207">
        <f t="shared" si="5"/>
        <v>-15.400000000000006</v>
      </c>
      <c r="I136" s="203" t="s">
        <v>524</v>
      </c>
      <c r="J136" s="203" t="s">
        <v>1411</v>
      </c>
      <c r="K136" s="463" t="s">
        <v>1458</v>
      </c>
      <c r="L136" s="463" t="s">
        <v>1459</v>
      </c>
      <c r="M136" s="203"/>
      <c r="N136" s="203"/>
      <c r="O136" s="203"/>
      <c r="P136" s="276"/>
      <c r="Q136" s="265"/>
      <c r="R136" s="265"/>
      <c r="S136" s="265"/>
      <c r="T136" s="265"/>
      <c r="U136" s="265"/>
      <c r="V136" s="265"/>
      <c r="W136" s="267"/>
    </row>
    <row r="137" spans="1:23" ht="18" customHeight="1">
      <c r="A137" s="341">
        <f t="shared" si="4"/>
        <v>132</v>
      </c>
      <c r="B137" s="202" t="s">
        <v>493</v>
      </c>
      <c r="C137" s="202" t="s">
        <v>741</v>
      </c>
      <c r="D137" s="461" t="s">
        <v>8</v>
      </c>
      <c r="E137" s="464">
        <v>161</v>
      </c>
      <c r="F137" s="459">
        <v>169</v>
      </c>
      <c r="G137" s="207">
        <v>161</v>
      </c>
      <c r="H137" s="207">
        <f t="shared" si="5"/>
        <v>-8</v>
      </c>
      <c r="I137" s="203" t="s">
        <v>525</v>
      </c>
      <c r="J137" s="203" t="s">
        <v>1413</v>
      </c>
      <c r="K137" s="463" t="s">
        <v>1458</v>
      </c>
      <c r="L137" s="463" t="s">
        <v>1459</v>
      </c>
      <c r="M137" s="203"/>
      <c r="N137" s="203"/>
      <c r="O137" s="203"/>
      <c r="P137" s="276"/>
      <c r="Q137" s="265"/>
      <c r="R137" s="265"/>
      <c r="S137" s="265"/>
      <c r="T137" s="265"/>
      <c r="U137" s="265"/>
      <c r="V137" s="265"/>
      <c r="W137" s="267"/>
    </row>
    <row r="138" spans="1:23" ht="18" customHeight="1">
      <c r="A138" s="341">
        <f t="shared" si="4"/>
        <v>133</v>
      </c>
      <c r="B138" s="202" t="s">
        <v>494</v>
      </c>
      <c r="C138" s="202" t="s">
        <v>742</v>
      </c>
      <c r="D138" s="461" t="s">
        <v>8</v>
      </c>
      <c r="E138" s="464">
        <v>350</v>
      </c>
      <c r="F138" s="459">
        <v>368</v>
      </c>
      <c r="G138" s="207">
        <v>350</v>
      </c>
      <c r="H138" s="207">
        <f t="shared" si="5"/>
        <v>-18</v>
      </c>
      <c r="I138" s="203" t="s">
        <v>526</v>
      </c>
      <c r="J138" s="203" t="s">
        <v>1414</v>
      </c>
      <c r="K138" s="463" t="s">
        <v>526</v>
      </c>
      <c r="L138" s="463" t="s">
        <v>1447</v>
      </c>
      <c r="M138" s="203"/>
      <c r="N138" s="463"/>
      <c r="O138" s="203"/>
      <c r="P138" s="276"/>
      <c r="Q138" s="265"/>
      <c r="R138" s="265"/>
      <c r="S138" s="265"/>
      <c r="T138" s="265"/>
      <c r="U138" s="265"/>
      <c r="V138" s="265"/>
      <c r="W138" s="267"/>
    </row>
    <row r="139" spans="1:23" ht="18" customHeight="1">
      <c r="A139" s="341">
        <f t="shared" si="4"/>
        <v>134</v>
      </c>
      <c r="B139" s="202" t="s">
        <v>495</v>
      </c>
      <c r="C139" s="202" t="s">
        <v>743</v>
      </c>
      <c r="D139" s="461" t="s">
        <v>8</v>
      </c>
      <c r="E139" s="464">
        <v>122</v>
      </c>
      <c r="F139" s="459">
        <v>131</v>
      </c>
      <c r="G139" s="207">
        <v>122</v>
      </c>
      <c r="H139" s="207">
        <f t="shared" si="5"/>
        <v>-9</v>
      </c>
      <c r="I139" s="203" t="s">
        <v>527</v>
      </c>
      <c r="J139" s="203" t="s">
        <v>1415</v>
      </c>
      <c r="K139" s="463" t="s">
        <v>1458</v>
      </c>
      <c r="L139" s="463" t="s">
        <v>1459</v>
      </c>
      <c r="M139" s="203"/>
      <c r="N139" s="203"/>
      <c r="O139" s="203"/>
      <c r="P139" s="276"/>
      <c r="Q139" s="265"/>
      <c r="R139" s="265"/>
      <c r="S139" s="265"/>
      <c r="T139" s="265"/>
      <c r="U139" s="265"/>
      <c r="V139" s="265"/>
      <c r="W139" s="267"/>
    </row>
    <row r="140" spans="1:23" ht="18" customHeight="1">
      <c r="A140" s="341">
        <f t="shared" si="4"/>
        <v>135</v>
      </c>
      <c r="B140" s="202" t="s">
        <v>496</v>
      </c>
      <c r="C140" s="491" t="s">
        <v>744</v>
      </c>
      <c r="D140" s="461" t="s">
        <v>7</v>
      </c>
      <c r="E140" s="464">
        <v>220</v>
      </c>
      <c r="F140" s="459">
        <v>99</v>
      </c>
      <c r="G140" s="207">
        <v>220</v>
      </c>
      <c r="H140" s="207">
        <f t="shared" si="5"/>
        <v>121</v>
      </c>
      <c r="I140" s="203" t="s">
        <v>515</v>
      </c>
      <c r="J140" s="203" t="s">
        <v>1416</v>
      </c>
      <c r="K140" s="463" t="s">
        <v>515</v>
      </c>
      <c r="L140" s="463" t="s">
        <v>1448</v>
      </c>
      <c r="M140" s="203"/>
      <c r="N140" s="463"/>
      <c r="O140" s="203"/>
      <c r="P140" s="276"/>
      <c r="Q140" s="265"/>
      <c r="R140" s="265"/>
      <c r="S140" s="265"/>
      <c r="T140" s="265"/>
      <c r="U140" s="265"/>
      <c r="V140" s="265"/>
      <c r="W140" s="267"/>
    </row>
    <row r="141" spans="1:23" ht="18" customHeight="1">
      <c r="A141" s="341">
        <f t="shared" si="4"/>
        <v>136</v>
      </c>
      <c r="B141" s="202" t="s">
        <v>497</v>
      </c>
      <c r="C141" s="507"/>
      <c r="D141" s="461" t="s">
        <v>7</v>
      </c>
      <c r="E141" s="464"/>
      <c r="F141" s="459">
        <v>105</v>
      </c>
      <c r="G141" s="207"/>
      <c r="H141" s="207">
        <f t="shared" si="5"/>
        <v>-105</v>
      </c>
      <c r="I141" s="203" t="s">
        <v>515</v>
      </c>
      <c r="J141" s="203" t="s">
        <v>1416</v>
      </c>
      <c r="K141" s="463" t="s">
        <v>515</v>
      </c>
      <c r="L141" s="463" t="s">
        <v>1448</v>
      </c>
      <c r="M141" s="203"/>
      <c r="N141" s="463"/>
      <c r="O141" s="203"/>
      <c r="P141" s="276"/>
      <c r="Q141" s="265"/>
      <c r="R141" s="265"/>
      <c r="S141" s="265"/>
      <c r="T141" s="265"/>
      <c r="U141" s="265"/>
      <c r="V141" s="265"/>
      <c r="W141" s="267"/>
    </row>
    <row r="142" spans="1:23" ht="18" customHeight="1">
      <c r="A142" s="341">
        <f t="shared" si="4"/>
        <v>137</v>
      </c>
      <c r="B142" s="202" t="s">
        <v>498</v>
      </c>
      <c r="C142" s="492"/>
      <c r="D142" s="461" t="s">
        <v>7</v>
      </c>
      <c r="E142" s="464"/>
      <c r="F142" s="459">
        <v>43</v>
      </c>
      <c r="G142" s="207"/>
      <c r="H142" s="207">
        <f t="shared" si="5"/>
        <v>-43</v>
      </c>
      <c r="I142" s="203" t="s">
        <v>515</v>
      </c>
      <c r="J142" s="203" t="s">
        <v>1416</v>
      </c>
      <c r="K142" s="463" t="s">
        <v>515</v>
      </c>
      <c r="L142" s="463" t="s">
        <v>1448</v>
      </c>
      <c r="M142" s="203"/>
      <c r="N142" s="463"/>
      <c r="O142" s="203"/>
      <c r="P142" s="276"/>
      <c r="Q142" s="265"/>
      <c r="R142" s="265"/>
      <c r="S142" s="265"/>
      <c r="T142" s="265"/>
      <c r="U142" s="265"/>
      <c r="V142" s="265"/>
      <c r="W142" s="267"/>
    </row>
    <row r="143" spans="1:23" ht="18" customHeight="1">
      <c r="A143" s="341">
        <f t="shared" si="4"/>
        <v>138</v>
      </c>
      <c r="B143" s="202" t="s">
        <v>499</v>
      </c>
      <c r="C143" s="202" t="s">
        <v>745</v>
      </c>
      <c r="D143" s="461" t="s">
        <v>8</v>
      </c>
      <c r="E143" s="464">
        <v>46</v>
      </c>
      <c r="F143" s="459">
        <v>60</v>
      </c>
      <c r="G143" s="207">
        <v>46</v>
      </c>
      <c r="H143" s="207">
        <f t="shared" si="5"/>
        <v>-14</v>
      </c>
      <c r="I143" s="203" t="s">
        <v>528</v>
      </c>
      <c r="J143" s="203" t="s">
        <v>1417</v>
      </c>
      <c r="K143" s="463" t="s">
        <v>528</v>
      </c>
      <c r="L143" s="463" t="s">
        <v>1449</v>
      </c>
      <c r="M143" s="203"/>
      <c r="N143" s="463"/>
      <c r="O143" s="203"/>
      <c r="P143" s="276"/>
      <c r="Q143" s="265"/>
      <c r="R143" s="265"/>
      <c r="S143" s="265"/>
      <c r="T143" s="265"/>
      <c r="U143" s="265"/>
      <c r="V143" s="265"/>
      <c r="W143" s="267"/>
    </row>
    <row r="144" spans="1:23" ht="18" customHeight="1">
      <c r="A144" s="341">
        <f t="shared" si="4"/>
        <v>139</v>
      </c>
      <c r="B144" s="202" t="s">
        <v>500</v>
      </c>
      <c r="C144" s="202" t="s">
        <v>746</v>
      </c>
      <c r="D144" s="461" t="s">
        <v>8</v>
      </c>
      <c r="E144" s="464">
        <v>92</v>
      </c>
      <c r="F144" s="459">
        <v>110</v>
      </c>
      <c r="G144" s="207">
        <v>92</v>
      </c>
      <c r="H144" s="207">
        <f t="shared" si="5"/>
        <v>-18</v>
      </c>
      <c r="I144" s="203" t="s">
        <v>529</v>
      </c>
      <c r="J144" s="203" t="s">
        <v>1418</v>
      </c>
      <c r="K144" s="463" t="s">
        <v>1458</v>
      </c>
      <c r="L144" s="463" t="s">
        <v>1459</v>
      </c>
      <c r="M144" s="203"/>
      <c r="N144" s="203"/>
      <c r="O144" s="203"/>
      <c r="P144" s="276"/>
      <c r="Q144" s="265"/>
      <c r="R144" s="265"/>
      <c r="S144" s="265"/>
      <c r="T144" s="265"/>
      <c r="U144" s="265"/>
      <c r="V144" s="265"/>
      <c r="W144" s="267"/>
    </row>
    <row r="145" spans="1:26" ht="18" customHeight="1">
      <c r="A145" s="341">
        <f t="shared" si="4"/>
        <v>140</v>
      </c>
      <c r="B145" s="202" t="s">
        <v>501</v>
      </c>
      <c r="C145" s="202" t="s">
        <v>747</v>
      </c>
      <c r="D145" s="461" t="s">
        <v>8</v>
      </c>
      <c r="E145" s="464">
        <v>90</v>
      </c>
      <c r="F145" s="459">
        <v>101</v>
      </c>
      <c r="G145" s="207">
        <v>90</v>
      </c>
      <c r="H145" s="207">
        <f t="shared" si="5"/>
        <v>-11</v>
      </c>
      <c r="I145" s="203" t="s">
        <v>530</v>
      </c>
      <c r="J145" s="203" t="s">
        <v>1419</v>
      </c>
      <c r="K145" s="463" t="s">
        <v>530</v>
      </c>
      <c r="L145" s="463" t="s">
        <v>1450</v>
      </c>
      <c r="M145" s="203"/>
      <c r="N145" s="463"/>
      <c r="O145" s="203"/>
      <c r="P145" s="276"/>
      <c r="Q145" s="265"/>
      <c r="R145" s="265"/>
      <c r="S145" s="265"/>
      <c r="T145" s="265"/>
      <c r="U145" s="265"/>
      <c r="V145" s="265"/>
      <c r="W145" s="267"/>
    </row>
    <row r="146" spans="1:26" ht="18" customHeight="1">
      <c r="A146" s="341">
        <f t="shared" si="4"/>
        <v>141</v>
      </c>
      <c r="B146" s="202" t="s">
        <v>502</v>
      </c>
      <c r="C146" s="202" t="s">
        <v>502</v>
      </c>
      <c r="D146" s="461" t="s">
        <v>484</v>
      </c>
      <c r="E146" s="464">
        <v>90</v>
      </c>
      <c r="F146" s="459">
        <v>90</v>
      </c>
      <c r="G146" s="207">
        <v>90</v>
      </c>
      <c r="H146" s="207">
        <f t="shared" si="5"/>
        <v>0</v>
      </c>
      <c r="I146" s="203" t="s">
        <v>519</v>
      </c>
      <c r="J146" s="203" t="s">
        <v>519</v>
      </c>
      <c r="K146" s="203" t="s">
        <v>519</v>
      </c>
      <c r="L146" s="203" t="s">
        <v>519</v>
      </c>
      <c r="M146" s="203"/>
      <c r="N146" s="203"/>
      <c r="O146" s="203"/>
      <c r="P146" s="276"/>
      <c r="Q146" s="265"/>
      <c r="R146" s="265"/>
      <c r="S146" s="265"/>
      <c r="T146" s="265"/>
      <c r="U146" s="265"/>
      <c r="V146" s="265"/>
      <c r="W146" s="267"/>
    </row>
    <row r="147" spans="1:26" ht="18" customHeight="1">
      <c r="A147" s="341">
        <f t="shared" si="4"/>
        <v>142</v>
      </c>
      <c r="B147" s="202" t="s">
        <v>503</v>
      </c>
      <c r="C147" s="202" t="s">
        <v>503</v>
      </c>
      <c r="D147" s="461" t="s">
        <v>462</v>
      </c>
      <c r="E147" s="464">
        <v>12165</v>
      </c>
      <c r="F147" s="459">
        <v>73</v>
      </c>
      <c r="G147" s="207">
        <v>73</v>
      </c>
      <c r="H147" s="207">
        <f t="shared" si="5"/>
        <v>0</v>
      </c>
      <c r="I147" s="203" t="s">
        <v>511</v>
      </c>
      <c r="J147" s="203" t="s">
        <v>712</v>
      </c>
      <c r="K147" s="203" t="s">
        <v>712</v>
      </c>
      <c r="L147" s="203" t="s">
        <v>511</v>
      </c>
      <c r="M147" s="203"/>
      <c r="N147" s="203"/>
      <c r="O147" s="203"/>
      <c r="P147" s="276"/>
      <c r="Q147" s="265"/>
      <c r="R147" s="265"/>
      <c r="S147" s="265"/>
      <c r="T147" s="265"/>
      <c r="U147" s="265"/>
      <c r="V147" s="265"/>
      <c r="W147" s="267"/>
    </row>
    <row r="148" spans="1:26" ht="18" customHeight="1">
      <c r="A148" s="341">
        <f t="shared" si="4"/>
        <v>143</v>
      </c>
      <c r="B148" s="202" t="s">
        <v>504</v>
      </c>
      <c r="C148" s="202" t="s">
        <v>748</v>
      </c>
      <c r="D148" s="461" t="s">
        <v>484</v>
      </c>
      <c r="E148" s="464">
        <v>34</v>
      </c>
      <c r="F148" s="459">
        <v>30</v>
      </c>
      <c r="G148" s="207">
        <v>34</v>
      </c>
      <c r="H148" s="207">
        <f t="shared" si="5"/>
        <v>4</v>
      </c>
      <c r="I148" s="203" t="s">
        <v>519</v>
      </c>
      <c r="J148" s="203" t="s">
        <v>519</v>
      </c>
      <c r="K148" s="203" t="s">
        <v>519</v>
      </c>
      <c r="L148" s="203" t="s">
        <v>519</v>
      </c>
      <c r="M148" s="203"/>
      <c r="N148" s="203"/>
      <c r="O148" s="203"/>
      <c r="P148" s="276"/>
      <c r="Q148" s="265"/>
      <c r="R148" s="265"/>
      <c r="S148" s="265"/>
      <c r="T148" s="265"/>
      <c r="U148" s="265"/>
      <c r="V148" s="265"/>
      <c r="W148" s="267"/>
    </row>
    <row r="149" spans="1:26" ht="18" customHeight="1">
      <c r="A149" s="341">
        <f t="shared" si="4"/>
        <v>144</v>
      </c>
      <c r="B149" s="202" t="s">
        <v>505</v>
      </c>
      <c r="C149" s="202" t="s">
        <v>505</v>
      </c>
      <c r="D149" s="461" t="s">
        <v>455</v>
      </c>
      <c r="E149" s="464">
        <v>74</v>
      </c>
      <c r="F149" s="459">
        <v>0.6</v>
      </c>
      <c r="G149" s="207">
        <v>0.6</v>
      </c>
      <c r="H149" s="207">
        <f t="shared" si="5"/>
        <v>0</v>
      </c>
      <c r="I149" s="203" t="s">
        <v>451</v>
      </c>
      <c r="J149" s="203" t="s">
        <v>452</v>
      </c>
      <c r="K149" s="203" t="s">
        <v>452</v>
      </c>
      <c r="L149" s="203" t="s">
        <v>451</v>
      </c>
      <c r="M149" s="203"/>
      <c r="N149" s="203"/>
      <c r="O149" s="203"/>
      <c r="P149" s="276"/>
      <c r="Q149" s="265"/>
      <c r="R149" s="265"/>
      <c r="S149" s="265"/>
      <c r="T149" s="265"/>
      <c r="U149" s="265"/>
      <c r="V149" s="265"/>
      <c r="W149" s="267"/>
    </row>
    <row r="150" spans="1:26" ht="18" customHeight="1">
      <c r="A150" s="341">
        <f t="shared" si="4"/>
        <v>145</v>
      </c>
      <c r="B150" s="202" t="s">
        <v>506</v>
      </c>
      <c r="C150" s="202" t="s">
        <v>506</v>
      </c>
      <c r="D150" s="461" t="s">
        <v>455</v>
      </c>
      <c r="E150" s="464">
        <v>42</v>
      </c>
      <c r="F150" s="459">
        <v>5</v>
      </c>
      <c r="G150" s="207">
        <v>5</v>
      </c>
      <c r="H150" s="207">
        <f t="shared" si="5"/>
        <v>0</v>
      </c>
      <c r="I150" s="203" t="s">
        <v>451</v>
      </c>
      <c r="J150" s="203" t="s">
        <v>452</v>
      </c>
      <c r="K150" s="203" t="s">
        <v>452</v>
      </c>
      <c r="L150" s="203" t="s">
        <v>451</v>
      </c>
      <c r="M150" s="203"/>
      <c r="N150" s="203"/>
      <c r="O150" s="203"/>
      <c r="P150" s="276"/>
      <c r="Q150" s="265"/>
      <c r="R150" s="265"/>
      <c r="S150" s="265"/>
      <c r="T150" s="265"/>
      <c r="U150" s="265"/>
      <c r="V150" s="265"/>
      <c r="W150" s="267"/>
    </row>
    <row r="151" spans="1:26" ht="18" customHeight="1">
      <c r="A151" s="341">
        <f t="shared" si="4"/>
        <v>146</v>
      </c>
      <c r="B151" s="202" t="s">
        <v>507</v>
      </c>
      <c r="C151" s="202" t="s">
        <v>507</v>
      </c>
      <c r="D151" s="461" t="s">
        <v>462</v>
      </c>
      <c r="E151" s="464">
        <v>368</v>
      </c>
      <c r="F151" s="459">
        <v>19</v>
      </c>
      <c r="G151" s="207">
        <v>19</v>
      </c>
      <c r="H151" s="207">
        <f t="shared" si="5"/>
        <v>0</v>
      </c>
      <c r="I151" s="203" t="s">
        <v>511</v>
      </c>
      <c r="J151" s="203" t="s">
        <v>712</v>
      </c>
      <c r="K151" s="203" t="s">
        <v>712</v>
      </c>
      <c r="L151" s="203" t="s">
        <v>511</v>
      </c>
      <c r="M151" s="203"/>
      <c r="N151" s="203"/>
      <c r="O151" s="203"/>
      <c r="P151" s="276"/>
      <c r="Q151" s="265"/>
      <c r="R151" s="265"/>
      <c r="S151" s="265"/>
      <c r="T151" s="265"/>
      <c r="U151" s="265"/>
      <c r="V151" s="265"/>
      <c r="W151" s="267"/>
    </row>
    <row r="152" spans="1:26" ht="18" customHeight="1">
      <c r="A152" s="341">
        <f t="shared" si="4"/>
        <v>147</v>
      </c>
      <c r="B152" s="202" t="s">
        <v>508</v>
      </c>
      <c r="C152" s="202" t="s">
        <v>508</v>
      </c>
      <c r="D152" s="461" t="s">
        <v>455</v>
      </c>
      <c r="E152" s="458">
        <v>34.5</v>
      </c>
      <c r="F152" s="459">
        <v>4</v>
      </c>
      <c r="G152" s="207">
        <v>4</v>
      </c>
      <c r="H152" s="207">
        <f t="shared" si="5"/>
        <v>0</v>
      </c>
      <c r="I152" s="203" t="s">
        <v>511</v>
      </c>
      <c r="J152" s="203" t="s">
        <v>712</v>
      </c>
      <c r="K152" s="203" t="s">
        <v>712</v>
      </c>
      <c r="L152" s="203" t="s">
        <v>511</v>
      </c>
      <c r="M152" s="203"/>
      <c r="N152" s="203"/>
      <c r="O152" s="203"/>
      <c r="P152" s="276"/>
      <c r="Q152" s="265"/>
      <c r="R152" s="265"/>
      <c r="S152" s="265"/>
      <c r="T152" s="265"/>
      <c r="U152" s="265"/>
      <c r="V152" s="265"/>
      <c r="W152" s="267"/>
    </row>
    <row r="153" spans="1:26" ht="18" customHeight="1">
      <c r="A153" s="270" t="s">
        <v>126</v>
      </c>
      <c r="B153" s="271"/>
      <c r="C153" s="271"/>
      <c r="D153" s="271"/>
      <c r="E153" s="272"/>
      <c r="F153" s="272">
        <f>SUM(F5:F152)</f>
        <v>39475.399999999994</v>
      </c>
      <c r="G153" s="272">
        <f>SUM(G5:G152)</f>
        <v>39534.799999999996</v>
      </c>
      <c r="H153" s="272">
        <f t="shared" ref="H153" si="6">G153-F153</f>
        <v>59.400000000001455</v>
      </c>
      <c r="I153" s="282"/>
      <c r="J153" s="282"/>
      <c r="K153" s="282"/>
      <c r="L153" s="282"/>
      <c r="M153" s="282"/>
      <c r="N153" s="282"/>
      <c r="O153" s="282"/>
      <c r="P153" s="283"/>
      <c r="Q153" s="265"/>
      <c r="R153" s="265"/>
      <c r="S153" s="265"/>
      <c r="T153" s="265"/>
      <c r="U153" s="265"/>
      <c r="V153" s="265"/>
      <c r="W153" s="284"/>
      <c r="X153" s="265"/>
      <c r="Y153" s="265"/>
      <c r="Z153" s="265"/>
    </row>
  </sheetData>
  <mergeCells count="9">
    <mergeCell ref="D3:D4"/>
    <mergeCell ref="I3:J3"/>
    <mergeCell ref="P3:P4"/>
    <mergeCell ref="K3:L3"/>
    <mergeCell ref="B118:B119"/>
    <mergeCell ref="A118:A119"/>
    <mergeCell ref="C140:C142"/>
    <mergeCell ref="B3:C3"/>
    <mergeCell ref="F3:H3"/>
  </mergeCells>
  <phoneticPr fontId="12" type="noConversion"/>
  <printOptions horizontalCentered="1"/>
  <pageMargins left="0.19685039370078741" right="0.19685039370078741" top="0.39370078740157483" bottom="0.59055118110236227" header="0" footer="0.19685039370078741"/>
  <pageSetup paperSize="9" scale="92" orientation="landscape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6"/>
  <sheetViews>
    <sheetView showGridLines="0" showZeros="0" view="pageBreakPreview" zoomScale="85" zoomScaleSheetLayoutView="85" workbookViewId="0">
      <selection activeCell="V39" sqref="V39"/>
    </sheetView>
  </sheetViews>
  <sheetFormatPr defaultRowHeight="11.25"/>
  <cols>
    <col min="1" max="1" width="4.33203125" style="240" customWidth="1"/>
    <col min="2" max="3" width="6.33203125" style="307" customWidth="1"/>
    <col min="4" max="4" width="3.77734375" style="240" customWidth="1"/>
    <col min="5" max="5" width="7.77734375" style="308" customWidth="1"/>
    <col min="6" max="6" width="7.77734375" style="309" customWidth="1"/>
    <col min="7" max="7" width="8.33203125" style="310" customWidth="1"/>
    <col min="8" max="8" width="17.44140625" style="240" customWidth="1"/>
    <col min="9" max="9" width="6.77734375" style="240" customWidth="1"/>
    <col min="10" max="10" width="20.77734375" style="311" customWidth="1"/>
    <col min="11" max="11" width="9.77734375" style="313" customWidth="1"/>
    <col min="12" max="17" width="9.77734375" style="240" customWidth="1"/>
    <col min="18" max="18" width="10.77734375" style="240" customWidth="1"/>
    <col min="19" max="16384" width="8.88671875" style="240"/>
  </cols>
  <sheetData>
    <row r="1" spans="1:18" ht="30" customHeight="1">
      <c r="A1" s="314" t="s">
        <v>58</v>
      </c>
      <c r="B1" s="315"/>
      <c r="C1" s="315"/>
      <c r="D1" s="248"/>
      <c r="E1" s="316"/>
      <c r="F1" s="317"/>
      <c r="G1" s="248"/>
      <c r="H1" s="248"/>
      <c r="I1" s="248"/>
      <c r="J1" s="237"/>
      <c r="K1" s="238"/>
      <c r="L1" s="239"/>
      <c r="M1" s="239"/>
      <c r="N1" s="239"/>
      <c r="O1" s="239"/>
      <c r="P1" s="239"/>
      <c r="Q1" s="239"/>
      <c r="R1" s="239"/>
    </row>
    <row r="2" spans="1:18" ht="19.899999999999999" customHeight="1">
      <c r="A2" s="239"/>
      <c r="B2" s="242"/>
      <c r="C2" s="242"/>
      <c r="D2" s="239"/>
      <c r="E2" s="243"/>
      <c r="F2" s="244"/>
      <c r="G2" s="245"/>
      <c r="H2" s="246"/>
      <c r="I2" s="248"/>
      <c r="J2" s="245"/>
      <c r="K2" s="238"/>
      <c r="L2" s="239"/>
      <c r="M2" s="239"/>
      <c r="N2" s="239"/>
      <c r="O2" s="239"/>
      <c r="P2" s="239"/>
      <c r="Q2" s="239"/>
      <c r="R2" s="239"/>
    </row>
    <row r="3" spans="1:18" ht="10.15" customHeight="1">
      <c r="A3" s="252"/>
      <c r="B3" s="251"/>
      <c r="C3" s="251"/>
      <c r="D3" s="252"/>
      <c r="E3" s="253"/>
      <c r="F3" s="254"/>
      <c r="G3" s="255"/>
      <c r="H3" s="252"/>
      <c r="I3" s="252"/>
      <c r="J3" s="257"/>
      <c r="K3" s="238"/>
      <c r="L3" s="239"/>
      <c r="M3" s="239"/>
      <c r="N3" s="239"/>
      <c r="O3" s="239"/>
      <c r="P3" s="239"/>
      <c r="Q3" s="239"/>
      <c r="R3" s="239"/>
    </row>
    <row r="4" spans="1:18" ht="18" customHeight="1">
      <c r="A4" s="107" t="s">
        <v>39</v>
      </c>
      <c r="B4" s="499" t="s">
        <v>40</v>
      </c>
      <c r="C4" s="500"/>
      <c r="D4" s="501" t="s">
        <v>41</v>
      </c>
      <c r="E4" s="206" t="s">
        <v>42</v>
      </c>
      <c r="F4" s="337" t="s">
        <v>43</v>
      </c>
      <c r="G4" s="499" t="s">
        <v>131</v>
      </c>
      <c r="H4" s="500"/>
      <c r="I4" s="503" t="s">
        <v>31</v>
      </c>
      <c r="J4" s="495" t="s">
        <v>31</v>
      </c>
      <c r="K4" s="497" t="s">
        <v>71</v>
      </c>
      <c r="L4" s="239"/>
      <c r="M4" s="258"/>
      <c r="N4" s="258"/>
      <c r="O4" s="258"/>
      <c r="P4" s="258"/>
      <c r="Q4" s="258"/>
      <c r="R4" s="258"/>
    </row>
    <row r="5" spans="1:18" ht="18" customHeight="1">
      <c r="A5" s="62" t="s">
        <v>47</v>
      </c>
      <c r="B5" s="65" t="s">
        <v>136</v>
      </c>
      <c r="C5" s="65" t="s">
        <v>137</v>
      </c>
      <c r="D5" s="502"/>
      <c r="E5" s="208" t="s">
        <v>59</v>
      </c>
      <c r="F5" s="65" t="s">
        <v>129</v>
      </c>
      <c r="G5" s="65" t="s">
        <v>49</v>
      </c>
      <c r="H5" s="338" t="s">
        <v>50</v>
      </c>
      <c r="I5" s="504"/>
      <c r="J5" s="496"/>
      <c r="K5" s="498"/>
      <c r="L5" s="258"/>
      <c r="M5" s="259"/>
      <c r="N5" s="259"/>
      <c r="O5" s="259"/>
      <c r="P5" s="259"/>
      <c r="Q5" s="259"/>
      <c r="R5" s="239"/>
    </row>
    <row r="6" spans="1:18" ht="18" customHeight="1">
      <c r="A6" s="204">
        <v>1</v>
      </c>
      <c r="B6" s="202" t="s">
        <v>749</v>
      </c>
      <c r="C6" s="202"/>
      <c r="D6" s="202" t="s">
        <v>93</v>
      </c>
      <c r="E6" s="300">
        <v>724</v>
      </c>
      <c r="F6" s="210">
        <v>724</v>
      </c>
      <c r="G6" s="203" t="s">
        <v>451</v>
      </c>
      <c r="H6" s="203" t="s">
        <v>452</v>
      </c>
      <c r="I6" s="276"/>
      <c r="J6" s="263" t="str">
        <f>CONCATENATE(D6,G6)</f>
        <v>임공</v>
      </c>
      <c r="K6" s="264">
        <v>12100</v>
      </c>
      <c r="L6" s="265"/>
      <c r="M6" s="265"/>
      <c r="N6" s="265"/>
      <c r="O6" s="265"/>
      <c r="P6" s="265"/>
      <c r="Q6" s="265"/>
      <c r="R6" s="265"/>
    </row>
    <row r="7" spans="1:18" ht="18" customHeight="1">
      <c r="A7" s="204">
        <v>2</v>
      </c>
      <c r="B7" s="202" t="s">
        <v>750</v>
      </c>
      <c r="C7" s="202"/>
      <c r="D7" s="202" t="s">
        <v>93</v>
      </c>
      <c r="E7" s="300">
        <v>1558</v>
      </c>
      <c r="F7" s="210">
        <v>1558</v>
      </c>
      <c r="G7" s="203" t="s">
        <v>451</v>
      </c>
      <c r="H7" s="203" t="s">
        <v>452</v>
      </c>
      <c r="I7" s="276"/>
      <c r="J7" s="263" t="str">
        <f t="shared" ref="J7:J70" si="0">CONCATENATE(D7,G7)</f>
        <v>임공</v>
      </c>
      <c r="K7" s="264">
        <v>7560</v>
      </c>
      <c r="L7" s="265" t="s">
        <v>99</v>
      </c>
      <c r="M7" s="265"/>
      <c r="N7" s="265"/>
      <c r="O7" s="265"/>
      <c r="P7" s="265"/>
      <c r="Q7" s="265"/>
      <c r="R7" s="265"/>
    </row>
    <row r="8" spans="1:18" ht="18" customHeight="1">
      <c r="A8" s="204">
        <v>3</v>
      </c>
      <c r="B8" s="202" t="s">
        <v>751</v>
      </c>
      <c r="C8" s="202"/>
      <c r="D8" s="202" t="s">
        <v>93</v>
      </c>
      <c r="E8" s="300">
        <v>658</v>
      </c>
      <c r="F8" s="210">
        <v>340</v>
      </c>
      <c r="G8" s="203" t="s">
        <v>0</v>
      </c>
      <c r="H8" s="203" t="s">
        <v>452</v>
      </c>
      <c r="I8" s="276"/>
      <c r="J8" s="263" t="str">
        <f t="shared" si="0"/>
        <v>임공</v>
      </c>
      <c r="K8" s="264">
        <v>7560</v>
      </c>
      <c r="L8" s="265"/>
      <c r="M8" s="265"/>
      <c r="N8" s="265"/>
      <c r="O8" s="265"/>
      <c r="P8" s="265"/>
      <c r="Q8" s="265"/>
      <c r="R8" s="265"/>
    </row>
    <row r="9" spans="1:18" ht="18" customHeight="1">
      <c r="A9" s="204">
        <v>4</v>
      </c>
      <c r="B9" s="202" t="s">
        <v>752</v>
      </c>
      <c r="C9" s="202"/>
      <c r="D9" s="202" t="s">
        <v>7</v>
      </c>
      <c r="E9" s="300">
        <v>254</v>
      </c>
      <c r="F9" s="210">
        <v>254</v>
      </c>
      <c r="G9" s="203" t="s">
        <v>451</v>
      </c>
      <c r="H9" s="203" t="s">
        <v>452</v>
      </c>
      <c r="I9" s="276"/>
      <c r="J9" s="263" t="str">
        <f t="shared" si="0"/>
        <v>전공</v>
      </c>
      <c r="K9" s="264">
        <v>13200</v>
      </c>
      <c r="L9" s="265"/>
      <c r="M9" s="265"/>
      <c r="N9" s="265"/>
      <c r="O9" s="265"/>
      <c r="P9" s="265"/>
      <c r="Q9" s="265"/>
      <c r="R9" s="265"/>
    </row>
    <row r="10" spans="1:18" ht="18" customHeight="1">
      <c r="A10" s="204">
        <v>5</v>
      </c>
      <c r="B10" s="202">
        <v>857</v>
      </c>
      <c r="C10" s="202"/>
      <c r="D10" s="202" t="s">
        <v>462</v>
      </c>
      <c r="E10" s="300">
        <v>7643</v>
      </c>
      <c r="F10" s="210">
        <v>151</v>
      </c>
      <c r="G10" s="203" t="s">
        <v>86</v>
      </c>
      <c r="H10" s="203" t="s">
        <v>712</v>
      </c>
      <c r="I10" s="276"/>
      <c r="J10" s="263" t="str">
        <f t="shared" si="0"/>
        <v>구국</v>
      </c>
      <c r="K10" s="264"/>
      <c r="L10" s="265"/>
      <c r="M10" s="265"/>
      <c r="N10" s="265"/>
      <c r="O10" s="265"/>
      <c r="P10" s="265"/>
      <c r="Q10" s="265"/>
      <c r="R10" s="265"/>
    </row>
    <row r="11" spans="1:18" ht="18" customHeight="1">
      <c r="A11" s="204">
        <v>6</v>
      </c>
      <c r="B11" s="202" t="s">
        <v>753</v>
      </c>
      <c r="C11" s="202"/>
      <c r="D11" s="202" t="s">
        <v>8</v>
      </c>
      <c r="E11" s="300">
        <v>183</v>
      </c>
      <c r="F11" s="210">
        <v>183</v>
      </c>
      <c r="G11" s="203" t="s">
        <v>451</v>
      </c>
      <c r="H11" s="203" t="s">
        <v>452</v>
      </c>
      <c r="I11" s="276"/>
      <c r="J11" s="263" t="str">
        <f t="shared" si="0"/>
        <v>답공</v>
      </c>
      <c r="K11" s="266">
        <v>12400</v>
      </c>
      <c r="L11" s="265"/>
      <c r="M11" s="265"/>
      <c r="N11" s="265"/>
      <c r="O11" s="265"/>
      <c r="P11" s="265"/>
      <c r="Q11" s="265"/>
      <c r="R11" s="267"/>
    </row>
    <row r="12" spans="1:18" ht="18" customHeight="1">
      <c r="A12" s="204">
        <v>7</v>
      </c>
      <c r="B12" s="202" t="s">
        <v>754</v>
      </c>
      <c r="C12" s="202"/>
      <c r="D12" s="202" t="s">
        <v>571</v>
      </c>
      <c r="E12" s="300">
        <v>469</v>
      </c>
      <c r="F12" s="210">
        <v>469</v>
      </c>
      <c r="G12" s="203" t="s">
        <v>451</v>
      </c>
      <c r="H12" s="203" t="s">
        <v>452</v>
      </c>
      <c r="I12" s="276"/>
      <c r="J12" s="263" t="str">
        <f t="shared" si="0"/>
        <v>잡공</v>
      </c>
      <c r="K12" s="266">
        <v>46900</v>
      </c>
      <c r="L12" s="265"/>
      <c r="M12" s="265"/>
      <c r="N12" s="265"/>
      <c r="O12" s="265"/>
      <c r="P12" s="265"/>
      <c r="Q12" s="265"/>
      <c r="R12" s="267"/>
    </row>
    <row r="13" spans="1:18" ht="18" customHeight="1">
      <c r="A13" s="204">
        <v>8</v>
      </c>
      <c r="B13" s="202" t="s">
        <v>755</v>
      </c>
      <c r="C13" s="202"/>
      <c r="D13" s="202" t="s">
        <v>897</v>
      </c>
      <c r="E13" s="300">
        <v>436</v>
      </c>
      <c r="F13" s="210">
        <v>436</v>
      </c>
      <c r="G13" s="203" t="s">
        <v>451</v>
      </c>
      <c r="H13" s="203" t="s">
        <v>452</v>
      </c>
      <c r="I13" s="276"/>
      <c r="J13" s="263" t="str">
        <f t="shared" si="0"/>
        <v>창공</v>
      </c>
      <c r="K13" s="266">
        <v>46900</v>
      </c>
      <c r="L13" s="265"/>
      <c r="M13" s="265"/>
      <c r="N13" s="265"/>
      <c r="O13" s="265"/>
      <c r="P13" s="265"/>
      <c r="Q13" s="265"/>
      <c r="R13" s="267"/>
    </row>
    <row r="14" spans="1:18" ht="18" customHeight="1">
      <c r="A14" s="204">
        <v>9</v>
      </c>
      <c r="B14" s="202" t="s">
        <v>756</v>
      </c>
      <c r="C14" s="202"/>
      <c r="D14" s="202" t="s">
        <v>7</v>
      </c>
      <c r="E14" s="300">
        <v>264</v>
      </c>
      <c r="F14" s="210">
        <v>264</v>
      </c>
      <c r="G14" s="203" t="s">
        <v>451</v>
      </c>
      <c r="H14" s="203" t="s">
        <v>452</v>
      </c>
      <c r="I14" s="276"/>
      <c r="J14" s="263" t="str">
        <f t="shared" si="0"/>
        <v>전공</v>
      </c>
      <c r="K14" s="266">
        <v>14300</v>
      </c>
      <c r="L14" s="265"/>
      <c r="M14" s="265"/>
      <c r="N14" s="265"/>
      <c r="O14" s="265"/>
      <c r="P14" s="265"/>
      <c r="Q14" s="265"/>
      <c r="R14" s="267"/>
    </row>
    <row r="15" spans="1:18" ht="18" customHeight="1">
      <c r="A15" s="204">
        <v>10</v>
      </c>
      <c r="B15" s="202" t="s">
        <v>757</v>
      </c>
      <c r="C15" s="202"/>
      <c r="D15" s="202" t="s">
        <v>93</v>
      </c>
      <c r="E15" s="300">
        <v>190</v>
      </c>
      <c r="F15" s="210">
        <v>190</v>
      </c>
      <c r="G15" s="203" t="s">
        <v>0</v>
      </c>
      <c r="H15" s="203" t="s">
        <v>452</v>
      </c>
      <c r="I15" s="276"/>
      <c r="J15" s="263" t="str">
        <f t="shared" si="0"/>
        <v>임공</v>
      </c>
      <c r="K15" s="266">
        <v>13200</v>
      </c>
      <c r="L15" s="265"/>
      <c r="M15" s="265"/>
      <c r="N15" s="265"/>
      <c r="O15" s="265"/>
      <c r="P15" s="265"/>
      <c r="Q15" s="265"/>
      <c r="R15" s="267"/>
    </row>
    <row r="16" spans="1:18" ht="18" customHeight="1">
      <c r="A16" s="204">
        <v>11</v>
      </c>
      <c r="B16" s="202" t="s">
        <v>758</v>
      </c>
      <c r="C16" s="202"/>
      <c r="D16" s="202" t="s">
        <v>459</v>
      </c>
      <c r="E16" s="300">
        <v>144</v>
      </c>
      <c r="F16" s="210">
        <v>144</v>
      </c>
      <c r="G16" s="203" t="s">
        <v>451</v>
      </c>
      <c r="H16" s="203" t="s">
        <v>452</v>
      </c>
      <c r="I16" s="276"/>
      <c r="J16" s="263" t="str">
        <f t="shared" si="0"/>
        <v>대공</v>
      </c>
      <c r="K16" s="266">
        <v>17200</v>
      </c>
      <c r="L16" s="265"/>
      <c r="M16" s="265"/>
      <c r="N16" s="265"/>
      <c r="O16" s="265"/>
      <c r="P16" s="265"/>
      <c r="Q16" s="265"/>
      <c r="R16" s="267"/>
    </row>
    <row r="17" spans="1:18" ht="18" customHeight="1">
      <c r="A17" s="204">
        <v>12</v>
      </c>
      <c r="B17" s="202" t="s">
        <v>759</v>
      </c>
      <c r="C17" s="202"/>
      <c r="D17" s="202" t="s">
        <v>459</v>
      </c>
      <c r="E17" s="300">
        <v>95</v>
      </c>
      <c r="F17" s="210">
        <v>95</v>
      </c>
      <c r="G17" s="203" t="s">
        <v>86</v>
      </c>
      <c r="H17" s="203" t="s">
        <v>712</v>
      </c>
      <c r="I17" s="276"/>
      <c r="J17" s="263" t="str">
        <f t="shared" si="0"/>
        <v>대국</v>
      </c>
      <c r="K17" s="266">
        <v>3460</v>
      </c>
      <c r="L17" s="265"/>
      <c r="M17" s="265"/>
      <c r="N17" s="265"/>
      <c r="O17" s="265"/>
      <c r="P17" s="265"/>
      <c r="Q17" s="265"/>
      <c r="R17" s="267"/>
    </row>
    <row r="18" spans="1:18" ht="18" customHeight="1">
      <c r="A18" s="204">
        <v>13</v>
      </c>
      <c r="B18" s="202" t="s">
        <v>760</v>
      </c>
      <c r="C18" s="202"/>
      <c r="D18" s="202" t="s">
        <v>93</v>
      </c>
      <c r="E18" s="300">
        <v>17</v>
      </c>
      <c r="F18" s="210">
        <v>17</v>
      </c>
      <c r="G18" s="203" t="s">
        <v>451</v>
      </c>
      <c r="H18" s="203" t="s">
        <v>537</v>
      </c>
      <c r="I18" s="276"/>
      <c r="J18" s="263" t="str">
        <f t="shared" si="0"/>
        <v>임공</v>
      </c>
      <c r="K18" s="266">
        <v>3460</v>
      </c>
      <c r="L18" s="265"/>
      <c r="M18" s="265"/>
      <c r="N18" s="265"/>
      <c r="O18" s="265"/>
      <c r="P18" s="265"/>
      <c r="Q18" s="265"/>
      <c r="R18" s="267"/>
    </row>
    <row r="19" spans="1:18" ht="18" customHeight="1">
      <c r="A19" s="204">
        <v>14</v>
      </c>
      <c r="B19" s="202" t="s">
        <v>761</v>
      </c>
      <c r="C19" s="202"/>
      <c r="D19" s="202" t="s">
        <v>898</v>
      </c>
      <c r="E19" s="300"/>
      <c r="F19" s="210">
        <v>72</v>
      </c>
      <c r="G19" s="203" t="s">
        <v>603</v>
      </c>
      <c r="H19" s="203" t="s">
        <v>715</v>
      </c>
      <c r="I19" s="276"/>
      <c r="J19" s="263" t="str">
        <f t="shared" si="0"/>
        <v>가국</v>
      </c>
      <c r="K19" s="266"/>
      <c r="L19" s="265"/>
      <c r="M19" s="265"/>
      <c r="N19" s="265"/>
      <c r="O19" s="265"/>
      <c r="P19" s="265"/>
      <c r="Q19" s="265"/>
      <c r="R19" s="267"/>
    </row>
    <row r="20" spans="1:18" ht="18" customHeight="1">
      <c r="A20" s="204">
        <v>15</v>
      </c>
      <c r="B20" s="202" t="s">
        <v>762</v>
      </c>
      <c r="C20" s="202"/>
      <c r="D20" s="202" t="s">
        <v>93</v>
      </c>
      <c r="E20" s="300">
        <v>307</v>
      </c>
      <c r="F20" s="210">
        <v>307</v>
      </c>
      <c r="G20" s="203" t="s">
        <v>0</v>
      </c>
      <c r="H20" s="203" t="s">
        <v>452</v>
      </c>
      <c r="I20" s="276"/>
      <c r="J20" s="263" t="str">
        <f t="shared" si="0"/>
        <v>임공</v>
      </c>
      <c r="K20" s="266">
        <v>3460</v>
      </c>
      <c r="L20" s="265"/>
      <c r="M20" s="265"/>
      <c r="N20" s="265"/>
      <c r="O20" s="265"/>
      <c r="P20" s="265"/>
      <c r="Q20" s="265"/>
      <c r="R20" s="267"/>
    </row>
    <row r="21" spans="1:18" ht="18" customHeight="1">
      <c r="A21" s="204">
        <v>16</v>
      </c>
      <c r="B21" s="202" t="s">
        <v>763</v>
      </c>
      <c r="C21" s="202"/>
      <c r="D21" s="202" t="s">
        <v>93</v>
      </c>
      <c r="E21" s="300">
        <v>14</v>
      </c>
      <c r="F21" s="210">
        <v>14</v>
      </c>
      <c r="G21" s="203" t="s">
        <v>0</v>
      </c>
      <c r="H21" s="203" t="s">
        <v>452</v>
      </c>
      <c r="I21" s="276"/>
      <c r="J21" s="263" t="str">
        <f t="shared" si="0"/>
        <v>임공</v>
      </c>
      <c r="K21" s="266">
        <v>3460</v>
      </c>
      <c r="L21" s="265"/>
      <c r="M21" s="265"/>
      <c r="N21" s="265"/>
      <c r="O21" s="265"/>
      <c r="P21" s="265"/>
      <c r="Q21" s="265"/>
      <c r="R21" s="267"/>
    </row>
    <row r="22" spans="1:18" ht="18" customHeight="1">
      <c r="A22" s="204">
        <v>17</v>
      </c>
      <c r="B22" s="202" t="s">
        <v>764</v>
      </c>
      <c r="C22" s="202"/>
      <c r="D22" s="202" t="s">
        <v>93</v>
      </c>
      <c r="E22" s="300">
        <v>1342</v>
      </c>
      <c r="F22" s="210">
        <v>1342</v>
      </c>
      <c r="G22" s="203" t="s">
        <v>451</v>
      </c>
      <c r="H22" s="203" t="s">
        <v>452</v>
      </c>
      <c r="I22" s="276"/>
      <c r="J22" s="263" t="str">
        <f t="shared" si="0"/>
        <v>임공</v>
      </c>
      <c r="K22" s="266">
        <v>13600</v>
      </c>
      <c r="L22" s="265"/>
      <c r="M22" s="265"/>
      <c r="N22" s="265"/>
      <c r="O22" s="265"/>
      <c r="P22" s="265"/>
      <c r="Q22" s="265"/>
      <c r="R22" s="267"/>
    </row>
    <row r="23" spans="1:18" ht="18" customHeight="1">
      <c r="A23" s="204">
        <v>18</v>
      </c>
      <c r="B23" s="202" t="s">
        <v>765</v>
      </c>
      <c r="C23" s="202"/>
      <c r="D23" s="202" t="s">
        <v>93</v>
      </c>
      <c r="E23" s="300">
        <v>1359</v>
      </c>
      <c r="F23" s="210">
        <v>1359</v>
      </c>
      <c r="G23" s="203" t="s">
        <v>0</v>
      </c>
      <c r="H23" s="203" t="s">
        <v>537</v>
      </c>
      <c r="I23" s="276"/>
      <c r="J23" s="263" t="str">
        <f t="shared" si="0"/>
        <v>임공</v>
      </c>
      <c r="K23" s="266">
        <v>3460</v>
      </c>
      <c r="L23" s="265"/>
      <c r="M23" s="265"/>
      <c r="N23" s="265"/>
      <c r="O23" s="265"/>
      <c r="P23" s="265"/>
      <c r="Q23" s="265"/>
      <c r="R23" s="267"/>
    </row>
    <row r="24" spans="1:18" ht="18" customHeight="1">
      <c r="A24" s="204">
        <v>19</v>
      </c>
      <c r="B24" s="202" t="s">
        <v>766</v>
      </c>
      <c r="C24" s="202"/>
      <c r="D24" s="202" t="s">
        <v>93</v>
      </c>
      <c r="E24" s="300">
        <v>2047</v>
      </c>
      <c r="F24" s="210">
        <v>2047</v>
      </c>
      <c r="G24" s="203" t="s">
        <v>451</v>
      </c>
      <c r="H24" s="203" t="s">
        <v>452</v>
      </c>
      <c r="I24" s="276"/>
      <c r="J24" s="263" t="str">
        <f t="shared" si="0"/>
        <v>임공</v>
      </c>
      <c r="K24" s="266">
        <v>13200</v>
      </c>
      <c r="L24" s="265"/>
      <c r="M24" s="265"/>
      <c r="N24" s="265"/>
      <c r="O24" s="265"/>
      <c r="P24" s="265"/>
      <c r="Q24" s="265"/>
      <c r="R24" s="267"/>
    </row>
    <row r="25" spans="1:18" ht="18" customHeight="1">
      <c r="A25" s="204">
        <v>20</v>
      </c>
      <c r="B25" s="202" t="s">
        <v>767</v>
      </c>
      <c r="C25" s="202"/>
      <c r="D25" s="202" t="s">
        <v>7</v>
      </c>
      <c r="E25" s="300">
        <v>34</v>
      </c>
      <c r="F25" s="210">
        <v>34</v>
      </c>
      <c r="G25" s="203" t="s">
        <v>451</v>
      </c>
      <c r="H25" s="203" t="s">
        <v>452</v>
      </c>
      <c r="I25" s="276"/>
      <c r="J25" s="263" t="str">
        <f t="shared" si="0"/>
        <v>전공</v>
      </c>
      <c r="K25" s="266">
        <v>10700</v>
      </c>
      <c r="L25" s="265"/>
      <c r="M25" s="265"/>
      <c r="N25" s="265"/>
      <c r="O25" s="265"/>
      <c r="P25" s="265"/>
      <c r="Q25" s="265"/>
      <c r="R25" s="267"/>
    </row>
    <row r="26" spans="1:18" ht="18" customHeight="1">
      <c r="A26" s="204">
        <v>21</v>
      </c>
      <c r="B26" s="202" t="s">
        <v>768</v>
      </c>
      <c r="C26" s="202"/>
      <c r="D26" s="202" t="s">
        <v>93</v>
      </c>
      <c r="E26" s="300">
        <v>297</v>
      </c>
      <c r="F26" s="210">
        <v>297</v>
      </c>
      <c r="G26" s="203" t="s">
        <v>451</v>
      </c>
      <c r="H26" s="203" t="s">
        <v>452</v>
      </c>
      <c r="I26" s="276"/>
      <c r="J26" s="263" t="str">
        <f t="shared" si="0"/>
        <v>임공</v>
      </c>
      <c r="K26" s="266">
        <v>7800</v>
      </c>
      <c r="L26" s="265"/>
      <c r="M26" s="265"/>
      <c r="N26" s="265"/>
      <c r="O26" s="265"/>
      <c r="P26" s="265"/>
      <c r="Q26" s="265"/>
      <c r="R26" s="267"/>
    </row>
    <row r="27" spans="1:18" ht="18" customHeight="1">
      <c r="A27" s="204">
        <v>22</v>
      </c>
      <c r="B27" s="202" t="s">
        <v>769</v>
      </c>
      <c r="C27" s="202"/>
      <c r="D27" s="202" t="s">
        <v>7</v>
      </c>
      <c r="E27" s="300">
        <v>8</v>
      </c>
      <c r="F27" s="210">
        <v>8</v>
      </c>
      <c r="G27" s="203" t="s">
        <v>451</v>
      </c>
      <c r="H27" s="203" t="s">
        <v>452</v>
      </c>
      <c r="I27" s="276"/>
      <c r="J27" s="263" t="str">
        <f t="shared" si="0"/>
        <v>전공</v>
      </c>
      <c r="K27" s="266">
        <v>13200</v>
      </c>
      <c r="L27" s="265"/>
      <c r="M27" s="265"/>
      <c r="N27" s="265"/>
      <c r="O27" s="265"/>
      <c r="P27" s="265"/>
      <c r="Q27" s="265"/>
      <c r="R27" s="267"/>
    </row>
    <row r="28" spans="1:18" ht="18" customHeight="1">
      <c r="A28" s="204">
        <v>23</v>
      </c>
      <c r="B28" s="202" t="s">
        <v>770</v>
      </c>
      <c r="C28" s="202"/>
      <c r="D28" s="202" t="s">
        <v>7</v>
      </c>
      <c r="E28" s="300">
        <v>105</v>
      </c>
      <c r="F28" s="210">
        <v>105</v>
      </c>
      <c r="G28" s="203" t="s">
        <v>451</v>
      </c>
      <c r="H28" s="203" t="s">
        <v>452</v>
      </c>
      <c r="I28" s="276"/>
      <c r="J28" s="263" t="str">
        <f t="shared" si="0"/>
        <v>전공</v>
      </c>
      <c r="K28" s="266">
        <v>13200</v>
      </c>
      <c r="L28" s="265"/>
      <c r="M28" s="265"/>
      <c r="N28" s="265"/>
      <c r="O28" s="265"/>
      <c r="P28" s="265"/>
      <c r="Q28" s="265"/>
      <c r="R28" s="267"/>
    </row>
    <row r="29" spans="1:18" ht="18" customHeight="1">
      <c r="A29" s="204">
        <v>24</v>
      </c>
      <c r="B29" s="202" t="s">
        <v>771</v>
      </c>
      <c r="C29" s="202"/>
      <c r="D29" s="202" t="s">
        <v>7</v>
      </c>
      <c r="E29" s="300">
        <v>385</v>
      </c>
      <c r="F29" s="210">
        <v>385</v>
      </c>
      <c r="G29" s="203" t="s">
        <v>451</v>
      </c>
      <c r="H29" s="203" t="s">
        <v>452</v>
      </c>
      <c r="I29" s="276"/>
      <c r="J29" s="263" t="str">
        <f t="shared" si="0"/>
        <v>전공</v>
      </c>
      <c r="K29" s="266">
        <v>13200</v>
      </c>
      <c r="L29" s="265"/>
      <c r="M29" s="265"/>
      <c r="N29" s="265"/>
      <c r="O29" s="265"/>
      <c r="P29" s="265"/>
      <c r="Q29" s="265"/>
      <c r="R29" s="267"/>
    </row>
    <row r="30" spans="1:18" ht="18" customHeight="1">
      <c r="A30" s="204">
        <v>25</v>
      </c>
      <c r="B30" s="202" t="s">
        <v>772</v>
      </c>
      <c r="C30" s="202"/>
      <c r="D30" s="202" t="s">
        <v>571</v>
      </c>
      <c r="E30" s="300">
        <v>7</v>
      </c>
      <c r="F30" s="210">
        <v>7</v>
      </c>
      <c r="G30" s="203" t="s">
        <v>451</v>
      </c>
      <c r="H30" s="203" t="s">
        <v>899</v>
      </c>
      <c r="I30" s="276"/>
      <c r="J30" s="263" t="str">
        <f t="shared" si="0"/>
        <v>잡공</v>
      </c>
      <c r="K30" s="266">
        <v>19900</v>
      </c>
      <c r="L30" s="265"/>
      <c r="M30" s="265"/>
      <c r="N30" s="265"/>
      <c r="O30" s="265"/>
      <c r="P30" s="265"/>
      <c r="Q30" s="265"/>
      <c r="R30" s="267"/>
    </row>
    <row r="31" spans="1:18" ht="18" customHeight="1">
      <c r="A31" s="204">
        <v>26</v>
      </c>
      <c r="B31" s="202" t="s">
        <v>773</v>
      </c>
      <c r="C31" s="202"/>
      <c r="D31" s="202" t="s">
        <v>571</v>
      </c>
      <c r="E31" s="300">
        <v>7</v>
      </c>
      <c r="F31" s="210">
        <v>7</v>
      </c>
      <c r="G31" s="203" t="s">
        <v>451</v>
      </c>
      <c r="H31" s="203" t="s">
        <v>899</v>
      </c>
      <c r="I31" s="276"/>
      <c r="J31" s="263" t="str">
        <f t="shared" si="0"/>
        <v>잡공</v>
      </c>
      <c r="K31" s="266">
        <v>19900</v>
      </c>
      <c r="L31" s="265"/>
      <c r="M31" s="265"/>
      <c r="N31" s="265"/>
      <c r="O31" s="265"/>
      <c r="P31" s="265"/>
      <c r="Q31" s="265"/>
      <c r="R31" s="267"/>
    </row>
    <row r="32" spans="1:18" ht="18" customHeight="1">
      <c r="A32" s="204">
        <v>27</v>
      </c>
      <c r="B32" s="202" t="s">
        <v>774</v>
      </c>
      <c r="C32" s="202"/>
      <c r="D32" s="202" t="s">
        <v>7</v>
      </c>
      <c r="E32" s="300">
        <v>1220</v>
      </c>
      <c r="F32" s="210">
        <v>1220</v>
      </c>
      <c r="G32" s="203" t="s">
        <v>451</v>
      </c>
      <c r="H32" s="203" t="s">
        <v>452</v>
      </c>
      <c r="I32" s="276"/>
      <c r="J32" s="263" t="str">
        <f t="shared" si="0"/>
        <v>전공</v>
      </c>
      <c r="K32" s="266">
        <v>13000</v>
      </c>
      <c r="L32" s="265"/>
      <c r="M32" s="265"/>
      <c r="N32" s="265"/>
      <c r="O32" s="265"/>
      <c r="P32" s="265"/>
      <c r="Q32" s="265"/>
      <c r="R32" s="267"/>
    </row>
    <row r="33" spans="1:18" ht="18" customHeight="1">
      <c r="A33" s="204">
        <v>28</v>
      </c>
      <c r="B33" s="202">
        <v>855</v>
      </c>
      <c r="C33" s="202"/>
      <c r="D33" s="202" t="s">
        <v>455</v>
      </c>
      <c r="E33" s="300">
        <v>3832</v>
      </c>
      <c r="F33" s="210">
        <v>84</v>
      </c>
      <c r="G33" s="203" t="s">
        <v>86</v>
      </c>
      <c r="H33" s="203" t="s">
        <v>715</v>
      </c>
      <c r="I33" s="276"/>
      <c r="J33" s="263" t="str">
        <f t="shared" si="0"/>
        <v>도국</v>
      </c>
      <c r="K33" s="266"/>
      <c r="L33" s="265"/>
      <c r="M33" s="265"/>
      <c r="N33" s="265"/>
      <c r="O33" s="265"/>
      <c r="P33" s="265"/>
      <c r="Q33" s="265"/>
      <c r="R33" s="267"/>
    </row>
    <row r="34" spans="1:18" ht="18" customHeight="1">
      <c r="A34" s="204">
        <v>29</v>
      </c>
      <c r="B34" s="202" t="s">
        <v>775</v>
      </c>
      <c r="C34" s="202"/>
      <c r="D34" s="202" t="s">
        <v>7</v>
      </c>
      <c r="E34" s="300">
        <v>51</v>
      </c>
      <c r="F34" s="210">
        <v>51</v>
      </c>
      <c r="G34" s="203" t="s">
        <v>451</v>
      </c>
      <c r="H34" s="203" t="s">
        <v>452</v>
      </c>
      <c r="I34" s="276"/>
      <c r="J34" s="263" t="str">
        <f t="shared" si="0"/>
        <v>전공</v>
      </c>
      <c r="K34" s="266">
        <v>11400</v>
      </c>
      <c r="L34" s="265"/>
      <c r="M34" s="265"/>
      <c r="N34" s="265"/>
      <c r="O34" s="265"/>
      <c r="P34" s="265"/>
      <c r="Q34" s="265"/>
      <c r="R34" s="267"/>
    </row>
    <row r="35" spans="1:18" ht="18" customHeight="1">
      <c r="A35" s="204">
        <v>30</v>
      </c>
      <c r="B35" s="202" t="s">
        <v>776</v>
      </c>
      <c r="C35" s="202"/>
      <c r="D35" s="202" t="s">
        <v>7</v>
      </c>
      <c r="E35" s="300">
        <v>235</v>
      </c>
      <c r="F35" s="210">
        <v>235</v>
      </c>
      <c r="G35" s="203" t="s">
        <v>451</v>
      </c>
      <c r="H35" s="203" t="s">
        <v>452</v>
      </c>
      <c r="I35" s="276"/>
      <c r="J35" s="263" t="str">
        <f t="shared" si="0"/>
        <v>전공</v>
      </c>
      <c r="K35" s="266">
        <v>11300</v>
      </c>
      <c r="L35" s="265"/>
      <c r="M35" s="265"/>
      <c r="N35" s="265"/>
      <c r="O35" s="265"/>
      <c r="P35" s="265"/>
      <c r="Q35" s="265"/>
      <c r="R35" s="267"/>
    </row>
    <row r="36" spans="1:18" ht="18" customHeight="1">
      <c r="A36" s="204">
        <v>31</v>
      </c>
      <c r="B36" s="202" t="s">
        <v>777</v>
      </c>
      <c r="C36" s="202"/>
      <c r="D36" s="202" t="s">
        <v>459</v>
      </c>
      <c r="E36" s="300">
        <v>304</v>
      </c>
      <c r="F36" s="210">
        <v>304</v>
      </c>
      <c r="G36" s="203" t="s">
        <v>0</v>
      </c>
      <c r="H36" s="203" t="s">
        <v>452</v>
      </c>
      <c r="I36" s="276"/>
      <c r="J36" s="263" t="str">
        <f t="shared" si="0"/>
        <v>대공</v>
      </c>
      <c r="K36" s="266">
        <v>15300</v>
      </c>
      <c r="L36" s="265"/>
      <c r="M36" s="265"/>
      <c r="N36" s="265"/>
      <c r="O36" s="265"/>
      <c r="P36" s="265"/>
      <c r="Q36" s="265"/>
      <c r="R36" s="267"/>
    </row>
    <row r="37" spans="1:18" ht="18" customHeight="1">
      <c r="A37" s="204">
        <v>32</v>
      </c>
      <c r="B37" s="202" t="s">
        <v>778</v>
      </c>
      <c r="C37" s="202"/>
      <c r="D37" s="202" t="s">
        <v>7</v>
      </c>
      <c r="E37" s="300">
        <v>120</v>
      </c>
      <c r="F37" s="210">
        <v>120</v>
      </c>
      <c r="G37" s="203" t="s">
        <v>0</v>
      </c>
      <c r="H37" s="203" t="s">
        <v>452</v>
      </c>
      <c r="I37" s="276"/>
      <c r="J37" s="263" t="str">
        <f t="shared" si="0"/>
        <v>전공</v>
      </c>
      <c r="K37" s="266">
        <v>15300</v>
      </c>
      <c r="L37" s="265"/>
      <c r="M37" s="265"/>
      <c r="N37" s="265"/>
      <c r="O37" s="265"/>
      <c r="P37" s="265"/>
      <c r="Q37" s="265"/>
      <c r="R37" s="267"/>
    </row>
    <row r="38" spans="1:18" ht="18" customHeight="1">
      <c r="A38" s="204">
        <v>33</v>
      </c>
      <c r="B38" s="202" t="s">
        <v>779</v>
      </c>
      <c r="C38" s="202"/>
      <c r="D38" s="202" t="s">
        <v>7</v>
      </c>
      <c r="E38" s="300">
        <v>394</v>
      </c>
      <c r="F38" s="210">
        <v>394</v>
      </c>
      <c r="G38" s="203" t="s">
        <v>0</v>
      </c>
      <c r="H38" s="203" t="s">
        <v>452</v>
      </c>
      <c r="I38" s="276"/>
      <c r="J38" s="263" t="str">
        <f t="shared" si="0"/>
        <v>전공</v>
      </c>
      <c r="K38" s="266">
        <v>10500</v>
      </c>
      <c r="L38" s="265"/>
      <c r="M38" s="265"/>
      <c r="N38" s="265"/>
      <c r="O38" s="265"/>
      <c r="P38" s="265"/>
      <c r="Q38" s="265"/>
      <c r="R38" s="267"/>
    </row>
    <row r="39" spans="1:18" ht="18" customHeight="1">
      <c r="A39" s="204">
        <v>34</v>
      </c>
      <c r="B39" s="202" t="s">
        <v>780</v>
      </c>
      <c r="C39" s="202"/>
      <c r="D39" s="202" t="s">
        <v>7</v>
      </c>
      <c r="E39" s="300">
        <v>217</v>
      </c>
      <c r="F39" s="210">
        <v>217</v>
      </c>
      <c r="G39" s="203" t="s">
        <v>0</v>
      </c>
      <c r="H39" s="203" t="s">
        <v>452</v>
      </c>
      <c r="I39" s="276"/>
      <c r="J39" s="263" t="str">
        <f t="shared" si="0"/>
        <v>전공</v>
      </c>
      <c r="K39" s="266">
        <v>12400</v>
      </c>
      <c r="L39" s="265"/>
      <c r="M39" s="265"/>
      <c r="N39" s="265"/>
      <c r="O39" s="265"/>
      <c r="P39" s="265"/>
      <c r="Q39" s="265"/>
      <c r="R39" s="267"/>
    </row>
    <row r="40" spans="1:18" ht="18" customHeight="1">
      <c r="A40" s="204">
        <v>35</v>
      </c>
      <c r="B40" s="202" t="s">
        <v>781</v>
      </c>
      <c r="C40" s="202"/>
      <c r="D40" s="202" t="s">
        <v>7</v>
      </c>
      <c r="E40" s="300">
        <v>234</v>
      </c>
      <c r="F40" s="210">
        <v>234</v>
      </c>
      <c r="G40" s="203" t="s">
        <v>0</v>
      </c>
      <c r="H40" s="203" t="s">
        <v>452</v>
      </c>
      <c r="I40" s="276"/>
      <c r="J40" s="263" t="str">
        <f t="shared" si="0"/>
        <v>전공</v>
      </c>
      <c r="K40" s="266">
        <v>12400</v>
      </c>
      <c r="L40" s="265"/>
      <c r="M40" s="265"/>
      <c r="N40" s="265"/>
      <c r="O40" s="265"/>
      <c r="P40" s="265"/>
      <c r="Q40" s="265"/>
      <c r="R40" s="267"/>
    </row>
    <row r="41" spans="1:18" ht="18" customHeight="1">
      <c r="A41" s="204">
        <v>36</v>
      </c>
      <c r="B41" s="202" t="s">
        <v>782</v>
      </c>
      <c r="C41" s="202"/>
      <c r="D41" s="202" t="s">
        <v>462</v>
      </c>
      <c r="E41" s="300">
        <v>49.5</v>
      </c>
      <c r="F41" s="210">
        <v>49.5</v>
      </c>
      <c r="G41" s="203" t="s">
        <v>86</v>
      </c>
      <c r="H41" s="203" t="s">
        <v>712</v>
      </c>
      <c r="I41" s="276"/>
      <c r="J41" s="263" t="str">
        <f t="shared" si="0"/>
        <v>구국</v>
      </c>
      <c r="K41" s="266"/>
      <c r="L41" s="265"/>
      <c r="M41" s="265"/>
      <c r="N41" s="265"/>
      <c r="O41" s="265"/>
      <c r="P41" s="265"/>
      <c r="Q41" s="265"/>
      <c r="R41" s="267"/>
    </row>
    <row r="42" spans="1:18" ht="18" customHeight="1">
      <c r="A42" s="204">
        <v>37</v>
      </c>
      <c r="B42" s="202" t="s">
        <v>783</v>
      </c>
      <c r="C42" s="202"/>
      <c r="D42" s="202" t="s">
        <v>8</v>
      </c>
      <c r="E42" s="300">
        <v>862.8</v>
      </c>
      <c r="F42" s="210">
        <v>862.8</v>
      </c>
      <c r="G42" s="203" t="s">
        <v>451</v>
      </c>
      <c r="H42" s="203" t="s">
        <v>452</v>
      </c>
      <c r="I42" s="276"/>
      <c r="J42" s="263" t="str">
        <f t="shared" si="0"/>
        <v>답공</v>
      </c>
      <c r="K42" s="266">
        <v>10900</v>
      </c>
      <c r="L42" s="265"/>
      <c r="M42" s="265"/>
      <c r="N42" s="265"/>
      <c r="O42" s="265"/>
      <c r="P42" s="265"/>
      <c r="Q42" s="265"/>
      <c r="R42" s="267"/>
    </row>
    <row r="43" spans="1:18" ht="18" customHeight="1">
      <c r="A43" s="204">
        <v>38</v>
      </c>
      <c r="B43" s="202" t="s">
        <v>784</v>
      </c>
      <c r="C43" s="202"/>
      <c r="D43" s="202" t="s">
        <v>455</v>
      </c>
      <c r="E43" s="300">
        <v>83.7</v>
      </c>
      <c r="F43" s="210">
        <v>83.7</v>
      </c>
      <c r="G43" s="203" t="s">
        <v>86</v>
      </c>
      <c r="H43" s="203" t="s">
        <v>715</v>
      </c>
      <c r="I43" s="276"/>
      <c r="J43" s="263" t="str">
        <f t="shared" si="0"/>
        <v>도국</v>
      </c>
      <c r="K43" s="266"/>
      <c r="L43" s="265"/>
      <c r="M43" s="265"/>
      <c r="N43" s="265"/>
      <c r="O43" s="265"/>
      <c r="P43" s="265"/>
      <c r="Q43" s="265"/>
      <c r="R43" s="267"/>
    </row>
    <row r="44" spans="1:18" ht="18" customHeight="1">
      <c r="A44" s="204">
        <v>39</v>
      </c>
      <c r="B44" s="202" t="s">
        <v>785</v>
      </c>
      <c r="C44" s="202"/>
      <c r="D44" s="202" t="s">
        <v>462</v>
      </c>
      <c r="E44" s="300">
        <v>57.7</v>
      </c>
      <c r="F44" s="210">
        <v>57.7</v>
      </c>
      <c r="G44" s="203" t="s">
        <v>86</v>
      </c>
      <c r="H44" s="203" t="s">
        <v>712</v>
      </c>
      <c r="I44" s="276"/>
      <c r="J44" s="263" t="str">
        <f t="shared" si="0"/>
        <v>구국</v>
      </c>
      <c r="K44" s="266"/>
      <c r="L44" s="265"/>
      <c r="M44" s="265"/>
      <c r="N44" s="265"/>
      <c r="O44" s="265"/>
      <c r="P44" s="265"/>
      <c r="Q44" s="265"/>
      <c r="R44" s="267"/>
    </row>
    <row r="45" spans="1:18" ht="18" customHeight="1">
      <c r="A45" s="204">
        <v>40</v>
      </c>
      <c r="B45" s="202" t="s">
        <v>786</v>
      </c>
      <c r="C45" s="202"/>
      <c r="D45" s="202" t="s">
        <v>7</v>
      </c>
      <c r="E45" s="300">
        <v>24</v>
      </c>
      <c r="F45" s="210">
        <v>24</v>
      </c>
      <c r="G45" s="203" t="s">
        <v>451</v>
      </c>
      <c r="H45" s="203" t="s">
        <v>452</v>
      </c>
      <c r="I45" s="276"/>
      <c r="J45" s="263" t="str">
        <f t="shared" si="0"/>
        <v>전공</v>
      </c>
      <c r="K45" s="266">
        <v>14300</v>
      </c>
      <c r="L45" s="265"/>
      <c r="M45" s="265"/>
      <c r="N45" s="265"/>
      <c r="O45" s="265"/>
      <c r="P45" s="265"/>
      <c r="Q45" s="265"/>
      <c r="R45" s="267"/>
    </row>
    <row r="46" spans="1:18" ht="18" customHeight="1">
      <c r="A46" s="204">
        <v>41</v>
      </c>
      <c r="B46" s="202" t="s">
        <v>787</v>
      </c>
      <c r="C46" s="202"/>
      <c r="D46" s="202" t="s">
        <v>7</v>
      </c>
      <c r="E46" s="300">
        <v>176</v>
      </c>
      <c r="F46" s="210">
        <v>176</v>
      </c>
      <c r="G46" s="203" t="s">
        <v>451</v>
      </c>
      <c r="H46" s="203" t="s">
        <v>452</v>
      </c>
      <c r="I46" s="276"/>
      <c r="J46" s="263" t="str">
        <f t="shared" si="0"/>
        <v>전공</v>
      </c>
      <c r="K46" s="266">
        <v>16900</v>
      </c>
      <c r="L46" s="265"/>
      <c r="M46" s="265"/>
      <c r="N46" s="265"/>
      <c r="O46" s="265"/>
      <c r="P46" s="265"/>
      <c r="Q46" s="265"/>
      <c r="R46" s="267"/>
    </row>
    <row r="47" spans="1:18" ht="18" customHeight="1">
      <c r="A47" s="204">
        <v>42</v>
      </c>
      <c r="B47" s="202" t="s">
        <v>788</v>
      </c>
      <c r="C47" s="202"/>
      <c r="D47" s="202" t="s">
        <v>7</v>
      </c>
      <c r="E47" s="300">
        <v>32</v>
      </c>
      <c r="F47" s="210">
        <v>32</v>
      </c>
      <c r="G47" s="203" t="s">
        <v>451</v>
      </c>
      <c r="H47" s="203" t="s">
        <v>452</v>
      </c>
      <c r="I47" s="276"/>
      <c r="J47" s="263" t="str">
        <f t="shared" si="0"/>
        <v>전공</v>
      </c>
      <c r="K47" s="266">
        <v>14800</v>
      </c>
      <c r="L47" s="265"/>
      <c r="M47" s="265"/>
      <c r="N47" s="265"/>
      <c r="O47" s="265"/>
      <c r="P47" s="265"/>
      <c r="Q47" s="265"/>
      <c r="R47" s="267"/>
    </row>
    <row r="48" spans="1:18" ht="18" customHeight="1">
      <c r="A48" s="204">
        <v>43</v>
      </c>
      <c r="B48" s="202" t="s">
        <v>789</v>
      </c>
      <c r="C48" s="202"/>
      <c r="D48" s="202" t="s">
        <v>459</v>
      </c>
      <c r="E48" s="300">
        <v>47</v>
      </c>
      <c r="F48" s="210">
        <v>47</v>
      </c>
      <c r="G48" s="203" t="s">
        <v>451</v>
      </c>
      <c r="H48" s="203" t="s">
        <v>452</v>
      </c>
      <c r="I48" s="276"/>
      <c r="J48" s="263" t="str">
        <f t="shared" si="0"/>
        <v>대공</v>
      </c>
      <c r="K48" s="266">
        <v>19900</v>
      </c>
      <c r="L48" s="265"/>
      <c r="M48" s="265"/>
      <c r="N48" s="265"/>
      <c r="O48" s="265"/>
      <c r="P48" s="265"/>
      <c r="Q48" s="265"/>
      <c r="R48" s="267"/>
    </row>
    <row r="49" spans="1:18" ht="18" customHeight="1">
      <c r="A49" s="204">
        <v>44</v>
      </c>
      <c r="B49" s="202" t="s">
        <v>790</v>
      </c>
      <c r="C49" s="202"/>
      <c r="D49" s="202" t="s">
        <v>7</v>
      </c>
      <c r="E49" s="300">
        <v>54</v>
      </c>
      <c r="F49" s="210">
        <v>54</v>
      </c>
      <c r="G49" s="203" t="s">
        <v>451</v>
      </c>
      <c r="H49" s="203" t="s">
        <v>452</v>
      </c>
      <c r="I49" s="276"/>
      <c r="J49" s="263" t="str">
        <f t="shared" si="0"/>
        <v>전공</v>
      </c>
      <c r="K49" s="266">
        <v>14800</v>
      </c>
      <c r="L49" s="265"/>
      <c r="M49" s="265"/>
      <c r="N49" s="265"/>
      <c r="O49" s="265"/>
      <c r="P49" s="265"/>
      <c r="Q49" s="265"/>
      <c r="R49" s="267"/>
    </row>
    <row r="50" spans="1:18" ht="18" customHeight="1">
      <c r="A50" s="204">
        <v>45</v>
      </c>
      <c r="B50" s="202" t="s">
        <v>791</v>
      </c>
      <c r="C50" s="202"/>
      <c r="D50" s="202" t="s">
        <v>459</v>
      </c>
      <c r="E50" s="300">
        <v>3</v>
      </c>
      <c r="F50" s="210">
        <v>3</v>
      </c>
      <c r="G50" s="203" t="s">
        <v>451</v>
      </c>
      <c r="H50" s="203" t="s">
        <v>452</v>
      </c>
      <c r="I50" s="276"/>
      <c r="J50" s="263" t="str">
        <f t="shared" si="0"/>
        <v>대공</v>
      </c>
      <c r="K50" s="266">
        <v>19900</v>
      </c>
      <c r="L50" s="265"/>
      <c r="M50" s="265"/>
      <c r="N50" s="265"/>
      <c r="O50" s="265"/>
      <c r="P50" s="265"/>
      <c r="Q50" s="265"/>
      <c r="R50" s="267"/>
    </row>
    <row r="51" spans="1:18" ht="18" customHeight="1">
      <c r="A51" s="204">
        <v>46</v>
      </c>
      <c r="B51" s="202" t="s">
        <v>792</v>
      </c>
      <c r="C51" s="202"/>
      <c r="D51" s="202" t="s">
        <v>7</v>
      </c>
      <c r="E51" s="300">
        <v>90</v>
      </c>
      <c r="F51" s="210">
        <v>90</v>
      </c>
      <c r="G51" s="203" t="s">
        <v>451</v>
      </c>
      <c r="H51" s="203" t="s">
        <v>452</v>
      </c>
      <c r="I51" s="276"/>
      <c r="J51" s="263" t="str">
        <f t="shared" si="0"/>
        <v>전공</v>
      </c>
      <c r="K51" s="266">
        <v>14800</v>
      </c>
      <c r="L51" s="265"/>
      <c r="M51" s="265"/>
      <c r="N51" s="265"/>
      <c r="O51" s="265"/>
      <c r="P51" s="265"/>
      <c r="Q51" s="265"/>
      <c r="R51" s="267"/>
    </row>
    <row r="52" spans="1:18" ht="18" customHeight="1">
      <c r="A52" s="204">
        <v>47</v>
      </c>
      <c r="B52" s="202" t="s">
        <v>793</v>
      </c>
      <c r="C52" s="202"/>
      <c r="D52" s="202" t="s">
        <v>8</v>
      </c>
      <c r="E52" s="300">
        <v>201</v>
      </c>
      <c r="F52" s="210">
        <v>16</v>
      </c>
      <c r="G52" s="203" t="s">
        <v>0</v>
      </c>
      <c r="H52" s="203" t="s">
        <v>452</v>
      </c>
      <c r="I52" s="276"/>
      <c r="J52" s="263" t="str">
        <f t="shared" si="0"/>
        <v>답공</v>
      </c>
      <c r="K52" s="266">
        <v>10400</v>
      </c>
      <c r="L52" s="265"/>
      <c r="M52" s="265"/>
      <c r="N52" s="265"/>
      <c r="O52" s="265"/>
      <c r="P52" s="265"/>
      <c r="Q52" s="265"/>
      <c r="R52" s="267"/>
    </row>
    <row r="53" spans="1:18" ht="18" customHeight="1">
      <c r="A53" s="204">
        <v>48</v>
      </c>
      <c r="B53" s="202" t="s">
        <v>794</v>
      </c>
      <c r="C53" s="202"/>
      <c r="D53" s="202" t="s">
        <v>462</v>
      </c>
      <c r="E53" s="300">
        <v>36.4</v>
      </c>
      <c r="F53" s="210">
        <v>36.4</v>
      </c>
      <c r="G53" s="203" t="s">
        <v>86</v>
      </c>
      <c r="H53" s="203" t="s">
        <v>712</v>
      </c>
      <c r="I53" s="276"/>
      <c r="J53" s="263" t="str">
        <f t="shared" si="0"/>
        <v>구국</v>
      </c>
      <c r="K53" s="266"/>
      <c r="L53" s="265"/>
      <c r="M53" s="265"/>
      <c r="N53" s="265"/>
      <c r="O53" s="265"/>
      <c r="P53" s="265"/>
      <c r="Q53" s="265"/>
      <c r="R53" s="267"/>
    </row>
    <row r="54" spans="1:18" ht="18" customHeight="1">
      <c r="A54" s="204">
        <v>49</v>
      </c>
      <c r="B54" s="202" t="s">
        <v>795</v>
      </c>
      <c r="C54" s="202"/>
      <c r="D54" s="202" t="s">
        <v>455</v>
      </c>
      <c r="E54" s="300">
        <v>76</v>
      </c>
      <c r="F54" s="210">
        <v>76</v>
      </c>
      <c r="G54" s="203" t="s">
        <v>900</v>
      </c>
      <c r="H54" s="203" t="s">
        <v>900</v>
      </c>
      <c r="I54" s="276"/>
      <c r="J54" s="263" t="str">
        <f t="shared" si="0"/>
        <v>도박*삼</v>
      </c>
      <c r="K54" s="266"/>
      <c r="L54" s="265"/>
      <c r="M54" s="265"/>
      <c r="N54" s="265"/>
      <c r="O54" s="265"/>
      <c r="P54" s="265"/>
      <c r="Q54" s="265"/>
      <c r="R54" s="267"/>
    </row>
    <row r="55" spans="1:18" ht="18" customHeight="1">
      <c r="A55" s="204">
        <v>50</v>
      </c>
      <c r="B55" s="202" t="s">
        <v>796</v>
      </c>
      <c r="C55" s="202"/>
      <c r="D55" s="202" t="s">
        <v>462</v>
      </c>
      <c r="E55" s="300">
        <v>120.2</v>
      </c>
      <c r="F55" s="210">
        <v>120.2</v>
      </c>
      <c r="G55" s="203" t="s">
        <v>86</v>
      </c>
      <c r="H55" s="203" t="s">
        <v>712</v>
      </c>
      <c r="I55" s="276"/>
      <c r="J55" s="263" t="str">
        <f t="shared" si="0"/>
        <v>구국</v>
      </c>
      <c r="K55" s="266"/>
      <c r="L55" s="265"/>
      <c r="M55" s="265"/>
      <c r="N55" s="265"/>
      <c r="O55" s="265"/>
      <c r="P55" s="265"/>
      <c r="Q55" s="265"/>
      <c r="R55" s="267"/>
    </row>
    <row r="56" spans="1:18" ht="18" customHeight="1">
      <c r="A56" s="204">
        <v>51</v>
      </c>
      <c r="B56" s="202" t="s">
        <v>797</v>
      </c>
      <c r="C56" s="202"/>
      <c r="D56" s="202" t="s">
        <v>8</v>
      </c>
      <c r="E56" s="300">
        <v>2109.9</v>
      </c>
      <c r="F56" s="210">
        <v>2109.9</v>
      </c>
      <c r="G56" s="203" t="s">
        <v>0</v>
      </c>
      <c r="H56" s="203" t="s">
        <v>452</v>
      </c>
      <c r="I56" s="276"/>
      <c r="J56" s="263" t="str">
        <f t="shared" si="0"/>
        <v>답공</v>
      </c>
      <c r="K56" s="266">
        <v>11300</v>
      </c>
      <c r="L56" s="265"/>
      <c r="M56" s="265"/>
      <c r="N56" s="265"/>
      <c r="O56" s="265"/>
      <c r="P56" s="265"/>
      <c r="Q56" s="265"/>
      <c r="R56" s="267"/>
    </row>
    <row r="57" spans="1:18" ht="18" customHeight="1">
      <c r="A57" s="204">
        <v>52</v>
      </c>
      <c r="B57" s="202" t="s">
        <v>798</v>
      </c>
      <c r="C57" s="202"/>
      <c r="D57" s="202" t="s">
        <v>8</v>
      </c>
      <c r="E57" s="300">
        <v>1704.2</v>
      </c>
      <c r="F57" s="210">
        <v>1704.2</v>
      </c>
      <c r="G57" s="203" t="s">
        <v>0</v>
      </c>
      <c r="H57" s="203" t="s">
        <v>452</v>
      </c>
      <c r="I57" s="276"/>
      <c r="J57" s="263" t="str">
        <f t="shared" si="0"/>
        <v>답공</v>
      </c>
      <c r="K57" s="266">
        <v>10900</v>
      </c>
      <c r="L57" s="265"/>
      <c r="M57" s="265"/>
      <c r="N57" s="265"/>
      <c r="O57" s="265"/>
      <c r="P57" s="265"/>
      <c r="Q57" s="265"/>
      <c r="R57" s="267"/>
    </row>
    <row r="58" spans="1:18" ht="18" customHeight="1">
      <c r="A58" s="204">
        <v>53</v>
      </c>
      <c r="B58" s="202" t="s">
        <v>799</v>
      </c>
      <c r="C58" s="202"/>
      <c r="D58" s="202" t="s">
        <v>8</v>
      </c>
      <c r="E58" s="300">
        <v>1475</v>
      </c>
      <c r="F58" s="210">
        <v>1475</v>
      </c>
      <c r="G58" s="203" t="s">
        <v>0</v>
      </c>
      <c r="H58" s="203" t="s">
        <v>452</v>
      </c>
      <c r="I58" s="276"/>
      <c r="J58" s="263" t="str">
        <f t="shared" si="0"/>
        <v>답공</v>
      </c>
      <c r="K58" s="266">
        <v>9800</v>
      </c>
      <c r="L58" s="265"/>
      <c r="M58" s="265"/>
      <c r="N58" s="265"/>
      <c r="O58" s="265"/>
      <c r="P58" s="265"/>
      <c r="Q58" s="265"/>
      <c r="R58" s="267"/>
    </row>
    <row r="59" spans="1:18" ht="18" customHeight="1">
      <c r="A59" s="204">
        <v>54</v>
      </c>
      <c r="B59" s="202" t="s">
        <v>800</v>
      </c>
      <c r="C59" s="202"/>
      <c r="D59" s="202" t="s">
        <v>8</v>
      </c>
      <c r="E59" s="300">
        <v>1524.2</v>
      </c>
      <c r="F59" s="210">
        <v>1524.2</v>
      </c>
      <c r="G59" s="203" t="s">
        <v>451</v>
      </c>
      <c r="H59" s="203" t="s">
        <v>452</v>
      </c>
      <c r="I59" s="276"/>
      <c r="J59" s="263" t="str">
        <f t="shared" si="0"/>
        <v>답공</v>
      </c>
      <c r="K59" s="266">
        <v>9800</v>
      </c>
      <c r="L59" s="265"/>
      <c r="M59" s="265"/>
      <c r="N59" s="265"/>
      <c r="O59" s="265"/>
      <c r="P59" s="265"/>
      <c r="Q59" s="265"/>
      <c r="R59" s="267"/>
    </row>
    <row r="60" spans="1:18" ht="18" customHeight="1">
      <c r="A60" s="204">
        <v>55</v>
      </c>
      <c r="B60" s="202" t="s">
        <v>801</v>
      </c>
      <c r="C60" s="202"/>
      <c r="D60" s="202" t="s">
        <v>8</v>
      </c>
      <c r="E60" s="300">
        <v>532.6</v>
      </c>
      <c r="F60" s="210">
        <v>532.6</v>
      </c>
      <c r="G60" s="203" t="s">
        <v>451</v>
      </c>
      <c r="H60" s="203" t="s">
        <v>452</v>
      </c>
      <c r="I60" s="276"/>
      <c r="J60" s="263" t="str">
        <f t="shared" si="0"/>
        <v>답공</v>
      </c>
      <c r="K60" s="266">
        <v>9800</v>
      </c>
      <c r="L60" s="265"/>
      <c r="M60" s="265"/>
      <c r="N60" s="265"/>
      <c r="O60" s="265"/>
      <c r="P60" s="265"/>
      <c r="Q60" s="265"/>
      <c r="R60" s="267"/>
    </row>
    <row r="61" spans="1:18" ht="18" customHeight="1">
      <c r="A61" s="204">
        <v>56</v>
      </c>
      <c r="B61" s="202" t="s">
        <v>802</v>
      </c>
      <c r="C61" s="202"/>
      <c r="D61" s="202" t="s">
        <v>8</v>
      </c>
      <c r="E61" s="300">
        <v>59.8</v>
      </c>
      <c r="F61" s="210">
        <v>59.8</v>
      </c>
      <c r="G61" s="203" t="s">
        <v>451</v>
      </c>
      <c r="H61" s="203" t="s">
        <v>452</v>
      </c>
      <c r="I61" s="276"/>
      <c r="J61" s="263" t="str">
        <f t="shared" si="0"/>
        <v>답공</v>
      </c>
      <c r="K61" s="266">
        <v>9650</v>
      </c>
      <c r="L61" s="265"/>
      <c r="M61" s="265"/>
      <c r="N61" s="265"/>
      <c r="O61" s="265"/>
      <c r="P61" s="265"/>
      <c r="Q61" s="265"/>
      <c r="R61" s="267"/>
    </row>
    <row r="62" spans="1:18" ht="18" customHeight="1">
      <c r="A62" s="204">
        <v>57</v>
      </c>
      <c r="B62" s="202" t="s">
        <v>803</v>
      </c>
      <c r="C62" s="202"/>
      <c r="D62" s="202" t="s">
        <v>462</v>
      </c>
      <c r="E62" s="300">
        <v>591.9</v>
      </c>
      <c r="F62" s="210">
        <v>591.9</v>
      </c>
      <c r="G62" s="203" t="s">
        <v>86</v>
      </c>
      <c r="H62" s="203" t="s">
        <v>712</v>
      </c>
      <c r="I62" s="276"/>
      <c r="J62" s="263" t="str">
        <f t="shared" si="0"/>
        <v>구국</v>
      </c>
      <c r="K62" s="266"/>
      <c r="L62" s="265"/>
      <c r="M62" s="265"/>
      <c r="N62" s="265"/>
      <c r="O62" s="265"/>
      <c r="P62" s="265"/>
      <c r="Q62" s="265"/>
      <c r="R62" s="267"/>
    </row>
    <row r="63" spans="1:18" ht="18" customHeight="1">
      <c r="A63" s="204">
        <v>58</v>
      </c>
      <c r="B63" s="202" t="s">
        <v>804</v>
      </c>
      <c r="C63" s="202"/>
      <c r="D63" s="202" t="s">
        <v>462</v>
      </c>
      <c r="E63" s="300">
        <v>43</v>
      </c>
      <c r="F63" s="210">
        <v>43</v>
      </c>
      <c r="G63" s="203" t="s">
        <v>86</v>
      </c>
      <c r="H63" s="203" t="s">
        <v>712</v>
      </c>
      <c r="I63" s="276"/>
      <c r="J63" s="263" t="str">
        <f t="shared" si="0"/>
        <v>구국</v>
      </c>
      <c r="K63" s="266"/>
      <c r="L63" s="265"/>
      <c r="M63" s="265"/>
      <c r="N63" s="265"/>
      <c r="O63" s="265"/>
      <c r="P63" s="265"/>
      <c r="Q63" s="265"/>
      <c r="R63" s="267"/>
    </row>
    <row r="64" spans="1:18" ht="18" customHeight="1">
      <c r="A64" s="204">
        <v>59</v>
      </c>
      <c r="B64" s="202" t="s">
        <v>805</v>
      </c>
      <c r="C64" s="202"/>
      <c r="D64" s="202" t="s">
        <v>7</v>
      </c>
      <c r="E64" s="300">
        <v>584</v>
      </c>
      <c r="F64" s="210">
        <v>584</v>
      </c>
      <c r="G64" s="203" t="s">
        <v>451</v>
      </c>
      <c r="H64" s="203" t="s">
        <v>452</v>
      </c>
      <c r="I64" s="276"/>
      <c r="J64" s="263" t="str">
        <f t="shared" si="0"/>
        <v>전공</v>
      </c>
      <c r="K64" s="266">
        <v>11800</v>
      </c>
      <c r="L64" s="265"/>
      <c r="M64" s="265"/>
      <c r="N64" s="265"/>
      <c r="O64" s="265"/>
      <c r="P64" s="265"/>
      <c r="Q64" s="265"/>
      <c r="R64" s="267"/>
    </row>
    <row r="65" spans="1:18" ht="18" customHeight="1">
      <c r="A65" s="204">
        <v>60</v>
      </c>
      <c r="B65" s="202" t="s">
        <v>806</v>
      </c>
      <c r="C65" s="202"/>
      <c r="D65" s="202" t="s">
        <v>7</v>
      </c>
      <c r="E65" s="300">
        <v>3</v>
      </c>
      <c r="F65" s="210">
        <v>3</v>
      </c>
      <c r="G65" s="203" t="s">
        <v>0</v>
      </c>
      <c r="H65" s="203" t="s">
        <v>452</v>
      </c>
      <c r="I65" s="276"/>
      <c r="J65" s="263" t="str">
        <f t="shared" si="0"/>
        <v>전공</v>
      </c>
      <c r="K65" s="266">
        <v>11800</v>
      </c>
      <c r="L65" s="265"/>
      <c r="M65" s="265"/>
      <c r="N65" s="265"/>
      <c r="O65" s="265"/>
      <c r="P65" s="265"/>
      <c r="Q65" s="265"/>
      <c r="R65" s="267"/>
    </row>
    <row r="66" spans="1:18" ht="18" customHeight="1">
      <c r="A66" s="204">
        <v>61</v>
      </c>
      <c r="B66" s="202" t="s">
        <v>807</v>
      </c>
      <c r="C66" s="202"/>
      <c r="D66" s="202" t="s">
        <v>8</v>
      </c>
      <c r="E66" s="300">
        <v>1034</v>
      </c>
      <c r="F66" s="210">
        <v>1034</v>
      </c>
      <c r="G66" s="203" t="s">
        <v>451</v>
      </c>
      <c r="H66" s="203" t="s">
        <v>452</v>
      </c>
      <c r="I66" s="276"/>
      <c r="J66" s="263" t="str">
        <f t="shared" si="0"/>
        <v>답공</v>
      </c>
      <c r="K66" s="266">
        <v>8840</v>
      </c>
      <c r="L66" s="265"/>
      <c r="M66" s="265"/>
      <c r="N66" s="265"/>
      <c r="O66" s="265"/>
      <c r="P66" s="265"/>
      <c r="Q66" s="265"/>
      <c r="R66" s="267"/>
    </row>
    <row r="67" spans="1:18" ht="18" customHeight="1">
      <c r="A67" s="204">
        <v>62</v>
      </c>
      <c r="B67" s="202" t="s">
        <v>808</v>
      </c>
      <c r="C67" s="202"/>
      <c r="D67" s="202" t="s">
        <v>8</v>
      </c>
      <c r="E67" s="300">
        <v>1240.5999999999999</v>
      </c>
      <c r="F67" s="210">
        <v>1240.5999999999999</v>
      </c>
      <c r="G67" s="203" t="s">
        <v>451</v>
      </c>
      <c r="H67" s="203" t="s">
        <v>452</v>
      </c>
      <c r="I67" s="276"/>
      <c r="J67" s="263" t="str">
        <f t="shared" si="0"/>
        <v>답공</v>
      </c>
      <c r="K67" s="266">
        <v>9310</v>
      </c>
      <c r="L67" s="265"/>
      <c r="M67" s="265"/>
      <c r="N67" s="265"/>
      <c r="O67" s="265"/>
      <c r="P67" s="265"/>
      <c r="Q67" s="265"/>
      <c r="R67" s="267"/>
    </row>
    <row r="68" spans="1:18" ht="18" customHeight="1">
      <c r="A68" s="204">
        <v>63</v>
      </c>
      <c r="B68" s="202" t="s">
        <v>809</v>
      </c>
      <c r="C68" s="202"/>
      <c r="D68" s="202" t="s">
        <v>8</v>
      </c>
      <c r="E68" s="300">
        <v>939.9</v>
      </c>
      <c r="F68" s="210">
        <v>939.9</v>
      </c>
      <c r="G68" s="203" t="s">
        <v>451</v>
      </c>
      <c r="H68" s="203" t="s">
        <v>452</v>
      </c>
      <c r="I68" s="276"/>
      <c r="J68" s="263" t="str">
        <f t="shared" si="0"/>
        <v>답공</v>
      </c>
      <c r="K68" s="266">
        <v>9310</v>
      </c>
      <c r="L68" s="265"/>
      <c r="M68" s="265"/>
      <c r="N68" s="265"/>
      <c r="O68" s="265"/>
      <c r="P68" s="265"/>
      <c r="Q68" s="265"/>
      <c r="R68" s="267"/>
    </row>
    <row r="69" spans="1:18" ht="18" customHeight="1">
      <c r="A69" s="204">
        <v>64</v>
      </c>
      <c r="B69" s="202" t="s">
        <v>810</v>
      </c>
      <c r="C69" s="202"/>
      <c r="D69" s="202" t="s">
        <v>8</v>
      </c>
      <c r="E69" s="300">
        <v>1357</v>
      </c>
      <c r="F69" s="210">
        <v>1357</v>
      </c>
      <c r="G69" s="203" t="s">
        <v>451</v>
      </c>
      <c r="H69" s="203" t="s">
        <v>452</v>
      </c>
      <c r="I69" s="276"/>
      <c r="J69" s="263" t="str">
        <f t="shared" si="0"/>
        <v>답공</v>
      </c>
      <c r="K69" s="266">
        <v>8650</v>
      </c>
      <c r="L69" s="265"/>
      <c r="M69" s="265"/>
      <c r="N69" s="265"/>
      <c r="O69" s="265"/>
      <c r="P69" s="265"/>
      <c r="Q69" s="265"/>
      <c r="R69" s="267"/>
    </row>
    <row r="70" spans="1:18" ht="18" customHeight="1">
      <c r="A70" s="204">
        <v>65</v>
      </c>
      <c r="B70" s="202" t="s">
        <v>811</v>
      </c>
      <c r="C70" s="202"/>
      <c r="D70" s="202" t="s">
        <v>8</v>
      </c>
      <c r="E70" s="300">
        <v>37</v>
      </c>
      <c r="F70" s="210">
        <v>37</v>
      </c>
      <c r="G70" s="203" t="s">
        <v>451</v>
      </c>
      <c r="H70" s="203" t="s">
        <v>452</v>
      </c>
      <c r="I70" s="276"/>
      <c r="J70" s="263" t="str">
        <f t="shared" si="0"/>
        <v>답공</v>
      </c>
      <c r="K70" s="266">
        <v>9110</v>
      </c>
      <c r="L70" s="265"/>
      <c r="M70" s="265"/>
      <c r="N70" s="265"/>
      <c r="O70" s="265"/>
      <c r="P70" s="265"/>
      <c r="Q70" s="265"/>
      <c r="R70" s="267"/>
    </row>
    <row r="71" spans="1:18" ht="18" customHeight="1">
      <c r="A71" s="204">
        <v>66</v>
      </c>
      <c r="B71" s="202" t="s">
        <v>812</v>
      </c>
      <c r="C71" s="202"/>
      <c r="D71" s="202" t="s">
        <v>462</v>
      </c>
      <c r="E71" s="300">
        <v>171.2</v>
      </c>
      <c r="F71" s="210">
        <v>171.2</v>
      </c>
      <c r="G71" s="203" t="s">
        <v>86</v>
      </c>
      <c r="H71" s="203" t="s">
        <v>712</v>
      </c>
      <c r="I71" s="276"/>
      <c r="J71" s="263" t="str">
        <f t="shared" ref="J71:J134" si="1">CONCATENATE(D71,G71)</f>
        <v>구국</v>
      </c>
      <c r="K71" s="266"/>
      <c r="L71" s="265"/>
      <c r="M71" s="265"/>
      <c r="N71" s="265"/>
      <c r="O71" s="265"/>
      <c r="P71" s="265"/>
      <c r="Q71" s="265"/>
      <c r="R71" s="267"/>
    </row>
    <row r="72" spans="1:18" ht="18" customHeight="1">
      <c r="A72" s="204">
        <v>67</v>
      </c>
      <c r="B72" s="202" t="s">
        <v>813</v>
      </c>
      <c r="C72" s="202"/>
      <c r="D72" s="202" t="s">
        <v>7</v>
      </c>
      <c r="E72" s="300">
        <v>44</v>
      </c>
      <c r="F72" s="210">
        <v>44</v>
      </c>
      <c r="G72" s="203" t="s">
        <v>451</v>
      </c>
      <c r="H72" s="203" t="s">
        <v>452</v>
      </c>
      <c r="I72" s="276"/>
      <c r="J72" s="263" t="str">
        <f t="shared" si="1"/>
        <v>전공</v>
      </c>
      <c r="K72" s="266">
        <v>11100</v>
      </c>
      <c r="L72" s="265"/>
      <c r="M72" s="265"/>
      <c r="N72" s="265"/>
      <c r="O72" s="265"/>
      <c r="P72" s="265"/>
      <c r="Q72" s="265"/>
      <c r="R72" s="267"/>
    </row>
    <row r="73" spans="1:18" ht="18" customHeight="1">
      <c r="A73" s="204">
        <v>68</v>
      </c>
      <c r="B73" s="202" t="s">
        <v>814</v>
      </c>
      <c r="C73" s="202"/>
      <c r="D73" s="202" t="s">
        <v>462</v>
      </c>
      <c r="E73" s="300">
        <v>356</v>
      </c>
      <c r="F73" s="210">
        <v>356</v>
      </c>
      <c r="G73" s="203" t="s">
        <v>86</v>
      </c>
      <c r="H73" s="203" t="s">
        <v>712</v>
      </c>
      <c r="I73" s="276"/>
      <c r="J73" s="263" t="str">
        <f t="shared" si="1"/>
        <v>구국</v>
      </c>
      <c r="K73" s="266"/>
      <c r="L73" s="265"/>
      <c r="M73" s="265"/>
      <c r="N73" s="265"/>
      <c r="O73" s="265"/>
      <c r="P73" s="265"/>
      <c r="Q73" s="265"/>
      <c r="R73" s="267"/>
    </row>
    <row r="74" spans="1:18" ht="18" customHeight="1">
      <c r="A74" s="204">
        <v>69</v>
      </c>
      <c r="B74" s="202" t="s">
        <v>815</v>
      </c>
      <c r="C74" s="202"/>
      <c r="D74" s="202" t="s">
        <v>8</v>
      </c>
      <c r="E74" s="300">
        <v>691</v>
      </c>
      <c r="F74" s="210">
        <v>691</v>
      </c>
      <c r="G74" s="203" t="s">
        <v>451</v>
      </c>
      <c r="H74" s="203" t="s">
        <v>452</v>
      </c>
      <c r="I74" s="276"/>
      <c r="J74" s="263" t="str">
        <f t="shared" si="1"/>
        <v>답공</v>
      </c>
      <c r="K74" s="266">
        <v>9060</v>
      </c>
      <c r="L74" s="265"/>
      <c r="M74" s="265"/>
      <c r="N74" s="265"/>
      <c r="O74" s="265"/>
      <c r="P74" s="265"/>
      <c r="Q74" s="265"/>
      <c r="R74" s="267"/>
    </row>
    <row r="75" spans="1:18" ht="18" customHeight="1">
      <c r="A75" s="204">
        <v>70</v>
      </c>
      <c r="B75" s="202" t="s">
        <v>816</v>
      </c>
      <c r="C75" s="202"/>
      <c r="D75" s="202" t="s">
        <v>7</v>
      </c>
      <c r="E75" s="300">
        <v>173</v>
      </c>
      <c r="F75" s="210">
        <v>173</v>
      </c>
      <c r="G75" s="203" t="s">
        <v>451</v>
      </c>
      <c r="H75" s="203" t="s">
        <v>452</v>
      </c>
      <c r="I75" s="276"/>
      <c r="J75" s="263" t="str">
        <f t="shared" si="1"/>
        <v>전공</v>
      </c>
      <c r="K75" s="266">
        <v>11100</v>
      </c>
      <c r="L75" s="265"/>
      <c r="M75" s="265"/>
      <c r="N75" s="265"/>
      <c r="O75" s="265"/>
      <c r="P75" s="265"/>
      <c r="Q75" s="265"/>
      <c r="R75" s="267"/>
    </row>
    <row r="76" spans="1:18" ht="18" customHeight="1">
      <c r="A76" s="204">
        <v>71</v>
      </c>
      <c r="B76" s="202" t="s">
        <v>817</v>
      </c>
      <c r="C76" s="202"/>
      <c r="D76" s="202" t="s">
        <v>7</v>
      </c>
      <c r="E76" s="300">
        <v>197</v>
      </c>
      <c r="F76" s="210">
        <v>197</v>
      </c>
      <c r="G76" s="203" t="s">
        <v>451</v>
      </c>
      <c r="H76" s="203" t="s">
        <v>452</v>
      </c>
      <c r="I76" s="276"/>
      <c r="J76" s="263" t="str">
        <f t="shared" si="1"/>
        <v>전공</v>
      </c>
      <c r="K76" s="266">
        <v>11100</v>
      </c>
      <c r="L76" s="265"/>
      <c r="M76" s="265"/>
      <c r="N76" s="265"/>
      <c r="O76" s="265"/>
      <c r="P76" s="265"/>
      <c r="Q76" s="265"/>
      <c r="R76" s="267"/>
    </row>
    <row r="77" spans="1:18" ht="18" customHeight="1">
      <c r="A77" s="204">
        <v>72</v>
      </c>
      <c r="B77" s="202" t="s">
        <v>818</v>
      </c>
      <c r="C77" s="202"/>
      <c r="D77" s="202" t="s">
        <v>459</v>
      </c>
      <c r="E77" s="300">
        <v>39</v>
      </c>
      <c r="F77" s="210">
        <v>39</v>
      </c>
      <c r="G77" s="203" t="s">
        <v>451</v>
      </c>
      <c r="H77" s="203" t="s">
        <v>452</v>
      </c>
      <c r="I77" s="276"/>
      <c r="J77" s="263" t="str">
        <f t="shared" si="1"/>
        <v>대공</v>
      </c>
      <c r="K77" s="266">
        <v>12400</v>
      </c>
      <c r="L77" s="265"/>
      <c r="M77" s="265"/>
      <c r="N77" s="265"/>
      <c r="O77" s="265"/>
      <c r="P77" s="265"/>
      <c r="Q77" s="265"/>
      <c r="R77" s="267"/>
    </row>
    <row r="78" spans="1:18" ht="18" customHeight="1">
      <c r="A78" s="204">
        <v>73</v>
      </c>
      <c r="B78" s="202" t="s">
        <v>819</v>
      </c>
      <c r="C78" s="202"/>
      <c r="D78" s="202" t="s">
        <v>459</v>
      </c>
      <c r="E78" s="300">
        <v>22</v>
      </c>
      <c r="F78" s="210">
        <v>22</v>
      </c>
      <c r="G78" s="203" t="s">
        <v>451</v>
      </c>
      <c r="H78" s="203" t="s">
        <v>452</v>
      </c>
      <c r="I78" s="276"/>
      <c r="J78" s="263" t="str">
        <f t="shared" si="1"/>
        <v>대공</v>
      </c>
      <c r="K78" s="266">
        <v>12400</v>
      </c>
      <c r="L78" s="265"/>
      <c r="M78" s="265"/>
      <c r="N78" s="265"/>
      <c r="O78" s="265"/>
      <c r="P78" s="265"/>
      <c r="Q78" s="265"/>
      <c r="R78" s="267"/>
    </row>
    <row r="79" spans="1:18" ht="18" customHeight="1">
      <c r="A79" s="204">
        <v>74</v>
      </c>
      <c r="B79" s="202" t="s">
        <v>820</v>
      </c>
      <c r="C79" s="202"/>
      <c r="D79" s="202" t="s">
        <v>455</v>
      </c>
      <c r="E79" s="300">
        <v>1567</v>
      </c>
      <c r="F79" s="210">
        <v>120</v>
      </c>
      <c r="G79" s="203" t="s">
        <v>86</v>
      </c>
      <c r="H79" s="203" t="s">
        <v>715</v>
      </c>
      <c r="I79" s="276"/>
      <c r="J79" s="263" t="str">
        <f t="shared" si="1"/>
        <v>도국</v>
      </c>
      <c r="K79" s="266"/>
      <c r="L79" s="265"/>
      <c r="M79" s="265"/>
      <c r="N79" s="265"/>
      <c r="O79" s="265"/>
      <c r="P79" s="265"/>
      <c r="Q79" s="265"/>
      <c r="R79" s="267"/>
    </row>
    <row r="80" spans="1:18" ht="18" customHeight="1">
      <c r="A80" s="204">
        <v>75</v>
      </c>
      <c r="B80" s="202" t="s">
        <v>821</v>
      </c>
      <c r="C80" s="202"/>
      <c r="D80" s="202" t="s">
        <v>7</v>
      </c>
      <c r="E80" s="300">
        <v>1184</v>
      </c>
      <c r="F80" s="210">
        <v>1184</v>
      </c>
      <c r="G80" s="203" t="s">
        <v>451</v>
      </c>
      <c r="H80" s="203" t="s">
        <v>452</v>
      </c>
      <c r="I80" s="276"/>
      <c r="J80" s="263" t="str">
        <f t="shared" si="1"/>
        <v>전공</v>
      </c>
      <c r="K80" s="266">
        <v>10700</v>
      </c>
      <c r="L80" s="265"/>
      <c r="M80" s="265"/>
      <c r="N80" s="265"/>
      <c r="O80" s="265"/>
      <c r="P80" s="265"/>
      <c r="Q80" s="265"/>
      <c r="R80" s="267"/>
    </row>
    <row r="81" spans="1:18" ht="18" customHeight="1">
      <c r="A81" s="204">
        <v>76</v>
      </c>
      <c r="B81" s="202" t="s">
        <v>822</v>
      </c>
      <c r="C81" s="202"/>
      <c r="D81" s="202" t="s">
        <v>459</v>
      </c>
      <c r="E81" s="300">
        <v>10</v>
      </c>
      <c r="F81" s="210">
        <v>10</v>
      </c>
      <c r="G81" s="203" t="s">
        <v>451</v>
      </c>
      <c r="H81" s="203" t="s">
        <v>452</v>
      </c>
      <c r="I81" s="276"/>
      <c r="J81" s="263" t="str">
        <f t="shared" si="1"/>
        <v>대공</v>
      </c>
      <c r="K81" s="266">
        <v>12400</v>
      </c>
      <c r="L81" s="265"/>
      <c r="M81" s="265"/>
      <c r="N81" s="265"/>
      <c r="O81" s="265"/>
      <c r="P81" s="265"/>
      <c r="Q81" s="265"/>
      <c r="R81" s="267"/>
    </row>
    <row r="82" spans="1:18" ht="18" customHeight="1">
      <c r="A82" s="204">
        <v>77</v>
      </c>
      <c r="B82" s="202" t="s">
        <v>823</v>
      </c>
      <c r="C82" s="202"/>
      <c r="D82" s="202" t="s">
        <v>7</v>
      </c>
      <c r="E82" s="300">
        <v>489</v>
      </c>
      <c r="F82" s="210">
        <v>489</v>
      </c>
      <c r="G82" s="203" t="s">
        <v>451</v>
      </c>
      <c r="H82" s="203" t="s">
        <v>452</v>
      </c>
      <c r="I82" s="276"/>
      <c r="J82" s="263" t="str">
        <f t="shared" si="1"/>
        <v>전공</v>
      </c>
      <c r="K82" s="266">
        <v>9990</v>
      </c>
      <c r="L82" s="265"/>
      <c r="M82" s="265"/>
      <c r="N82" s="265"/>
      <c r="O82" s="265"/>
      <c r="P82" s="265"/>
      <c r="Q82" s="265"/>
      <c r="R82" s="267"/>
    </row>
    <row r="83" spans="1:18" ht="18" customHeight="1">
      <c r="A83" s="204">
        <v>78</v>
      </c>
      <c r="B83" s="202" t="s">
        <v>824</v>
      </c>
      <c r="C83" s="202"/>
      <c r="D83" s="202" t="s">
        <v>7</v>
      </c>
      <c r="E83" s="300">
        <v>196</v>
      </c>
      <c r="F83" s="210">
        <v>196</v>
      </c>
      <c r="G83" s="203" t="s">
        <v>451</v>
      </c>
      <c r="H83" s="203" t="s">
        <v>452</v>
      </c>
      <c r="I83" s="276"/>
      <c r="J83" s="263" t="str">
        <f t="shared" si="1"/>
        <v>전공</v>
      </c>
      <c r="K83" s="266">
        <v>9990</v>
      </c>
      <c r="L83" s="265"/>
      <c r="M83" s="265"/>
      <c r="N83" s="265"/>
      <c r="O83" s="265"/>
      <c r="P83" s="265"/>
      <c r="Q83" s="265"/>
      <c r="R83" s="267"/>
    </row>
    <row r="84" spans="1:18" ht="18" customHeight="1">
      <c r="A84" s="204">
        <v>79</v>
      </c>
      <c r="B84" s="202" t="s">
        <v>825</v>
      </c>
      <c r="C84" s="202"/>
      <c r="D84" s="202" t="s">
        <v>7</v>
      </c>
      <c r="E84" s="300">
        <v>1301</v>
      </c>
      <c r="F84" s="210">
        <v>1301</v>
      </c>
      <c r="G84" s="203" t="s">
        <v>451</v>
      </c>
      <c r="H84" s="203" t="s">
        <v>452</v>
      </c>
      <c r="I84" s="276"/>
      <c r="J84" s="263" t="str">
        <f t="shared" si="1"/>
        <v>전공</v>
      </c>
      <c r="K84" s="266">
        <v>9490</v>
      </c>
      <c r="L84" s="265"/>
      <c r="M84" s="265"/>
      <c r="N84" s="265"/>
      <c r="O84" s="265"/>
      <c r="P84" s="265"/>
      <c r="Q84" s="265"/>
      <c r="R84" s="267"/>
    </row>
    <row r="85" spans="1:18" ht="18" customHeight="1">
      <c r="A85" s="204">
        <v>80</v>
      </c>
      <c r="B85" s="202" t="s">
        <v>826</v>
      </c>
      <c r="C85" s="202"/>
      <c r="D85" s="202" t="s">
        <v>7</v>
      </c>
      <c r="E85" s="300">
        <v>974</v>
      </c>
      <c r="F85" s="210">
        <v>974</v>
      </c>
      <c r="G85" s="203" t="s">
        <v>451</v>
      </c>
      <c r="H85" s="203" t="s">
        <v>452</v>
      </c>
      <c r="I85" s="276"/>
      <c r="J85" s="263" t="str">
        <f t="shared" si="1"/>
        <v>전공</v>
      </c>
      <c r="K85" s="266">
        <v>9490</v>
      </c>
      <c r="L85" s="265"/>
      <c r="M85" s="265"/>
      <c r="N85" s="265"/>
      <c r="O85" s="265"/>
      <c r="P85" s="265"/>
      <c r="Q85" s="265"/>
      <c r="R85" s="267"/>
    </row>
    <row r="86" spans="1:18" ht="18" customHeight="1">
      <c r="A86" s="204">
        <v>81</v>
      </c>
      <c r="B86" s="202" t="s">
        <v>827</v>
      </c>
      <c r="C86" s="202"/>
      <c r="D86" s="202" t="s">
        <v>93</v>
      </c>
      <c r="E86" s="300">
        <v>549</v>
      </c>
      <c r="F86" s="210">
        <v>549</v>
      </c>
      <c r="G86" s="203" t="s">
        <v>451</v>
      </c>
      <c r="H86" s="203" t="s">
        <v>452</v>
      </c>
      <c r="I86" s="276"/>
      <c r="J86" s="263" t="str">
        <f t="shared" si="1"/>
        <v>임공</v>
      </c>
      <c r="K86" s="266">
        <v>8920</v>
      </c>
      <c r="L86" s="265"/>
      <c r="M86" s="265"/>
      <c r="N86" s="265"/>
      <c r="O86" s="265"/>
      <c r="P86" s="265"/>
      <c r="Q86" s="265"/>
      <c r="R86" s="267"/>
    </row>
    <row r="87" spans="1:18" ht="18" customHeight="1">
      <c r="A87" s="204">
        <v>82</v>
      </c>
      <c r="B87" s="202" t="s">
        <v>828</v>
      </c>
      <c r="C87" s="202"/>
      <c r="D87" s="202" t="s">
        <v>7</v>
      </c>
      <c r="E87" s="300">
        <v>1180</v>
      </c>
      <c r="F87" s="210">
        <v>1180</v>
      </c>
      <c r="G87" s="203" t="s">
        <v>451</v>
      </c>
      <c r="H87" s="203" t="s">
        <v>452</v>
      </c>
      <c r="I87" s="276"/>
      <c r="J87" s="263" t="str">
        <f t="shared" si="1"/>
        <v>전공</v>
      </c>
      <c r="K87" s="266">
        <v>9210</v>
      </c>
      <c r="L87" s="265"/>
      <c r="M87" s="265"/>
      <c r="N87" s="265"/>
      <c r="O87" s="265"/>
      <c r="P87" s="265"/>
      <c r="Q87" s="265"/>
      <c r="R87" s="267"/>
    </row>
    <row r="88" spans="1:18" ht="18" customHeight="1">
      <c r="A88" s="204">
        <v>83</v>
      </c>
      <c r="B88" s="202" t="s">
        <v>829</v>
      </c>
      <c r="C88" s="202"/>
      <c r="D88" s="202" t="s">
        <v>93</v>
      </c>
      <c r="E88" s="300">
        <v>815</v>
      </c>
      <c r="F88" s="210">
        <v>815</v>
      </c>
      <c r="G88" s="203" t="s">
        <v>451</v>
      </c>
      <c r="H88" s="203" t="s">
        <v>452</v>
      </c>
      <c r="I88" s="276"/>
      <c r="J88" s="263" t="str">
        <f t="shared" si="1"/>
        <v>임공</v>
      </c>
      <c r="K88" s="266">
        <v>7880</v>
      </c>
      <c r="L88" s="265"/>
      <c r="M88" s="265"/>
      <c r="N88" s="265"/>
      <c r="O88" s="265"/>
      <c r="P88" s="265"/>
      <c r="Q88" s="265"/>
      <c r="R88" s="267"/>
    </row>
    <row r="89" spans="1:18" ht="18" customHeight="1">
      <c r="A89" s="204">
        <v>84</v>
      </c>
      <c r="B89" s="202" t="s">
        <v>830</v>
      </c>
      <c r="C89" s="202"/>
      <c r="D89" s="202" t="s">
        <v>8</v>
      </c>
      <c r="E89" s="300">
        <v>89.2</v>
      </c>
      <c r="F89" s="210">
        <v>89.2</v>
      </c>
      <c r="G89" s="203" t="s">
        <v>451</v>
      </c>
      <c r="H89" s="203" t="s">
        <v>452</v>
      </c>
      <c r="I89" s="276"/>
      <c r="J89" s="263" t="str">
        <f t="shared" si="1"/>
        <v>답공</v>
      </c>
      <c r="K89" s="266">
        <v>9000</v>
      </c>
      <c r="L89" s="265"/>
      <c r="M89" s="265"/>
      <c r="N89" s="265"/>
      <c r="O89" s="265"/>
      <c r="P89" s="265"/>
      <c r="Q89" s="265"/>
      <c r="R89" s="267"/>
    </row>
    <row r="90" spans="1:18" ht="18" customHeight="1">
      <c r="A90" s="204">
        <v>85</v>
      </c>
      <c r="B90" s="202" t="s">
        <v>831</v>
      </c>
      <c r="C90" s="202"/>
      <c r="D90" s="202" t="s">
        <v>8</v>
      </c>
      <c r="E90" s="300">
        <v>2297.6999999999998</v>
      </c>
      <c r="F90" s="210">
        <v>2297.6999999999998</v>
      </c>
      <c r="G90" s="203" t="s">
        <v>451</v>
      </c>
      <c r="H90" s="203" t="s">
        <v>452</v>
      </c>
      <c r="I90" s="276"/>
      <c r="J90" s="263" t="str">
        <f t="shared" si="1"/>
        <v>답공</v>
      </c>
      <c r="K90" s="266">
        <v>9000</v>
      </c>
      <c r="L90" s="265"/>
      <c r="M90" s="265"/>
      <c r="N90" s="265"/>
      <c r="O90" s="265"/>
      <c r="P90" s="265"/>
      <c r="Q90" s="265"/>
      <c r="R90" s="267"/>
    </row>
    <row r="91" spans="1:18" ht="18" customHeight="1">
      <c r="A91" s="204">
        <v>86</v>
      </c>
      <c r="B91" s="202" t="s">
        <v>832</v>
      </c>
      <c r="C91" s="202"/>
      <c r="D91" s="202" t="s">
        <v>462</v>
      </c>
      <c r="E91" s="300">
        <v>241</v>
      </c>
      <c r="F91" s="210">
        <v>241</v>
      </c>
      <c r="G91" s="203" t="s">
        <v>86</v>
      </c>
      <c r="H91" s="203" t="s">
        <v>712</v>
      </c>
      <c r="I91" s="276"/>
      <c r="J91" s="263" t="str">
        <f t="shared" si="1"/>
        <v>구국</v>
      </c>
      <c r="K91" s="266"/>
      <c r="L91" s="265"/>
      <c r="M91" s="265"/>
      <c r="N91" s="265"/>
      <c r="O91" s="265"/>
      <c r="P91" s="265"/>
      <c r="Q91" s="265"/>
      <c r="R91" s="267"/>
    </row>
    <row r="92" spans="1:18" ht="18" customHeight="1">
      <c r="A92" s="204">
        <v>87</v>
      </c>
      <c r="B92" s="202" t="s">
        <v>833</v>
      </c>
      <c r="C92" s="202"/>
      <c r="D92" s="202" t="s">
        <v>462</v>
      </c>
      <c r="E92" s="300">
        <v>346.9</v>
      </c>
      <c r="F92" s="210">
        <v>346.9</v>
      </c>
      <c r="G92" s="203" t="s">
        <v>86</v>
      </c>
      <c r="H92" s="203" t="s">
        <v>712</v>
      </c>
      <c r="I92" s="276"/>
      <c r="J92" s="263" t="str">
        <f t="shared" si="1"/>
        <v>구국</v>
      </c>
      <c r="K92" s="266"/>
      <c r="L92" s="265"/>
      <c r="M92" s="265"/>
      <c r="N92" s="265"/>
      <c r="O92" s="265"/>
      <c r="P92" s="265"/>
      <c r="Q92" s="265"/>
      <c r="R92" s="267"/>
    </row>
    <row r="93" spans="1:18" ht="18" customHeight="1">
      <c r="A93" s="204">
        <v>88</v>
      </c>
      <c r="B93" s="202" t="s">
        <v>834</v>
      </c>
      <c r="C93" s="202"/>
      <c r="D93" s="202" t="s">
        <v>93</v>
      </c>
      <c r="E93" s="300">
        <v>2573</v>
      </c>
      <c r="F93" s="210">
        <v>2573</v>
      </c>
      <c r="G93" s="203" t="s">
        <v>0</v>
      </c>
      <c r="H93" s="203" t="s">
        <v>452</v>
      </c>
      <c r="I93" s="276"/>
      <c r="J93" s="263" t="str">
        <f t="shared" si="1"/>
        <v>임공</v>
      </c>
      <c r="K93" s="266"/>
      <c r="L93" s="265"/>
      <c r="M93" s="265"/>
      <c r="N93" s="265"/>
      <c r="O93" s="265"/>
      <c r="P93" s="265"/>
      <c r="Q93" s="265"/>
      <c r="R93" s="267"/>
    </row>
    <row r="94" spans="1:18" ht="18" customHeight="1">
      <c r="A94" s="204">
        <v>89</v>
      </c>
      <c r="B94" s="202" t="s">
        <v>835</v>
      </c>
      <c r="C94" s="202"/>
      <c r="D94" s="202" t="s">
        <v>455</v>
      </c>
      <c r="E94" s="300">
        <v>115</v>
      </c>
      <c r="F94" s="210">
        <v>115</v>
      </c>
      <c r="G94" s="203" t="s">
        <v>0</v>
      </c>
      <c r="H94" s="203" t="s">
        <v>452</v>
      </c>
      <c r="I94" s="276"/>
      <c r="J94" s="263" t="str">
        <f t="shared" si="1"/>
        <v>도공</v>
      </c>
      <c r="K94" s="266"/>
      <c r="L94" s="265"/>
      <c r="M94" s="265"/>
      <c r="N94" s="265"/>
      <c r="O94" s="265"/>
      <c r="P94" s="265"/>
      <c r="Q94" s="265"/>
      <c r="R94" s="267"/>
    </row>
    <row r="95" spans="1:18" ht="18" customHeight="1">
      <c r="A95" s="204">
        <v>90</v>
      </c>
      <c r="B95" s="202" t="s">
        <v>836</v>
      </c>
      <c r="C95" s="202"/>
      <c r="D95" s="202" t="s">
        <v>7</v>
      </c>
      <c r="E95" s="300">
        <v>115</v>
      </c>
      <c r="F95" s="210">
        <v>115</v>
      </c>
      <c r="G95" s="203" t="s">
        <v>0</v>
      </c>
      <c r="H95" s="203" t="s">
        <v>452</v>
      </c>
      <c r="I95" s="276"/>
      <c r="J95" s="263" t="str">
        <f t="shared" si="1"/>
        <v>전공</v>
      </c>
      <c r="K95" s="266"/>
      <c r="L95" s="265"/>
      <c r="M95" s="265"/>
      <c r="N95" s="265"/>
      <c r="O95" s="265"/>
      <c r="P95" s="265"/>
      <c r="Q95" s="265"/>
      <c r="R95" s="267"/>
    </row>
    <row r="96" spans="1:18" ht="18" customHeight="1">
      <c r="A96" s="204">
        <v>91</v>
      </c>
      <c r="B96" s="202" t="s">
        <v>837</v>
      </c>
      <c r="C96" s="202"/>
      <c r="D96" s="202" t="s">
        <v>455</v>
      </c>
      <c r="E96" s="300">
        <v>331</v>
      </c>
      <c r="F96" s="210">
        <v>331</v>
      </c>
      <c r="G96" s="203" t="s">
        <v>0</v>
      </c>
      <c r="H96" s="203" t="s">
        <v>452</v>
      </c>
      <c r="I96" s="276"/>
      <c r="J96" s="263" t="str">
        <f t="shared" si="1"/>
        <v>도공</v>
      </c>
      <c r="K96" s="266"/>
      <c r="L96" s="265"/>
      <c r="M96" s="265"/>
      <c r="N96" s="265"/>
      <c r="O96" s="265"/>
      <c r="P96" s="265"/>
      <c r="Q96" s="265"/>
      <c r="R96" s="267"/>
    </row>
    <row r="97" spans="1:18" ht="18" customHeight="1">
      <c r="A97" s="204">
        <v>92</v>
      </c>
      <c r="B97" s="202" t="s">
        <v>838</v>
      </c>
      <c r="C97" s="202"/>
      <c r="D97" s="202" t="s">
        <v>93</v>
      </c>
      <c r="E97" s="300">
        <v>25</v>
      </c>
      <c r="F97" s="210">
        <v>25</v>
      </c>
      <c r="G97" s="203" t="s">
        <v>0</v>
      </c>
      <c r="H97" s="203" t="s">
        <v>452</v>
      </c>
      <c r="I97" s="276"/>
      <c r="J97" s="263" t="str">
        <f t="shared" si="1"/>
        <v>임공</v>
      </c>
      <c r="K97" s="266"/>
      <c r="L97" s="265"/>
      <c r="M97" s="265"/>
      <c r="N97" s="265"/>
      <c r="O97" s="265"/>
      <c r="P97" s="265"/>
      <c r="Q97" s="265"/>
      <c r="R97" s="267"/>
    </row>
    <row r="98" spans="1:18" ht="18" customHeight="1">
      <c r="A98" s="204">
        <v>93</v>
      </c>
      <c r="B98" s="202" t="s">
        <v>839</v>
      </c>
      <c r="C98" s="202"/>
      <c r="D98" s="202" t="s">
        <v>455</v>
      </c>
      <c r="E98" s="300">
        <v>1004</v>
      </c>
      <c r="F98" s="210">
        <v>1004</v>
      </c>
      <c r="G98" s="203" t="s">
        <v>0</v>
      </c>
      <c r="H98" s="203" t="s">
        <v>452</v>
      </c>
      <c r="I98" s="276"/>
      <c r="J98" s="263" t="str">
        <f t="shared" si="1"/>
        <v>도공</v>
      </c>
      <c r="K98" s="266"/>
      <c r="L98" s="265"/>
      <c r="M98" s="265"/>
      <c r="N98" s="265"/>
      <c r="O98" s="265"/>
      <c r="P98" s="265"/>
      <c r="Q98" s="265"/>
      <c r="R98" s="267"/>
    </row>
    <row r="99" spans="1:18" ht="18" customHeight="1">
      <c r="A99" s="204">
        <v>94</v>
      </c>
      <c r="B99" s="202" t="s">
        <v>840</v>
      </c>
      <c r="C99" s="202"/>
      <c r="D99" s="202" t="s">
        <v>455</v>
      </c>
      <c r="E99" s="300">
        <v>60</v>
      </c>
      <c r="F99" s="210">
        <v>60</v>
      </c>
      <c r="G99" s="203" t="s">
        <v>86</v>
      </c>
      <c r="H99" s="203" t="s">
        <v>715</v>
      </c>
      <c r="I99" s="276"/>
      <c r="J99" s="263" t="str">
        <f t="shared" si="1"/>
        <v>도국</v>
      </c>
      <c r="K99" s="266"/>
      <c r="L99" s="265"/>
      <c r="M99" s="265"/>
      <c r="N99" s="265"/>
      <c r="O99" s="265"/>
      <c r="P99" s="265"/>
      <c r="Q99" s="265"/>
      <c r="R99" s="267"/>
    </row>
    <row r="100" spans="1:18" ht="18" customHeight="1">
      <c r="A100" s="204">
        <v>95</v>
      </c>
      <c r="B100" s="202" t="s">
        <v>841</v>
      </c>
      <c r="C100" s="202"/>
      <c r="D100" s="202" t="s">
        <v>455</v>
      </c>
      <c r="E100" s="300">
        <v>36</v>
      </c>
      <c r="F100" s="210">
        <v>36</v>
      </c>
      <c r="G100" s="203" t="s">
        <v>0</v>
      </c>
      <c r="H100" s="203" t="s">
        <v>452</v>
      </c>
      <c r="I100" s="276"/>
      <c r="J100" s="263" t="str">
        <f t="shared" si="1"/>
        <v>도공</v>
      </c>
      <c r="K100" s="266"/>
      <c r="L100" s="265"/>
      <c r="M100" s="265"/>
      <c r="N100" s="265"/>
      <c r="O100" s="265"/>
      <c r="P100" s="265"/>
      <c r="Q100" s="265"/>
      <c r="R100" s="267"/>
    </row>
    <row r="101" spans="1:18" ht="18" customHeight="1">
      <c r="A101" s="204">
        <v>96</v>
      </c>
      <c r="B101" s="202" t="s">
        <v>842</v>
      </c>
      <c r="C101" s="202"/>
      <c r="D101" s="202" t="s">
        <v>455</v>
      </c>
      <c r="E101" s="300">
        <v>92</v>
      </c>
      <c r="F101" s="210">
        <v>92</v>
      </c>
      <c r="G101" s="203" t="s">
        <v>0</v>
      </c>
      <c r="H101" s="203" t="s">
        <v>452</v>
      </c>
      <c r="I101" s="276"/>
      <c r="J101" s="263" t="str">
        <f t="shared" si="1"/>
        <v>도공</v>
      </c>
      <c r="K101" s="266"/>
      <c r="L101" s="265"/>
      <c r="M101" s="265"/>
      <c r="N101" s="265"/>
      <c r="O101" s="265"/>
      <c r="P101" s="265"/>
      <c r="Q101" s="265"/>
      <c r="R101" s="267"/>
    </row>
    <row r="102" spans="1:18" ht="18" customHeight="1">
      <c r="A102" s="204">
        <v>97</v>
      </c>
      <c r="B102" s="202" t="s">
        <v>843</v>
      </c>
      <c r="C102" s="202"/>
      <c r="D102" s="202" t="s">
        <v>455</v>
      </c>
      <c r="E102" s="300">
        <v>60</v>
      </c>
      <c r="F102" s="210">
        <v>60</v>
      </c>
      <c r="G102" s="203" t="s">
        <v>0</v>
      </c>
      <c r="H102" s="203" t="s">
        <v>537</v>
      </c>
      <c r="I102" s="276"/>
      <c r="J102" s="263" t="str">
        <f t="shared" si="1"/>
        <v>도공</v>
      </c>
      <c r="K102" s="266"/>
      <c r="L102" s="265"/>
      <c r="M102" s="265"/>
      <c r="N102" s="265"/>
      <c r="O102" s="265"/>
      <c r="P102" s="265"/>
      <c r="Q102" s="265"/>
      <c r="R102" s="267"/>
    </row>
    <row r="103" spans="1:18" ht="18" customHeight="1">
      <c r="A103" s="204">
        <v>98</v>
      </c>
      <c r="B103" s="202" t="s">
        <v>844</v>
      </c>
      <c r="C103" s="202"/>
      <c r="D103" s="202" t="s">
        <v>455</v>
      </c>
      <c r="E103" s="300">
        <v>30</v>
      </c>
      <c r="F103" s="210">
        <v>30</v>
      </c>
      <c r="G103" s="203" t="s">
        <v>451</v>
      </c>
      <c r="H103" s="203" t="s">
        <v>452</v>
      </c>
      <c r="I103" s="276"/>
      <c r="J103" s="263" t="str">
        <f t="shared" si="1"/>
        <v>도공</v>
      </c>
      <c r="K103" s="266"/>
      <c r="L103" s="265"/>
      <c r="M103" s="265"/>
      <c r="N103" s="265"/>
      <c r="O103" s="265"/>
      <c r="P103" s="265"/>
      <c r="Q103" s="265"/>
      <c r="R103" s="267"/>
    </row>
    <row r="104" spans="1:18" ht="18" customHeight="1">
      <c r="A104" s="204">
        <v>99</v>
      </c>
      <c r="B104" s="202" t="s">
        <v>845</v>
      </c>
      <c r="C104" s="202"/>
      <c r="D104" s="202" t="s">
        <v>455</v>
      </c>
      <c r="E104" s="300">
        <v>23</v>
      </c>
      <c r="F104" s="210">
        <v>23</v>
      </c>
      <c r="G104" s="203" t="s">
        <v>0</v>
      </c>
      <c r="H104" s="203" t="s">
        <v>452</v>
      </c>
      <c r="I104" s="276"/>
      <c r="J104" s="263" t="str">
        <f t="shared" si="1"/>
        <v>도공</v>
      </c>
      <c r="K104" s="266"/>
      <c r="L104" s="265"/>
      <c r="M104" s="265"/>
      <c r="N104" s="265"/>
      <c r="O104" s="265"/>
      <c r="P104" s="265"/>
      <c r="Q104" s="265"/>
      <c r="R104" s="267"/>
    </row>
    <row r="105" spans="1:18" ht="18" customHeight="1">
      <c r="A105" s="204">
        <v>100</v>
      </c>
      <c r="B105" s="202" t="s">
        <v>846</v>
      </c>
      <c r="C105" s="202"/>
      <c r="D105" s="202" t="s">
        <v>455</v>
      </c>
      <c r="E105" s="300">
        <v>36</v>
      </c>
      <c r="F105" s="210">
        <v>36</v>
      </c>
      <c r="G105" s="203" t="s">
        <v>0</v>
      </c>
      <c r="H105" s="203" t="s">
        <v>452</v>
      </c>
      <c r="I105" s="276"/>
      <c r="J105" s="263" t="str">
        <f t="shared" si="1"/>
        <v>도공</v>
      </c>
      <c r="K105" s="266"/>
      <c r="L105" s="265"/>
      <c r="M105" s="265"/>
      <c r="N105" s="265"/>
      <c r="O105" s="265"/>
      <c r="P105" s="265"/>
      <c r="Q105" s="265"/>
      <c r="R105" s="267"/>
    </row>
    <row r="106" spans="1:18" ht="18" customHeight="1">
      <c r="A106" s="204">
        <v>101</v>
      </c>
      <c r="B106" s="202" t="s">
        <v>847</v>
      </c>
      <c r="C106" s="202"/>
      <c r="D106" s="202" t="s">
        <v>455</v>
      </c>
      <c r="E106" s="300">
        <v>41</v>
      </c>
      <c r="F106" s="210">
        <v>41</v>
      </c>
      <c r="G106" s="203" t="s">
        <v>0</v>
      </c>
      <c r="H106" s="203" t="s">
        <v>452</v>
      </c>
      <c r="I106" s="276"/>
      <c r="J106" s="263" t="str">
        <f t="shared" si="1"/>
        <v>도공</v>
      </c>
      <c r="K106" s="264"/>
      <c r="L106" s="265"/>
      <c r="M106" s="265"/>
      <c r="N106" s="265"/>
      <c r="O106" s="265"/>
      <c r="P106" s="265"/>
      <c r="Q106" s="265"/>
      <c r="R106" s="265"/>
    </row>
    <row r="107" spans="1:18" ht="18" customHeight="1">
      <c r="A107" s="204">
        <v>102</v>
      </c>
      <c r="B107" s="202" t="s">
        <v>848</v>
      </c>
      <c r="C107" s="202"/>
      <c r="D107" s="202" t="s">
        <v>455</v>
      </c>
      <c r="E107" s="300">
        <v>103</v>
      </c>
      <c r="F107" s="210">
        <v>103</v>
      </c>
      <c r="G107" s="203" t="s">
        <v>451</v>
      </c>
      <c r="H107" s="203" t="s">
        <v>452</v>
      </c>
      <c r="I107" s="276"/>
      <c r="J107" s="263" t="str">
        <f t="shared" si="1"/>
        <v>도공</v>
      </c>
      <c r="K107" s="264"/>
      <c r="L107" s="265"/>
      <c r="M107" s="265"/>
      <c r="N107" s="265"/>
      <c r="O107" s="265"/>
      <c r="P107" s="265"/>
      <c r="Q107" s="265"/>
      <c r="R107" s="265"/>
    </row>
    <row r="108" spans="1:18" ht="18" customHeight="1">
      <c r="A108" s="204">
        <v>103</v>
      </c>
      <c r="B108" s="202" t="s">
        <v>849</v>
      </c>
      <c r="C108" s="202"/>
      <c r="D108" s="202" t="s">
        <v>455</v>
      </c>
      <c r="E108" s="300">
        <v>360</v>
      </c>
      <c r="F108" s="210">
        <v>360</v>
      </c>
      <c r="G108" s="203" t="s">
        <v>0</v>
      </c>
      <c r="H108" s="203" t="s">
        <v>452</v>
      </c>
      <c r="I108" s="276"/>
      <c r="J108" s="263" t="str">
        <f t="shared" si="1"/>
        <v>도공</v>
      </c>
      <c r="K108" s="264"/>
      <c r="L108" s="265"/>
      <c r="M108" s="265"/>
      <c r="N108" s="265"/>
      <c r="O108" s="265"/>
      <c r="P108" s="265"/>
      <c r="Q108" s="265"/>
      <c r="R108" s="265"/>
    </row>
    <row r="109" spans="1:18" ht="18" customHeight="1">
      <c r="A109" s="204">
        <v>104</v>
      </c>
      <c r="B109" s="202" t="s">
        <v>850</v>
      </c>
      <c r="C109" s="202"/>
      <c r="D109" s="202" t="s">
        <v>455</v>
      </c>
      <c r="E109" s="300">
        <v>7</v>
      </c>
      <c r="F109" s="210">
        <v>7</v>
      </c>
      <c r="G109" s="203" t="s">
        <v>86</v>
      </c>
      <c r="H109" s="203" t="s">
        <v>715</v>
      </c>
      <c r="I109" s="276"/>
      <c r="J109" s="263" t="str">
        <f t="shared" si="1"/>
        <v>도국</v>
      </c>
      <c r="K109" s="264"/>
      <c r="L109" s="265"/>
      <c r="M109" s="265"/>
      <c r="N109" s="265"/>
      <c r="O109" s="265"/>
      <c r="P109" s="265"/>
      <c r="Q109" s="265"/>
      <c r="R109" s="265"/>
    </row>
    <row r="110" spans="1:18" ht="18" customHeight="1">
      <c r="A110" s="204">
        <v>105</v>
      </c>
      <c r="B110" s="202" t="s">
        <v>851</v>
      </c>
      <c r="C110" s="202"/>
      <c r="D110" s="202" t="s">
        <v>455</v>
      </c>
      <c r="E110" s="300">
        <v>196</v>
      </c>
      <c r="F110" s="210">
        <v>196</v>
      </c>
      <c r="G110" s="203" t="s">
        <v>0</v>
      </c>
      <c r="H110" s="203" t="s">
        <v>452</v>
      </c>
      <c r="I110" s="276"/>
      <c r="J110" s="263" t="str">
        <f t="shared" si="1"/>
        <v>도공</v>
      </c>
      <c r="K110" s="264"/>
      <c r="L110" s="265"/>
      <c r="M110" s="265"/>
      <c r="N110" s="265"/>
      <c r="O110" s="265"/>
      <c r="P110" s="265"/>
      <c r="Q110" s="265"/>
      <c r="R110" s="265"/>
    </row>
    <row r="111" spans="1:18" ht="18" customHeight="1">
      <c r="A111" s="204">
        <v>106</v>
      </c>
      <c r="B111" s="202" t="s">
        <v>852</v>
      </c>
      <c r="C111" s="202"/>
      <c r="D111" s="202" t="s">
        <v>455</v>
      </c>
      <c r="E111" s="300">
        <v>1322</v>
      </c>
      <c r="F111" s="210">
        <v>716</v>
      </c>
      <c r="G111" s="203" t="s">
        <v>86</v>
      </c>
      <c r="H111" s="203" t="s">
        <v>715</v>
      </c>
      <c r="I111" s="276"/>
      <c r="J111" s="263" t="str">
        <f t="shared" si="1"/>
        <v>도국</v>
      </c>
      <c r="K111" s="264"/>
      <c r="L111" s="265"/>
      <c r="M111" s="265"/>
      <c r="N111" s="265"/>
      <c r="O111" s="265"/>
      <c r="P111" s="265"/>
      <c r="Q111" s="265"/>
      <c r="R111" s="265"/>
    </row>
    <row r="112" spans="1:18" ht="18" customHeight="1">
      <c r="A112" s="204">
        <v>107</v>
      </c>
      <c r="B112" s="202" t="s">
        <v>853</v>
      </c>
      <c r="C112" s="202"/>
      <c r="D112" s="202" t="s">
        <v>455</v>
      </c>
      <c r="E112" s="300">
        <v>1094</v>
      </c>
      <c r="F112" s="210">
        <v>876</v>
      </c>
      <c r="G112" s="203" t="s">
        <v>86</v>
      </c>
      <c r="H112" s="203" t="s">
        <v>715</v>
      </c>
      <c r="I112" s="276"/>
      <c r="J112" s="263" t="str">
        <f t="shared" si="1"/>
        <v>도국</v>
      </c>
      <c r="K112" s="264"/>
      <c r="L112" s="265"/>
      <c r="M112" s="265"/>
      <c r="N112" s="265"/>
      <c r="O112" s="265"/>
      <c r="P112" s="265"/>
      <c r="Q112" s="265"/>
      <c r="R112" s="265"/>
    </row>
    <row r="113" spans="1:21" ht="18" customHeight="1">
      <c r="A113" s="204">
        <v>108</v>
      </c>
      <c r="B113" s="202" t="s">
        <v>854</v>
      </c>
      <c r="C113" s="202"/>
      <c r="D113" s="202" t="s">
        <v>455</v>
      </c>
      <c r="E113" s="300">
        <v>258</v>
      </c>
      <c r="F113" s="210">
        <v>258</v>
      </c>
      <c r="G113" s="203" t="s">
        <v>86</v>
      </c>
      <c r="H113" s="203" t="s">
        <v>715</v>
      </c>
      <c r="I113" s="276"/>
      <c r="J113" s="263" t="str">
        <f t="shared" si="1"/>
        <v>도국</v>
      </c>
      <c r="K113" s="264"/>
      <c r="L113" s="265"/>
      <c r="M113" s="265"/>
      <c r="N113" s="265"/>
      <c r="O113" s="265"/>
      <c r="P113" s="265"/>
      <c r="Q113" s="265"/>
      <c r="R113" s="265"/>
    </row>
    <row r="114" spans="1:21" ht="18" customHeight="1">
      <c r="A114" s="204">
        <v>109</v>
      </c>
      <c r="B114" s="202" t="s">
        <v>855</v>
      </c>
      <c r="C114" s="202"/>
      <c r="D114" s="202" t="s">
        <v>455</v>
      </c>
      <c r="E114" s="300">
        <v>43</v>
      </c>
      <c r="F114" s="210">
        <v>5</v>
      </c>
      <c r="G114" s="203" t="s">
        <v>0</v>
      </c>
      <c r="H114" s="203" t="s">
        <v>452</v>
      </c>
      <c r="I114" s="276"/>
      <c r="J114" s="263" t="str">
        <f t="shared" si="1"/>
        <v>도공</v>
      </c>
      <c r="K114" s="264"/>
      <c r="L114" s="265"/>
      <c r="M114" s="265"/>
      <c r="N114" s="265"/>
      <c r="O114" s="265"/>
      <c r="P114" s="265"/>
      <c r="Q114" s="265"/>
      <c r="R114" s="265"/>
    </row>
    <row r="115" spans="1:21" ht="18" customHeight="1">
      <c r="A115" s="204">
        <v>110</v>
      </c>
      <c r="B115" s="202" t="s">
        <v>856</v>
      </c>
      <c r="C115" s="202"/>
      <c r="D115" s="202" t="s">
        <v>455</v>
      </c>
      <c r="E115" s="300">
        <v>440</v>
      </c>
      <c r="F115" s="210">
        <v>288</v>
      </c>
      <c r="G115" s="203" t="s">
        <v>0</v>
      </c>
      <c r="H115" s="203" t="s">
        <v>452</v>
      </c>
      <c r="I115" s="276"/>
      <c r="J115" s="263" t="str">
        <f t="shared" si="1"/>
        <v>도공</v>
      </c>
      <c r="K115" s="264"/>
      <c r="L115" s="265"/>
      <c r="M115" s="265"/>
      <c r="N115" s="265"/>
      <c r="O115" s="265"/>
      <c r="P115" s="265"/>
      <c r="Q115" s="265"/>
      <c r="R115" s="265"/>
    </row>
    <row r="116" spans="1:21" ht="18" customHeight="1">
      <c r="A116" s="204">
        <v>111</v>
      </c>
      <c r="B116" s="202" t="s">
        <v>857</v>
      </c>
      <c r="C116" s="202"/>
      <c r="D116" s="202" t="s">
        <v>455</v>
      </c>
      <c r="E116" s="300">
        <v>562</v>
      </c>
      <c r="F116" s="210">
        <v>503</v>
      </c>
      <c r="G116" s="203" t="s">
        <v>86</v>
      </c>
      <c r="H116" s="203" t="s">
        <v>715</v>
      </c>
      <c r="I116" s="276"/>
      <c r="J116" s="263" t="str">
        <f t="shared" si="1"/>
        <v>도국</v>
      </c>
      <c r="K116" s="264"/>
      <c r="L116" s="265"/>
      <c r="M116" s="265"/>
      <c r="N116" s="265"/>
      <c r="O116" s="265"/>
      <c r="P116" s="265"/>
      <c r="Q116" s="265"/>
      <c r="R116" s="265"/>
    </row>
    <row r="117" spans="1:21" ht="18" customHeight="1">
      <c r="A117" s="204">
        <v>112</v>
      </c>
      <c r="B117" s="202" t="s">
        <v>858</v>
      </c>
      <c r="C117" s="202"/>
      <c r="D117" s="202" t="s">
        <v>455</v>
      </c>
      <c r="E117" s="300">
        <v>35</v>
      </c>
      <c r="F117" s="210">
        <v>19</v>
      </c>
      <c r="G117" s="203" t="s">
        <v>0</v>
      </c>
      <c r="H117" s="203" t="s">
        <v>452</v>
      </c>
      <c r="I117" s="276"/>
      <c r="J117" s="263" t="str">
        <f t="shared" si="1"/>
        <v>도공</v>
      </c>
      <c r="K117" s="264"/>
      <c r="L117" s="265"/>
      <c r="M117" s="265"/>
      <c r="N117" s="265"/>
      <c r="O117" s="265"/>
      <c r="P117" s="265"/>
      <c r="Q117" s="265"/>
      <c r="R117" s="265"/>
    </row>
    <row r="118" spans="1:21" ht="18" customHeight="1">
      <c r="A118" s="204">
        <v>113</v>
      </c>
      <c r="B118" s="202" t="s">
        <v>859</v>
      </c>
      <c r="C118" s="202"/>
      <c r="D118" s="202" t="s">
        <v>455</v>
      </c>
      <c r="E118" s="300">
        <v>93</v>
      </c>
      <c r="F118" s="210">
        <v>93</v>
      </c>
      <c r="G118" s="203" t="s">
        <v>0</v>
      </c>
      <c r="H118" s="203" t="s">
        <v>452</v>
      </c>
      <c r="I118" s="276"/>
      <c r="J118" s="263" t="str">
        <f t="shared" si="1"/>
        <v>도공</v>
      </c>
      <c r="K118" s="264"/>
      <c r="L118" s="265"/>
      <c r="M118" s="265"/>
      <c r="N118" s="265"/>
      <c r="O118" s="265"/>
      <c r="P118" s="265"/>
      <c r="Q118" s="265"/>
      <c r="R118" s="265"/>
    </row>
    <row r="119" spans="1:21" ht="18" customHeight="1">
      <c r="A119" s="204">
        <v>114</v>
      </c>
      <c r="B119" s="202" t="s">
        <v>860</v>
      </c>
      <c r="C119" s="202"/>
      <c r="D119" s="202" t="s">
        <v>455</v>
      </c>
      <c r="E119" s="300">
        <v>123</v>
      </c>
      <c r="F119" s="210">
        <v>123</v>
      </c>
      <c r="G119" s="203" t="s">
        <v>0</v>
      </c>
      <c r="H119" s="203" t="s">
        <v>452</v>
      </c>
      <c r="I119" s="276"/>
      <c r="J119" s="263" t="str">
        <f t="shared" si="1"/>
        <v>도공</v>
      </c>
      <c r="K119" s="264"/>
      <c r="L119" s="265"/>
      <c r="M119" s="265"/>
      <c r="N119" s="265"/>
      <c r="O119" s="265"/>
      <c r="P119" s="265"/>
      <c r="Q119" s="265"/>
      <c r="R119" s="265"/>
    </row>
    <row r="120" spans="1:21" ht="18" customHeight="1">
      <c r="A120" s="204">
        <v>115</v>
      </c>
      <c r="B120" s="202" t="s">
        <v>861</v>
      </c>
      <c r="C120" s="202"/>
      <c r="D120" s="202" t="s">
        <v>462</v>
      </c>
      <c r="E120" s="300">
        <v>7643</v>
      </c>
      <c r="F120" s="210">
        <v>118</v>
      </c>
      <c r="G120" s="203" t="s">
        <v>86</v>
      </c>
      <c r="H120" s="203" t="s">
        <v>712</v>
      </c>
      <c r="I120" s="276"/>
      <c r="J120" s="263" t="str">
        <f t="shared" si="1"/>
        <v>구국</v>
      </c>
      <c r="K120" s="264"/>
      <c r="L120" s="265"/>
      <c r="M120" s="265"/>
      <c r="N120" s="265"/>
      <c r="O120" s="265"/>
      <c r="P120" s="265"/>
      <c r="Q120" s="265"/>
      <c r="R120" s="265"/>
    </row>
    <row r="121" spans="1:21" ht="18" customHeight="1">
      <c r="A121" s="204">
        <v>116</v>
      </c>
      <c r="B121" s="202" t="s">
        <v>862</v>
      </c>
      <c r="C121" s="202"/>
      <c r="D121" s="202" t="s">
        <v>455</v>
      </c>
      <c r="E121" s="300">
        <v>281</v>
      </c>
      <c r="F121" s="210">
        <v>281</v>
      </c>
      <c r="G121" s="203" t="s">
        <v>86</v>
      </c>
      <c r="H121" s="203" t="s">
        <v>715</v>
      </c>
      <c r="I121" s="276"/>
      <c r="J121" s="263" t="str">
        <f t="shared" si="1"/>
        <v>도국</v>
      </c>
      <c r="K121" s="266"/>
      <c r="L121" s="265"/>
      <c r="M121" s="265"/>
      <c r="N121" s="265"/>
      <c r="O121" s="265"/>
      <c r="P121" s="265"/>
      <c r="Q121" s="265"/>
      <c r="R121" s="267"/>
    </row>
    <row r="122" spans="1:21" ht="18" customHeight="1">
      <c r="A122" s="204">
        <v>117</v>
      </c>
      <c r="B122" s="202" t="s">
        <v>863</v>
      </c>
      <c r="C122" s="202"/>
      <c r="D122" s="202" t="s">
        <v>455</v>
      </c>
      <c r="E122" s="300">
        <v>198</v>
      </c>
      <c r="F122" s="210">
        <v>198</v>
      </c>
      <c r="G122" s="203" t="s">
        <v>0</v>
      </c>
      <c r="H122" s="203" t="s">
        <v>452</v>
      </c>
      <c r="I122" s="276"/>
      <c r="J122" s="263" t="str">
        <f t="shared" si="1"/>
        <v>도공</v>
      </c>
      <c r="K122" s="266"/>
      <c r="L122" s="265"/>
      <c r="M122" s="265"/>
      <c r="N122" s="265"/>
      <c r="O122" s="265"/>
      <c r="P122" s="265"/>
      <c r="Q122" s="265"/>
      <c r="R122" s="267"/>
    </row>
    <row r="123" spans="1:21" ht="18" customHeight="1">
      <c r="A123" s="204">
        <v>118</v>
      </c>
      <c r="B123" s="202" t="s">
        <v>864</v>
      </c>
      <c r="C123" s="202"/>
      <c r="D123" s="202" t="s">
        <v>455</v>
      </c>
      <c r="E123" s="300">
        <v>484</v>
      </c>
      <c r="F123" s="210">
        <v>404</v>
      </c>
      <c r="G123" s="203" t="s">
        <v>0</v>
      </c>
      <c r="H123" s="203" t="s">
        <v>452</v>
      </c>
      <c r="I123" s="276"/>
      <c r="J123" s="263" t="str">
        <f t="shared" si="1"/>
        <v>도공</v>
      </c>
      <c r="K123" s="266"/>
      <c r="L123" s="265"/>
      <c r="M123" s="265"/>
      <c r="N123" s="265"/>
      <c r="O123" s="265"/>
      <c r="P123" s="265"/>
      <c r="Q123" s="265"/>
      <c r="R123" s="267"/>
    </row>
    <row r="124" spans="1:21" ht="18" customHeight="1">
      <c r="A124" s="204">
        <v>119</v>
      </c>
      <c r="B124" s="202" t="s">
        <v>865</v>
      </c>
      <c r="C124" s="202"/>
      <c r="D124" s="202" t="s">
        <v>455</v>
      </c>
      <c r="E124" s="300">
        <v>273</v>
      </c>
      <c r="F124" s="210">
        <v>125</v>
      </c>
      <c r="G124" s="203" t="s">
        <v>0</v>
      </c>
      <c r="H124" s="203" t="s">
        <v>452</v>
      </c>
      <c r="I124" s="276"/>
      <c r="J124" s="263" t="str">
        <f t="shared" si="1"/>
        <v>도공</v>
      </c>
      <c r="K124" s="266"/>
      <c r="L124" s="265"/>
      <c r="M124" s="265"/>
      <c r="N124" s="265"/>
      <c r="O124" s="265"/>
      <c r="P124" s="265"/>
      <c r="Q124" s="265"/>
      <c r="R124" s="267"/>
    </row>
    <row r="125" spans="1:21" ht="18" customHeight="1">
      <c r="A125" s="204">
        <v>120</v>
      </c>
      <c r="B125" s="202" t="s">
        <v>866</v>
      </c>
      <c r="C125" s="202"/>
      <c r="D125" s="202" t="s">
        <v>455</v>
      </c>
      <c r="E125" s="300">
        <v>654</v>
      </c>
      <c r="F125" s="210">
        <v>151</v>
      </c>
      <c r="G125" s="203" t="s">
        <v>0</v>
      </c>
      <c r="H125" s="203" t="s">
        <v>452</v>
      </c>
      <c r="I125" s="276"/>
      <c r="J125" s="263" t="str">
        <f t="shared" si="1"/>
        <v>도공</v>
      </c>
      <c r="K125" s="264"/>
      <c r="L125" s="265"/>
      <c r="M125" s="265"/>
      <c r="N125" s="265"/>
      <c r="O125" s="265"/>
      <c r="P125" s="265"/>
      <c r="Q125" s="265"/>
      <c r="R125" s="284"/>
      <c r="S125" s="265"/>
      <c r="T125" s="265"/>
      <c r="U125" s="265"/>
    </row>
    <row r="126" spans="1:21" ht="18" customHeight="1">
      <c r="A126" s="204">
        <v>121</v>
      </c>
      <c r="B126" s="202" t="s">
        <v>867</v>
      </c>
      <c r="C126" s="202"/>
      <c r="D126" s="202" t="s">
        <v>455</v>
      </c>
      <c r="E126" s="300">
        <v>524</v>
      </c>
      <c r="F126" s="210">
        <v>212</v>
      </c>
      <c r="G126" s="203" t="s">
        <v>0</v>
      </c>
      <c r="H126" s="203" t="s">
        <v>452</v>
      </c>
      <c r="I126" s="276"/>
      <c r="J126" s="263" t="str">
        <f t="shared" si="1"/>
        <v>도공</v>
      </c>
      <c r="K126" s="264"/>
      <c r="L126" s="265"/>
      <c r="M126" s="265"/>
      <c r="N126" s="265"/>
      <c r="O126" s="265"/>
      <c r="P126" s="265"/>
      <c r="Q126" s="265"/>
      <c r="R126" s="265"/>
    </row>
    <row r="127" spans="1:21" ht="18" customHeight="1">
      <c r="A127" s="204">
        <v>122</v>
      </c>
      <c r="B127" s="202" t="s">
        <v>868</v>
      </c>
      <c r="C127" s="202"/>
      <c r="D127" s="202" t="s">
        <v>898</v>
      </c>
      <c r="E127" s="300"/>
      <c r="F127" s="210">
        <v>916</v>
      </c>
      <c r="G127" s="203" t="s">
        <v>603</v>
      </c>
      <c r="H127" s="203" t="s">
        <v>715</v>
      </c>
      <c r="I127" s="276"/>
      <c r="J127" s="263" t="str">
        <f t="shared" si="1"/>
        <v>가국</v>
      </c>
      <c r="K127" s="264"/>
      <c r="L127" s="265"/>
      <c r="M127" s="265"/>
      <c r="N127" s="265"/>
      <c r="O127" s="265"/>
      <c r="P127" s="265"/>
      <c r="Q127" s="265"/>
      <c r="R127" s="265"/>
    </row>
    <row r="128" spans="1:21" ht="18" customHeight="1">
      <c r="A128" s="204">
        <v>123</v>
      </c>
      <c r="B128" s="202" t="s">
        <v>869</v>
      </c>
      <c r="C128" s="202"/>
      <c r="D128" s="202" t="s">
        <v>898</v>
      </c>
      <c r="E128" s="300"/>
      <c r="F128" s="210">
        <v>420</v>
      </c>
      <c r="G128" s="203" t="s">
        <v>603</v>
      </c>
      <c r="H128" s="203" t="s">
        <v>715</v>
      </c>
      <c r="I128" s="276"/>
      <c r="J128" s="263" t="str">
        <f t="shared" si="1"/>
        <v>가국</v>
      </c>
      <c r="K128" s="264"/>
      <c r="L128" s="265"/>
      <c r="M128" s="265"/>
      <c r="N128" s="265"/>
      <c r="O128" s="265"/>
      <c r="P128" s="265"/>
      <c r="Q128" s="265"/>
      <c r="R128" s="265"/>
    </row>
    <row r="129" spans="1:18" ht="18" customHeight="1">
      <c r="A129" s="204">
        <v>124</v>
      </c>
      <c r="B129" s="202" t="s">
        <v>870</v>
      </c>
      <c r="C129" s="202"/>
      <c r="D129" s="202" t="s">
        <v>455</v>
      </c>
      <c r="E129" s="300">
        <v>42</v>
      </c>
      <c r="F129" s="210">
        <v>4</v>
      </c>
      <c r="G129" s="203" t="s">
        <v>0</v>
      </c>
      <c r="H129" s="203" t="s">
        <v>452</v>
      </c>
      <c r="I129" s="276"/>
      <c r="J129" s="263" t="str">
        <f t="shared" si="1"/>
        <v>도공</v>
      </c>
      <c r="K129" s="264"/>
      <c r="L129" s="265"/>
      <c r="M129" s="265"/>
      <c r="N129" s="265"/>
      <c r="O129" s="265"/>
      <c r="P129" s="265"/>
      <c r="Q129" s="265"/>
      <c r="R129" s="265"/>
    </row>
    <row r="130" spans="1:18" ht="18" customHeight="1">
      <c r="A130" s="204">
        <v>125</v>
      </c>
      <c r="B130" s="202" t="s">
        <v>871</v>
      </c>
      <c r="C130" s="202"/>
      <c r="D130" s="202" t="s">
        <v>455</v>
      </c>
      <c r="E130" s="300">
        <v>362</v>
      </c>
      <c r="F130" s="210">
        <v>362</v>
      </c>
      <c r="G130" s="203" t="s">
        <v>0</v>
      </c>
      <c r="H130" s="203" t="s">
        <v>452</v>
      </c>
      <c r="I130" s="276"/>
      <c r="J130" s="263" t="str">
        <f t="shared" si="1"/>
        <v>도공</v>
      </c>
      <c r="K130" s="264"/>
      <c r="L130" s="265"/>
      <c r="M130" s="265"/>
      <c r="N130" s="265"/>
      <c r="O130" s="265"/>
      <c r="P130" s="265"/>
      <c r="Q130" s="265"/>
      <c r="R130" s="265"/>
    </row>
    <row r="131" spans="1:18" ht="18" customHeight="1">
      <c r="A131" s="204">
        <v>126</v>
      </c>
      <c r="B131" s="202" t="s">
        <v>872</v>
      </c>
      <c r="C131" s="202"/>
      <c r="D131" s="202" t="s">
        <v>455</v>
      </c>
      <c r="E131" s="300">
        <v>453</v>
      </c>
      <c r="F131" s="210">
        <v>453</v>
      </c>
      <c r="G131" s="203" t="s">
        <v>86</v>
      </c>
      <c r="H131" s="203" t="s">
        <v>715</v>
      </c>
      <c r="I131" s="276"/>
      <c r="J131" s="263" t="str">
        <f t="shared" si="1"/>
        <v>도국</v>
      </c>
      <c r="K131" s="264"/>
      <c r="L131" s="265"/>
      <c r="M131" s="265"/>
      <c r="N131" s="265"/>
      <c r="O131" s="265"/>
      <c r="P131" s="265"/>
      <c r="Q131" s="265"/>
      <c r="R131" s="265"/>
    </row>
    <row r="132" spans="1:18" ht="18" customHeight="1">
      <c r="A132" s="204">
        <v>127</v>
      </c>
      <c r="B132" s="202" t="s">
        <v>873</v>
      </c>
      <c r="C132" s="202"/>
      <c r="D132" s="202" t="s">
        <v>455</v>
      </c>
      <c r="E132" s="300">
        <v>132</v>
      </c>
      <c r="F132" s="210">
        <v>132</v>
      </c>
      <c r="G132" s="203" t="s">
        <v>86</v>
      </c>
      <c r="H132" s="203" t="s">
        <v>715</v>
      </c>
      <c r="I132" s="276"/>
      <c r="J132" s="263" t="str">
        <f t="shared" si="1"/>
        <v>도국</v>
      </c>
      <c r="K132" s="264"/>
      <c r="L132" s="265"/>
      <c r="M132" s="265"/>
      <c r="N132" s="265"/>
      <c r="O132" s="265"/>
      <c r="P132" s="265"/>
      <c r="Q132" s="265"/>
      <c r="R132" s="265"/>
    </row>
    <row r="133" spans="1:18" ht="18" customHeight="1">
      <c r="A133" s="204">
        <v>128</v>
      </c>
      <c r="B133" s="202" t="s">
        <v>874</v>
      </c>
      <c r="C133" s="202"/>
      <c r="D133" s="202" t="s">
        <v>455</v>
      </c>
      <c r="E133" s="300">
        <v>102</v>
      </c>
      <c r="F133" s="210">
        <v>102</v>
      </c>
      <c r="G133" s="203" t="s">
        <v>0</v>
      </c>
      <c r="H133" s="203" t="s">
        <v>537</v>
      </c>
      <c r="I133" s="276"/>
      <c r="J133" s="263" t="str">
        <f t="shared" si="1"/>
        <v>도공</v>
      </c>
      <c r="K133" s="264"/>
      <c r="L133" s="265"/>
      <c r="M133" s="265"/>
      <c r="N133" s="265"/>
      <c r="O133" s="265"/>
      <c r="P133" s="265"/>
      <c r="Q133" s="265"/>
      <c r="R133" s="265"/>
    </row>
    <row r="134" spans="1:18" ht="18" customHeight="1">
      <c r="A134" s="204">
        <v>129</v>
      </c>
      <c r="B134" s="202" t="s">
        <v>875</v>
      </c>
      <c r="C134" s="202"/>
      <c r="D134" s="202" t="s">
        <v>455</v>
      </c>
      <c r="E134" s="300">
        <v>571</v>
      </c>
      <c r="F134" s="210">
        <v>571</v>
      </c>
      <c r="G134" s="203" t="s">
        <v>0</v>
      </c>
      <c r="H134" s="203" t="s">
        <v>452</v>
      </c>
      <c r="I134" s="276"/>
      <c r="J134" s="263" t="str">
        <f t="shared" si="1"/>
        <v>도공</v>
      </c>
      <c r="K134" s="264"/>
      <c r="L134" s="265"/>
      <c r="M134" s="265"/>
      <c r="N134" s="265"/>
      <c r="O134" s="265"/>
      <c r="P134" s="265"/>
      <c r="Q134" s="265"/>
      <c r="R134" s="265"/>
    </row>
    <row r="135" spans="1:18" ht="18" customHeight="1">
      <c r="A135" s="204">
        <v>130</v>
      </c>
      <c r="B135" s="202" t="s">
        <v>876</v>
      </c>
      <c r="C135" s="202"/>
      <c r="D135" s="202" t="s">
        <v>455</v>
      </c>
      <c r="E135" s="300">
        <v>271</v>
      </c>
      <c r="F135" s="210">
        <v>271</v>
      </c>
      <c r="G135" s="203" t="s">
        <v>86</v>
      </c>
      <c r="H135" s="203" t="s">
        <v>715</v>
      </c>
      <c r="I135" s="276"/>
      <c r="J135" s="263" t="str">
        <f t="shared" ref="J135:J155" si="2">CONCATENATE(D135,G135)</f>
        <v>도국</v>
      </c>
      <c r="K135" s="264"/>
      <c r="L135" s="265"/>
      <c r="M135" s="265"/>
      <c r="N135" s="265"/>
      <c r="O135" s="265"/>
      <c r="P135" s="265"/>
      <c r="Q135" s="265"/>
      <c r="R135" s="265"/>
    </row>
    <row r="136" spans="1:18" ht="18" customHeight="1">
      <c r="A136" s="204">
        <v>131</v>
      </c>
      <c r="B136" s="202" t="s">
        <v>877</v>
      </c>
      <c r="C136" s="202"/>
      <c r="D136" s="202" t="s">
        <v>455</v>
      </c>
      <c r="E136" s="300">
        <v>261</v>
      </c>
      <c r="F136" s="210">
        <v>261</v>
      </c>
      <c r="G136" s="203" t="s">
        <v>0</v>
      </c>
      <c r="H136" s="203" t="s">
        <v>452</v>
      </c>
      <c r="I136" s="276"/>
      <c r="J136" s="263" t="str">
        <f t="shared" si="2"/>
        <v>도공</v>
      </c>
      <c r="K136" s="264"/>
      <c r="L136" s="265"/>
      <c r="M136" s="265"/>
      <c r="N136" s="265"/>
      <c r="O136" s="265"/>
      <c r="P136" s="265"/>
      <c r="Q136" s="265"/>
      <c r="R136" s="265"/>
    </row>
    <row r="137" spans="1:18" ht="18" customHeight="1">
      <c r="A137" s="204">
        <v>132</v>
      </c>
      <c r="B137" s="202" t="s">
        <v>878</v>
      </c>
      <c r="C137" s="202"/>
      <c r="D137" s="202" t="s">
        <v>455</v>
      </c>
      <c r="E137" s="300">
        <v>81</v>
      </c>
      <c r="F137" s="210">
        <v>81</v>
      </c>
      <c r="G137" s="203" t="s">
        <v>0</v>
      </c>
      <c r="H137" s="203" t="s">
        <v>452</v>
      </c>
      <c r="I137" s="276"/>
      <c r="J137" s="263" t="str">
        <f t="shared" si="2"/>
        <v>도공</v>
      </c>
      <c r="K137" s="264"/>
      <c r="L137" s="265"/>
      <c r="M137" s="265"/>
      <c r="N137" s="265"/>
      <c r="O137" s="265"/>
      <c r="P137" s="265"/>
      <c r="Q137" s="265"/>
      <c r="R137" s="265"/>
    </row>
    <row r="138" spans="1:18" ht="18" customHeight="1">
      <c r="A138" s="204">
        <v>133</v>
      </c>
      <c r="B138" s="202" t="s">
        <v>879</v>
      </c>
      <c r="C138" s="202"/>
      <c r="D138" s="202" t="s">
        <v>455</v>
      </c>
      <c r="E138" s="300">
        <v>23</v>
      </c>
      <c r="F138" s="210">
        <v>23</v>
      </c>
      <c r="G138" s="203" t="s">
        <v>0</v>
      </c>
      <c r="H138" s="203" t="s">
        <v>537</v>
      </c>
      <c r="I138" s="276"/>
      <c r="J138" s="263" t="str">
        <f t="shared" si="2"/>
        <v>도공</v>
      </c>
      <c r="K138" s="264"/>
      <c r="L138" s="265"/>
      <c r="M138" s="265"/>
      <c r="N138" s="265"/>
      <c r="O138" s="265"/>
      <c r="P138" s="265"/>
      <c r="Q138" s="265"/>
      <c r="R138" s="265"/>
    </row>
    <row r="139" spans="1:18" ht="18" customHeight="1">
      <c r="A139" s="204">
        <v>134</v>
      </c>
      <c r="B139" s="202" t="s">
        <v>880</v>
      </c>
      <c r="C139" s="202"/>
      <c r="D139" s="202" t="s">
        <v>455</v>
      </c>
      <c r="E139" s="300">
        <v>76</v>
      </c>
      <c r="F139" s="210">
        <v>76</v>
      </c>
      <c r="G139" s="203" t="s">
        <v>0</v>
      </c>
      <c r="H139" s="203" t="s">
        <v>452</v>
      </c>
      <c r="I139" s="276"/>
      <c r="J139" s="263" t="str">
        <f t="shared" si="2"/>
        <v>도공</v>
      </c>
      <c r="K139" s="264"/>
      <c r="L139" s="265"/>
      <c r="M139" s="265"/>
      <c r="N139" s="265"/>
      <c r="O139" s="265"/>
      <c r="P139" s="265"/>
      <c r="Q139" s="265"/>
      <c r="R139" s="265"/>
    </row>
    <row r="140" spans="1:18" ht="18" customHeight="1">
      <c r="A140" s="204">
        <v>135</v>
      </c>
      <c r="B140" s="202" t="s">
        <v>881</v>
      </c>
      <c r="C140" s="202"/>
      <c r="D140" s="202" t="s">
        <v>455</v>
      </c>
      <c r="E140" s="300">
        <v>415</v>
      </c>
      <c r="F140" s="210">
        <v>415</v>
      </c>
      <c r="G140" s="203" t="s">
        <v>0</v>
      </c>
      <c r="H140" s="203" t="s">
        <v>452</v>
      </c>
      <c r="I140" s="276"/>
      <c r="J140" s="263" t="str">
        <f t="shared" si="2"/>
        <v>도공</v>
      </c>
      <c r="K140" s="264"/>
      <c r="L140" s="265"/>
      <c r="M140" s="265"/>
      <c r="N140" s="265"/>
      <c r="O140" s="265"/>
      <c r="P140" s="265"/>
      <c r="Q140" s="265"/>
      <c r="R140" s="265"/>
    </row>
    <row r="141" spans="1:18" ht="18" customHeight="1">
      <c r="A141" s="204">
        <v>136</v>
      </c>
      <c r="B141" s="202" t="s">
        <v>882</v>
      </c>
      <c r="C141" s="202"/>
      <c r="D141" s="202" t="s">
        <v>455</v>
      </c>
      <c r="E141" s="300">
        <v>274</v>
      </c>
      <c r="F141" s="210">
        <v>274</v>
      </c>
      <c r="G141" s="203" t="s">
        <v>0</v>
      </c>
      <c r="H141" s="203" t="s">
        <v>452</v>
      </c>
      <c r="I141" s="276"/>
      <c r="J141" s="263" t="str">
        <f t="shared" si="2"/>
        <v>도공</v>
      </c>
      <c r="K141" s="266"/>
      <c r="L141" s="265"/>
      <c r="M141" s="265"/>
      <c r="N141" s="265"/>
      <c r="O141" s="265"/>
      <c r="P141" s="265"/>
      <c r="Q141" s="265"/>
      <c r="R141" s="267"/>
    </row>
    <row r="142" spans="1:18" ht="18" customHeight="1">
      <c r="A142" s="204">
        <v>137</v>
      </c>
      <c r="B142" s="202" t="s">
        <v>883</v>
      </c>
      <c r="C142" s="202"/>
      <c r="D142" s="202" t="s">
        <v>462</v>
      </c>
      <c r="E142" s="300">
        <v>220</v>
      </c>
      <c r="F142" s="210">
        <v>120</v>
      </c>
      <c r="G142" s="203" t="s">
        <v>86</v>
      </c>
      <c r="H142" s="203" t="s">
        <v>712</v>
      </c>
      <c r="I142" s="276"/>
      <c r="J142" s="263" t="str">
        <f t="shared" si="2"/>
        <v>구국</v>
      </c>
      <c r="K142" s="266"/>
      <c r="L142" s="265"/>
      <c r="M142" s="265"/>
      <c r="N142" s="265"/>
      <c r="O142" s="265"/>
      <c r="P142" s="265"/>
      <c r="Q142" s="265"/>
      <c r="R142" s="267"/>
    </row>
    <row r="143" spans="1:18" ht="18" customHeight="1">
      <c r="A143" s="204">
        <v>138</v>
      </c>
      <c r="B143" s="202" t="s">
        <v>884</v>
      </c>
      <c r="C143" s="202"/>
      <c r="D143" s="202" t="s">
        <v>455</v>
      </c>
      <c r="E143" s="300">
        <v>430</v>
      </c>
      <c r="F143" s="210">
        <v>430</v>
      </c>
      <c r="G143" s="203" t="s">
        <v>86</v>
      </c>
      <c r="H143" s="203" t="s">
        <v>715</v>
      </c>
      <c r="I143" s="276"/>
      <c r="J143" s="263" t="str">
        <f t="shared" si="2"/>
        <v>도국</v>
      </c>
      <c r="K143" s="266"/>
      <c r="L143" s="265"/>
      <c r="M143" s="265"/>
      <c r="N143" s="265"/>
      <c r="O143" s="265"/>
      <c r="P143" s="265"/>
      <c r="Q143" s="265"/>
      <c r="R143" s="267"/>
    </row>
    <row r="144" spans="1:18" ht="18" customHeight="1">
      <c r="A144" s="204">
        <v>139</v>
      </c>
      <c r="B144" s="202" t="s">
        <v>885</v>
      </c>
      <c r="C144" s="202"/>
      <c r="D144" s="202" t="s">
        <v>455</v>
      </c>
      <c r="E144" s="300">
        <v>3</v>
      </c>
      <c r="F144" s="210">
        <v>3</v>
      </c>
      <c r="G144" s="203" t="s">
        <v>86</v>
      </c>
      <c r="H144" s="203" t="s">
        <v>715</v>
      </c>
      <c r="I144" s="276"/>
      <c r="J144" s="263" t="str">
        <f t="shared" si="2"/>
        <v>도국</v>
      </c>
      <c r="K144" s="266"/>
      <c r="L144" s="265"/>
      <c r="M144" s="265"/>
      <c r="N144" s="265"/>
      <c r="O144" s="265"/>
      <c r="P144" s="265"/>
      <c r="Q144" s="265"/>
      <c r="R144" s="267"/>
    </row>
    <row r="145" spans="1:21" ht="18" customHeight="1">
      <c r="A145" s="204">
        <v>140</v>
      </c>
      <c r="B145" s="202" t="s">
        <v>886</v>
      </c>
      <c r="C145" s="202"/>
      <c r="D145" s="202" t="s">
        <v>455</v>
      </c>
      <c r="E145" s="300">
        <v>56</v>
      </c>
      <c r="F145" s="210">
        <v>56</v>
      </c>
      <c r="G145" s="203" t="s">
        <v>86</v>
      </c>
      <c r="H145" s="203" t="s">
        <v>715</v>
      </c>
      <c r="I145" s="276"/>
      <c r="J145" s="263" t="str">
        <f t="shared" si="2"/>
        <v>도국</v>
      </c>
      <c r="K145" s="264"/>
      <c r="L145" s="265"/>
      <c r="M145" s="265"/>
      <c r="N145" s="265"/>
      <c r="O145" s="265"/>
      <c r="P145" s="265"/>
      <c r="Q145" s="265"/>
      <c r="R145" s="284"/>
      <c r="S145" s="265"/>
      <c r="T145" s="265"/>
      <c r="U145" s="265"/>
    </row>
    <row r="146" spans="1:21" ht="18" customHeight="1">
      <c r="A146" s="204">
        <v>141</v>
      </c>
      <c r="B146" s="202" t="s">
        <v>887</v>
      </c>
      <c r="C146" s="202"/>
      <c r="D146" s="202" t="s">
        <v>455</v>
      </c>
      <c r="E146" s="300">
        <v>66</v>
      </c>
      <c r="F146" s="210">
        <v>66</v>
      </c>
      <c r="G146" s="203" t="s">
        <v>0</v>
      </c>
      <c r="H146" s="203" t="s">
        <v>452</v>
      </c>
      <c r="I146" s="276"/>
      <c r="J146" s="263" t="str">
        <f t="shared" si="2"/>
        <v>도공</v>
      </c>
      <c r="K146" s="264"/>
      <c r="L146" s="265"/>
      <c r="M146" s="265"/>
      <c r="N146" s="265"/>
      <c r="O146" s="265"/>
      <c r="P146" s="265"/>
      <c r="Q146" s="265"/>
      <c r="R146" s="265"/>
    </row>
    <row r="147" spans="1:21" ht="18" customHeight="1">
      <c r="A147" s="204">
        <v>142</v>
      </c>
      <c r="B147" s="202" t="s">
        <v>888</v>
      </c>
      <c r="C147" s="202"/>
      <c r="D147" s="202" t="s">
        <v>455</v>
      </c>
      <c r="E147" s="300">
        <v>109</v>
      </c>
      <c r="F147" s="210">
        <v>109</v>
      </c>
      <c r="G147" s="203" t="s">
        <v>0</v>
      </c>
      <c r="H147" s="203" t="s">
        <v>452</v>
      </c>
      <c r="I147" s="276"/>
      <c r="J147" s="263" t="str">
        <f t="shared" si="2"/>
        <v>도공</v>
      </c>
      <c r="K147" s="264"/>
      <c r="L147" s="265"/>
      <c r="M147" s="265"/>
      <c r="N147" s="265"/>
      <c r="O147" s="265"/>
      <c r="P147" s="265"/>
      <c r="Q147" s="265"/>
      <c r="R147" s="265"/>
    </row>
    <row r="148" spans="1:21" ht="18" customHeight="1">
      <c r="A148" s="204">
        <v>143</v>
      </c>
      <c r="B148" s="202" t="s">
        <v>889</v>
      </c>
      <c r="C148" s="202"/>
      <c r="D148" s="202" t="s">
        <v>455</v>
      </c>
      <c r="E148" s="300">
        <v>306</v>
      </c>
      <c r="F148" s="210">
        <v>306</v>
      </c>
      <c r="G148" s="203" t="s">
        <v>0</v>
      </c>
      <c r="H148" s="203" t="s">
        <v>452</v>
      </c>
      <c r="I148" s="276"/>
      <c r="J148" s="263" t="str">
        <f t="shared" si="2"/>
        <v>도공</v>
      </c>
      <c r="K148" s="264"/>
      <c r="L148" s="265"/>
      <c r="M148" s="265"/>
      <c r="N148" s="265"/>
      <c r="O148" s="265"/>
      <c r="P148" s="265"/>
      <c r="Q148" s="265"/>
      <c r="R148" s="265"/>
    </row>
    <row r="149" spans="1:21" ht="18" customHeight="1">
      <c r="A149" s="204">
        <v>144</v>
      </c>
      <c r="B149" s="202" t="s">
        <v>890</v>
      </c>
      <c r="C149" s="202"/>
      <c r="D149" s="202" t="s">
        <v>455</v>
      </c>
      <c r="E149" s="300">
        <v>149</v>
      </c>
      <c r="F149" s="210">
        <v>149</v>
      </c>
      <c r="G149" s="203" t="s">
        <v>0</v>
      </c>
      <c r="H149" s="203" t="s">
        <v>452</v>
      </c>
      <c r="I149" s="276"/>
      <c r="J149" s="263" t="str">
        <f t="shared" si="2"/>
        <v>도공</v>
      </c>
      <c r="K149" s="264"/>
      <c r="L149" s="265"/>
      <c r="M149" s="265"/>
      <c r="N149" s="265"/>
      <c r="O149" s="265"/>
      <c r="P149" s="265"/>
      <c r="Q149" s="265"/>
      <c r="R149" s="265"/>
    </row>
    <row r="150" spans="1:21" ht="18" customHeight="1">
      <c r="A150" s="204">
        <v>145</v>
      </c>
      <c r="B150" s="202" t="s">
        <v>891</v>
      </c>
      <c r="C150" s="202"/>
      <c r="D150" s="202" t="s">
        <v>455</v>
      </c>
      <c r="E150" s="300">
        <v>144</v>
      </c>
      <c r="F150" s="210">
        <v>97</v>
      </c>
      <c r="G150" s="203" t="s">
        <v>0</v>
      </c>
      <c r="H150" s="203" t="s">
        <v>452</v>
      </c>
      <c r="I150" s="276"/>
      <c r="J150" s="263" t="str">
        <f t="shared" si="2"/>
        <v>도공</v>
      </c>
      <c r="K150" s="264"/>
      <c r="L150" s="265"/>
      <c r="M150" s="265"/>
      <c r="N150" s="265"/>
      <c r="O150" s="265"/>
      <c r="P150" s="265"/>
      <c r="Q150" s="265"/>
      <c r="R150" s="265"/>
    </row>
    <row r="151" spans="1:21" ht="18" customHeight="1">
      <c r="A151" s="204">
        <v>146</v>
      </c>
      <c r="B151" s="202" t="s">
        <v>892</v>
      </c>
      <c r="C151" s="202"/>
      <c r="D151" s="202" t="s">
        <v>455</v>
      </c>
      <c r="E151" s="300">
        <v>3832</v>
      </c>
      <c r="F151" s="210">
        <v>966</v>
      </c>
      <c r="G151" s="203" t="s">
        <v>86</v>
      </c>
      <c r="H151" s="203" t="s">
        <v>715</v>
      </c>
      <c r="I151" s="276"/>
      <c r="J151" s="263" t="str">
        <f t="shared" si="2"/>
        <v>도국</v>
      </c>
      <c r="K151" s="264"/>
      <c r="L151" s="265"/>
      <c r="M151" s="265"/>
      <c r="N151" s="265"/>
      <c r="O151" s="265"/>
      <c r="P151" s="265"/>
      <c r="Q151" s="265"/>
      <c r="R151" s="265"/>
    </row>
    <row r="152" spans="1:21" ht="18" customHeight="1">
      <c r="A152" s="204">
        <v>147</v>
      </c>
      <c r="B152" s="202" t="s">
        <v>893</v>
      </c>
      <c r="C152" s="202"/>
      <c r="D152" s="202" t="s">
        <v>455</v>
      </c>
      <c r="E152" s="300">
        <v>2</v>
      </c>
      <c r="F152" s="210">
        <v>2</v>
      </c>
      <c r="G152" s="203" t="s">
        <v>0</v>
      </c>
      <c r="H152" s="203" t="s">
        <v>452</v>
      </c>
      <c r="I152" s="276"/>
      <c r="J152" s="263" t="str">
        <f t="shared" si="2"/>
        <v>도공</v>
      </c>
      <c r="K152" s="264"/>
      <c r="L152" s="265"/>
      <c r="M152" s="265"/>
      <c r="N152" s="265"/>
      <c r="O152" s="265"/>
      <c r="P152" s="265"/>
      <c r="Q152" s="265"/>
      <c r="R152" s="265"/>
    </row>
    <row r="153" spans="1:21" ht="18" customHeight="1">
      <c r="A153" s="204">
        <v>148</v>
      </c>
      <c r="B153" s="202" t="s">
        <v>894</v>
      </c>
      <c r="C153" s="202"/>
      <c r="D153" s="202" t="s">
        <v>93</v>
      </c>
      <c r="E153" s="300">
        <v>984</v>
      </c>
      <c r="F153" s="210">
        <v>984</v>
      </c>
      <c r="G153" s="203" t="s">
        <v>531</v>
      </c>
      <c r="H153" s="203" t="s">
        <v>901</v>
      </c>
      <c r="I153" s="276"/>
      <c r="J153" s="263" t="str">
        <f t="shared" si="2"/>
        <v>임현대건설㈜</v>
      </c>
      <c r="K153" s="264"/>
      <c r="L153" s="265"/>
      <c r="M153" s="265"/>
      <c r="N153" s="265"/>
      <c r="O153" s="265"/>
      <c r="P153" s="265"/>
      <c r="Q153" s="265"/>
      <c r="R153" s="265"/>
    </row>
    <row r="154" spans="1:21" ht="18" customHeight="1">
      <c r="A154" s="204">
        <v>149</v>
      </c>
      <c r="B154" s="202" t="s">
        <v>895</v>
      </c>
      <c r="C154" s="202"/>
      <c r="D154" s="202" t="s">
        <v>455</v>
      </c>
      <c r="E154" s="300">
        <v>3</v>
      </c>
      <c r="F154" s="210">
        <v>3</v>
      </c>
      <c r="G154" s="203" t="s">
        <v>451</v>
      </c>
      <c r="H154" s="203" t="s">
        <v>452</v>
      </c>
      <c r="I154" s="276"/>
      <c r="J154" s="263" t="str">
        <f t="shared" si="2"/>
        <v>도공</v>
      </c>
      <c r="K154" s="264"/>
      <c r="L154" s="265"/>
      <c r="M154" s="265"/>
      <c r="N154" s="265"/>
      <c r="O154" s="265"/>
      <c r="P154" s="265"/>
      <c r="Q154" s="265"/>
      <c r="R154" s="265"/>
    </row>
    <row r="155" spans="1:21" ht="18" customHeight="1">
      <c r="A155" s="204">
        <v>150</v>
      </c>
      <c r="B155" s="202" t="s">
        <v>896</v>
      </c>
      <c r="C155" s="202"/>
      <c r="D155" s="202" t="s">
        <v>93</v>
      </c>
      <c r="E155" s="300">
        <v>1661</v>
      </c>
      <c r="F155" s="210">
        <v>187</v>
      </c>
      <c r="G155" s="203" t="s">
        <v>451</v>
      </c>
      <c r="H155" s="203" t="s">
        <v>452</v>
      </c>
      <c r="I155" s="276"/>
      <c r="J155" s="263" t="str">
        <f t="shared" si="2"/>
        <v>임공</v>
      </c>
      <c r="K155" s="264"/>
      <c r="L155" s="265"/>
      <c r="M155" s="265"/>
      <c r="N155" s="265"/>
      <c r="O155" s="265"/>
      <c r="P155" s="265"/>
      <c r="Q155" s="265"/>
      <c r="R155" s="265"/>
    </row>
    <row r="156" spans="1:21" ht="18" customHeight="1">
      <c r="A156" s="270" t="s">
        <v>430</v>
      </c>
      <c r="B156" s="271"/>
      <c r="C156" s="271"/>
      <c r="D156" s="271"/>
      <c r="E156" s="272"/>
      <c r="F156" s="272">
        <f>SUM(F6:F155)</f>
        <v>57534.400000000001</v>
      </c>
      <c r="G156" s="282"/>
      <c r="H156" s="282"/>
      <c r="I156" s="283"/>
      <c r="J156" s="263"/>
      <c r="K156" s="266"/>
      <c r="L156" s="265"/>
      <c r="M156" s="265"/>
      <c r="N156" s="265"/>
      <c r="O156" s="265"/>
      <c r="P156" s="265"/>
      <c r="Q156" s="265"/>
      <c r="R156" s="284"/>
      <c r="S156" s="265"/>
      <c r="T156" s="265"/>
      <c r="U156" s="265"/>
    </row>
    <row r="157" spans="1:21" ht="30" customHeight="1">
      <c r="A157" s="204"/>
      <c r="B157" s="202"/>
      <c r="C157" s="202"/>
      <c r="D157" s="202"/>
      <c r="E157" s="300"/>
      <c r="F157" s="210"/>
      <c r="G157" s="203"/>
      <c r="H157" s="203"/>
      <c r="I157" s="291"/>
      <c r="J157" s="263"/>
      <c r="K157" s="264"/>
      <c r="L157" s="265"/>
      <c r="M157" s="265"/>
      <c r="N157" s="265"/>
      <c r="O157" s="265"/>
      <c r="P157" s="265"/>
      <c r="Q157" s="265"/>
      <c r="R157" s="265"/>
    </row>
    <row r="158" spans="1:21" ht="30" customHeight="1">
      <c r="A158" s="204"/>
      <c r="B158" s="202"/>
      <c r="C158" s="202"/>
      <c r="D158" s="202"/>
      <c r="E158" s="300"/>
      <c r="F158" s="210"/>
      <c r="G158" s="203"/>
      <c r="H158" s="203"/>
      <c r="I158" s="291"/>
      <c r="J158" s="263"/>
      <c r="K158" s="264"/>
      <c r="L158" s="265"/>
      <c r="M158" s="265"/>
      <c r="N158" s="265"/>
      <c r="O158" s="265"/>
      <c r="P158" s="265"/>
      <c r="Q158" s="265"/>
      <c r="R158" s="265"/>
    </row>
    <row r="159" spans="1:21" ht="30" customHeight="1">
      <c r="A159" s="204"/>
      <c r="B159" s="202"/>
      <c r="C159" s="202"/>
      <c r="D159" s="202"/>
      <c r="E159" s="300"/>
      <c r="F159" s="210"/>
      <c r="G159" s="203"/>
      <c r="H159" s="203"/>
      <c r="I159" s="291"/>
      <c r="J159" s="263"/>
      <c r="K159" s="264"/>
      <c r="L159" s="265"/>
      <c r="M159" s="265"/>
      <c r="N159" s="265"/>
      <c r="O159" s="265"/>
      <c r="P159" s="265"/>
      <c r="Q159" s="265"/>
      <c r="R159" s="265"/>
    </row>
    <row r="160" spans="1:21" ht="30" customHeight="1">
      <c r="A160" s="204"/>
      <c r="B160" s="202"/>
      <c r="C160" s="202"/>
      <c r="D160" s="202"/>
      <c r="E160" s="300"/>
      <c r="F160" s="210"/>
      <c r="G160" s="203"/>
      <c r="H160" s="203"/>
      <c r="I160" s="291"/>
      <c r="J160" s="263"/>
      <c r="K160" s="264"/>
      <c r="L160" s="265"/>
      <c r="M160" s="265"/>
      <c r="N160" s="265"/>
      <c r="O160" s="265"/>
      <c r="P160" s="265"/>
      <c r="Q160" s="265"/>
      <c r="R160" s="265"/>
    </row>
    <row r="161" spans="1:21" ht="30" customHeight="1">
      <c r="A161" s="204"/>
      <c r="B161" s="202"/>
      <c r="C161" s="202"/>
      <c r="D161" s="202"/>
      <c r="E161" s="300"/>
      <c r="F161" s="210"/>
      <c r="G161" s="203"/>
      <c r="H161" s="203"/>
      <c r="I161" s="291"/>
      <c r="J161" s="263"/>
      <c r="K161" s="264"/>
      <c r="L161" s="265"/>
      <c r="M161" s="265"/>
      <c r="N161" s="265"/>
      <c r="O161" s="265"/>
      <c r="P161" s="265"/>
      <c r="Q161" s="265"/>
      <c r="R161" s="265"/>
    </row>
    <row r="162" spans="1:21" ht="30" customHeight="1">
      <c r="A162" s="204"/>
      <c r="B162" s="202"/>
      <c r="C162" s="202"/>
      <c r="D162" s="202"/>
      <c r="E162" s="300"/>
      <c r="F162" s="210"/>
      <c r="G162" s="203"/>
      <c r="H162" s="203"/>
      <c r="I162" s="291"/>
      <c r="J162" s="263"/>
      <c r="K162" s="264"/>
      <c r="L162" s="265"/>
      <c r="M162" s="265"/>
      <c r="N162" s="265"/>
      <c r="O162" s="265"/>
      <c r="P162" s="265"/>
      <c r="Q162" s="265"/>
      <c r="R162" s="265"/>
    </row>
    <row r="163" spans="1:21" ht="30" customHeight="1">
      <c r="A163" s="204"/>
      <c r="B163" s="202"/>
      <c r="C163" s="202"/>
      <c r="D163" s="202"/>
      <c r="E163" s="300"/>
      <c r="F163" s="210"/>
      <c r="G163" s="203"/>
      <c r="H163" s="203"/>
      <c r="I163" s="291"/>
      <c r="J163" s="263"/>
      <c r="K163" s="264"/>
      <c r="L163" s="265"/>
      <c r="M163" s="265"/>
      <c r="N163" s="265"/>
      <c r="O163" s="265"/>
      <c r="P163" s="265"/>
      <c r="Q163" s="265"/>
      <c r="R163" s="265"/>
    </row>
    <row r="164" spans="1:21" ht="30" customHeight="1">
      <c r="A164" s="204"/>
      <c r="B164" s="202"/>
      <c r="C164" s="202"/>
      <c r="D164" s="202"/>
      <c r="E164" s="300"/>
      <c r="F164" s="210"/>
      <c r="G164" s="203"/>
      <c r="H164" s="203"/>
      <c r="I164" s="291"/>
      <c r="J164" s="263"/>
      <c r="K164" s="264"/>
      <c r="L164" s="265"/>
      <c r="M164" s="265"/>
      <c r="N164" s="265"/>
      <c r="O164" s="265"/>
      <c r="P164" s="265"/>
      <c r="Q164" s="265"/>
      <c r="R164" s="265"/>
    </row>
    <row r="165" spans="1:21" ht="30" customHeight="1">
      <c r="A165" s="204"/>
      <c r="B165" s="202"/>
      <c r="C165" s="202"/>
      <c r="D165" s="202"/>
      <c r="E165" s="300"/>
      <c r="F165" s="210"/>
      <c r="G165" s="203"/>
      <c r="H165" s="203"/>
      <c r="I165" s="291"/>
      <c r="J165" s="263"/>
      <c r="K165" s="264"/>
      <c r="L165" s="265"/>
      <c r="M165" s="265"/>
      <c r="N165" s="265"/>
      <c r="O165" s="265"/>
      <c r="P165" s="265"/>
      <c r="Q165" s="265"/>
      <c r="R165" s="265"/>
    </row>
    <row r="166" spans="1:21" ht="30" customHeight="1">
      <c r="A166" s="204"/>
      <c r="B166" s="202"/>
      <c r="C166" s="202"/>
      <c r="D166" s="202"/>
      <c r="E166" s="300"/>
      <c r="F166" s="210"/>
      <c r="G166" s="203"/>
      <c r="H166" s="203"/>
      <c r="I166" s="291"/>
      <c r="J166" s="263"/>
      <c r="K166" s="264"/>
      <c r="L166" s="265"/>
      <c r="M166" s="265"/>
      <c r="N166" s="265"/>
      <c r="O166" s="265"/>
      <c r="P166" s="265"/>
      <c r="Q166" s="265"/>
      <c r="R166" s="265"/>
    </row>
    <row r="167" spans="1:21" ht="30" customHeight="1">
      <c r="A167" s="204" t="s">
        <v>52</v>
      </c>
      <c r="B167" s="202"/>
      <c r="C167" s="202"/>
      <c r="D167" s="202"/>
      <c r="E167" s="300"/>
      <c r="F167" s="210"/>
      <c r="G167" s="203"/>
      <c r="H167" s="203"/>
      <c r="I167" s="291"/>
      <c r="J167" s="263"/>
      <c r="K167" s="264"/>
      <c r="L167" s="265"/>
      <c r="M167" s="265"/>
      <c r="N167" s="265"/>
      <c r="O167" s="265"/>
      <c r="P167" s="265"/>
      <c r="Q167" s="265"/>
      <c r="R167" s="265"/>
    </row>
    <row r="168" spans="1:21" ht="30" customHeight="1">
      <c r="A168" s="204"/>
      <c r="B168" s="202"/>
      <c r="C168" s="202"/>
      <c r="D168" s="202"/>
      <c r="E168" s="300"/>
      <c r="F168" s="210"/>
      <c r="G168" s="203"/>
      <c r="H168" s="203"/>
      <c r="I168" s="291"/>
      <c r="J168" s="263"/>
      <c r="K168" s="264"/>
      <c r="L168" s="265"/>
      <c r="M168" s="265"/>
      <c r="N168" s="265"/>
      <c r="O168" s="265"/>
      <c r="P168" s="265"/>
      <c r="Q168" s="265"/>
      <c r="R168" s="265"/>
    </row>
    <row r="169" spans="1:21" ht="30" customHeight="1">
      <c r="A169" s="204"/>
      <c r="B169" s="202"/>
      <c r="C169" s="202"/>
      <c r="D169" s="202"/>
      <c r="E169" s="300"/>
      <c r="F169" s="210"/>
      <c r="G169" s="203"/>
      <c r="H169" s="203"/>
      <c r="I169" s="291"/>
      <c r="J169" s="263"/>
      <c r="K169" s="264"/>
      <c r="L169" s="265"/>
      <c r="M169" s="265"/>
      <c r="N169" s="265"/>
      <c r="O169" s="265"/>
      <c r="P169" s="265"/>
      <c r="Q169" s="265"/>
      <c r="R169" s="265"/>
    </row>
    <row r="170" spans="1:21" ht="30" customHeight="1">
      <c r="A170" s="204"/>
      <c r="B170" s="202"/>
      <c r="C170" s="202"/>
      <c r="D170" s="202"/>
      <c r="E170" s="300"/>
      <c r="F170" s="210"/>
      <c r="G170" s="203"/>
      <c r="H170" s="203"/>
      <c r="I170" s="291"/>
      <c r="J170" s="263"/>
      <c r="K170" s="264"/>
      <c r="L170" s="265"/>
      <c r="M170" s="265"/>
      <c r="N170" s="265"/>
      <c r="O170" s="265"/>
      <c r="P170" s="265"/>
      <c r="Q170" s="265"/>
      <c r="R170" s="265"/>
    </row>
    <row r="171" spans="1:21" ht="30" customHeight="1">
      <c r="A171" s="204"/>
      <c r="B171" s="202"/>
      <c r="C171" s="202"/>
      <c r="D171" s="202"/>
      <c r="E171" s="300"/>
      <c r="F171" s="210"/>
      <c r="G171" s="203"/>
      <c r="H171" s="203"/>
      <c r="I171" s="291"/>
      <c r="J171" s="263"/>
      <c r="K171" s="264"/>
      <c r="L171" s="265"/>
      <c r="M171" s="265"/>
      <c r="N171" s="265"/>
      <c r="O171" s="265"/>
      <c r="P171" s="265"/>
      <c r="Q171" s="265"/>
      <c r="R171" s="265"/>
    </row>
    <row r="172" spans="1:21" ht="30" customHeight="1">
      <c r="A172" s="204"/>
      <c r="B172" s="202"/>
      <c r="C172" s="202"/>
      <c r="D172" s="202"/>
      <c r="E172" s="300"/>
      <c r="F172" s="210"/>
      <c r="G172" s="203"/>
      <c r="H172" s="203"/>
      <c r="I172" s="291"/>
      <c r="J172" s="263"/>
      <c r="K172" s="266"/>
      <c r="L172" s="265"/>
      <c r="M172" s="265"/>
      <c r="N172" s="265"/>
      <c r="O172" s="265"/>
      <c r="P172" s="265"/>
      <c r="Q172" s="265"/>
      <c r="R172" s="267"/>
    </row>
    <row r="173" spans="1:21" ht="30" customHeight="1">
      <c r="A173" s="204"/>
      <c r="B173" s="202"/>
      <c r="C173" s="202"/>
      <c r="D173" s="202"/>
      <c r="E173" s="300"/>
      <c r="F173" s="210"/>
      <c r="G173" s="203"/>
      <c r="H173" s="203"/>
      <c r="I173" s="291"/>
      <c r="J173" s="263"/>
      <c r="K173" s="266"/>
      <c r="L173" s="265"/>
      <c r="M173" s="265"/>
      <c r="N173" s="265"/>
      <c r="O173" s="265"/>
      <c r="P173" s="265"/>
      <c r="Q173" s="265"/>
      <c r="R173" s="267"/>
    </row>
    <row r="174" spans="1:21" ht="30" customHeight="1">
      <c r="A174" s="204"/>
      <c r="B174" s="202"/>
      <c r="C174" s="202"/>
      <c r="D174" s="202"/>
      <c r="E174" s="300"/>
      <c r="F174" s="210"/>
      <c r="G174" s="203"/>
      <c r="H174" s="203"/>
      <c r="I174" s="291"/>
      <c r="J174" s="263"/>
      <c r="K174" s="266"/>
      <c r="L174" s="265"/>
      <c r="M174" s="265"/>
      <c r="N174" s="265"/>
      <c r="O174" s="265"/>
      <c r="P174" s="265"/>
      <c r="Q174" s="265"/>
      <c r="R174" s="267"/>
    </row>
    <row r="175" spans="1:21" ht="30" customHeight="1">
      <c r="A175" s="204"/>
      <c r="B175" s="202"/>
      <c r="C175" s="202"/>
      <c r="D175" s="202"/>
      <c r="E175" s="300"/>
      <c r="F175" s="210"/>
      <c r="G175" s="203"/>
      <c r="H175" s="203"/>
      <c r="I175" s="291"/>
      <c r="J175" s="263"/>
      <c r="K175" s="266"/>
      <c r="L175" s="265"/>
      <c r="M175" s="265"/>
      <c r="N175" s="265"/>
      <c r="O175" s="265"/>
      <c r="P175" s="265"/>
      <c r="Q175" s="265"/>
      <c r="R175" s="267"/>
    </row>
    <row r="176" spans="1:21" ht="30" customHeight="1">
      <c r="A176" s="304"/>
      <c r="B176" s="296"/>
      <c r="C176" s="305"/>
      <c r="D176" s="306"/>
      <c r="E176" s="297"/>
      <c r="F176" s="298"/>
      <c r="G176" s="282"/>
      <c r="H176" s="282"/>
      <c r="I176" s="303"/>
      <c r="J176" s="263"/>
      <c r="K176" s="264"/>
      <c r="L176" s="265"/>
      <c r="M176" s="265"/>
      <c r="N176" s="265"/>
      <c r="O176" s="265"/>
      <c r="P176" s="265"/>
      <c r="Q176" s="265"/>
      <c r="R176" s="284"/>
      <c r="S176" s="265"/>
      <c r="T176" s="265"/>
      <c r="U176" s="265"/>
    </row>
    <row r="177" spans="1:21" ht="30" customHeight="1">
      <c r="A177" s="260"/>
      <c r="B177" s="200"/>
      <c r="C177" s="200"/>
      <c r="D177" s="200"/>
      <c r="E177" s="299"/>
      <c r="F177" s="209"/>
      <c r="G177" s="201"/>
      <c r="H177" s="201"/>
      <c r="I177" s="291"/>
      <c r="J177" s="263"/>
      <c r="K177" s="266"/>
      <c r="L177" s="265"/>
      <c r="M177" s="265"/>
      <c r="N177" s="265"/>
      <c r="O177" s="265"/>
      <c r="P177" s="265"/>
      <c r="Q177" s="265"/>
      <c r="R177" s="284"/>
      <c r="S177" s="265"/>
      <c r="T177" s="265"/>
      <c r="U177" s="265"/>
    </row>
    <row r="178" spans="1:21" ht="30" customHeight="1">
      <c r="A178" s="204"/>
      <c r="B178" s="202"/>
      <c r="C178" s="202"/>
      <c r="D178" s="202"/>
      <c r="E178" s="300"/>
      <c r="F178" s="210"/>
      <c r="G178" s="203"/>
      <c r="H178" s="203"/>
      <c r="I178" s="291"/>
      <c r="J178" s="263"/>
      <c r="K178" s="264"/>
      <c r="L178" s="265"/>
      <c r="M178" s="265"/>
      <c r="N178" s="265"/>
      <c r="O178" s="265"/>
      <c r="P178" s="265"/>
      <c r="Q178" s="265"/>
      <c r="R178" s="265"/>
    </row>
    <row r="179" spans="1:21" ht="30" customHeight="1">
      <c r="A179" s="204"/>
      <c r="B179" s="202"/>
      <c r="C179" s="202"/>
      <c r="D179" s="202"/>
      <c r="E179" s="300"/>
      <c r="F179" s="210"/>
      <c r="G179" s="203"/>
      <c r="H179" s="203"/>
      <c r="I179" s="291"/>
      <c r="J179" s="263"/>
      <c r="K179" s="264"/>
      <c r="L179" s="265"/>
      <c r="M179" s="265"/>
      <c r="N179" s="265"/>
      <c r="O179" s="265"/>
      <c r="P179" s="265"/>
      <c r="Q179" s="265"/>
      <c r="R179" s="265"/>
    </row>
    <row r="180" spans="1:21" ht="30" customHeight="1">
      <c r="A180" s="204"/>
      <c r="B180" s="202"/>
      <c r="C180" s="202"/>
      <c r="D180" s="202"/>
      <c r="E180" s="300"/>
      <c r="F180" s="210"/>
      <c r="G180" s="203"/>
      <c r="H180" s="203"/>
      <c r="I180" s="291"/>
      <c r="J180" s="263"/>
      <c r="K180" s="264"/>
      <c r="L180" s="265"/>
      <c r="M180" s="265"/>
      <c r="N180" s="265"/>
      <c r="O180" s="265"/>
      <c r="P180" s="265"/>
      <c r="Q180" s="265"/>
      <c r="R180" s="265"/>
    </row>
    <row r="181" spans="1:21" ht="30" customHeight="1">
      <c r="A181" s="204"/>
      <c r="B181" s="202"/>
      <c r="C181" s="202"/>
      <c r="D181" s="202"/>
      <c r="E181" s="300"/>
      <c r="F181" s="210"/>
      <c r="G181" s="203"/>
      <c r="H181" s="203"/>
      <c r="I181" s="291"/>
      <c r="J181" s="263"/>
      <c r="K181" s="264"/>
      <c r="L181" s="265"/>
      <c r="M181" s="265"/>
      <c r="N181" s="265"/>
      <c r="O181" s="265"/>
      <c r="P181" s="265"/>
      <c r="Q181" s="265"/>
      <c r="R181" s="265"/>
    </row>
    <row r="182" spans="1:21" ht="30" customHeight="1">
      <c r="A182" s="204"/>
      <c r="B182" s="202"/>
      <c r="C182" s="202"/>
      <c r="D182" s="202"/>
      <c r="E182" s="300"/>
      <c r="F182" s="210"/>
      <c r="G182" s="203"/>
      <c r="H182" s="203"/>
      <c r="I182" s="291"/>
      <c r="J182" s="263"/>
      <c r="K182" s="264"/>
      <c r="L182" s="265"/>
      <c r="M182" s="265"/>
      <c r="N182" s="265"/>
      <c r="O182" s="265"/>
      <c r="P182" s="265"/>
      <c r="Q182" s="265"/>
      <c r="R182" s="265"/>
    </row>
    <row r="183" spans="1:21" ht="30" customHeight="1">
      <c r="A183" s="204"/>
      <c r="B183" s="202"/>
      <c r="C183" s="202"/>
      <c r="D183" s="202"/>
      <c r="E183" s="300"/>
      <c r="F183" s="210"/>
      <c r="G183" s="203"/>
      <c r="H183" s="203"/>
      <c r="I183" s="291"/>
      <c r="J183" s="263"/>
      <c r="K183" s="264"/>
      <c r="L183" s="265"/>
      <c r="M183" s="265"/>
      <c r="N183" s="265"/>
      <c r="O183" s="265"/>
      <c r="P183" s="265"/>
      <c r="Q183" s="265"/>
      <c r="R183" s="265"/>
    </row>
    <row r="184" spans="1:21" ht="30" customHeight="1">
      <c r="A184" s="204"/>
      <c r="B184" s="202"/>
      <c r="C184" s="202"/>
      <c r="D184" s="202"/>
      <c r="E184" s="300"/>
      <c r="F184" s="210"/>
      <c r="G184" s="203"/>
      <c r="H184" s="203"/>
      <c r="I184" s="291"/>
      <c r="J184" s="263"/>
      <c r="K184" s="264"/>
      <c r="L184" s="265"/>
      <c r="M184" s="265"/>
      <c r="N184" s="265"/>
      <c r="O184" s="265"/>
      <c r="P184" s="265"/>
      <c r="Q184" s="265"/>
      <c r="R184" s="265"/>
    </row>
    <row r="185" spans="1:21" ht="30" customHeight="1">
      <c r="A185" s="204"/>
      <c r="B185" s="202"/>
      <c r="C185" s="202"/>
      <c r="D185" s="202"/>
      <c r="E185" s="300"/>
      <c r="F185" s="210"/>
      <c r="G185" s="203"/>
      <c r="H185" s="203"/>
      <c r="I185" s="291"/>
      <c r="J185" s="263"/>
      <c r="K185" s="264"/>
      <c r="L185" s="265"/>
      <c r="M185" s="265"/>
      <c r="N185" s="265"/>
      <c r="O185" s="265"/>
      <c r="P185" s="265"/>
      <c r="Q185" s="265"/>
      <c r="R185" s="265"/>
    </row>
    <row r="186" spans="1:21" ht="30" customHeight="1">
      <c r="A186" s="204"/>
      <c r="B186" s="202"/>
      <c r="C186" s="202"/>
      <c r="D186" s="202"/>
      <c r="E186" s="300"/>
      <c r="F186" s="210"/>
      <c r="G186" s="203"/>
      <c r="H186" s="203"/>
      <c r="I186" s="291"/>
      <c r="J186" s="263"/>
      <c r="K186" s="264"/>
      <c r="L186" s="265"/>
      <c r="M186" s="265"/>
      <c r="N186" s="265"/>
      <c r="O186" s="265"/>
      <c r="P186" s="265"/>
      <c r="Q186" s="265"/>
      <c r="R186" s="265"/>
    </row>
    <row r="187" spans="1:21" ht="30" customHeight="1">
      <c r="A187" s="204"/>
      <c r="B187" s="202"/>
      <c r="C187" s="202"/>
      <c r="D187" s="202"/>
      <c r="E187" s="300"/>
      <c r="F187" s="210"/>
      <c r="G187" s="203"/>
      <c r="H187" s="203"/>
      <c r="I187" s="291"/>
      <c r="J187" s="263"/>
      <c r="K187" s="264"/>
      <c r="L187" s="265"/>
      <c r="M187" s="265"/>
      <c r="N187" s="265"/>
      <c r="O187" s="265"/>
      <c r="P187" s="265"/>
      <c r="Q187" s="265"/>
      <c r="R187" s="265"/>
    </row>
    <row r="188" spans="1:21" ht="30" customHeight="1">
      <c r="A188" s="204"/>
      <c r="B188" s="202"/>
      <c r="C188" s="202"/>
      <c r="D188" s="202"/>
      <c r="E188" s="300"/>
      <c r="F188" s="210"/>
      <c r="G188" s="203"/>
      <c r="H188" s="203"/>
      <c r="I188" s="291"/>
      <c r="J188" s="263"/>
      <c r="K188" s="264"/>
      <c r="L188" s="265"/>
      <c r="M188" s="265"/>
      <c r="N188" s="265"/>
      <c r="O188" s="265"/>
      <c r="P188" s="265"/>
      <c r="Q188" s="265"/>
      <c r="R188" s="265"/>
    </row>
    <row r="189" spans="1:21" ht="30" customHeight="1">
      <c r="A189" s="204"/>
      <c r="B189" s="202"/>
      <c r="C189" s="202"/>
      <c r="D189" s="202"/>
      <c r="E189" s="300"/>
      <c r="F189" s="210"/>
      <c r="G189" s="203"/>
      <c r="H189" s="203"/>
      <c r="I189" s="291"/>
      <c r="J189" s="263"/>
      <c r="K189" s="264"/>
      <c r="L189" s="265"/>
      <c r="M189" s="265"/>
      <c r="N189" s="265"/>
      <c r="O189" s="265"/>
      <c r="P189" s="265"/>
      <c r="Q189" s="265"/>
      <c r="R189" s="265"/>
    </row>
    <row r="190" spans="1:21" ht="30" customHeight="1">
      <c r="A190" s="204"/>
      <c r="B190" s="202"/>
      <c r="C190" s="202"/>
      <c r="D190" s="202"/>
      <c r="E190" s="300"/>
      <c r="F190" s="210"/>
      <c r="G190" s="203"/>
      <c r="H190" s="203"/>
      <c r="I190" s="291"/>
      <c r="J190" s="263"/>
      <c r="K190" s="264"/>
      <c r="L190" s="265"/>
      <c r="M190" s="265"/>
      <c r="N190" s="265"/>
      <c r="O190" s="265"/>
      <c r="P190" s="265"/>
      <c r="Q190" s="265"/>
      <c r="R190" s="265"/>
    </row>
    <row r="191" spans="1:21" ht="30" customHeight="1">
      <c r="A191" s="204"/>
      <c r="B191" s="202"/>
      <c r="C191" s="202"/>
      <c r="D191" s="202"/>
      <c r="E191" s="300"/>
      <c r="F191" s="210"/>
      <c r="G191" s="203"/>
      <c r="H191" s="203"/>
      <c r="I191" s="291"/>
      <c r="J191" s="263"/>
      <c r="K191" s="264"/>
      <c r="L191" s="265"/>
      <c r="M191" s="265"/>
      <c r="N191" s="265"/>
      <c r="O191" s="265"/>
      <c r="P191" s="265"/>
      <c r="Q191" s="265"/>
      <c r="R191" s="265"/>
    </row>
    <row r="192" spans="1:21" ht="30" customHeight="1">
      <c r="A192" s="204"/>
      <c r="B192" s="202"/>
      <c r="C192" s="202"/>
      <c r="D192" s="202"/>
      <c r="E192" s="300"/>
      <c r="F192" s="210"/>
      <c r="G192" s="203"/>
      <c r="H192" s="203"/>
      <c r="I192" s="291"/>
      <c r="J192" s="263"/>
      <c r="K192" s="264"/>
      <c r="L192" s="265"/>
      <c r="M192" s="265"/>
      <c r="N192" s="265"/>
      <c r="O192" s="265"/>
      <c r="P192" s="265"/>
      <c r="Q192" s="265"/>
      <c r="R192" s="265"/>
    </row>
    <row r="193" spans="1:21" ht="30" customHeight="1">
      <c r="A193" s="204"/>
      <c r="B193" s="202"/>
      <c r="C193" s="202"/>
      <c r="D193" s="202"/>
      <c r="E193" s="300"/>
      <c r="F193" s="210"/>
      <c r="G193" s="203"/>
      <c r="H193" s="203"/>
      <c r="I193" s="291"/>
      <c r="J193" s="263"/>
      <c r="K193" s="266"/>
      <c r="L193" s="265"/>
      <c r="M193" s="265"/>
      <c r="N193" s="265"/>
      <c r="O193" s="265"/>
      <c r="P193" s="265"/>
      <c r="Q193" s="265"/>
      <c r="R193" s="267"/>
    </row>
    <row r="194" spans="1:21" ht="30" customHeight="1">
      <c r="A194" s="204"/>
      <c r="B194" s="202"/>
      <c r="C194" s="202"/>
      <c r="D194" s="202"/>
      <c r="E194" s="300"/>
      <c r="F194" s="210"/>
      <c r="G194" s="203"/>
      <c r="H194" s="203"/>
      <c r="I194" s="291"/>
      <c r="J194" s="263"/>
      <c r="K194" s="266"/>
      <c r="L194" s="265"/>
      <c r="M194" s="265"/>
      <c r="N194" s="265"/>
      <c r="O194" s="265"/>
      <c r="P194" s="265"/>
      <c r="Q194" s="265"/>
      <c r="R194" s="267"/>
    </row>
    <row r="195" spans="1:21" ht="30" customHeight="1">
      <c r="A195" s="204"/>
      <c r="B195" s="202"/>
      <c r="C195" s="202"/>
      <c r="D195" s="202"/>
      <c r="E195" s="300"/>
      <c r="F195" s="210"/>
      <c r="G195" s="203"/>
      <c r="H195" s="203"/>
      <c r="I195" s="291"/>
      <c r="J195" s="263"/>
      <c r="K195" s="266"/>
      <c r="L195" s="265"/>
      <c r="M195" s="265"/>
      <c r="N195" s="265"/>
      <c r="O195" s="265"/>
      <c r="P195" s="265"/>
      <c r="Q195" s="265"/>
      <c r="R195" s="267"/>
    </row>
    <row r="196" spans="1:21" ht="30" customHeight="1">
      <c r="A196" s="204"/>
      <c r="B196" s="202"/>
      <c r="C196" s="202"/>
      <c r="D196" s="202"/>
      <c r="E196" s="300"/>
      <c r="F196" s="210"/>
      <c r="G196" s="203"/>
      <c r="H196" s="203"/>
      <c r="I196" s="291"/>
      <c r="J196" s="263"/>
      <c r="K196" s="266"/>
      <c r="L196" s="265"/>
      <c r="M196" s="265"/>
      <c r="N196" s="265"/>
      <c r="O196" s="265"/>
      <c r="P196" s="265"/>
      <c r="Q196" s="265"/>
      <c r="R196" s="267"/>
    </row>
    <row r="197" spans="1:21" ht="30" customHeight="1">
      <c r="A197" s="304"/>
      <c r="B197" s="296"/>
      <c r="C197" s="305"/>
      <c r="D197" s="306"/>
      <c r="E197" s="297"/>
      <c r="F197" s="298"/>
      <c r="G197" s="282"/>
      <c r="H197" s="282"/>
      <c r="I197" s="303"/>
      <c r="J197" s="263"/>
      <c r="K197" s="264"/>
      <c r="L197" s="265"/>
      <c r="M197" s="265"/>
      <c r="N197" s="265"/>
      <c r="O197" s="265"/>
      <c r="P197" s="265"/>
      <c r="Q197" s="265"/>
      <c r="R197" s="284"/>
      <c r="S197" s="265"/>
      <c r="T197" s="265"/>
      <c r="U197" s="265"/>
    </row>
    <row r="198" spans="1:21" ht="30" customHeight="1">
      <c r="A198" s="260"/>
      <c r="B198" s="200"/>
      <c r="C198" s="200"/>
      <c r="D198" s="200"/>
      <c r="E198" s="299"/>
      <c r="F198" s="209"/>
      <c r="G198" s="201"/>
      <c r="H198" s="201"/>
      <c r="I198" s="291"/>
      <c r="J198" s="263"/>
      <c r="K198" s="266"/>
      <c r="L198" s="265"/>
      <c r="M198" s="265"/>
      <c r="N198" s="265"/>
      <c r="O198" s="265"/>
      <c r="P198" s="265"/>
      <c r="Q198" s="265"/>
      <c r="R198" s="284"/>
      <c r="S198" s="265"/>
      <c r="T198" s="265"/>
      <c r="U198" s="265"/>
    </row>
    <row r="199" spans="1:21" ht="30" customHeight="1">
      <c r="A199" s="204"/>
      <c r="B199" s="202"/>
      <c r="C199" s="202"/>
      <c r="D199" s="202"/>
      <c r="E199" s="300"/>
      <c r="F199" s="210"/>
      <c r="G199" s="203"/>
      <c r="H199" s="203"/>
      <c r="I199" s="291"/>
      <c r="J199" s="263"/>
      <c r="K199" s="264"/>
      <c r="L199" s="265"/>
      <c r="M199" s="265"/>
      <c r="N199" s="265"/>
      <c r="O199" s="265"/>
      <c r="P199" s="265"/>
      <c r="Q199" s="265"/>
      <c r="R199" s="265"/>
    </row>
    <row r="200" spans="1:21" ht="30" customHeight="1">
      <c r="A200" s="204"/>
      <c r="B200" s="202"/>
      <c r="C200" s="202"/>
      <c r="D200" s="202"/>
      <c r="E200" s="300"/>
      <c r="F200" s="210"/>
      <c r="G200" s="203"/>
      <c r="H200" s="203"/>
      <c r="I200" s="291"/>
      <c r="J200" s="263"/>
      <c r="K200" s="264"/>
      <c r="L200" s="265"/>
      <c r="M200" s="265"/>
      <c r="N200" s="265"/>
      <c r="O200" s="265"/>
      <c r="P200" s="265"/>
      <c r="Q200" s="265"/>
      <c r="R200" s="265"/>
    </row>
    <row r="201" spans="1:21" ht="30" customHeight="1">
      <c r="A201" s="204"/>
      <c r="B201" s="202"/>
      <c r="C201" s="202"/>
      <c r="D201" s="202"/>
      <c r="E201" s="300"/>
      <c r="F201" s="210"/>
      <c r="G201" s="203"/>
      <c r="H201" s="203"/>
      <c r="I201" s="291"/>
      <c r="J201" s="263"/>
      <c r="K201" s="264"/>
      <c r="L201" s="265"/>
      <c r="M201" s="265"/>
      <c r="N201" s="265"/>
      <c r="O201" s="265"/>
      <c r="P201" s="265"/>
      <c r="Q201" s="265"/>
      <c r="R201" s="265"/>
    </row>
    <row r="202" spans="1:21" ht="30" customHeight="1">
      <c r="A202" s="204"/>
      <c r="B202" s="202"/>
      <c r="C202" s="202"/>
      <c r="D202" s="202"/>
      <c r="E202" s="300"/>
      <c r="F202" s="210"/>
      <c r="G202" s="203"/>
      <c r="H202" s="203"/>
      <c r="I202" s="291"/>
      <c r="J202" s="263"/>
      <c r="K202" s="264"/>
      <c r="L202" s="265"/>
      <c r="M202" s="265"/>
      <c r="N202" s="265"/>
      <c r="O202" s="265"/>
      <c r="P202" s="265"/>
      <c r="Q202" s="265"/>
      <c r="R202" s="265"/>
    </row>
    <row r="203" spans="1:21" ht="30" customHeight="1">
      <c r="A203" s="204"/>
      <c r="B203" s="202"/>
      <c r="C203" s="202"/>
      <c r="D203" s="202"/>
      <c r="E203" s="300"/>
      <c r="F203" s="210"/>
      <c r="G203" s="203"/>
      <c r="H203" s="203"/>
      <c r="I203" s="291"/>
      <c r="J203" s="263"/>
      <c r="K203" s="264"/>
      <c r="L203" s="265"/>
      <c r="M203" s="265"/>
      <c r="N203" s="265"/>
      <c r="O203" s="265"/>
      <c r="P203" s="265"/>
      <c r="Q203" s="265"/>
      <c r="R203" s="265"/>
    </row>
    <row r="204" spans="1:21" ht="30" customHeight="1">
      <c r="A204" s="204"/>
      <c r="B204" s="202"/>
      <c r="C204" s="202"/>
      <c r="D204" s="202"/>
      <c r="E204" s="300"/>
      <c r="F204" s="210"/>
      <c r="G204" s="203"/>
      <c r="H204" s="203"/>
      <c r="I204" s="291"/>
      <c r="J204" s="263"/>
      <c r="K204" s="264"/>
      <c r="L204" s="265"/>
      <c r="M204" s="265"/>
      <c r="N204" s="265"/>
      <c r="O204" s="265"/>
      <c r="P204" s="265"/>
      <c r="Q204" s="265"/>
      <c r="R204" s="265"/>
    </row>
    <row r="205" spans="1:21" ht="30" customHeight="1">
      <c r="A205" s="204"/>
      <c r="B205" s="202"/>
      <c r="C205" s="202"/>
      <c r="D205" s="202"/>
      <c r="E205" s="300"/>
      <c r="F205" s="210"/>
      <c r="G205" s="203"/>
      <c r="H205" s="203"/>
      <c r="I205" s="291"/>
      <c r="J205" s="263"/>
      <c r="K205" s="264"/>
      <c r="L205" s="265"/>
      <c r="M205" s="265"/>
      <c r="N205" s="265"/>
      <c r="O205" s="265"/>
      <c r="P205" s="265"/>
      <c r="Q205" s="265"/>
      <c r="R205" s="265"/>
    </row>
    <row r="206" spans="1:21" ht="30" customHeight="1">
      <c r="A206" s="204"/>
      <c r="B206" s="202"/>
      <c r="C206" s="202"/>
      <c r="D206" s="202"/>
      <c r="E206" s="300"/>
      <c r="F206" s="210"/>
      <c r="G206" s="203"/>
      <c r="H206" s="203"/>
      <c r="I206" s="291"/>
      <c r="J206" s="263"/>
      <c r="K206" s="264"/>
      <c r="L206" s="265"/>
      <c r="M206" s="265"/>
      <c r="N206" s="265"/>
      <c r="O206" s="265"/>
      <c r="P206" s="265"/>
      <c r="Q206" s="265"/>
      <c r="R206" s="265"/>
    </row>
    <row r="207" spans="1:21" ht="30" customHeight="1">
      <c r="A207" s="204"/>
      <c r="B207" s="202"/>
      <c r="C207" s="202"/>
      <c r="D207" s="202"/>
      <c r="E207" s="300"/>
      <c r="F207" s="210"/>
      <c r="G207" s="203"/>
      <c r="H207" s="203"/>
      <c r="I207" s="291"/>
      <c r="J207" s="263"/>
      <c r="K207" s="264"/>
      <c r="L207" s="265"/>
      <c r="M207" s="265"/>
      <c r="N207" s="265"/>
      <c r="O207" s="265"/>
      <c r="P207" s="265"/>
      <c r="Q207" s="265"/>
      <c r="R207" s="265"/>
    </row>
    <row r="208" spans="1:21" ht="30" customHeight="1">
      <c r="A208" s="204"/>
      <c r="B208" s="202"/>
      <c r="C208" s="202"/>
      <c r="D208" s="202"/>
      <c r="E208" s="300"/>
      <c r="F208" s="210"/>
      <c r="G208" s="203"/>
      <c r="H208" s="203"/>
      <c r="I208" s="291"/>
      <c r="J208" s="263"/>
      <c r="K208" s="264"/>
      <c r="L208" s="265"/>
      <c r="M208" s="265"/>
      <c r="N208" s="265"/>
      <c r="O208" s="265"/>
      <c r="P208" s="265"/>
      <c r="Q208" s="265"/>
      <c r="R208" s="265"/>
    </row>
    <row r="209" spans="1:21" ht="30" customHeight="1">
      <c r="A209" s="204"/>
      <c r="B209" s="202"/>
      <c r="C209" s="202"/>
      <c r="D209" s="202"/>
      <c r="E209" s="300"/>
      <c r="F209" s="210"/>
      <c r="G209" s="203"/>
      <c r="H209" s="203"/>
      <c r="I209" s="291"/>
      <c r="J209" s="263"/>
      <c r="K209" s="264"/>
      <c r="L209" s="265"/>
      <c r="M209" s="265"/>
      <c r="N209" s="265"/>
      <c r="O209" s="265"/>
      <c r="P209" s="265"/>
      <c r="Q209" s="265"/>
      <c r="R209" s="265"/>
    </row>
    <row r="210" spans="1:21" ht="30" customHeight="1">
      <c r="A210" s="204"/>
      <c r="B210" s="202"/>
      <c r="C210" s="202"/>
      <c r="D210" s="202"/>
      <c r="E210" s="300"/>
      <c r="F210" s="210"/>
      <c r="G210" s="203"/>
      <c r="H210" s="203"/>
      <c r="I210" s="291"/>
      <c r="J210" s="263"/>
      <c r="K210" s="264"/>
      <c r="L210" s="265"/>
      <c r="M210" s="265"/>
      <c r="N210" s="265"/>
      <c r="O210" s="265"/>
      <c r="P210" s="265"/>
      <c r="Q210" s="265"/>
      <c r="R210" s="265"/>
    </row>
    <row r="211" spans="1:21" ht="30" customHeight="1">
      <c r="A211" s="204"/>
      <c r="B211" s="202"/>
      <c r="C211" s="202"/>
      <c r="D211" s="202"/>
      <c r="E211" s="300"/>
      <c r="F211" s="210"/>
      <c r="G211" s="203"/>
      <c r="H211" s="203"/>
      <c r="I211" s="291"/>
      <c r="J211" s="263"/>
      <c r="K211" s="264"/>
      <c r="L211" s="265"/>
      <c r="M211" s="265"/>
      <c r="N211" s="265"/>
      <c r="O211" s="265"/>
      <c r="P211" s="265"/>
      <c r="Q211" s="265"/>
      <c r="R211" s="265"/>
    </row>
    <row r="212" spans="1:21" ht="30" customHeight="1">
      <c r="A212" s="204"/>
      <c r="B212" s="202"/>
      <c r="C212" s="202"/>
      <c r="D212" s="202"/>
      <c r="E212" s="300"/>
      <c r="F212" s="210"/>
      <c r="G212" s="203"/>
      <c r="H212" s="203"/>
      <c r="I212" s="291"/>
      <c r="J212" s="263"/>
      <c r="K212" s="264"/>
      <c r="L212" s="265"/>
      <c r="M212" s="265"/>
      <c r="N212" s="265"/>
      <c r="O212" s="265"/>
      <c r="P212" s="265"/>
      <c r="Q212" s="265"/>
      <c r="R212" s="265"/>
    </row>
    <row r="213" spans="1:21" ht="30" customHeight="1">
      <c r="A213" s="204"/>
      <c r="B213" s="202"/>
      <c r="C213" s="202"/>
      <c r="D213" s="202"/>
      <c r="E213" s="300"/>
      <c r="F213" s="210"/>
      <c r="G213" s="203"/>
      <c r="H213" s="203"/>
      <c r="I213" s="291"/>
      <c r="J213" s="263"/>
      <c r="K213" s="264"/>
      <c r="L213" s="265"/>
      <c r="M213" s="265"/>
      <c r="N213" s="265"/>
      <c r="O213" s="265"/>
      <c r="P213" s="265"/>
      <c r="Q213" s="265"/>
      <c r="R213" s="265"/>
    </row>
    <row r="214" spans="1:21" ht="30" customHeight="1">
      <c r="A214" s="204"/>
      <c r="B214" s="202"/>
      <c r="C214" s="202"/>
      <c r="D214" s="202"/>
      <c r="E214" s="300"/>
      <c r="F214" s="210"/>
      <c r="G214" s="203"/>
      <c r="H214" s="203"/>
      <c r="I214" s="291"/>
      <c r="J214" s="263"/>
      <c r="K214" s="266"/>
      <c r="L214" s="265"/>
      <c r="M214" s="265"/>
      <c r="N214" s="265"/>
      <c r="O214" s="265"/>
      <c r="P214" s="265"/>
      <c r="Q214" s="265"/>
      <c r="R214" s="267"/>
    </row>
    <row r="215" spans="1:21" ht="30" customHeight="1">
      <c r="A215" s="204"/>
      <c r="B215" s="202"/>
      <c r="C215" s="202"/>
      <c r="D215" s="202"/>
      <c r="E215" s="300"/>
      <c r="F215" s="210"/>
      <c r="G215" s="203"/>
      <c r="H215" s="203"/>
      <c r="I215" s="291"/>
      <c r="J215" s="263"/>
      <c r="K215" s="266"/>
      <c r="L215" s="265"/>
      <c r="M215" s="265"/>
      <c r="N215" s="265"/>
      <c r="O215" s="265"/>
      <c r="P215" s="265"/>
      <c r="Q215" s="265"/>
      <c r="R215" s="267"/>
    </row>
    <row r="216" spans="1:21" ht="30" customHeight="1">
      <c r="A216" s="204"/>
      <c r="B216" s="202"/>
      <c r="C216" s="202"/>
      <c r="D216" s="202"/>
      <c r="E216" s="300"/>
      <c r="F216" s="210"/>
      <c r="G216" s="203"/>
      <c r="H216" s="203"/>
      <c r="I216" s="291"/>
      <c r="J216" s="263"/>
      <c r="K216" s="266"/>
      <c r="L216" s="265"/>
      <c r="M216" s="265"/>
      <c r="N216" s="265"/>
      <c r="O216" s="265"/>
      <c r="P216" s="265"/>
      <c r="Q216" s="265"/>
      <c r="R216" s="267"/>
    </row>
    <row r="217" spans="1:21" ht="30" customHeight="1">
      <c r="A217" s="204"/>
      <c r="B217" s="202"/>
      <c r="C217" s="202"/>
      <c r="D217" s="202"/>
      <c r="E217" s="300"/>
      <c r="F217" s="210"/>
      <c r="G217" s="203"/>
      <c r="H217" s="203"/>
      <c r="I217" s="291"/>
      <c r="J217" s="263"/>
      <c r="K217" s="266"/>
      <c r="L217" s="265"/>
      <c r="M217" s="265"/>
      <c r="N217" s="265"/>
      <c r="O217" s="265"/>
      <c r="P217" s="265"/>
      <c r="Q217" s="265"/>
      <c r="R217" s="267"/>
    </row>
    <row r="218" spans="1:21" ht="30" customHeight="1">
      <c r="A218" s="304"/>
      <c r="B218" s="296"/>
      <c r="C218" s="305"/>
      <c r="D218" s="306"/>
      <c r="E218" s="297"/>
      <c r="F218" s="298"/>
      <c r="G218" s="282"/>
      <c r="H218" s="282"/>
      <c r="I218" s="303"/>
      <c r="J218" s="263"/>
      <c r="K218" s="264"/>
      <c r="L218" s="265"/>
      <c r="M218" s="265"/>
      <c r="N218" s="265"/>
      <c r="O218" s="265"/>
      <c r="P218" s="265"/>
      <c r="Q218" s="265"/>
      <c r="R218" s="284"/>
      <c r="S218" s="265"/>
      <c r="T218" s="265"/>
      <c r="U218" s="265"/>
    </row>
    <row r="219" spans="1:21" ht="30" customHeight="1">
      <c r="A219" s="260"/>
      <c r="B219" s="200"/>
      <c r="C219" s="200"/>
      <c r="D219" s="200"/>
      <c r="E219" s="299"/>
      <c r="F219" s="209"/>
      <c r="G219" s="201"/>
      <c r="H219" s="201"/>
      <c r="I219" s="291"/>
      <c r="J219" s="263"/>
      <c r="K219" s="266"/>
      <c r="L219" s="265"/>
      <c r="M219" s="265"/>
      <c r="N219" s="265"/>
      <c r="O219" s="265"/>
      <c r="P219" s="265"/>
      <c r="Q219" s="265"/>
      <c r="R219" s="284"/>
      <c r="S219" s="265"/>
      <c r="T219" s="265"/>
      <c r="U219" s="265"/>
    </row>
    <row r="220" spans="1:21" ht="30" customHeight="1">
      <c r="A220" s="204"/>
      <c r="B220" s="202"/>
      <c r="C220" s="202"/>
      <c r="D220" s="202"/>
      <c r="E220" s="300"/>
      <c r="F220" s="210"/>
      <c r="G220" s="203"/>
      <c r="H220" s="203"/>
      <c r="I220" s="291"/>
      <c r="J220" s="263"/>
      <c r="K220" s="264"/>
      <c r="L220" s="265"/>
      <c r="M220" s="265"/>
      <c r="N220" s="265"/>
      <c r="O220" s="265"/>
      <c r="P220" s="265"/>
      <c r="Q220" s="265"/>
      <c r="R220" s="265"/>
    </row>
    <row r="221" spans="1:21" ht="30" customHeight="1">
      <c r="A221" s="204"/>
      <c r="B221" s="202"/>
      <c r="C221" s="202"/>
      <c r="D221" s="202"/>
      <c r="E221" s="300"/>
      <c r="F221" s="210"/>
      <c r="G221" s="203"/>
      <c r="H221" s="203"/>
      <c r="I221" s="291"/>
      <c r="J221" s="263"/>
      <c r="K221" s="264"/>
      <c r="L221" s="265"/>
      <c r="M221" s="265"/>
      <c r="N221" s="265"/>
      <c r="O221" s="265"/>
      <c r="P221" s="265"/>
      <c r="Q221" s="265"/>
      <c r="R221" s="265"/>
    </row>
    <row r="222" spans="1:21" ht="30" customHeight="1">
      <c r="A222" s="204"/>
      <c r="B222" s="202"/>
      <c r="C222" s="202"/>
      <c r="D222" s="202"/>
      <c r="E222" s="300"/>
      <c r="F222" s="210"/>
      <c r="G222" s="203"/>
      <c r="H222" s="203"/>
      <c r="I222" s="291"/>
      <c r="J222" s="263"/>
      <c r="K222" s="264"/>
      <c r="L222" s="265"/>
      <c r="M222" s="265"/>
      <c r="N222" s="265"/>
      <c r="O222" s="265"/>
      <c r="P222" s="265"/>
      <c r="Q222" s="265"/>
      <c r="R222" s="265"/>
    </row>
    <row r="223" spans="1:21" ht="30" customHeight="1">
      <c r="A223" s="204"/>
      <c r="B223" s="202"/>
      <c r="C223" s="202"/>
      <c r="D223" s="202"/>
      <c r="E223" s="300"/>
      <c r="F223" s="210"/>
      <c r="G223" s="203"/>
      <c r="H223" s="203"/>
      <c r="I223" s="291"/>
      <c r="J223" s="263"/>
      <c r="K223" s="264"/>
      <c r="L223" s="265"/>
      <c r="M223" s="265"/>
      <c r="N223" s="265"/>
      <c r="O223" s="265"/>
      <c r="P223" s="265"/>
      <c r="Q223" s="265"/>
      <c r="R223" s="265"/>
    </row>
    <row r="224" spans="1:21" ht="30" customHeight="1">
      <c r="A224" s="204"/>
      <c r="B224" s="202"/>
      <c r="C224" s="202"/>
      <c r="D224" s="202"/>
      <c r="E224" s="300"/>
      <c r="F224" s="210"/>
      <c r="G224" s="203"/>
      <c r="H224" s="203"/>
      <c r="I224" s="291"/>
      <c r="J224" s="263"/>
      <c r="K224" s="264"/>
      <c r="L224" s="265"/>
      <c r="M224" s="265"/>
      <c r="N224" s="265"/>
      <c r="O224" s="265"/>
      <c r="P224" s="265"/>
      <c r="Q224" s="265"/>
      <c r="R224" s="265"/>
    </row>
    <row r="225" spans="1:21" ht="30" customHeight="1">
      <c r="A225" s="204"/>
      <c r="B225" s="202"/>
      <c r="C225" s="202"/>
      <c r="D225" s="202"/>
      <c r="E225" s="300"/>
      <c r="F225" s="210"/>
      <c r="G225" s="203"/>
      <c r="H225" s="203"/>
      <c r="I225" s="291"/>
      <c r="J225" s="263"/>
      <c r="K225" s="264"/>
      <c r="L225" s="265"/>
      <c r="M225" s="265"/>
      <c r="N225" s="265"/>
      <c r="O225" s="265"/>
      <c r="P225" s="265"/>
      <c r="Q225" s="265"/>
      <c r="R225" s="265"/>
    </row>
    <row r="226" spans="1:21" ht="30" customHeight="1">
      <c r="A226" s="204"/>
      <c r="B226" s="202"/>
      <c r="C226" s="202"/>
      <c r="D226" s="202"/>
      <c r="E226" s="300"/>
      <c r="F226" s="210"/>
      <c r="G226" s="203"/>
      <c r="H226" s="203"/>
      <c r="I226" s="291"/>
      <c r="J226" s="263"/>
      <c r="K226" s="264"/>
      <c r="L226" s="265"/>
      <c r="M226" s="265"/>
      <c r="N226" s="265"/>
      <c r="O226" s="265"/>
      <c r="P226" s="265"/>
      <c r="Q226" s="265"/>
      <c r="R226" s="265"/>
    </row>
    <row r="227" spans="1:21" ht="30" customHeight="1">
      <c r="A227" s="204"/>
      <c r="B227" s="202"/>
      <c r="C227" s="202"/>
      <c r="D227" s="202"/>
      <c r="E227" s="300"/>
      <c r="F227" s="210"/>
      <c r="G227" s="203"/>
      <c r="H227" s="203"/>
      <c r="I227" s="291"/>
      <c r="J227" s="263"/>
      <c r="K227" s="264"/>
      <c r="L227" s="265"/>
      <c r="M227" s="265"/>
      <c r="N227" s="265"/>
      <c r="O227" s="265"/>
      <c r="P227" s="265"/>
      <c r="Q227" s="265"/>
      <c r="R227" s="265"/>
    </row>
    <row r="228" spans="1:21" ht="30" customHeight="1">
      <c r="A228" s="204"/>
      <c r="B228" s="202"/>
      <c r="C228" s="202"/>
      <c r="D228" s="202"/>
      <c r="E228" s="300"/>
      <c r="F228" s="210"/>
      <c r="G228" s="203"/>
      <c r="H228" s="203"/>
      <c r="I228" s="291"/>
      <c r="J228" s="263"/>
      <c r="K228" s="264"/>
      <c r="L228" s="265"/>
      <c r="M228" s="265"/>
      <c r="N228" s="265"/>
      <c r="O228" s="265"/>
      <c r="P228" s="265"/>
      <c r="Q228" s="265"/>
      <c r="R228" s="265"/>
    </row>
    <row r="229" spans="1:21" ht="30" customHeight="1">
      <c r="A229" s="204"/>
      <c r="B229" s="202"/>
      <c r="C229" s="202"/>
      <c r="D229" s="202"/>
      <c r="E229" s="300"/>
      <c r="F229" s="210"/>
      <c r="G229" s="203"/>
      <c r="H229" s="203"/>
      <c r="I229" s="291"/>
      <c r="J229" s="263"/>
      <c r="K229" s="264"/>
      <c r="L229" s="265"/>
      <c r="M229" s="265"/>
      <c r="N229" s="265"/>
      <c r="O229" s="265"/>
      <c r="P229" s="265"/>
      <c r="Q229" s="265"/>
      <c r="R229" s="265"/>
    </row>
    <row r="230" spans="1:21" ht="30" customHeight="1">
      <c r="A230" s="204"/>
      <c r="B230" s="202"/>
      <c r="C230" s="202"/>
      <c r="D230" s="202"/>
      <c r="E230" s="300"/>
      <c r="F230" s="210"/>
      <c r="G230" s="203"/>
      <c r="H230" s="203"/>
      <c r="I230" s="291"/>
      <c r="J230" s="263"/>
      <c r="K230" s="264"/>
      <c r="L230" s="265"/>
      <c r="M230" s="265"/>
      <c r="N230" s="265"/>
      <c r="O230" s="265"/>
      <c r="P230" s="265"/>
      <c r="Q230" s="265"/>
      <c r="R230" s="265"/>
    </row>
    <row r="231" spans="1:21" ht="30" customHeight="1">
      <c r="A231" s="204"/>
      <c r="B231" s="202"/>
      <c r="C231" s="202"/>
      <c r="D231" s="202"/>
      <c r="E231" s="300"/>
      <c r="F231" s="210"/>
      <c r="G231" s="203"/>
      <c r="H231" s="203"/>
      <c r="I231" s="291"/>
      <c r="J231" s="263"/>
      <c r="K231" s="264"/>
      <c r="L231" s="265"/>
      <c r="M231" s="265"/>
      <c r="N231" s="265"/>
      <c r="O231" s="265"/>
      <c r="P231" s="265"/>
      <c r="Q231" s="265"/>
      <c r="R231" s="265"/>
    </row>
    <row r="232" spans="1:21" ht="30" customHeight="1">
      <c r="A232" s="204"/>
      <c r="B232" s="202"/>
      <c r="C232" s="202"/>
      <c r="D232" s="202"/>
      <c r="E232" s="300"/>
      <c r="F232" s="210"/>
      <c r="G232" s="203"/>
      <c r="H232" s="203"/>
      <c r="I232" s="291"/>
      <c r="J232" s="263"/>
      <c r="K232" s="264"/>
      <c r="L232" s="265"/>
      <c r="M232" s="265"/>
      <c r="N232" s="265"/>
      <c r="O232" s="265"/>
      <c r="P232" s="265"/>
      <c r="Q232" s="265"/>
      <c r="R232" s="265"/>
    </row>
    <row r="233" spans="1:21" ht="30" customHeight="1">
      <c r="A233" s="204"/>
      <c r="B233" s="202"/>
      <c r="C233" s="202"/>
      <c r="D233" s="202"/>
      <c r="E233" s="300"/>
      <c r="F233" s="210"/>
      <c r="G233" s="203"/>
      <c r="H233" s="203"/>
      <c r="I233" s="291"/>
      <c r="J233" s="263"/>
      <c r="K233" s="264"/>
      <c r="L233" s="265"/>
      <c r="M233" s="265"/>
      <c r="N233" s="265"/>
      <c r="O233" s="265"/>
      <c r="P233" s="265"/>
      <c r="Q233" s="265"/>
      <c r="R233" s="265"/>
    </row>
    <row r="234" spans="1:21" ht="30" customHeight="1">
      <c r="A234" s="204"/>
      <c r="B234" s="202"/>
      <c r="C234" s="202"/>
      <c r="D234" s="202"/>
      <c r="E234" s="300"/>
      <c r="F234" s="210"/>
      <c r="G234" s="203"/>
      <c r="H234" s="203"/>
      <c r="I234" s="291"/>
      <c r="J234" s="263"/>
      <c r="K234" s="264"/>
      <c r="L234" s="265"/>
      <c r="M234" s="265"/>
      <c r="N234" s="265"/>
      <c r="O234" s="265"/>
      <c r="P234" s="265"/>
      <c r="Q234" s="265"/>
      <c r="R234" s="265"/>
    </row>
    <row r="235" spans="1:21" ht="30" customHeight="1">
      <c r="A235" s="204"/>
      <c r="B235" s="202"/>
      <c r="C235" s="202"/>
      <c r="D235" s="202"/>
      <c r="E235" s="300"/>
      <c r="F235" s="210"/>
      <c r="G235" s="203"/>
      <c r="H235" s="203"/>
      <c r="I235" s="291"/>
      <c r="J235" s="263"/>
      <c r="K235" s="266"/>
      <c r="L235" s="265"/>
      <c r="M235" s="265"/>
      <c r="N235" s="265"/>
      <c r="O235" s="265"/>
      <c r="P235" s="265"/>
      <c r="Q235" s="265"/>
      <c r="R235" s="267"/>
    </row>
    <row r="236" spans="1:21" ht="30" customHeight="1">
      <c r="A236" s="204"/>
      <c r="B236" s="202"/>
      <c r="C236" s="202"/>
      <c r="D236" s="202"/>
      <c r="E236" s="300"/>
      <c r="F236" s="210"/>
      <c r="G236" s="203"/>
      <c r="H236" s="203"/>
      <c r="I236" s="291"/>
      <c r="J236" s="263"/>
      <c r="K236" s="266"/>
      <c r="L236" s="265"/>
      <c r="M236" s="265"/>
      <c r="N236" s="265"/>
      <c r="O236" s="265"/>
      <c r="P236" s="265"/>
      <c r="Q236" s="265"/>
      <c r="R236" s="267"/>
    </row>
    <row r="237" spans="1:21" ht="30" customHeight="1">
      <c r="A237" s="204"/>
      <c r="B237" s="202"/>
      <c r="C237" s="202"/>
      <c r="D237" s="202"/>
      <c r="E237" s="300"/>
      <c r="F237" s="210"/>
      <c r="G237" s="203"/>
      <c r="H237" s="203"/>
      <c r="I237" s="291"/>
      <c r="J237" s="263"/>
      <c r="K237" s="266"/>
      <c r="L237" s="265"/>
      <c r="M237" s="265"/>
      <c r="N237" s="265"/>
      <c r="O237" s="265"/>
      <c r="P237" s="265"/>
      <c r="Q237" s="265"/>
      <c r="R237" s="267"/>
    </row>
    <row r="238" spans="1:21" ht="30" customHeight="1">
      <c r="A238" s="204"/>
      <c r="B238" s="202"/>
      <c r="C238" s="202"/>
      <c r="D238" s="202"/>
      <c r="E238" s="300"/>
      <c r="F238" s="210"/>
      <c r="G238" s="203"/>
      <c r="H238" s="203"/>
      <c r="I238" s="291"/>
      <c r="J238" s="263"/>
      <c r="K238" s="266"/>
      <c r="L238" s="265"/>
      <c r="M238" s="265"/>
      <c r="N238" s="265"/>
      <c r="O238" s="265"/>
      <c r="P238" s="265"/>
      <c r="Q238" s="265"/>
      <c r="R238" s="267"/>
    </row>
    <row r="239" spans="1:21" ht="30" customHeight="1">
      <c r="A239" s="304"/>
      <c r="B239" s="296"/>
      <c r="C239" s="305"/>
      <c r="D239" s="306"/>
      <c r="E239" s="297"/>
      <c r="F239" s="298"/>
      <c r="G239" s="282"/>
      <c r="H239" s="282"/>
      <c r="I239" s="303"/>
      <c r="J239" s="263"/>
      <c r="K239" s="264"/>
      <c r="L239" s="265"/>
      <c r="M239" s="265"/>
      <c r="N239" s="265"/>
      <c r="O239" s="265"/>
      <c r="P239" s="265"/>
      <c r="Q239" s="265"/>
      <c r="R239" s="284"/>
      <c r="S239" s="265"/>
      <c r="T239" s="265"/>
      <c r="U239" s="265"/>
    </row>
    <row r="240" spans="1:21" ht="30" customHeight="1">
      <c r="A240" s="260"/>
      <c r="B240" s="200"/>
      <c r="C240" s="200"/>
      <c r="D240" s="200"/>
      <c r="E240" s="299"/>
      <c r="F240" s="209"/>
      <c r="G240" s="201"/>
      <c r="H240" s="201"/>
      <c r="I240" s="291"/>
      <c r="J240" s="263"/>
      <c r="K240" s="266"/>
      <c r="L240" s="265"/>
      <c r="M240" s="265"/>
      <c r="N240" s="265"/>
      <c r="O240" s="265"/>
      <c r="P240" s="265"/>
      <c r="Q240" s="265"/>
      <c r="R240" s="284"/>
      <c r="S240" s="265"/>
      <c r="T240" s="265"/>
      <c r="U240" s="265"/>
    </row>
    <row r="241" spans="1:18" ht="30" customHeight="1">
      <c r="A241" s="204"/>
      <c r="B241" s="202"/>
      <c r="C241" s="202"/>
      <c r="D241" s="202"/>
      <c r="E241" s="300"/>
      <c r="F241" s="210"/>
      <c r="G241" s="203"/>
      <c r="H241" s="203"/>
      <c r="I241" s="291"/>
      <c r="J241" s="263"/>
      <c r="K241" s="264"/>
      <c r="L241" s="265"/>
      <c r="M241" s="265"/>
      <c r="N241" s="265"/>
      <c r="O241" s="265"/>
      <c r="P241" s="265"/>
      <c r="Q241" s="265"/>
      <c r="R241" s="265"/>
    </row>
    <row r="242" spans="1:18" ht="30" customHeight="1">
      <c r="A242" s="204"/>
      <c r="B242" s="202"/>
      <c r="C242" s="202"/>
      <c r="D242" s="202"/>
      <c r="E242" s="300"/>
      <c r="F242" s="210"/>
      <c r="G242" s="203"/>
      <c r="H242" s="203"/>
      <c r="I242" s="291"/>
      <c r="J242" s="263"/>
      <c r="K242" s="264"/>
      <c r="L242" s="265"/>
      <c r="M242" s="265"/>
      <c r="N242" s="265"/>
      <c r="O242" s="265"/>
      <c r="P242" s="265"/>
      <c r="Q242" s="265"/>
      <c r="R242" s="265"/>
    </row>
    <row r="243" spans="1:18" ht="30" customHeight="1">
      <c r="A243" s="204"/>
      <c r="B243" s="202"/>
      <c r="C243" s="202"/>
      <c r="D243" s="202"/>
      <c r="E243" s="300"/>
      <c r="F243" s="210"/>
      <c r="G243" s="203"/>
      <c r="H243" s="203"/>
      <c r="I243" s="291"/>
      <c r="J243" s="263"/>
      <c r="K243" s="264"/>
      <c r="L243" s="265"/>
      <c r="M243" s="265"/>
      <c r="N243" s="265"/>
      <c r="O243" s="265"/>
      <c r="P243" s="265"/>
      <c r="Q243" s="265"/>
      <c r="R243" s="265"/>
    </row>
    <row r="244" spans="1:18" ht="30" customHeight="1">
      <c r="A244" s="204"/>
      <c r="B244" s="202"/>
      <c r="C244" s="202"/>
      <c r="D244" s="202"/>
      <c r="E244" s="300"/>
      <c r="F244" s="210"/>
      <c r="G244" s="203"/>
      <c r="H244" s="203"/>
      <c r="I244" s="291"/>
      <c r="J244" s="263"/>
      <c r="K244" s="264"/>
      <c r="L244" s="265"/>
      <c r="M244" s="265"/>
      <c r="N244" s="265"/>
      <c r="O244" s="265"/>
      <c r="P244" s="265"/>
      <c r="Q244" s="265"/>
      <c r="R244" s="265"/>
    </row>
    <row r="245" spans="1:18" ht="30" customHeight="1">
      <c r="A245" s="204"/>
      <c r="B245" s="202"/>
      <c r="C245" s="202"/>
      <c r="D245" s="202"/>
      <c r="E245" s="300"/>
      <c r="F245" s="210"/>
      <c r="G245" s="203"/>
      <c r="H245" s="203"/>
      <c r="I245" s="291"/>
      <c r="J245" s="263"/>
      <c r="K245" s="264"/>
      <c r="L245" s="265"/>
      <c r="M245" s="265"/>
      <c r="N245" s="265"/>
      <c r="O245" s="265"/>
      <c r="P245" s="265"/>
      <c r="Q245" s="265"/>
      <c r="R245" s="265"/>
    </row>
    <row r="246" spans="1:18" ht="30" customHeight="1">
      <c r="A246" s="204"/>
      <c r="B246" s="202"/>
      <c r="C246" s="202"/>
      <c r="D246" s="202"/>
      <c r="E246" s="300"/>
      <c r="F246" s="210"/>
      <c r="G246" s="203"/>
      <c r="H246" s="203"/>
      <c r="I246" s="291"/>
      <c r="J246" s="263"/>
      <c r="K246" s="264"/>
      <c r="L246" s="265"/>
      <c r="M246" s="265"/>
      <c r="N246" s="265"/>
      <c r="O246" s="265"/>
      <c r="P246" s="265"/>
      <c r="Q246" s="265"/>
      <c r="R246" s="265"/>
    </row>
    <row r="247" spans="1:18" ht="30" customHeight="1">
      <c r="A247" s="204"/>
      <c r="B247" s="202"/>
      <c r="C247" s="202"/>
      <c r="D247" s="202"/>
      <c r="E247" s="300"/>
      <c r="F247" s="210"/>
      <c r="G247" s="203"/>
      <c r="H247" s="203"/>
      <c r="I247" s="291"/>
      <c r="J247" s="263"/>
      <c r="K247" s="264"/>
      <c r="L247" s="265"/>
      <c r="M247" s="265"/>
      <c r="N247" s="265"/>
      <c r="O247" s="265"/>
      <c r="P247" s="265"/>
      <c r="Q247" s="265"/>
      <c r="R247" s="265"/>
    </row>
    <row r="248" spans="1:18" ht="30" customHeight="1">
      <c r="A248" s="204"/>
      <c r="B248" s="202"/>
      <c r="C248" s="202"/>
      <c r="D248" s="202"/>
      <c r="E248" s="300"/>
      <c r="F248" s="210"/>
      <c r="G248" s="203"/>
      <c r="H248" s="203"/>
      <c r="I248" s="291"/>
      <c r="J248" s="263"/>
      <c r="K248" s="264"/>
      <c r="L248" s="265"/>
      <c r="M248" s="265"/>
      <c r="N248" s="265"/>
      <c r="O248" s="265"/>
      <c r="P248" s="265"/>
      <c r="Q248" s="265"/>
      <c r="R248" s="265"/>
    </row>
    <row r="249" spans="1:18" ht="30" customHeight="1">
      <c r="A249" s="204"/>
      <c r="B249" s="202"/>
      <c r="C249" s="202"/>
      <c r="D249" s="202"/>
      <c r="E249" s="300"/>
      <c r="F249" s="210"/>
      <c r="G249" s="203"/>
      <c r="H249" s="203"/>
      <c r="I249" s="291"/>
      <c r="J249" s="263"/>
      <c r="K249" s="264"/>
      <c r="L249" s="265"/>
      <c r="M249" s="265"/>
      <c r="N249" s="265"/>
      <c r="O249" s="265"/>
      <c r="P249" s="265"/>
      <c r="Q249" s="265"/>
      <c r="R249" s="265"/>
    </row>
    <row r="250" spans="1:18" ht="30" customHeight="1">
      <c r="A250" s="204"/>
      <c r="B250" s="202"/>
      <c r="C250" s="202"/>
      <c r="D250" s="202"/>
      <c r="E250" s="300"/>
      <c r="F250" s="210"/>
      <c r="G250" s="203"/>
      <c r="H250" s="203"/>
      <c r="I250" s="291"/>
      <c r="J250" s="263"/>
      <c r="K250" s="264"/>
      <c r="L250" s="265"/>
      <c r="M250" s="265"/>
      <c r="N250" s="265"/>
      <c r="O250" s="265"/>
      <c r="P250" s="265"/>
      <c r="Q250" s="265"/>
      <c r="R250" s="265"/>
    </row>
    <row r="251" spans="1:18" ht="30" customHeight="1">
      <c r="A251" s="204"/>
      <c r="B251" s="202"/>
      <c r="C251" s="202"/>
      <c r="D251" s="202"/>
      <c r="E251" s="300"/>
      <c r="F251" s="210"/>
      <c r="G251" s="203"/>
      <c r="H251" s="203"/>
      <c r="I251" s="291"/>
      <c r="J251" s="263"/>
      <c r="K251" s="264"/>
      <c r="L251" s="265"/>
      <c r="M251" s="265"/>
      <c r="N251" s="265"/>
      <c r="O251" s="265"/>
      <c r="P251" s="265"/>
      <c r="Q251" s="265"/>
      <c r="R251" s="265"/>
    </row>
    <row r="252" spans="1:18" ht="30" customHeight="1">
      <c r="A252" s="204"/>
      <c r="B252" s="202"/>
      <c r="C252" s="202"/>
      <c r="D252" s="202"/>
      <c r="E252" s="300"/>
      <c r="F252" s="210"/>
      <c r="G252" s="203"/>
      <c r="H252" s="203"/>
      <c r="I252" s="291"/>
      <c r="J252" s="263"/>
      <c r="K252" s="264"/>
      <c r="L252" s="265"/>
      <c r="M252" s="265"/>
      <c r="N252" s="265"/>
      <c r="O252" s="265"/>
      <c r="P252" s="265"/>
      <c r="Q252" s="265"/>
      <c r="R252" s="265"/>
    </row>
    <row r="253" spans="1:18" ht="30" customHeight="1">
      <c r="A253" s="204"/>
      <c r="B253" s="202"/>
      <c r="C253" s="202"/>
      <c r="D253" s="202"/>
      <c r="E253" s="300"/>
      <c r="F253" s="210"/>
      <c r="G253" s="203"/>
      <c r="H253" s="203"/>
      <c r="I253" s="291"/>
      <c r="J253" s="263"/>
      <c r="K253" s="264"/>
      <c r="L253" s="265"/>
      <c r="M253" s="265"/>
      <c r="N253" s="265"/>
      <c r="O253" s="265"/>
      <c r="P253" s="265"/>
      <c r="Q253" s="265"/>
      <c r="R253" s="265"/>
    </row>
    <row r="254" spans="1:18" ht="30" customHeight="1">
      <c r="A254" s="204"/>
      <c r="B254" s="202"/>
      <c r="C254" s="202"/>
      <c r="D254" s="202"/>
      <c r="E254" s="300"/>
      <c r="F254" s="210"/>
      <c r="G254" s="203"/>
      <c r="H254" s="203"/>
      <c r="I254" s="291"/>
      <c r="J254" s="263"/>
      <c r="K254" s="264"/>
      <c r="L254" s="265"/>
      <c r="M254" s="265"/>
      <c r="N254" s="265"/>
      <c r="O254" s="265"/>
      <c r="P254" s="265"/>
      <c r="Q254" s="265"/>
      <c r="R254" s="265"/>
    </row>
    <row r="255" spans="1:18" ht="30" customHeight="1">
      <c r="A255" s="204"/>
      <c r="B255" s="202"/>
      <c r="C255" s="202"/>
      <c r="D255" s="202"/>
      <c r="E255" s="300"/>
      <c r="F255" s="210"/>
      <c r="G255" s="203"/>
      <c r="H255" s="203"/>
      <c r="I255" s="291"/>
      <c r="J255" s="263"/>
      <c r="K255" s="264"/>
      <c r="L255" s="265"/>
      <c r="M255" s="265"/>
      <c r="N255" s="265"/>
      <c r="O255" s="265"/>
      <c r="P255" s="265"/>
      <c r="Q255" s="265"/>
      <c r="R255" s="265"/>
    </row>
    <row r="256" spans="1:18" ht="30" customHeight="1">
      <c r="A256" s="204"/>
      <c r="B256" s="202"/>
      <c r="C256" s="202"/>
      <c r="D256" s="202"/>
      <c r="E256" s="300"/>
      <c r="F256" s="210"/>
      <c r="G256" s="203"/>
      <c r="H256" s="203"/>
      <c r="I256" s="291"/>
      <c r="J256" s="263"/>
      <c r="K256" s="266"/>
      <c r="L256" s="265"/>
      <c r="M256" s="265"/>
      <c r="N256" s="265"/>
      <c r="O256" s="265"/>
      <c r="P256" s="265"/>
      <c r="Q256" s="265"/>
      <c r="R256" s="267"/>
    </row>
    <row r="257" spans="1:21" ht="30" customHeight="1">
      <c r="A257" s="204"/>
      <c r="B257" s="202"/>
      <c r="C257" s="202"/>
      <c r="D257" s="202"/>
      <c r="E257" s="300"/>
      <c r="F257" s="210"/>
      <c r="G257" s="203"/>
      <c r="H257" s="203"/>
      <c r="I257" s="291"/>
      <c r="J257" s="263"/>
      <c r="K257" s="266"/>
      <c r="L257" s="265"/>
      <c r="M257" s="265"/>
      <c r="N257" s="265"/>
      <c r="O257" s="265"/>
      <c r="P257" s="265"/>
      <c r="Q257" s="265"/>
      <c r="R257" s="267"/>
    </row>
    <row r="258" spans="1:21" ht="30" customHeight="1">
      <c r="A258" s="204"/>
      <c r="B258" s="202"/>
      <c r="C258" s="202"/>
      <c r="D258" s="202"/>
      <c r="E258" s="300"/>
      <c r="F258" s="210"/>
      <c r="G258" s="203"/>
      <c r="H258" s="203"/>
      <c r="I258" s="291"/>
      <c r="J258" s="263"/>
      <c r="K258" s="266"/>
      <c r="L258" s="265"/>
      <c r="M258" s="265"/>
      <c r="N258" s="265"/>
      <c r="O258" s="265"/>
      <c r="P258" s="265"/>
      <c r="Q258" s="265"/>
      <c r="R258" s="267"/>
    </row>
    <row r="259" spans="1:21" ht="30" customHeight="1">
      <c r="A259" s="204"/>
      <c r="B259" s="202"/>
      <c r="C259" s="202"/>
      <c r="D259" s="202"/>
      <c r="E259" s="300"/>
      <c r="F259" s="210"/>
      <c r="G259" s="203"/>
      <c r="H259" s="203"/>
      <c r="I259" s="291"/>
      <c r="J259" s="263"/>
      <c r="K259" s="266"/>
      <c r="L259" s="265"/>
      <c r="M259" s="265"/>
      <c r="N259" s="265"/>
      <c r="O259" s="265"/>
      <c r="P259" s="265"/>
      <c r="Q259" s="265"/>
      <c r="R259" s="267"/>
    </row>
    <row r="260" spans="1:21" ht="30" customHeight="1">
      <c r="A260" s="304"/>
      <c r="B260" s="296"/>
      <c r="C260" s="305"/>
      <c r="D260" s="306"/>
      <c r="E260" s="297"/>
      <c r="F260" s="298"/>
      <c r="G260" s="282"/>
      <c r="H260" s="282"/>
      <c r="I260" s="303"/>
      <c r="J260" s="263"/>
      <c r="K260" s="264"/>
      <c r="L260" s="265"/>
      <c r="M260" s="265"/>
      <c r="N260" s="265"/>
      <c r="O260" s="265"/>
      <c r="P260" s="265"/>
      <c r="Q260" s="265"/>
      <c r="R260" s="284"/>
      <c r="S260" s="265"/>
      <c r="T260" s="265"/>
      <c r="U260" s="265"/>
    </row>
    <row r="261" spans="1:21" ht="30" customHeight="1">
      <c r="A261" s="260"/>
      <c r="B261" s="200"/>
      <c r="C261" s="200"/>
      <c r="D261" s="200"/>
      <c r="E261" s="299"/>
      <c r="F261" s="209"/>
      <c r="G261" s="201"/>
      <c r="H261" s="201"/>
      <c r="I261" s="291"/>
      <c r="J261" s="263"/>
      <c r="K261" s="266"/>
      <c r="L261" s="265"/>
      <c r="M261" s="265"/>
      <c r="N261" s="265"/>
      <c r="O261" s="265"/>
      <c r="P261" s="265"/>
      <c r="Q261" s="265"/>
      <c r="R261" s="284"/>
      <c r="S261" s="265"/>
      <c r="T261" s="265"/>
      <c r="U261" s="265"/>
    </row>
    <row r="262" spans="1:21" ht="30" customHeight="1">
      <c r="A262" s="204"/>
      <c r="B262" s="202"/>
      <c r="C262" s="202"/>
      <c r="D262" s="202"/>
      <c r="E262" s="300"/>
      <c r="F262" s="210"/>
      <c r="G262" s="203"/>
      <c r="H262" s="203"/>
      <c r="I262" s="291"/>
      <c r="J262" s="263"/>
      <c r="K262" s="264"/>
      <c r="L262" s="265"/>
      <c r="M262" s="265"/>
      <c r="N262" s="265"/>
      <c r="O262" s="265"/>
      <c r="P262" s="265"/>
      <c r="Q262" s="265"/>
      <c r="R262" s="265"/>
    </row>
    <row r="263" spans="1:21" ht="30" customHeight="1">
      <c r="A263" s="204"/>
      <c r="B263" s="202"/>
      <c r="C263" s="202"/>
      <c r="D263" s="202"/>
      <c r="E263" s="300"/>
      <c r="F263" s="210"/>
      <c r="G263" s="203"/>
      <c r="H263" s="203"/>
      <c r="I263" s="291"/>
      <c r="J263" s="263"/>
      <c r="K263" s="264"/>
      <c r="L263" s="265"/>
      <c r="M263" s="265"/>
      <c r="N263" s="265"/>
      <c r="O263" s="265"/>
      <c r="P263" s="265"/>
      <c r="Q263" s="265"/>
      <c r="R263" s="265"/>
    </row>
    <row r="264" spans="1:21" ht="30" customHeight="1">
      <c r="A264" s="204"/>
      <c r="B264" s="202"/>
      <c r="C264" s="202"/>
      <c r="D264" s="202"/>
      <c r="E264" s="300"/>
      <c r="F264" s="210"/>
      <c r="G264" s="203"/>
      <c r="H264" s="203"/>
      <c r="I264" s="291"/>
      <c r="J264" s="263"/>
      <c r="K264" s="264"/>
      <c r="L264" s="265"/>
      <c r="M264" s="265"/>
      <c r="N264" s="265"/>
      <c r="O264" s="265"/>
      <c r="P264" s="265"/>
      <c r="Q264" s="265"/>
      <c r="R264" s="265"/>
    </row>
    <row r="265" spans="1:21" ht="30" customHeight="1">
      <c r="A265" s="204"/>
      <c r="B265" s="202"/>
      <c r="C265" s="202"/>
      <c r="D265" s="202"/>
      <c r="E265" s="300"/>
      <c r="F265" s="210"/>
      <c r="G265" s="203"/>
      <c r="H265" s="203"/>
      <c r="I265" s="291"/>
      <c r="J265" s="263"/>
      <c r="K265" s="264"/>
      <c r="L265" s="265"/>
      <c r="M265" s="265"/>
      <c r="N265" s="265"/>
      <c r="O265" s="265"/>
      <c r="P265" s="265"/>
      <c r="Q265" s="265"/>
      <c r="R265" s="265"/>
    </row>
    <row r="266" spans="1:21" ht="30" customHeight="1">
      <c r="A266" s="204"/>
      <c r="B266" s="202"/>
      <c r="C266" s="202"/>
      <c r="D266" s="202"/>
      <c r="E266" s="300"/>
      <c r="F266" s="210"/>
      <c r="G266" s="203"/>
      <c r="H266" s="203"/>
      <c r="I266" s="291"/>
      <c r="J266" s="263"/>
      <c r="K266" s="264"/>
      <c r="L266" s="265"/>
      <c r="M266" s="265"/>
      <c r="N266" s="265"/>
      <c r="O266" s="265"/>
      <c r="P266" s="265"/>
      <c r="Q266" s="265"/>
      <c r="R266" s="265"/>
    </row>
    <row r="267" spans="1:21" ht="30" customHeight="1">
      <c r="A267" s="204"/>
      <c r="B267" s="202"/>
      <c r="C267" s="202"/>
      <c r="D267" s="202"/>
      <c r="E267" s="300"/>
      <c r="F267" s="210"/>
      <c r="G267" s="203"/>
      <c r="H267" s="203"/>
      <c r="I267" s="291"/>
      <c r="J267" s="263"/>
      <c r="K267" s="264"/>
      <c r="L267" s="265"/>
      <c r="M267" s="265"/>
      <c r="N267" s="265"/>
      <c r="O267" s="265"/>
      <c r="P267" s="265"/>
      <c r="Q267" s="265"/>
      <c r="R267" s="265"/>
    </row>
    <row r="268" spans="1:21" ht="30" customHeight="1">
      <c r="A268" s="204"/>
      <c r="B268" s="202"/>
      <c r="C268" s="202"/>
      <c r="D268" s="202"/>
      <c r="E268" s="300"/>
      <c r="F268" s="210"/>
      <c r="G268" s="203"/>
      <c r="H268" s="203"/>
      <c r="I268" s="291"/>
      <c r="J268" s="263"/>
      <c r="K268" s="264"/>
      <c r="L268" s="265"/>
      <c r="M268" s="265"/>
      <c r="N268" s="265"/>
      <c r="O268" s="265"/>
      <c r="P268" s="265"/>
      <c r="Q268" s="265"/>
      <c r="R268" s="265"/>
    </row>
    <row r="269" spans="1:21" ht="30" customHeight="1">
      <c r="A269" s="204"/>
      <c r="B269" s="202"/>
      <c r="C269" s="202"/>
      <c r="D269" s="202"/>
      <c r="E269" s="300"/>
      <c r="F269" s="210"/>
      <c r="G269" s="203"/>
      <c r="H269" s="203"/>
      <c r="I269" s="291"/>
      <c r="J269" s="263"/>
      <c r="K269" s="264"/>
      <c r="L269" s="265"/>
      <c r="M269" s="265"/>
      <c r="N269" s="265"/>
      <c r="O269" s="265"/>
      <c r="P269" s="265"/>
      <c r="Q269" s="265"/>
      <c r="R269" s="265"/>
    </row>
    <row r="270" spans="1:21" ht="30" customHeight="1">
      <c r="A270" s="204"/>
      <c r="B270" s="202"/>
      <c r="C270" s="202"/>
      <c r="D270" s="202"/>
      <c r="E270" s="300"/>
      <c r="F270" s="210"/>
      <c r="G270" s="203"/>
      <c r="H270" s="203"/>
      <c r="I270" s="291"/>
      <c r="J270" s="263"/>
      <c r="K270" s="264"/>
      <c r="L270" s="265"/>
      <c r="M270" s="265"/>
      <c r="N270" s="265"/>
      <c r="O270" s="265"/>
      <c r="P270" s="265"/>
      <c r="Q270" s="265"/>
      <c r="R270" s="265"/>
    </row>
    <row r="271" spans="1:21" ht="30" customHeight="1">
      <c r="A271" s="204"/>
      <c r="B271" s="202"/>
      <c r="C271" s="202"/>
      <c r="D271" s="202"/>
      <c r="E271" s="300"/>
      <c r="F271" s="210"/>
      <c r="G271" s="203"/>
      <c r="H271" s="203"/>
      <c r="I271" s="291"/>
      <c r="J271" s="263"/>
      <c r="K271" s="264"/>
      <c r="L271" s="265"/>
      <c r="M271" s="265"/>
      <c r="N271" s="265"/>
      <c r="O271" s="265"/>
      <c r="P271" s="265"/>
      <c r="Q271" s="265"/>
      <c r="R271" s="265"/>
    </row>
    <row r="272" spans="1:21" ht="30" customHeight="1">
      <c r="A272" s="204"/>
      <c r="B272" s="202"/>
      <c r="C272" s="202"/>
      <c r="D272" s="202"/>
      <c r="E272" s="300"/>
      <c r="F272" s="210"/>
      <c r="G272" s="203"/>
      <c r="H272" s="203"/>
      <c r="I272" s="291"/>
      <c r="J272" s="263"/>
      <c r="K272" s="264"/>
      <c r="L272" s="265"/>
      <c r="M272" s="265"/>
      <c r="N272" s="265"/>
      <c r="O272" s="265"/>
      <c r="P272" s="265"/>
      <c r="Q272" s="265"/>
      <c r="R272" s="265"/>
    </row>
    <row r="273" spans="1:21" ht="30" customHeight="1">
      <c r="A273" s="204"/>
      <c r="B273" s="202"/>
      <c r="C273" s="202"/>
      <c r="D273" s="202"/>
      <c r="E273" s="300"/>
      <c r="F273" s="210"/>
      <c r="G273" s="203"/>
      <c r="H273" s="203"/>
      <c r="I273" s="291"/>
      <c r="J273" s="263"/>
      <c r="K273" s="264"/>
      <c r="L273" s="265"/>
      <c r="M273" s="265"/>
      <c r="N273" s="265"/>
      <c r="O273" s="265"/>
      <c r="P273" s="265"/>
      <c r="Q273" s="265"/>
      <c r="R273" s="265"/>
    </row>
    <row r="274" spans="1:21" ht="30" customHeight="1">
      <c r="A274" s="204"/>
      <c r="B274" s="202"/>
      <c r="C274" s="202"/>
      <c r="D274" s="202"/>
      <c r="E274" s="300"/>
      <c r="F274" s="210"/>
      <c r="G274" s="203"/>
      <c r="H274" s="203"/>
      <c r="I274" s="291"/>
      <c r="J274" s="263"/>
      <c r="K274" s="264"/>
      <c r="L274" s="265"/>
      <c r="M274" s="265"/>
      <c r="N274" s="265"/>
      <c r="O274" s="265"/>
      <c r="P274" s="265"/>
      <c r="Q274" s="265"/>
      <c r="R274" s="265"/>
    </row>
    <row r="275" spans="1:21" ht="30" customHeight="1">
      <c r="A275" s="204"/>
      <c r="B275" s="202"/>
      <c r="C275" s="202"/>
      <c r="D275" s="202"/>
      <c r="E275" s="300"/>
      <c r="F275" s="210"/>
      <c r="G275" s="203"/>
      <c r="H275" s="203"/>
      <c r="I275" s="291"/>
      <c r="J275" s="263"/>
      <c r="K275" s="264"/>
      <c r="L275" s="265"/>
      <c r="M275" s="265"/>
      <c r="N275" s="265"/>
      <c r="O275" s="265"/>
      <c r="P275" s="265"/>
      <c r="Q275" s="265"/>
      <c r="R275" s="265"/>
    </row>
    <row r="276" spans="1:21" ht="30" customHeight="1">
      <c r="A276" s="204"/>
      <c r="B276" s="202"/>
      <c r="C276" s="202"/>
      <c r="D276" s="202"/>
      <c r="E276" s="300"/>
      <c r="F276" s="210"/>
      <c r="G276" s="203"/>
      <c r="H276" s="203"/>
      <c r="I276" s="291"/>
      <c r="J276" s="263"/>
      <c r="K276" s="264"/>
      <c r="L276" s="265"/>
      <c r="M276" s="265"/>
      <c r="N276" s="265"/>
      <c r="O276" s="265"/>
      <c r="P276" s="265"/>
      <c r="Q276" s="265"/>
      <c r="R276" s="265"/>
    </row>
    <row r="277" spans="1:21" ht="30" customHeight="1">
      <c r="A277" s="204"/>
      <c r="B277" s="202"/>
      <c r="C277" s="202"/>
      <c r="D277" s="202"/>
      <c r="E277" s="300"/>
      <c r="F277" s="210"/>
      <c r="G277" s="203"/>
      <c r="H277" s="203"/>
      <c r="I277" s="291"/>
      <c r="J277" s="263"/>
      <c r="K277" s="266"/>
      <c r="L277" s="265"/>
      <c r="M277" s="265"/>
      <c r="N277" s="265"/>
      <c r="O277" s="265"/>
      <c r="P277" s="265"/>
      <c r="Q277" s="265"/>
      <c r="R277" s="267"/>
    </row>
    <row r="278" spans="1:21" ht="30" customHeight="1">
      <c r="A278" s="204"/>
      <c r="B278" s="202"/>
      <c r="C278" s="202"/>
      <c r="D278" s="202"/>
      <c r="E278" s="300"/>
      <c r="F278" s="210"/>
      <c r="G278" s="203"/>
      <c r="H278" s="203"/>
      <c r="I278" s="291"/>
      <c r="J278" s="263"/>
      <c r="K278" s="266"/>
      <c r="L278" s="265"/>
      <c r="M278" s="265"/>
      <c r="N278" s="265"/>
      <c r="O278" s="265"/>
      <c r="P278" s="265"/>
      <c r="Q278" s="265"/>
      <c r="R278" s="267"/>
    </row>
    <row r="279" spans="1:21" ht="30" customHeight="1">
      <c r="A279" s="204"/>
      <c r="B279" s="202"/>
      <c r="C279" s="202"/>
      <c r="D279" s="202"/>
      <c r="E279" s="300"/>
      <c r="F279" s="210"/>
      <c r="G279" s="203"/>
      <c r="H279" s="203"/>
      <c r="I279" s="291"/>
      <c r="J279" s="263"/>
      <c r="K279" s="266"/>
      <c r="L279" s="265"/>
      <c r="M279" s="265"/>
      <c r="N279" s="265"/>
      <c r="O279" s="265"/>
      <c r="P279" s="265"/>
      <c r="Q279" s="265"/>
      <c r="R279" s="267"/>
    </row>
    <row r="280" spans="1:21" ht="30" customHeight="1">
      <c r="A280" s="204"/>
      <c r="B280" s="202"/>
      <c r="C280" s="202"/>
      <c r="D280" s="202"/>
      <c r="E280" s="300"/>
      <c r="F280" s="210"/>
      <c r="G280" s="203"/>
      <c r="H280" s="203"/>
      <c r="I280" s="291"/>
      <c r="J280" s="263"/>
      <c r="K280" s="266"/>
      <c r="L280" s="265"/>
      <c r="M280" s="265"/>
      <c r="N280" s="265"/>
      <c r="O280" s="265"/>
      <c r="P280" s="265"/>
      <c r="Q280" s="265"/>
      <c r="R280" s="267"/>
    </row>
    <row r="281" spans="1:21" ht="30" customHeight="1">
      <c r="A281" s="304"/>
      <c r="B281" s="296"/>
      <c r="C281" s="305"/>
      <c r="D281" s="306"/>
      <c r="E281" s="297"/>
      <c r="F281" s="298"/>
      <c r="G281" s="282"/>
      <c r="H281" s="282"/>
      <c r="I281" s="303"/>
      <c r="J281" s="263"/>
      <c r="K281" s="264"/>
      <c r="L281" s="265"/>
      <c r="M281" s="265"/>
      <c r="N281" s="265"/>
      <c r="O281" s="265"/>
      <c r="P281" s="265"/>
      <c r="Q281" s="265"/>
      <c r="R281" s="284"/>
      <c r="S281" s="265"/>
      <c r="T281" s="265"/>
      <c r="U281" s="265"/>
    </row>
    <row r="282" spans="1:21" ht="30" customHeight="1">
      <c r="A282" s="260"/>
      <c r="B282" s="200"/>
      <c r="C282" s="200"/>
      <c r="D282" s="200"/>
      <c r="E282" s="299"/>
      <c r="F282" s="209"/>
      <c r="G282" s="201"/>
      <c r="H282" s="201"/>
      <c r="I282" s="291"/>
      <c r="J282" s="263"/>
      <c r="K282" s="266"/>
      <c r="L282" s="265"/>
      <c r="M282" s="265"/>
      <c r="N282" s="265"/>
      <c r="O282" s="265"/>
      <c r="P282" s="265"/>
      <c r="Q282" s="265"/>
      <c r="R282" s="284"/>
      <c r="S282" s="265"/>
      <c r="T282" s="265"/>
      <c r="U282" s="265"/>
    </row>
    <row r="283" spans="1:21" ht="30" customHeight="1">
      <c r="A283" s="204"/>
      <c r="B283" s="202"/>
      <c r="C283" s="202"/>
      <c r="D283" s="202"/>
      <c r="E283" s="300"/>
      <c r="F283" s="210"/>
      <c r="G283" s="203"/>
      <c r="H283" s="203"/>
      <c r="I283" s="291"/>
      <c r="J283" s="263"/>
      <c r="K283" s="264"/>
      <c r="L283" s="265"/>
      <c r="M283" s="265"/>
      <c r="N283" s="265"/>
      <c r="O283" s="265"/>
      <c r="P283" s="265"/>
      <c r="Q283" s="265"/>
      <c r="R283" s="265"/>
    </row>
    <row r="284" spans="1:21" ht="30" customHeight="1">
      <c r="A284" s="204"/>
      <c r="B284" s="202"/>
      <c r="C284" s="202"/>
      <c r="D284" s="202"/>
      <c r="E284" s="300"/>
      <c r="F284" s="210"/>
      <c r="G284" s="203"/>
      <c r="H284" s="203"/>
      <c r="I284" s="291"/>
      <c r="J284" s="263"/>
      <c r="K284" s="264"/>
      <c r="L284" s="265"/>
      <c r="M284" s="265"/>
      <c r="N284" s="265"/>
      <c r="O284" s="265"/>
      <c r="P284" s="265"/>
      <c r="Q284" s="265"/>
      <c r="R284" s="265"/>
    </row>
    <row r="285" spans="1:21" ht="30" customHeight="1">
      <c r="A285" s="204"/>
      <c r="B285" s="202"/>
      <c r="C285" s="202"/>
      <c r="D285" s="202"/>
      <c r="E285" s="300"/>
      <c r="F285" s="210"/>
      <c r="G285" s="203"/>
      <c r="H285" s="203"/>
      <c r="I285" s="291"/>
      <c r="J285" s="263"/>
      <c r="K285" s="264"/>
      <c r="L285" s="265"/>
      <c r="M285" s="265"/>
      <c r="N285" s="265"/>
      <c r="O285" s="265"/>
      <c r="P285" s="265"/>
      <c r="Q285" s="265"/>
      <c r="R285" s="265"/>
    </row>
    <row r="286" spans="1:21" ht="30" customHeight="1">
      <c r="A286" s="204"/>
      <c r="B286" s="202"/>
      <c r="C286" s="202"/>
      <c r="D286" s="202"/>
      <c r="E286" s="300"/>
      <c r="F286" s="210"/>
      <c r="G286" s="203"/>
      <c r="H286" s="203"/>
      <c r="I286" s="291"/>
      <c r="J286" s="263"/>
      <c r="K286" s="264"/>
      <c r="L286" s="265"/>
      <c r="M286" s="265"/>
      <c r="N286" s="265"/>
      <c r="O286" s="265"/>
      <c r="P286" s="265"/>
      <c r="Q286" s="265"/>
      <c r="R286" s="265"/>
    </row>
    <row r="287" spans="1:21" ht="30" customHeight="1">
      <c r="A287" s="204"/>
      <c r="B287" s="202"/>
      <c r="C287" s="202"/>
      <c r="D287" s="202"/>
      <c r="E287" s="300"/>
      <c r="F287" s="210"/>
      <c r="G287" s="203"/>
      <c r="H287" s="203"/>
      <c r="I287" s="291"/>
      <c r="J287" s="263"/>
      <c r="K287" s="264"/>
      <c r="L287" s="265"/>
      <c r="M287" s="265"/>
      <c r="N287" s="265"/>
      <c r="O287" s="265"/>
      <c r="P287" s="265"/>
      <c r="Q287" s="265"/>
      <c r="R287" s="265"/>
    </row>
    <row r="288" spans="1:21" ht="30" customHeight="1">
      <c r="A288" s="204"/>
      <c r="B288" s="202"/>
      <c r="C288" s="202"/>
      <c r="D288" s="202"/>
      <c r="E288" s="300"/>
      <c r="F288" s="210"/>
      <c r="G288" s="203"/>
      <c r="H288" s="203"/>
      <c r="I288" s="291"/>
      <c r="J288" s="263"/>
      <c r="K288" s="264"/>
      <c r="L288" s="265"/>
      <c r="M288" s="265"/>
      <c r="N288" s="265"/>
      <c r="O288" s="265"/>
      <c r="P288" s="265"/>
      <c r="Q288" s="265"/>
      <c r="R288" s="265"/>
    </row>
    <row r="289" spans="1:21" ht="30" customHeight="1">
      <c r="A289" s="204"/>
      <c r="B289" s="202"/>
      <c r="C289" s="202"/>
      <c r="D289" s="202"/>
      <c r="E289" s="300"/>
      <c r="F289" s="210"/>
      <c r="G289" s="203"/>
      <c r="H289" s="203"/>
      <c r="I289" s="291"/>
      <c r="J289" s="263"/>
      <c r="K289" s="264"/>
      <c r="L289" s="265"/>
      <c r="M289" s="265"/>
      <c r="N289" s="265"/>
      <c r="O289" s="265"/>
      <c r="P289" s="265"/>
      <c r="Q289" s="265"/>
      <c r="R289" s="265"/>
    </row>
    <row r="290" spans="1:21" ht="30" customHeight="1">
      <c r="A290" s="204"/>
      <c r="B290" s="202"/>
      <c r="C290" s="202"/>
      <c r="D290" s="202"/>
      <c r="E290" s="300"/>
      <c r="F290" s="210"/>
      <c r="G290" s="203"/>
      <c r="H290" s="203"/>
      <c r="I290" s="291"/>
      <c r="J290" s="263"/>
      <c r="K290" s="264"/>
      <c r="L290" s="265"/>
      <c r="M290" s="265"/>
      <c r="N290" s="265"/>
      <c r="O290" s="265"/>
      <c r="P290" s="265"/>
      <c r="Q290" s="265"/>
      <c r="R290" s="265"/>
    </row>
    <row r="291" spans="1:21" ht="30" customHeight="1">
      <c r="A291" s="204"/>
      <c r="B291" s="202"/>
      <c r="C291" s="202"/>
      <c r="D291" s="202"/>
      <c r="E291" s="300"/>
      <c r="F291" s="210"/>
      <c r="G291" s="203"/>
      <c r="H291" s="203"/>
      <c r="I291" s="291"/>
      <c r="J291" s="263"/>
      <c r="K291" s="264"/>
      <c r="L291" s="265"/>
      <c r="M291" s="265"/>
      <c r="N291" s="265"/>
      <c r="O291" s="265"/>
      <c r="P291" s="265"/>
      <c r="Q291" s="265"/>
      <c r="R291" s="265"/>
    </row>
    <row r="292" spans="1:21" ht="30" customHeight="1">
      <c r="A292" s="204"/>
      <c r="B292" s="202"/>
      <c r="C292" s="202"/>
      <c r="D292" s="202"/>
      <c r="E292" s="300"/>
      <c r="F292" s="210"/>
      <c r="G292" s="203"/>
      <c r="H292" s="203"/>
      <c r="I292" s="291"/>
      <c r="J292" s="263"/>
      <c r="K292" s="264"/>
      <c r="L292" s="265"/>
      <c r="M292" s="265"/>
      <c r="N292" s="265"/>
      <c r="O292" s="265"/>
      <c r="P292" s="265"/>
      <c r="Q292" s="265"/>
      <c r="R292" s="265"/>
    </row>
    <row r="293" spans="1:21" ht="30" customHeight="1">
      <c r="A293" s="204"/>
      <c r="B293" s="202"/>
      <c r="C293" s="202"/>
      <c r="D293" s="202"/>
      <c r="E293" s="300"/>
      <c r="F293" s="210"/>
      <c r="G293" s="203"/>
      <c r="H293" s="203"/>
      <c r="I293" s="291"/>
      <c r="J293" s="263"/>
      <c r="K293" s="264"/>
      <c r="L293" s="265"/>
      <c r="M293" s="265"/>
      <c r="N293" s="265"/>
      <c r="O293" s="265"/>
      <c r="P293" s="265"/>
      <c r="Q293" s="265"/>
      <c r="R293" s="265"/>
    </row>
    <row r="294" spans="1:21" ht="30" customHeight="1">
      <c r="A294" s="204"/>
      <c r="B294" s="202"/>
      <c r="C294" s="202"/>
      <c r="D294" s="202"/>
      <c r="E294" s="300"/>
      <c r="F294" s="210"/>
      <c r="G294" s="203"/>
      <c r="H294" s="203"/>
      <c r="I294" s="291"/>
      <c r="J294" s="263"/>
      <c r="K294" s="264"/>
      <c r="L294" s="265"/>
      <c r="M294" s="265"/>
      <c r="N294" s="265"/>
      <c r="O294" s="265"/>
      <c r="P294" s="265"/>
      <c r="Q294" s="265"/>
      <c r="R294" s="265"/>
    </row>
    <row r="295" spans="1:21" ht="30" customHeight="1">
      <c r="A295" s="204"/>
      <c r="B295" s="202"/>
      <c r="C295" s="202"/>
      <c r="D295" s="202"/>
      <c r="E295" s="300"/>
      <c r="F295" s="210"/>
      <c r="G295" s="203"/>
      <c r="H295" s="203"/>
      <c r="I295" s="291"/>
      <c r="J295" s="263"/>
      <c r="K295" s="264"/>
      <c r="L295" s="265"/>
      <c r="M295" s="265"/>
      <c r="N295" s="265"/>
      <c r="O295" s="265"/>
      <c r="P295" s="265"/>
      <c r="Q295" s="265"/>
      <c r="R295" s="265"/>
    </row>
    <row r="296" spans="1:21" ht="30" customHeight="1">
      <c r="A296" s="204"/>
      <c r="B296" s="202"/>
      <c r="C296" s="202"/>
      <c r="D296" s="202"/>
      <c r="E296" s="300"/>
      <c r="F296" s="210"/>
      <c r="G296" s="203"/>
      <c r="H296" s="203"/>
      <c r="I296" s="291"/>
      <c r="J296" s="263"/>
      <c r="K296" s="264"/>
      <c r="L296" s="265"/>
      <c r="M296" s="265"/>
      <c r="N296" s="265"/>
      <c r="O296" s="265"/>
      <c r="P296" s="265"/>
      <c r="Q296" s="265"/>
      <c r="R296" s="265"/>
    </row>
    <row r="297" spans="1:21" ht="30" customHeight="1">
      <c r="A297" s="204" t="str">
        <f>IF(ISBLANK(D297)," ",186-COUNTBLANK($D$6:D297))</f>
        <v xml:space="preserve"> </v>
      </c>
      <c r="B297" s="202"/>
      <c r="C297" s="202"/>
      <c r="D297" s="202"/>
      <c r="E297" s="300"/>
      <c r="F297" s="210"/>
      <c r="G297" s="203"/>
      <c r="H297" s="203"/>
      <c r="I297" s="291"/>
      <c r="J297" s="263"/>
      <c r="K297" s="264"/>
      <c r="L297" s="265"/>
      <c r="M297" s="265"/>
      <c r="N297" s="265"/>
      <c r="O297" s="265"/>
      <c r="P297" s="265"/>
      <c r="Q297" s="265"/>
      <c r="R297" s="265"/>
    </row>
    <row r="298" spans="1:21" ht="30" customHeight="1">
      <c r="A298" s="204" t="str">
        <f>IF(ISBLANK(D298)," ",187-COUNTBLANK($D$6:D298))</f>
        <v xml:space="preserve"> </v>
      </c>
      <c r="B298" s="202"/>
      <c r="C298" s="202"/>
      <c r="D298" s="202"/>
      <c r="E298" s="300"/>
      <c r="F298" s="210"/>
      <c r="G298" s="203"/>
      <c r="H298" s="203"/>
      <c r="I298" s="291"/>
      <c r="J298" s="263"/>
      <c r="K298" s="266"/>
      <c r="L298" s="265"/>
      <c r="M298" s="265"/>
      <c r="N298" s="265"/>
      <c r="O298" s="265"/>
      <c r="P298" s="265"/>
      <c r="Q298" s="265"/>
      <c r="R298" s="267"/>
    </row>
    <row r="299" spans="1:21" ht="30" customHeight="1">
      <c r="A299" s="204" t="str">
        <f>IF(ISBLANK(D299)," ",188-COUNTBLANK($D$6:D299))</f>
        <v xml:space="preserve"> </v>
      </c>
      <c r="B299" s="202"/>
      <c r="C299" s="202"/>
      <c r="D299" s="202"/>
      <c r="E299" s="300"/>
      <c r="F299" s="210"/>
      <c r="G299" s="203"/>
      <c r="H299" s="203"/>
      <c r="I299" s="291"/>
      <c r="J299" s="263"/>
      <c r="K299" s="266"/>
      <c r="L299" s="265"/>
      <c r="M299" s="265"/>
      <c r="N299" s="265"/>
      <c r="O299" s="265"/>
      <c r="P299" s="265"/>
      <c r="Q299" s="265"/>
      <c r="R299" s="267"/>
    </row>
    <row r="300" spans="1:21" ht="30" customHeight="1">
      <c r="A300" s="204" t="s">
        <v>52</v>
      </c>
      <c r="B300" s="202"/>
      <c r="C300" s="202"/>
      <c r="D300" s="202"/>
      <c r="E300" s="300"/>
      <c r="F300" s="210">
        <f>SUM(F280:F299)</f>
        <v>0</v>
      </c>
      <c r="G300" s="203"/>
      <c r="H300" s="203"/>
      <c r="I300" s="291"/>
      <c r="J300" s="263"/>
      <c r="K300" s="266"/>
      <c r="L300" s="265"/>
      <c r="M300" s="265"/>
      <c r="N300" s="265"/>
      <c r="O300" s="265"/>
      <c r="P300" s="265"/>
      <c r="Q300" s="265"/>
      <c r="R300" s="267"/>
    </row>
    <row r="301" spans="1:21" ht="30" customHeight="1">
      <c r="A301" s="204" t="str">
        <f>IF(ISBLANK(D301)," ",190-COUNTBLANK($D$6:D301))</f>
        <v xml:space="preserve"> </v>
      </c>
      <c r="B301" s="202"/>
      <c r="C301" s="202"/>
      <c r="D301" s="202"/>
      <c r="E301" s="300"/>
      <c r="F301" s="210"/>
      <c r="G301" s="203"/>
      <c r="H301" s="203"/>
      <c r="I301" s="291"/>
      <c r="J301" s="263"/>
      <c r="K301" s="266"/>
      <c r="L301" s="265"/>
      <c r="M301" s="265"/>
      <c r="N301" s="265"/>
      <c r="O301" s="265"/>
      <c r="P301" s="265"/>
      <c r="Q301" s="265"/>
      <c r="R301" s="267"/>
    </row>
    <row r="302" spans="1:21" ht="30" customHeight="1">
      <c r="A302" s="304" t="str">
        <f>IF(ISBLANK(D302)," ",191-COUNTBLANK($D$6:D302))</f>
        <v xml:space="preserve"> </v>
      </c>
      <c r="B302" s="296"/>
      <c r="C302" s="305"/>
      <c r="D302" s="306"/>
      <c r="E302" s="297"/>
      <c r="F302" s="298"/>
      <c r="G302" s="282"/>
      <c r="H302" s="282"/>
      <c r="I302" s="303"/>
      <c r="J302" s="263"/>
      <c r="K302" s="264"/>
      <c r="L302" s="265"/>
      <c r="M302" s="265"/>
      <c r="N302" s="265"/>
      <c r="O302" s="265"/>
      <c r="P302" s="265"/>
      <c r="Q302" s="265"/>
      <c r="R302" s="284"/>
      <c r="S302" s="265"/>
      <c r="T302" s="265"/>
      <c r="U302" s="265"/>
    </row>
    <row r="303" spans="1:21" ht="30" customHeight="1">
      <c r="A303" s="260" t="str">
        <f>IF(ISBLANK(D303)," ",192-COUNTBLANK($D$6:D303))</f>
        <v xml:space="preserve"> </v>
      </c>
      <c r="B303" s="200"/>
      <c r="C303" s="200"/>
      <c r="D303" s="200"/>
      <c r="E303" s="299"/>
      <c r="F303" s="209"/>
      <c r="G303" s="201"/>
      <c r="H303" s="201"/>
      <c r="I303" s="291"/>
      <c r="J303" s="263"/>
      <c r="K303" s="266"/>
      <c r="L303" s="265"/>
      <c r="M303" s="265"/>
      <c r="N303" s="265"/>
      <c r="O303" s="265"/>
      <c r="P303" s="265"/>
      <c r="Q303" s="265"/>
      <c r="R303" s="284"/>
      <c r="S303" s="265"/>
      <c r="T303" s="265"/>
      <c r="U303" s="265"/>
    </row>
    <row r="304" spans="1:21" ht="30" customHeight="1">
      <c r="A304" s="204" t="str">
        <f>IF(ISBLANK(D304)," ",193-COUNTBLANK($D$6:D304))</f>
        <v xml:space="preserve"> </v>
      </c>
      <c r="B304" s="202"/>
      <c r="C304" s="202"/>
      <c r="D304" s="202"/>
      <c r="E304" s="300"/>
      <c r="F304" s="210"/>
      <c r="G304" s="203"/>
      <c r="H304" s="203"/>
      <c r="I304" s="291"/>
      <c r="J304" s="263"/>
      <c r="K304" s="264"/>
      <c r="L304" s="265"/>
      <c r="M304" s="265"/>
      <c r="N304" s="265"/>
      <c r="O304" s="265"/>
      <c r="P304" s="265"/>
      <c r="Q304" s="265"/>
      <c r="R304" s="265"/>
    </row>
    <row r="305" spans="1:18" ht="30" customHeight="1">
      <c r="A305" s="204" t="str">
        <f>IF(ISBLANK(D305)," ",194-COUNTBLANK($D$6:D305))</f>
        <v xml:space="preserve"> </v>
      </c>
      <c r="B305" s="202"/>
      <c r="C305" s="202"/>
      <c r="D305" s="202"/>
      <c r="E305" s="300"/>
      <c r="F305" s="210"/>
      <c r="G305" s="203"/>
      <c r="H305" s="203"/>
      <c r="I305" s="291"/>
      <c r="J305" s="263"/>
      <c r="K305" s="264"/>
      <c r="L305" s="265"/>
      <c r="M305" s="265"/>
      <c r="N305" s="265"/>
      <c r="O305" s="265"/>
      <c r="P305" s="265"/>
      <c r="Q305" s="265"/>
      <c r="R305" s="265"/>
    </row>
    <row r="306" spans="1:18" ht="30" customHeight="1">
      <c r="A306" s="204" t="str">
        <f>IF(ISBLANK(D306)," ",195-COUNTBLANK($D$6:D306))</f>
        <v xml:space="preserve"> </v>
      </c>
      <c r="B306" s="202"/>
      <c r="C306" s="202"/>
      <c r="D306" s="202"/>
      <c r="E306" s="300"/>
      <c r="F306" s="210"/>
      <c r="G306" s="203"/>
      <c r="H306" s="203"/>
      <c r="I306" s="291"/>
      <c r="J306" s="263"/>
      <c r="K306" s="264"/>
      <c r="L306" s="265"/>
      <c r="M306" s="265"/>
      <c r="N306" s="265"/>
      <c r="O306" s="265"/>
      <c r="P306" s="265"/>
      <c r="Q306" s="265"/>
      <c r="R306" s="265"/>
    </row>
    <row r="307" spans="1:18" ht="30" customHeight="1">
      <c r="A307" s="204" t="str">
        <f>IF(ISBLANK(D307)," ",196-COUNTBLANK($D$6:D307))</f>
        <v xml:space="preserve"> </v>
      </c>
      <c r="B307" s="202"/>
      <c r="C307" s="202"/>
      <c r="D307" s="202"/>
      <c r="E307" s="300"/>
      <c r="F307" s="210"/>
      <c r="G307" s="203"/>
      <c r="H307" s="203"/>
      <c r="I307" s="291"/>
      <c r="J307" s="263"/>
      <c r="K307" s="264"/>
      <c r="L307" s="265"/>
      <c r="M307" s="265"/>
      <c r="N307" s="265"/>
      <c r="O307" s="265"/>
      <c r="P307" s="265"/>
      <c r="Q307" s="265"/>
      <c r="R307" s="265"/>
    </row>
    <row r="308" spans="1:18" ht="30" customHeight="1">
      <c r="A308" s="204" t="str">
        <f>IF(ISBLANK(D308)," ",197-COUNTBLANK($D$6:D308))</f>
        <v xml:space="preserve"> </v>
      </c>
      <c r="B308" s="202"/>
      <c r="C308" s="202"/>
      <c r="D308" s="202"/>
      <c r="E308" s="300"/>
      <c r="F308" s="210"/>
      <c r="G308" s="203"/>
      <c r="H308" s="203"/>
      <c r="I308" s="291"/>
      <c r="J308" s="263"/>
      <c r="K308" s="264"/>
      <c r="L308" s="265"/>
      <c r="M308" s="265"/>
      <c r="N308" s="265"/>
      <c r="O308" s="265"/>
      <c r="P308" s="265"/>
      <c r="Q308" s="265"/>
      <c r="R308" s="265"/>
    </row>
    <row r="309" spans="1:18" ht="30" customHeight="1">
      <c r="A309" s="204" t="str">
        <f>IF(ISBLANK(D309)," ",198-COUNTBLANK($D$6:D309))</f>
        <v xml:space="preserve"> </v>
      </c>
      <c r="B309" s="202"/>
      <c r="C309" s="202"/>
      <c r="D309" s="202"/>
      <c r="E309" s="300"/>
      <c r="F309" s="210"/>
      <c r="G309" s="203"/>
      <c r="H309" s="203"/>
      <c r="I309" s="291"/>
      <c r="J309" s="263"/>
      <c r="K309" s="264"/>
      <c r="L309" s="265"/>
      <c r="M309" s="265"/>
      <c r="N309" s="265"/>
      <c r="O309" s="265"/>
      <c r="P309" s="265"/>
      <c r="Q309" s="265"/>
      <c r="R309" s="265"/>
    </row>
    <row r="310" spans="1:18" ht="30" customHeight="1">
      <c r="A310" s="204" t="str">
        <f>IF(ISBLANK(D310)," ",199-COUNTBLANK($D$6:D310))</f>
        <v xml:space="preserve"> </v>
      </c>
      <c r="B310" s="202"/>
      <c r="C310" s="202"/>
      <c r="D310" s="202"/>
      <c r="E310" s="300"/>
      <c r="F310" s="210"/>
      <c r="G310" s="203"/>
      <c r="H310" s="203"/>
      <c r="I310" s="291"/>
      <c r="J310" s="263"/>
      <c r="K310" s="264"/>
      <c r="L310" s="265"/>
      <c r="M310" s="265"/>
      <c r="N310" s="265"/>
      <c r="O310" s="265"/>
      <c r="P310" s="265"/>
      <c r="Q310" s="265"/>
      <c r="R310" s="265"/>
    </row>
    <row r="311" spans="1:18" ht="30" customHeight="1">
      <c r="A311" s="204" t="str">
        <f>IF(ISBLANK(D311)," ",200-COUNTBLANK($D$6:D311))</f>
        <v xml:space="preserve"> </v>
      </c>
      <c r="B311" s="202"/>
      <c r="C311" s="202"/>
      <c r="D311" s="202"/>
      <c r="E311" s="300"/>
      <c r="F311" s="210"/>
      <c r="G311" s="203"/>
      <c r="H311" s="203"/>
      <c r="I311" s="291"/>
      <c r="J311" s="263"/>
      <c r="K311" s="264"/>
      <c r="L311" s="265"/>
      <c r="M311" s="265"/>
      <c r="N311" s="265"/>
      <c r="O311" s="265"/>
      <c r="P311" s="265"/>
      <c r="Q311" s="265"/>
      <c r="R311" s="265"/>
    </row>
    <row r="312" spans="1:18" ht="30" customHeight="1">
      <c r="A312" s="204" t="str">
        <f>IF(ISBLANK(D312)," ",201-COUNTBLANK($D$6:D312))</f>
        <v xml:space="preserve"> </v>
      </c>
      <c r="B312" s="202"/>
      <c r="C312" s="202"/>
      <c r="D312" s="202"/>
      <c r="E312" s="300"/>
      <c r="F312" s="210"/>
      <c r="G312" s="203"/>
      <c r="H312" s="203"/>
      <c r="I312" s="291"/>
      <c r="J312" s="263"/>
      <c r="K312" s="264"/>
      <c r="L312" s="265"/>
      <c r="M312" s="265"/>
      <c r="N312" s="265"/>
      <c r="O312" s="265"/>
      <c r="P312" s="265"/>
      <c r="Q312" s="265"/>
      <c r="R312" s="265"/>
    </row>
    <row r="313" spans="1:18" ht="30" customHeight="1">
      <c r="A313" s="204" t="str">
        <f>IF(ISBLANK(D313)," ",202-COUNTBLANK($D$6:D313))</f>
        <v xml:space="preserve"> </v>
      </c>
      <c r="B313" s="202"/>
      <c r="C313" s="202"/>
      <c r="D313" s="202"/>
      <c r="E313" s="300"/>
      <c r="F313" s="210"/>
      <c r="G313" s="203"/>
      <c r="H313" s="203"/>
      <c r="I313" s="291"/>
      <c r="J313" s="263"/>
      <c r="K313" s="264"/>
      <c r="L313" s="265"/>
      <c r="M313" s="265"/>
      <c r="N313" s="265"/>
      <c r="O313" s="265"/>
      <c r="P313" s="265"/>
      <c r="Q313" s="265"/>
      <c r="R313" s="265"/>
    </row>
    <row r="314" spans="1:18" ht="30" customHeight="1">
      <c r="A314" s="204" t="str">
        <f>IF(ISBLANK(D314)," ",203-COUNTBLANK($D$6:D314))</f>
        <v xml:space="preserve"> </v>
      </c>
      <c r="B314" s="202"/>
      <c r="C314" s="202"/>
      <c r="D314" s="202"/>
      <c r="E314" s="300"/>
      <c r="F314" s="210"/>
      <c r="G314" s="203"/>
      <c r="H314" s="203"/>
      <c r="I314" s="291"/>
      <c r="J314" s="263"/>
      <c r="K314" s="264"/>
      <c r="L314" s="265"/>
      <c r="M314" s="265"/>
      <c r="N314" s="265"/>
      <c r="O314" s="265"/>
      <c r="P314" s="265"/>
      <c r="Q314" s="265"/>
      <c r="R314" s="265"/>
    </row>
    <row r="315" spans="1:18" ht="30" customHeight="1">
      <c r="A315" s="204" t="str">
        <f>IF(ISBLANK(D315)," ",204-COUNTBLANK($D$6:D315))</f>
        <v xml:space="preserve"> </v>
      </c>
      <c r="B315" s="202"/>
      <c r="C315" s="202"/>
      <c r="D315" s="202"/>
      <c r="E315" s="300"/>
      <c r="F315" s="210"/>
      <c r="G315" s="203"/>
      <c r="H315" s="203"/>
      <c r="I315" s="291"/>
      <c r="J315" s="263"/>
      <c r="K315" s="264"/>
      <c r="L315" s="265"/>
      <c r="M315" s="265"/>
      <c r="N315" s="265"/>
      <c r="O315" s="265"/>
      <c r="P315" s="265"/>
      <c r="Q315" s="265"/>
      <c r="R315" s="265"/>
    </row>
    <row r="316" spans="1:18" ht="30" customHeight="1">
      <c r="A316" s="204" t="str">
        <f>IF(ISBLANK(D316)," ",205-COUNTBLANK($D$6:D316))</f>
        <v xml:space="preserve"> </v>
      </c>
      <c r="B316" s="202"/>
      <c r="C316" s="202"/>
      <c r="D316" s="202"/>
      <c r="E316" s="300"/>
      <c r="F316" s="210"/>
      <c r="G316" s="203"/>
      <c r="H316" s="203"/>
      <c r="I316" s="291"/>
      <c r="J316" s="263"/>
      <c r="K316" s="264"/>
      <c r="L316" s="265"/>
      <c r="M316" s="265"/>
      <c r="N316" s="265"/>
      <c r="O316" s="265"/>
      <c r="P316" s="265"/>
      <c r="Q316" s="265"/>
      <c r="R316" s="265"/>
    </row>
    <row r="317" spans="1:18" ht="30" customHeight="1">
      <c r="A317" s="204" t="str">
        <f>IF(ISBLANK(D317)," ",206-COUNTBLANK($D$6:D317))</f>
        <v xml:space="preserve"> </v>
      </c>
      <c r="B317" s="202"/>
      <c r="C317" s="202"/>
      <c r="D317" s="202"/>
      <c r="E317" s="300"/>
      <c r="F317" s="210"/>
      <c r="G317" s="203"/>
      <c r="H317" s="203"/>
      <c r="I317" s="291"/>
      <c r="J317" s="263"/>
      <c r="K317" s="264"/>
      <c r="L317" s="265"/>
      <c r="M317" s="265"/>
      <c r="N317" s="265"/>
      <c r="O317" s="265"/>
      <c r="P317" s="265"/>
      <c r="Q317" s="265"/>
      <c r="R317" s="265"/>
    </row>
    <row r="318" spans="1:18" ht="30" customHeight="1">
      <c r="A318" s="204" t="str">
        <f>IF(ISBLANK(D318)," ",207-COUNTBLANK($D$6:D318))</f>
        <v xml:space="preserve"> </v>
      </c>
      <c r="B318" s="202"/>
      <c r="C318" s="202"/>
      <c r="D318" s="202"/>
      <c r="E318" s="300"/>
      <c r="F318" s="210"/>
      <c r="G318" s="203"/>
      <c r="H318" s="203"/>
      <c r="I318" s="291"/>
      <c r="J318" s="263"/>
      <c r="K318" s="264"/>
      <c r="L318" s="265"/>
      <c r="M318" s="265"/>
      <c r="N318" s="265"/>
      <c r="O318" s="265"/>
      <c r="P318" s="265"/>
      <c r="Q318" s="265"/>
      <c r="R318" s="265"/>
    </row>
    <row r="319" spans="1:18" ht="30" customHeight="1">
      <c r="A319" s="204" t="str">
        <f>IF(ISBLANK(D319)," ",208-COUNTBLANK($D$6:D319))</f>
        <v xml:space="preserve"> </v>
      </c>
      <c r="B319" s="202"/>
      <c r="C319" s="202"/>
      <c r="D319" s="202"/>
      <c r="E319" s="300"/>
      <c r="F319" s="210"/>
      <c r="G319" s="203"/>
      <c r="H319" s="203"/>
      <c r="I319" s="291"/>
      <c r="J319" s="263"/>
      <c r="K319" s="266"/>
      <c r="L319" s="265"/>
      <c r="M319" s="265"/>
      <c r="N319" s="265"/>
      <c r="O319" s="265"/>
      <c r="P319" s="265"/>
      <c r="Q319" s="265"/>
      <c r="R319" s="267"/>
    </row>
    <row r="320" spans="1:18" ht="30" customHeight="1">
      <c r="A320" s="204" t="str">
        <f>IF(ISBLANK(D320)," ",209-COUNTBLANK($D$6:D320))</f>
        <v xml:space="preserve"> </v>
      </c>
      <c r="B320" s="202"/>
      <c r="C320" s="202"/>
      <c r="D320" s="202"/>
      <c r="E320" s="300"/>
      <c r="F320" s="210"/>
      <c r="G320" s="203"/>
      <c r="H320" s="203"/>
      <c r="I320" s="291"/>
      <c r="J320" s="263"/>
      <c r="K320" s="266"/>
      <c r="L320" s="265"/>
      <c r="M320" s="265"/>
      <c r="N320" s="265"/>
      <c r="O320" s="265"/>
      <c r="P320" s="265"/>
      <c r="Q320" s="265"/>
      <c r="R320" s="267"/>
    </row>
    <row r="321" spans="1:21" ht="30" customHeight="1">
      <c r="A321" s="204" t="s">
        <v>52</v>
      </c>
      <c r="B321" s="202"/>
      <c r="C321" s="202"/>
      <c r="D321" s="202"/>
      <c r="E321" s="300"/>
      <c r="F321" s="210">
        <f>SUM(F301:F320)</f>
        <v>0</v>
      </c>
      <c r="G321" s="203"/>
      <c r="H321" s="203"/>
      <c r="I321" s="291"/>
      <c r="J321" s="263"/>
      <c r="K321" s="266"/>
      <c r="L321" s="265"/>
      <c r="M321" s="265"/>
      <c r="N321" s="265"/>
      <c r="O321" s="265"/>
      <c r="P321" s="265"/>
      <c r="Q321" s="265"/>
      <c r="R321" s="267"/>
    </row>
    <row r="322" spans="1:21" ht="30" customHeight="1">
      <c r="A322" s="204" t="str">
        <f>IF(ISBLANK(D322)," ",211-COUNTBLANK($D$6:D322))</f>
        <v xml:space="preserve"> </v>
      </c>
      <c r="B322" s="202"/>
      <c r="C322" s="202"/>
      <c r="D322" s="202"/>
      <c r="E322" s="300"/>
      <c r="F322" s="210"/>
      <c r="G322" s="203"/>
      <c r="H322" s="203"/>
      <c r="I322" s="291"/>
      <c r="J322" s="263"/>
      <c r="K322" s="266"/>
      <c r="L322" s="265"/>
      <c r="M322" s="265"/>
      <c r="N322" s="265"/>
      <c r="O322" s="265"/>
      <c r="P322" s="265"/>
      <c r="Q322" s="265"/>
      <c r="R322" s="267"/>
    </row>
    <row r="323" spans="1:21" ht="30" customHeight="1">
      <c r="A323" s="304" t="str">
        <f>IF(ISBLANK(D323)," ",212-COUNTBLANK($D$6:D323))</f>
        <v xml:space="preserve"> </v>
      </c>
      <c r="B323" s="296"/>
      <c r="C323" s="305"/>
      <c r="D323" s="306"/>
      <c r="E323" s="297"/>
      <c r="F323" s="298"/>
      <c r="G323" s="282"/>
      <c r="H323" s="282"/>
      <c r="I323" s="303"/>
      <c r="J323" s="263"/>
      <c r="K323" s="264"/>
      <c r="L323" s="265"/>
      <c r="M323" s="265"/>
      <c r="N323" s="265"/>
      <c r="O323" s="265"/>
      <c r="P323" s="265"/>
      <c r="Q323" s="265"/>
      <c r="R323" s="284"/>
      <c r="S323" s="265"/>
      <c r="T323" s="265"/>
      <c r="U323" s="265"/>
    </row>
    <row r="324" spans="1:21" ht="30" customHeight="1">
      <c r="A324" s="260" t="str">
        <f>IF(ISBLANK(D324)," ",213-COUNTBLANK($D$6:D324))</f>
        <v xml:space="preserve"> </v>
      </c>
      <c r="B324" s="200"/>
      <c r="C324" s="200"/>
      <c r="D324" s="200"/>
      <c r="E324" s="299"/>
      <c r="F324" s="209"/>
      <c r="G324" s="201"/>
      <c r="H324" s="201"/>
      <c r="I324" s="291"/>
      <c r="J324" s="263"/>
      <c r="K324" s="266"/>
      <c r="L324" s="265"/>
      <c r="M324" s="265"/>
      <c r="N324" s="265"/>
      <c r="O324" s="265"/>
      <c r="P324" s="265"/>
      <c r="Q324" s="265"/>
      <c r="R324" s="284"/>
      <c r="S324" s="265"/>
      <c r="T324" s="265"/>
      <c r="U324" s="265"/>
    </row>
    <row r="325" spans="1:21" ht="30" customHeight="1">
      <c r="A325" s="204" t="str">
        <f>IF(ISBLANK(D325)," ",214-COUNTBLANK($D$6:D325))</f>
        <v xml:space="preserve"> </v>
      </c>
      <c r="B325" s="202"/>
      <c r="C325" s="202"/>
      <c r="D325" s="202"/>
      <c r="E325" s="300"/>
      <c r="F325" s="210"/>
      <c r="G325" s="203"/>
      <c r="H325" s="203"/>
      <c r="I325" s="291"/>
      <c r="J325" s="263"/>
      <c r="K325" s="264"/>
      <c r="L325" s="265"/>
      <c r="M325" s="265"/>
      <c r="N325" s="265"/>
      <c r="O325" s="265"/>
      <c r="P325" s="265"/>
      <c r="Q325" s="265"/>
      <c r="R325" s="265"/>
    </row>
    <row r="326" spans="1:21" ht="30" customHeight="1">
      <c r="A326" s="204" t="str">
        <f>IF(ISBLANK(D326)," ",215-COUNTBLANK($D$6:D326))</f>
        <v xml:space="preserve"> </v>
      </c>
      <c r="B326" s="202"/>
      <c r="C326" s="202"/>
      <c r="D326" s="202"/>
      <c r="E326" s="300"/>
      <c r="F326" s="210"/>
      <c r="G326" s="203"/>
      <c r="H326" s="203"/>
      <c r="I326" s="291"/>
      <c r="J326" s="263"/>
      <c r="K326" s="264"/>
      <c r="L326" s="265"/>
      <c r="M326" s="265"/>
      <c r="N326" s="265"/>
      <c r="O326" s="265"/>
      <c r="P326" s="265"/>
      <c r="Q326" s="265"/>
      <c r="R326" s="265"/>
    </row>
    <row r="327" spans="1:21" ht="30" customHeight="1">
      <c r="A327" s="204" t="str">
        <f>IF(ISBLANK(D327)," ",216-COUNTBLANK($D$6:D327))</f>
        <v xml:space="preserve"> </v>
      </c>
      <c r="B327" s="202"/>
      <c r="C327" s="202"/>
      <c r="D327" s="202"/>
      <c r="E327" s="300"/>
      <c r="F327" s="210"/>
      <c r="G327" s="203"/>
      <c r="H327" s="203"/>
      <c r="I327" s="291"/>
      <c r="J327" s="263"/>
      <c r="K327" s="264"/>
      <c r="L327" s="265"/>
      <c r="M327" s="265"/>
      <c r="N327" s="265"/>
      <c r="O327" s="265"/>
      <c r="P327" s="265"/>
      <c r="Q327" s="265"/>
      <c r="R327" s="265"/>
    </row>
    <row r="328" spans="1:21" ht="30" customHeight="1">
      <c r="A328" s="204" t="str">
        <f>IF(ISBLANK(D328)," ",217-COUNTBLANK($D$6:D328))</f>
        <v xml:space="preserve"> </v>
      </c>
      <c r="B328" s="202"/>
      <c r="C328" s="202"/>
      <c r="D328" s="202"/>
      <c r="E328" s="300"/>
      <c r="F328" s="210"/>
      <c r="G328" s="203"/>
      <c r="H328" s="203"/>
      <c r="I328" s="291"/>
      <c r="J328" s="263"/>
      <c r="K328" s="264"/>
      <c r="L328" s="265"/>
      <c r="M328" s="265"/>
      <c r="N328" s="265"/>
      <c r="O328" s="265"/>
      <c r="P328" s="265"/>
      <c r="Q328" s="265"/>
      <c r="R328" s="265"/>
    </row>
    <row r="329" spans="1:21" ht="30" customHeight="1">
      <c r="A329" s="204" t="str">
        <f>IF(ISBLANK(D329)," ",218-COUNTBLANK($D$6:D329))</f>
        <v xml:space="preserve"> </v>
      </c>
      <c r="B329" s="202"/>
      <c r="C329" s="202"/>
      <c r="D329" s="202"/>
      <c r="E329" s="300"/>
      <c r="F329" s="210"/>
      <c r="G329" s="203"/>
      <c r="H329" s="203"/>
      <c r="I329" s="291"/>
      <c r="J329" s="263"/>
      <c r="K329" s="264"/>
      <c r="L329" s="265"/>
      <c r="M329" s="265"/>
      <c r="N329" s="265"/>
      <c r="O329" s="265"/>
      <c r="P329" s="265"/>
      <c r="Q329" s="265"/>
      <c r="R329" s="265"/>
    </row>
    <row r="330" spans="1:21" ht="30" customHeight="1">
      <c r="A330" s="204" t="str">
        <f>IF(ISBLANK(D330)," ",219-COUNTBLANK($D$6:D330))</f>
        <v xml:space="preserve"> </v>
      </c>
      <c r="B330" s="202"/>
      <c r="C330" s="202"/>
      <c r="D330" s="202"/>
      <c r="E330" s="300"/>
      <c r="F330" s="210"/>
      <c r="G330" s="203"/>
      <c r="H330" s="203"/>
      <c r="I330" s="291"/>
      <c r="J330" s="263"/>
      <c r="K330" s="264"/>
      <c r="L330" s="265"/>
      <c r="M330" s="265"/>
      <c r="N330" s="265"/>
      <c r="O330" s="265"/>
      <c r="P330" s="265"/>
      <c r="Q330" s="265"/>
      <c r="R330" s="265"/>
    </row>
    <row r="331" spans="1:21" ht="30" customHeight="1">
      <c r="A331" s="204" t="str">
        <f>IF(ISBLANK(D331)," ",220-COUNTBLANK($D$6:D331))</f>
        <v xml:space="preserve"> </v>
      </c>
      <c r="B331" s="202"/>
      <c r="C331" s="202"/>
      <c r="D331" s="202"/>
      <c r="E331" s="300"/>
      <c r="F331" s="210"/>
      <c r="G331" s="203"/>
      <c r="H331" s="203"/>
      <c r="I331" s="291"/>
      <c r="J331" s="263"/>
      <c r="K331" s="264"/>
      <c r="L331" s="265"/>
      <c r="M331" s="265"/>
      <c r="N331" s="265"/>
      <c r="O331" s="265"/>
      <c r="P331" s="265"/>
      <c r="Q331" s="265"/>
      <c r="R331" s="265"/>
    </row>
    <row r="332" spans="1:21" ht="30" customHeight="1">
      <c r="A332" s="204" t="str">
        <f>IF(ISBLANK(D332)," ",221-COUNTBLANK($D$6:D332))</f>
        <v xml:space="preserve"> </v>
      </c>
      <c r="B332" s="202"/>
      <c r="C332" s="202"/>
      <c r="D332" s="202"/>
      <c r="E332" s="300"/>
      <c r="F332" s="210"/>
      <c r="G332" s="203"/>
      <c r="H332" s="203"/>
      <c r="I332" s="291"/>
      <c r="J332" s="263"/>
      <c r="K332" s="264"/>
      <c r="L332" s="265"/>
      <c r="M332" s="265"/>
      <c r="N332" s="265"/>
      <c r="O332" s="265"/>
      <c r="P332" s="265"/>
      <c r="Q332" s="265"/>
      <c r="R332" s="265"/>
    </row>
    <row r="333" spans="1:21" ht="30" customHeight="1">
      <c r="A333" s="204" t="str">
        <f>IF(ISBLANK(D333)," ",222-COUNTBLANK($D$6:D333))</f>
        <v xml:space="preserve"> </v>
      </c>
      <c r="B333" s="202"/>
      <c r="C333" s="202"/>
      <c r="D333" s="202"/>
      <c r="E333" s="300"/>
      <c r="F333" s="210"/>
      <c r="G333" s="203"/>
      <c r="H333" s="203"/>
      <c r="I333" s="291"/>
      <c r="J333" s="263"/>
      <c r="K333" s="264"/>
      <c r="L333" s="265"/>
      <c r="M333" s="265"/>
      <c r="N333" s="265"/>
      <c r="O333" s="265"/>
      <c r="P333" s="265"/>
      <c r="Q333" s="265"/>
      <c r="R333" s="265"/>
    </row>
    <row r="334" spans="1:21" ht="30" customHeight="1">
      <c r="A334" s="204" t="str">
        <f>IF(ISBLANK(D334)," ",223-COUNTBLANK($D$6:D334))</f>
        <v xml:space="preserve"> </v>
      </c>
      <c r="B334" s="202"/>
      <c r="C334" s="202"/>
      <c r="D334" s="202"/>
      <c r="E334" s="300"/>
      <c r="F334" s="210"/>
      <c r="G334" s="203"/>
      <c r="H334" s="203"/>
      <c r="I334" s="291"/>
      <c r="J334" s="263"/>
      <c r="K334" s="264"/>
      <c r="L334" s="265"/>
      <c r="M334" s="265"/>
      <c r="N334" s="265"/>
      <c r="O334" s="265"/>
      <c r="P334" s="265"/>
      <c r="Q334" s="265"/>
      <c r="R334" s="265"/>
    </row>
    <row r="335" spans="1:21" ht="30" customHeight="1">
      <c r="A335" s="204" t="str">
        <f>IF(ISBLANK(D335)," ",224-COUNTBLANK($D$6:D335))</f>
        <v xml:space="preserve"> </v>
      </c>
      <c r="B335" s="202"/>
      <c r="C335" s="202"/>
      <c r="D335" s="202"/>
      <c r="E335" s="300"/>
      <c r="F335" s="210"/>
      <c r="G335" s="203"/>
      <c r="H335" s="203"/>
      <c r="I335" s="291"/>
      <c r="J335" s="263"/>
      <c r="K335" s="264"/>
      <c r="L335" s="265"/>
      <c r="M335" s="265"/>
      <c r="N335" s="265"/>
      <c r="O335" s="265"/>
      <c r="P335" s="265"/>
      <c r="Q335" s="265"/>
      <c r="R335" s="265"/>
    </row>
    <row r="336" spans="1:21" ht="30" customHeight="1">
      <c r="A336" s="204" t="str">
        <f>IF(ISBLANK(D336)," ",225-COUNTBLANK($D$6:D336))</f>
        <v xml:space="preserve"> </v>
      </c>
      <c r="B336" s="202"/>
      <c r="C336" s="202"/>
      <c r="D336" s="202"/>
      <c r="E336" s="300"/>
      <c r="F336" s="210"/>
      <c r="G336" s="203"/>
      <c r="H336" s="203"/>
      <c r="I336" s="291"/>
      <c r="J336" s="263"/>
      <c r="K336" s="264"/>
      <c r="L336" s="265"/>
      <c r="M336" s="265"/>
      <c r="N336" s="265"/>
      <c r="O336" s="265"/>
      <c r="P336" s="265"/>
      <c r="Q336" s="265"/>
      <c r="R336" s="265"/>
    </row>
    <row r="337" spans="1:21" ht="30" customHeight="1">
      <c r="A337" s="204" t="str">
        <f>IF(ISBLANK(D337)," ",226-COUNTBLANK($D$6:D337))</f>
        <v xml:space="preserve"> </v>
      </c>
      <c r="B337" s="202"/>
      <c r="C337" s="202"/>
      <c r="D337" s="202"/>
      <c r="E337" s="300"/>
      <c r="F337" s="210"/>
      <c r="G337" s="203"/>
      <c r="H337" s="203"/>
      <c r="I337" s="291"/>
      <c r="J337" s="263"/>
      <c r="K337" s="264"/>
      <c r="L337" s="265"/>
      <c r="M337" s="265"/>
      <c r="N337" s="265"/>
      <c r="O337" s="265"/>
      <c r="P337" s="265"/>
      <c r="Q337" s="265"/>
      <c r="R337" s="265"/>
    </row>
    <row r="338" spans="1:21" ht="30" customHeight="1">
      <c r="A338" s="204" t="str">
        <f>IF(ISBLANK(D338)," ",227-COUNTBLANK($D$6:D338))</f>
        <v xml:space="preserve"> </v>
      </c>
      <c r="B338" s="202"/>
      <c r="C338" s="202"/>
      <c r="D338" s="202"/>
      <c r="E338" s="300"/>
      <c r="F338" s="210"/>
      <c r="G338" s="203"/>
      <c r="H338" s="203"/>
      <c r="I338" s="291"/>
      <c r="J338" s="263"/>
      <c r="K338" s="264"/>
      <c r="L338" s="265"/>
      <c r="M338" s="265"/>
      <c r="N338" s="265"/>
      <c r="O338" s="265"/>
      <c r="P338" s="265"/>
      <c r="Q338" s="265"/>
      <c r="R338" s="265"/>
    </row>
    <row r="339" spans="1:21" ht="30" customHeight="1">
      <c r="A339" s="204" t="str">
        <f>IF(ISBLANK(D339)," ",228-COUNTBLANK($D$6:D339))</f>
        <v xml:space="preserve"> </v>
      </c>
      <c r="B339" s="202"/>
      <c r="C339" s="202"/>
      <c r="D339" s="202"/>
      <c r="E339" s="300"/>
      <c r="F339" s="210"/>
      <c r="G339" s="203"/>
      <c r="H339" s="203"/>
      <c r="I339" s="291"/>
      <c r="J339" s="263"/>
      <c r="K339" s="264"/>
      <c r="L339" s="265"/>
      <c r="M339" s="265"/>
      <c r="N339" s="265"/>
      <c r="O339" s="265"/>
      <c r="P339" s="265"/>
      <c r="Q339" s="265"/>
      <c r="R339" s="265"/>
    </row>
    <row r="340" spans="1:21" ht="30" customHeight="1">
      <c r="A340" s="204" t="str">
        <f>IF(ISBLANK(D340)," ",229-COUNTBLANK($D$6:D340))</f>
        <v xml:space="preserve"> </v>
      </c>
      <c r="B340" s="202"/>
      <c r="C340" s="202"/>
      <c r="D340" s="202"/>
      <c r="E340" s="300"/>
      <c r="F340" s="210"/>
      <c r="G340" s="203"/>
      <c r="H340" s="203"/>
      <c r="I340" s="291"/>
      <c r="J340" s="263"/>
      <c r="K340" s="266"/>
      <c r="L340" s="265"/>
      <c r="M340" s="265"/>
      <c r="N340" s="265"/>
      <c r="O340" s="265"/>
      <c r="P340" s="265"/>
      <c r="Q340" s="265"/>
      <c r="R340" s="267"/>
    </row>
    <row r="341" spans="1:21" ht="30" customHeight="1">
      <c r="A341" s="204" t="str">
        <f>IF(ISBLANK(D341)," ",230-COUNTBLANK($D$6:D341))</f>
        <v xml:space="preserve"> </v>
      </c>
      <c r="B341" s="202"/>
      <c r="C341" s="202"/>
      <c r="D341" s="202"/>
      <c r="E341" s="300"/>
      <c r="F341" s="210"/>
      <c r="G341" s="203"/>
      <c r="H341" s="203"/>
      <c r="I341" s="291"/>
      <c r="J341" s="263"/>
      <c r="K341" s="266"/>
      <c r="L341" s="265"/>
      <c r="M341" s="265"/>
      <c r="N341" s="265"/>
      <c r="O341" s="265"/>
      <c r="P341" s="265"/>
      <c r="Q341" s="265"/>
      <c r="R341" s="267"/>
    </row>
    <row r="342" spans="1:21" ht="30" customHeight="1">
      <c r="A342" s="204" t="s">
        <v>52</v>
      </c>
      <c r="B342" s="202"/>
      <c r="C342" s="202"/>
      <c r="D342" s="202"/>
      <c r="E342" s="300"/>
      <c r="F342" s="210">
        <f>SUM(F322:F341)</f>
        <v>0</v>
      </c>
      <c r="G342" s="203"/>
      <c r="H342" s="203"/>
      <c r="I342" s="291"/>
      <c r="J342" s="263"/>
      <c r="K342" s="266"/>
      <c r="L342" s="265"/>
      <c r="M342" s="265"/>
      <c r="N342" s="265"/>
      <c r="O342" s="265"/>
      <c r="P342" s="265"/>
      <c r="Q342" s="265"/>
      <c r="R342" s="267"/>
    </row>
    <row r="343" spans="1:21" ht="30" customHeight="1">
      <c r="A343" s="204" t="str">
        <f>IF(ISBLANK(D343)," ",232-COUNTBLANK($D$6:D343))</f>
        <v xml:space="preserve"> </v>
      </c>
      <c r="B343" s="202"/>
      <c r="C343" s="202"/>
      <c r="D343" s="202"/>
      <c r="E343" s="300"/>
      <c r="F343" s="210"/>
      <c r="G343" s="203"/>
      <c r="H343" s="203"/>
      <c r="I343" s="291"/>
      <c r="J343" s="263"/>
      <c r="K343" s="266"/>
      <c r="L343" s="265"/>
      <c r="M343" s="265"/>
      <c r="N343" s="265"/>
      <c r="O343" s="265"/>
      <c r="P343" s="265"/>
      <c r="Q343" s="265"/>
      <c r="R343" s="267"/>
    </row>
    <row r="344" spans="1:21" ht="30" customHeight="1">
      <c r="A344" s="304" t="str">
        <f>IF(ISBLANK(D344)," ",233-COUNTBLANK($D$6:D344))</f>
        <v xml:space="preserve"> </v>
      </c>
      <c r="B344" s="296"/>
      <c r="C344" s="305"/>
      <c r="D344" s="306"/>
      <c r="E344" s="297"/>
      <c r="F344" s="298"/>
      <c r="G344" s="282"/>
      <c r="H344" s="282"/>
      <c r="I344" s="303"/>
      <c r="J344" s="263"/>
      <c r="K344" s="264"/>
      <c r="L344" s="265"/>
      <c r="M344" s="265"/>
      <c r="N344" s="265"/>
      <c r="O344" s="265"/>
      <c r="P344" s="265"/>
      <c r="Q344" s="265"/>
      <c r="R344" s="284"/>
      <c r="S344" s="265"/>
      <c r="T344" s="265"/>
      <c r="U344" s="265"/>
    </row>
    <row r="345" spans="1:21" ht="30" customHeight="1">
      <c r="A345" s="260" t="str">
        <f>IF(ISBLANK(D345)," ",234-COUNTBLANK($D$6:D345))</f>
        <v xml:space="preserve"> </v>
      </c>
      <c r="B345" s="200"/>
      <c r="C345" s="200"/>
      <c r="D345" s="200"/>
      <c r="E345" s="299"/>
      <c r="F345" s="209"/>
      <c r="G345" s="201"/>
      <c r="H345" s="201"/>
      <c r="I345" s="291"/>
      <c r="J345" s="263"/>
      <c r="K345" s="266"/>
      <c r="L345" s="265"/>
      <c r="M345" s="265"/>
      <c r="N345" s="265"/>
      <c r="O345" s="265"/>
      <c r="P345" s="265"/>
      <c r="Q345" s="265"/>
      <c r="R345" s="284"/>
      <c r="S345" s="265"/>
      <c r="T345" s="265"/>
      <c r="U345" s="265"/>
    </row>
    <row r="346" spans="1:21" ht="30" customHeight="1">
      <c r="A346" s="204" t="str">
        <f>IF(ISBLANK(D346)," ",235-COUNTBLANK($D$6:D346))</f>
        <v xml:space="preserve"> </v>
      </c>
      <c r="B346" s="202"/>
      <c r="C346" s="202"/>
      <c r="D346" s="202"/>
      <c r="E346" s="300"/>
      <c r="F346" s="210"/>
      <c r="G346" s="203"/>
      <c r="H346" s="203"/>
      <c r="I346" s="291"/>
      <c r="J346" s="263"/>
      <c r="K346" s="264"/>
      <c r="L346" s="265"/>
      <c r="M346" s="265"/>
      <c r="N346" s="265"/>
      <c r="O346" s="265"/>
      <c r="P346" s="265"/>
      <c r="Q346" s="265"/>
      <c r="R346" s="265"/>
    </row>
    <row r="347" spans="1:21" ht="30" customHeight="1">
      <c r="A347" s="204" t="str">
        <f>IF(ISBLANK(D347)," ",236-COUNTBLANK($D$6:D347))</f>
        <v xml:space="preserve"> </v>
      </c>
      <c r="B347" s="202"/>
      <c r="C347" s="202"/>
      <c r="D347" s="202"/>
      <c r="E347" s="300"/>
      <c r="F347" s="210"/>
      <c r="G347" s="203"/>
      <c r="H347" s="203"/>
      <c r="I347" s="291"/>
      <c r="J347" s="263"/>
      <c r="K347" s="264"/>
      <c r="L347" s="265"/>
      <c r="M347" s="265"/>
      <c r="N347" s="265"/>
      <c r="O347" s="265"/>
      <c r="P347" s="265"/>
      <c r="Q347" s="265"/>
      <c r="R347" s="265"/>
    </row>
    <row r="348" spans="1:21" ht="30" customHeight="1">
      <c r="A348" s="204" t="str">
        <f>IF(ISBLANK(D348)," ",237-COUNTBLANK($D$6:D348))</f>
        <v xml:space="preserve"> </v>
      </c>
      <c r="B348" s="202"/>
      <c r="C348" s="202"/>
      <c r="D348" s="202"/>
      <c r="E348" s="300"/>
      <c r="F348" s="210"/>
      <c r="G348" s="203"/>
      <c r="H348" s="203"/>
      <c r="I348" s="291"/>
      <c r="J348" s="263"/>
      <c r="K348" s="264"/>
      <c r="L348" s="265"/>
      <c r="M348" s="265"/>
      <c r="N348" s="265"/>
      <c r="O348" s="265"/>
      <c r="P348" s="265"/>
      <c r="Q348" s="265"/>
      <c r="R348" s="265"/>
    </row>
    <row r="349" spans="1:21" ht="30" customHeight="1">
      <c r="A349" s="204" t="str">
        <f>IF(ISBLANK(D349)," ",238-COUNTBLANK($D$6:D349))</f>
        <v xml:space="preserve"> </v>
      </c>
      <c r="B349" s="202"/>
      <c r="C349" s="202"/>
      <c r="D349" s="202"/>
      <c r="E349" s="300"/>
      <c r="F349" s="210"/>
      <c r="G349" s="203"/>
      <c r="H349" s="203"/>
      <c r="I349" s="291"/>
      <c r="J349" s="263"/>
      <c r="K349" s="264"/>
      <c r="L349" s="265"/>
      <c r="M349" s="265"/>
      <c r="N349" s="265"/>
      <c r="O349" s="265"/>
      <c r="P349" s="265"/>
      <c r="Q349" s="265"/>
      <c r="R349" s="265"/>
    </row>
    <row r="350" spans="1:21" ht="30" customHeight="1">
      <c r="A350" s="204" t="str">
        <f>IF(ISBLANK(D350)," ",239-COUNTBLANK($D$6:D350))</f>
        <v xml:space="preserve"> </v>
      </c>
      <c r="B350" s="202"/>
      <c r="C350" s="202"/>
      <c r="D350" s="202"/>
      <c r="E350" s="300"/>
      <c r="F350" s="210"/>
      <c r="G350" s="203"/>
      <c r="H350" s="203"/>
      <c r="I350" s="291"/>
      <c r="J350" s="263"/>
      <c r="K350" s="264"/>
      <c r="L350" s="265"/>
      <c r="M350" s="265"/>
      <c r="N350" s="265"/>
      <c r="O350" s="265"/>
      <c r="P350" s="265"/>
      <c r="Q350" s="265"/>
      <c r="R350" s="265"/>
    </row>
    <row r="351" spans="1:21" ht="30" customHeight="1">
      <c r="A351" s="204" t="str">
        <f>IF(ISBLANK(D351)," ",240-COUNTBLANK($D$6:D351))</f>
        <v xml:space="preserve"> </v>
      </c>
      <c r="B351" s="202"/>
      <c r="C351" s="202"/>
      <c r="D351" s="202"/>
      <c r="E351" s="300"/>
      <c r="F351" s="210"/>
      <c r="G351" s="203"/>
      <c r="H351" s="203"/>
      <c r="I351" s="291"/>
      <c r="J351" s="263"/>
      <c r="K351" s="264"/>
      <c r="L351" s="265"/>
      <c r="M351" s="265"/>
      <c r="N351" s="265"/>
      <c r="O351" s="265"/>
      <c r="P351" s="265"/>
      <c r="Q351" s="265"/>
      <c r="R351" s="265"/>
    </row>
    <row r="352" spans="1:21" ht="30" customHeight="1">
      <c r="A352" s="204" t="str">
        <f>IF(ISBLANK(D352)," ",241-COUNTBLANK($D$6:D352))</f>
        <v xml:space="preserve"> </v>
      </c>
      <c r="B352" s="202"/>
      <c r="C352" s="202"/>
      <c r="D352" s="202"/>
      <c r="E352" s="300"/>
      <c r="F352" s="210"/>
      <c r="G352" s="203"/>
      <c r="H352" s="203"/>
      <c r="I352" s="291"/>
      <c r="J352" s="263"/>
      <c r="K352" s="264"/>
      <c r="L352" s="265"/>
      <c r="M352" s="265"/>
      <c r="N352" s="265"/>
      <c r="O352" s="265"/>
      <c r="P352" s="265"/>
      <c r="Q352" s="265"/>
      <c r="R352" s="265"/>
    </row>
    <row r="353" spans="1:21" ht="30" customHeight="1">
      <c r="A353" s="204" t="str">
        <f>IF(ISBLANK(D353)," ",242-COUNTBLANK($D$6:D353))</f>
        <v xml:space="preserve"> </v>
      </c>
      <c r="B353" s="202"/>
      <c r="C353" s="202"/>
      <c r="D353" s="202"/>
      <c r="E353" s="300"/>
      <c r="F353" s="210"/>
      <c r="G353" s="203"/>
      <c r="H353" s="203"/>
      <c r="I353" s="291"/>
      <c r="J353" s="263"/>
      <c r="K353" s="264"/>
      <c r="L353" s="265"/>
      <c r="M353" s="265"/>
      <c r="N353" s="265"/>
      <c r="O353" s="265"/>
      <c r="P353" s="265"/>
      <c r="Q353" s="265"/>
      <c r="R353" s="265"/>
    </row>
    <row r="354" spans="1:21" ht="30" customHeight="1">
      <c r="A354" s="204" t="str">
        <f>IF(ISBLANK(D354)," ",243-COUNTBLANK($D$6:D354))</f>
        <v xml:space="preserve"> </v>
      </c>
      <c r="B354" s="202"/>
      <c r="C354" s="202"/>
      <c r="D354" s="202"/>
      <c r="E354" s="300"/>
      <c r="F354" s="210"/>
      <c r="G354" s="203"/>
      <c r="H354" s="203"/>
      <c r="I354" s="291"/>
      <c r="J354" s="263"/>
      <c r="K354" s="264"/>
      <c r="L354" s="265"/>
      <c r="M354" s="265"/>
      <c r="N354" s="265"/>
      <c r="O354" s="265"/>
      <c r="P354" s="265"/>
      <c r="Q354" s="265"/>
      <c r="R354" s="265"/>
    </row>
    <row r="355" spans="1:21" ht="30" customHeight="1">
      <c r="A355" s="204" t="str">
        <f>IF(ISBLANK(D355)," ",244-COUNTBLANK($D$6:D355))</f>
        <v xml:space="preserve"> </v>
      </c>
      <c r="B355" s="202"/>
      <c r="C355" s="202"/>
      <c r="D355" s="202"/>
      <c r="E355" s="300"/>
      <c r="F355" s="210"/>
      <c r="G355" s="203"/>
      <c r="H355" s="203"/>
      <c r="I355" s="291"/>
      <c r="J355" s="263"/>
      <c r="K355" s="264"/>
      <c r="L355" s="265"/>
      <c r="M355" s="265"/>
      <c r="N355" s="265"/>
      <c r="O355" s="265"/>
      <c r="P355" s="265"/>
      <c r="Q355" s="265"/>
      <c r="R355" s="265"/>
    </row>
    <row r="356" spans="1:21" ht="30" customHeight="1">
      <c r="A356" s="204" t="str">
        <f>IF(ISBLANK(D356)," ",245-COUNTBLANK($D$6:D356))</f>
        <v xml:space="preserve"> </v>
      </c>
      <c r="B356" s="202"/>
      <c r="C356" s="202"/>
      <c r="D356" s="202"/>
      <c r="E356" s="300"/>
      <c r="F356" s="210"/>
      <c r="G356" s="203"/>
      <c r="H356" s="203"/>
      <c r="I356" s="291"/>
      <c r="J356" s="263"/>
      <c r="K356" s="264"/>
      <c r="L356" s="265"/>
      <c r="M356" s="265"/>
      <c r="N356" s="265"/>
      <c r="O356" s="265"/>
      <c r="P356" s="265"/>
      <c r="Q356" s="265"/>
      <c r="R356" s="265"/>
    </row>
    <row r="357" spans="1:21" ht="30" customHeight="1">
      <c r="A357" s="204" t="str">
        <f>IF(ISBLANK(D357)," ",246-COUNTBLANK($D$6:D357))</f>
        <v xml:space="preserve"> </v>
      </c>
      <c r="B357" s="202"/>
      <c r="C357" s="202"/>
      <c r="D357" s="202"/>
      <c r="E357" s="300"/>
      <c r="F357" s="210"/>
      <c r="G357" s="203"/>
      <c r="H357" s="203"/>
      <c r="I357" s="291"/>
      <c r="J357" s="263"/>
      <c r="K357" s="264"/>
      <c r="L357" s="265"/>
      <c r="M357" s="265"/>
      <c r="N357" s="265"/>
      <c r="O357" s="265"/>
      <c r="P357" s="265"/>
      <c r="Q357" s="265"/>
      <c r="R357" s="265"/>
    </row>
    <row r="358" spans="1:21" ht="30" customHeight="1">
      <c r="A358" s="204" t="str">
        <f>IF(ISBLANK(D358)," ",247-COUNTBLANK($D$6:D358))</f>
        <v xml:space="preserve"> </v>
      </c>
      <c r="B358" s="202"/>
      <c r="C358" s="202"/>
      <c r="D358" s="202"/>
      <c r="E358" s="300"/>
      <c r="F358" s="210"/>
      <c r="G358" s="203"/>
      <c r="H358" s="203"/>
      <c r="I358" s="291"/>
      <c r="J358" s="263"/>
      <c r="K358" s="264"/>
      <c r="L358" s="265"/>
      <c r="M358" s="265"/>
      <c r="N358" s="265"/>
      <c r="O358" s="265"/>
      <c r="P358" s="265"/>
      <c r="Q358" s="265"/>
      <c r="R358" s="265"/>
    </row>
    <row r="359" spans="1:21" ht="30" customHeight="1">
      <c r="A359" s="204" t="str">
        <f>IF(ISBLANK(D359)," ",248-COUNTBLANK($D$6:D359))</f>
        <v xml:space="preserve"> </v>
      </c>
      <c r="B359" s="202"/>
      <c r="C359" s="202"/>
      <c r="D359" s="202"/>
      <c r="E359" s="300"/>
      <c r="F359" s="210"/>
      <c r="G359" s="203"/>
      <c r="H359" s="203"/>
      <c r="I359" s="291"/>
      <c r="J359" s="263"/>
      <c r="K359" s="264"/>
      <c r="L359" s="265"/>
      <c r="M359" s="265"/>
      <c r="N359" s="265"/>
      <c r="O359" s="265"/>
      <c r="P359" s="265"/>
      <c r="Q359" s="265"/>
      <c r="R359" s="265"/>
    </row>
    <row r="360" spans="1:21" ht="30" customHeight="1">
      <c r="A360" s="204" t="str">
        <f>IF(ISBLANK(D360)," ",249-COUNTBLANK($D$6:D360))</f>
        <v xml:space="preserve"> </v>
      </c>
      <c r="B360" s="202"/>
      <c r="C360" s="202"/>
      <c r="D360" s="202"/>
      <c r="E360" s="300"/>
      <c r="F360" s="210"/>
      <c r="G360" s="203"/>
      <c r="H360" s="203"/>
      <c r="I360" s="291"/>
      <c r="J360" s="263"/>
      <c r="K360" s="264"/>
      <c r="L360" s="265"/>
      <c r="M360" s="265"/>
      <c r="N360" s="265"/>
      <c r="O360" s="265"/>
      <c r="P360" s="265"/>
      <c r="Q360" s="265"/>
      <c r="R360" s="265"/>
    </row>
    <row r="361" spans="1:21" ht="30" customHeight="1">
      <c r="A361" s="204" t="str">
        <f>IF(ISBLANK(D361)," ",250-COUNTBLANK($D$6:D361))</f>
        <v xml:space="preserve"> </v>
      </c>
      <c r="B361" s="202"/>
      <c r="C361" s="202"/>
      <c r="D361" s="202"/>
      <c r="E361" s="300"/>
      <c r="F361" s="210"/>
      <c r="G361" s="203"/>
      <c r="H361" s="203"/>
      <c r="I361" s="291"/>
      <c r="J361" s="263"/>
      <c r="K361" s="266"/>
      <c r="L361" s="265"/>
      <c r="M361" s="265"/>
      <c r="N361" s="265"/>
      <c r="O361" s="265"/>
      <c r="P361" s="265"/>
      <c r="Q361" s="265"/>
      <c r="R361" s="267"/>
    </row>
    <row r="362" spans="1:21" ht="30" customHeight="1">
      <c r="A362" s="204" t="str">
        <f>IF(ISBLANK(D362)," ",251-COUNTBLANK($D$6:D362))</f>
        <v xml:space="preserve"> </v>
      </c>
      <c r="B362" s="202"/>
      <c r="C362" s="202"/>
      <c r="D362" s="202"/>
      <c r="E362" s="300"/>
      <c r="F362" s="210"/>
      <c r="G362" s="203"/>
      <c r="H362" s="203"/>
      <c r="I362" s="291"/>
      <c r="J362" s="263"/>
      <c r="K362" s="266"/>
      <c r="L362" s="265"/>
      <c r="M362" s="265"/>
      <c r="N362" s="265"/>
      <c r="O362" s="265"/>
      <c r="P362" s="265"/>
      <c r="Q362" s="265"/>
      <c r="R362" s="267"/>
    </row>
    <row r="363" spans="1:21" ht="30" customHeight="1">
      <c r="A363" s="204" t="s">
        <v>52</v>
      </c>
      <c r="B363" s="202"/>
      <c r="C363" s="202"/>
      <c r="D363" s="202"/>
      <c r="E363" s="300"/>
      <c r="F363" s="210">
        <f>SUM(F343:F362)</f>
        <v>0</v>
      </c>
      <c r="G363" s="203"/>
      <c r="H363" s="203"/>
      <c r="I363" s="291"/>
      <c r="J363" s="263"/>
      <c r="K363" s="266"/>
      <c r="L363" s="265"/>
      <c r="M363" s="265"/>
      <c r="N363" s="265"/>
      <c r="O363" s="265"/>
      <c r="P363" s="265"/>
      <c r="Q363" s="265"/>
      <c r="R363" s="267"/>
    </row>
    <row r="364" spans="1:21" ht="30" customHeight="1">
      <c r="A364" s="204" t="str">
        <f>IF(ISBLANK(D364)," ",253-COUNTBLANK($D$6:D364))</f>
        <v xml:space="preserve"> </v>
      </c>
      <c r="B364" s="202"/>
      <c r="C364" s="202"/>
      <c r="D364" s="202"/>
      <c r="E364" s="300"/>
      <c r="F364" s="210"/>
      <c r="G364" s="203"/>
      <c r="H364" s="203"/>
      <c r="I364" s="291"/>
      <c r="J364" s="263"/>
      <c r="K364" s="266"/>
      <c r="L364" s="265"/>
      <c r="M364" s="265"/>
      <c r="N364" s="265"/>
      <c r="O364" s="265"/>
      <c r="P364" s="265"/>
      <c r="Q364" s="265"/>
      <c r="R364" s="267"/>
    </row>
    <row r="365" spans="1:21" ht="30" customHeight="1">
      <c r="A365" s="304" t="str">
        <f>IF(ISBLANK(D365)," ",254-COUNTBLANK($D$6:D365))</f>
        <v xml:space="preserve"> </v>
      </c>
      <c r="B365" s="296"/>
      <c r="C365" s="305"/>
      <c r="D365" s="306"/>
      <c r="E365" s="297"/>
      <c r="F365" s="298"/>
      <c r="G365" s="282"/>
      <c r="H365" s="282"/>
      <c r="I365" s="303"/>
      <c r="J365" s="263"/>
      <c r="K365" s="264"/>
      <c r="L365" s="265"/>
      <c r="M365" s="265"/>
      <c r="N365" s="265"/>
      <c r="O365" s="265"/>
      <c r="P365" s="265"/>
      <c r="Q365" s="265"/>
      <c r="R365" s="284"/>
      <c r="S365" s="265"/>
      <c r="T365" s="265"/>
      <c r="U365" s="265"/>
    </row>
    <row r="366" spans="1:21" ht="30" customHeight="1">
      <c r="A366" s="260" t="str">
        <f>IF(ISBLANK(D366)," ",255-COUNTBLANK($D$6:D366))</f>
        <v xml:space="preserve"> </v>
      </c>
      <c r="B366" s="200"/>
      <c r="C366" s="200"/>
      <c r="D366" s="200"/>
      <c r="E366" s="299"/>
      <c r="F366" s="209"/>
      <c r="G366" s="201"/>
      <c r="H366" s="201"/>
      <c r="I366" s="291"/>
      <c r="J366" s="263"/>
      <c r="K366" s="266"/>
      <c r="L366" s="265"/>
      <c r="M366" s="265"/>
      <c r="N366" s="265"/>
      <c r="O366" s="265"/>
      <c r="P366" s="265"/>
      <c r="Q366" s="265"/>
      <c r="R366" s="284"/>
      <c r="S366" s="265"/>
      <c r="T366" s="265"/>
      <c r="U366" s="265"/>
    </row>
    <row r="367" spans="1:21" ht="30" customHeight="1">
      <c r="A367" s="204" t="str">
        <f>IF(ISBLANK(D367)," ",256-COUNTBLANK($D$6:D367))</f>
        <v xml:space="preserve"> </v>
      </c>
      <c r="B367" s="202"/>
      <c r="C367" s="202"/>
      <c r="D367" s="202"/>
      <c r="E367" s="300"/>
      <c r="F367" s="210"/>
      <c r="G367" s="203"/>
      <c r="H367" s="203"/>
      <c r="I367" s="291"/>
      <c r="J367" s="263"/>
      <c r="K367" s="264"/>
      <c r="L367" s="265"/>
      <c r="M367" s="265"/>
      <c r="N367" s="265"/>
      <c r="O367" s="265"/>
      <c r="P367" s="265"/>
      <c r="Q367" s="265"/>
      <c r="R367" s="265"/>
    </row>
    <row r="368" spans="1:21" ht="30" customHeight="1">
      <c r="A368" s="204" t="str">
        <f>IF(ISBLANK(D368)," ",257-COUNTBLANK($D$6:D368))</f>
        <v xml:space="preserve"> </v>
      </c>
      <c r="B368" s="202"/>
      <c r="C368" s="202"/>
      <c r="D368" s="202"/>
      <c r="E368" s="300"/>
      <c r="F368" s="210"/>
      <c r="G368" s="203"/>
      <c r="H368" s="203"/>
      <c r="I368" s="291"/>
      <c r="J368" s="263"/>
      <c r="K368" s="264"/>
      <c r="L368" s="265"/>
      <c r="M368" s="265"/>
      <c r="N368" s="265"/>
      <c r="O368" s="265"/>
      <c r="P368" s="265"/>
      <c r="Q368" s="265"/>
      <c r="R368" s="265"/>
    </row>
    <row r="369" spans="1:18" ht="30" customHeight="1">
      <c r="A369" s="204" t="str">
        <f>IF(ISBLANK(D369)," ",258-COUNTBLANK($D$6:D369))</f>
        <v xml:space="preserve"> </v>
      </c>
      <c r="B369" s="202"/>
      <c r="C369" s="202"/>
      <c r="D369" s="202"/>
      <c r="E369" s="300"/>
      <c r="F369" s="210"/>
      <c r="G369" s="203"/>
      <c r="H369" s="203"/>
      <c r="I369" s="291"/>
      <c r="J369" s="263"/>
      <c r="K369" s="264"/>
      <c r="L369" s="265"/>
      <c r="M369" s="265"/>
      <c r="N369" s="265"/>
      <c r="O369" s="265"/>
      <c r="P369" s="265"/>
      <c r="Q369" s="265"/>
      <c r="R369" s="265"/>
    </row>
    <row r="370" spans="1:18" ht="30" customHeight="1">
      <c r="A370" s="204" t="str">
        <f>IF(ISBLANK(D370)," ",259-COUNTBLANK($D$6:D370))</f>
        <v xml:space="preserve"> </v>
      </c>
      <c r="B370" s="202"/>
      <c r="C370" s="202"/>
      <c r="D370" s="202"/>
      <c r="E370" s="300"/>
      <c r="F370" s="210"/>
      <c r="G370" s="203"/>
      <c r="H370" s="203"/>
      <c r="I370" s="291"/>
      <c r="J370" s="263"/>
      <c r="K370" s="264"/>
      <c r="L370" s="265"/>
      <c r="M370" s="265"/>
      <c r="N370" s="265"/>
      <c r="O370" s="265"/>
      <c r="P370" s="265"/>
      <c r="Q370" s="265"/>
      <c r="R370" s="265"/>
    </row>
    <row r="371" spans="1:18" ht="30" customHeight="1">
      <c r="A371" s="204" t="str">
        <f>IF(ISBLANK(D371)," ",260-COUNTBLANK($D$6:D371))</f>
        <v xml:space="preserve"> </v>
      </c>
      <c r="B371" s="202"/>
      <c r="C371" s="202"/>
      <c r="D371" s="202"/>
      <c r="E371" s="300"/>
      <c r="F371" s="210"/>
      <c r="G371" s="203"/>
      <c r="H371" s="203"/>
      <c r="I371" s="291"/>
      <c r="J371" s="263"/>
      <c r="K371" s="264"/>
      <c r="L371" s="265"/>
      <c r="M371" s="265"/>
      <c r="N371" s="265"/>
      <c r="O371" s="265"/>
      <c r="P371" s="265"/>
      <c r="Q371" s="265"/>
      <c r="R371" s="265"/>
    </row>
    <row r="372" spans="1:18" ht="30" customHeight="1">
      <c r="A372" s="204" t="str">
        <f>IF(ISBLANK(D372)," ",261-COUNTBLANK($D$6:D372))</f>
        <v xml:space="preserve"> </v>
      </c>
      <c r="B372" s="202"/>
      <c r="C372" s="202"/>
      <c r="D372" s="202"/>
      <c r="E372" s="300"/>
      <c r="F372" s="210"/>
      <c r="G372" s="203"/>
      <c r="H372" s="203"/>
      <c r="I372" s="291"/>
      <c r="J372" s="263"/>
      <c r="K372" s="264"/>
      <c r="L372" s="265"/>
      <c r="M372" s="265"/>
      <c r="N372" s="265"/>
      <c r="O372" s="265"/>
      <c r="P372" s="265"/>
      <c r="Q372" s="265"/>
      <c r="R372" s="265"/>
    </row>
    <row r="373" spans="1:18" ht="30" customHeight="1">
      <c r="A373" s="204" t="str">
        <f>IF(ISBLANK(D373)," ",262-COUNTBLANK($D$6:D373))</f>
        <v xml:space="preserve"> </v>
      </c>
      <c r="B373" s="202"/>
      <c r="C373" s="202"/>
      <c r="D373" s="202"/>
      <c r="E373" s="300"/>
      <c r="F373" s="210"/>
      <c r="G373" s="203"/>
      <c r="H373" s="203"/>
      <c r="I373" s="291"/>
      <c r="J373" s="263"/>
      <c r="K373" s="264"/>
      <c r="L373" s="265"/>
      <c r="M373" s="265"/>
      <c r="N373" s="265"/>
      <c r="O373" s="265"/>
      <c r="P373" s="265"/>
      <c r="Q373" s="265"/>
      <c r="R373" s="265"/>
    </row>
    <row r="374" spans="1:18" ht="30" customHeight="1">
      <c r="A374" s="204" t="str">
        <f>IF(ISBLANK(D374)," ",263-COUNTBLANK($D$6:D374))</f>
        <v xml:space="preserve"> </v>
      </c>
      <c r="B374" s="202"/>
      <c r="C374" s="202"/>
      <c r="D374" s="202"/>
      <c r="E374" s="300"/>
      <c r="F374" s="210"/>
      <c r="G374" s="203"/>
      <c r="H374" s="203"/>
      <c r="I374" s="291"/>
      <c r="J374" s="263"/>
      <c r="K374" s="264"/>
      <c r="L374" s="265"/>
      <c r="M374" s="265"/>
      <c r="N374" s="265"/>
      <c r="O374" s="265"/>
      <c r="P374" s="265"/>
      <c r="Q374" s="265"/>
      <c r="R374" s="265"/>
    </row>
    <row r="375" spans="1:18" ht="30" customHeight="1">
      <c r="A375" s="204" t="str">
        <f>IF(ISBLANK(D375)," ",264-COUNTBLANK($D$6:D375))</f>
        <v xml:space="preserve"> </v>
      </c>
      <c r="B375" s="202"/>
      <c r="C375" s="202"/>
      <c r="D375" s="202"/>
      <c r="E375" s="300"/>
      <c r="F375" s="210"/>
      <c r="G375" s="203"/>
      <c r="H375" s="203"/>
      <c r="I375" s="291"/>
      <c r="J375" s="263"/>
      <c r="K375" s="264"/>
      <c r="L375" s="265"/>
      <c r="M375" s="265"/>
      <c r="N375" s="265"/>
      <c r="O375" s="265"/>
      <c r="P375" s="265"/>
      <c r="Q375" s="265"/>
      <c r="R375" s="265"/>
    </row>
    <row r="376" spans="1:18" ht="30" customHeight="1">
      <c r="A376" s="204" t="str">
        <f>IF(ISBLANK(D376)," ",265-COUNTBLANK($D$6:D376))</f>
        <v xml:space="preserve"> </v>
      </c>
      <c r="B376" s="202"/>
      <c r="C376" s="202"/>
      <c r="D376" s="202"/>
      <c r="E376" s="300"/>
      <c r="F376" s="210"/>
      <c r="G376" s="203"/>
      <c r="H376" s="203"/>
      <c r="I376" s="291"/>
      <c r="J376" s="263"/>
      <c r="K376" s="264"/>
      <c r="L376" s="265"/>
      <c r="M376" s="265"/>
      <c r="N376" s="265"/>
      <c r="O376" s="265"/>
      <c r="P376" s="265"/>
      <c r="Q376" s="265"/>
      <c r="R376" s="265"/>
    </row>
    <row r="377" spans="1:18" ht="30" customHeight="1">
      <c r="A377" s="204" t="str">
        <f>IF(ISBLANK(D377)," ",266-COUNTBLANK($D$6:D377))</f>
        <v xml:space="preserve"> </v>
      </c>
      <c r="B377" s="202"/>
      <c r="C377" s="202"/>
      <c r="D377" s="202"/>
      <c r="E377" s="300"/>
      <c r="F377" s="210"/>
      <c r="G377" s="203"/>
      <c r="H377" s="203"/>
      <c r="I377" s="291"/>
      <c r="J377" s="263"/>
      <c r="K377" s="264"/>
      <c r="L377" s="265"/>
      <c r="M377" s="265"/>
      <c r="N377" s="265"/>
      <c r="O377" s="265"/>
      <c r="P377" s="265"/>
      <c r="Q377" s="265"/>
      <c r="R377" s="265"/>
    </row>
    <row r="378" spans="1:18" ht="30" customHeight="1">
      <c r="A378" s="204" t="str">
        <f>IF(ISBLANK(D378)," ",267-COUNTBLANK($D$6:D378))</f>
        <v xml:space="preserve"> </v>
      </c>
      <c r="B378" s="202"/>
      <c r="C378" s="202"/>
      <c r="D378" s="202"/>
      <c r="E378" s="300"/>
      <c r="F378" s="210"/>
      <c r="G378" s="203"/>
      <c r="H378" s="203"/>
      <c r="I378" s="291"/>
      <c r="J378" s="263"/>
      <c r="K378" s="264"/>
      <c r="L378" s="265"/>
      <c r="M378" s="265"/>
      <c r="N378" s="265"/>
      <c r="O378" s="265"/>
      <c r="P378" s="265"/>
      <c r="Q378" s="265"/>
      <c r="R378" s="265"/>
    </row>
    <row r="379" spans="1:18" ht="30" customHeight="1">
      <c r="A379" s="204" t="str">
        <f>IF(ISBLANK(D379)," ",268-COUNTBLANK($D$6:D379))</f>
        <v xml:space="preserve"> </v>
      </c>
      <c r="B379" s="202"/>
      <c r="C379" s="202"/>
      <c r="D379" s="202"/>
      <c r="E379" s="300"/>
      <c r="F379" s="210"/>
      <c r="G379" s="203"/>
      <c r="H379" s="203"/>
      <c r="I379" s="291"/>
      <c r="J379" s="263"/>
      <c r="K379" s="264"/>
      <c r="L379" s="265"/>
      <c r="M379" s="265"/>
      <c r="N379" s="265"/>
      <c r="O379" s="265"/>
      <c r="P379" s="265"/>
      <c r="Q379" s="265"/>
      <c r="R379" s="265"/>
    </row>
    <row r="380" spans="1:18" ht="30" customHeight="1">
      <c r="A380" s="204" t="str">
        <f>IF(ISBLANK(D380)," ",269-COUNTBLANK($D$6:D380))</f>
        <v xml:space="preserve"> </v>
      </c>
      <c r="B380" s="202"/>
      <c r="C380" s="202"/>
      <c r="D380" s="202"/>
      <c r="E380" s="300"/>
      <c r="F380" s="210"/>
      <c r="G380" s="203"/>
      <c r="H380" s="203"/>
      <c r="I380" s="291"/>
      <c r="J380" s="263"/>
      <c r="K380" s="264"/>
      <c r="L380" s="265"/>
      <c r="M380" s="265"/>
      <c r="N380" s="265"/>
      <c r="O380" s="265"/>
      <c r="P380" s="265"/>
      <c r="Q380" s="265"/>
      <c r="R380" s="265"/>
    </row>
    <row r="381" spans="1:18" ht="30" customHeight="1">
      <c r="A381" s="204" t="str">
        <f>IF(ISBLANK(D381)," ",270-COUNTBLANK($D$6:D381))</f>
        <v xml:space="preserve"> </v>
      </c>
      <c r="B381" s="202"/>
      <c r="C381" s="202"/>
      <c r="D381" s="202"/>
      <c r="E381" s="300"/>
      <c r="F381" s="210"/>
      <c r="G381" s="203"/>
      <c r="H381" s="203"/>
      <c r="I381" s="291"/>
      <c r="J381" s="263"/>
      <c r="K381" s="264"/>
      <c r="L381" s="265"/>
      <c r="M381" s="265"/>
      <c r="N381" s="265"/>
      <c r="O381" s="265"/>
      <c r="P381" s="265"/>
      <c r="Q381" s="265"/>
      <c r="R381" s="265"/>
    </row>
    <row r="382" spans="1:18" ht="30" customHeight="1">
      <c r="A382" s="204" t="str">
        <f>IF(ISBLANK(D382)," ",271-COUNTBLANK($D$6:D382))</f>
        <v xml:space="preserve"> </v>
      </c>
      <c r="B382" s="202"/>
      <c r="C382" s="202"/>
      <c r="D382" s="202"/>
      <c r="E382" s="300"/>
      <c r="F382" s="210"/>
      <c r="G382" s="203"/>
      <c r="H382" s="203"/>
      <c r="I382" s="291"/>
      <c r="J382" s="263"/>
      <c r="K382" s="266"/>
      <c r="L382" s="265"/>
      <c r="M382" s="265"/>
      <c r="N382" s="265"/>
      <c r="O382" s="265"/>
      <c r="P382" s="265"/>
      <c r="Q382" s="265"/>
      <c r="R382" s="267"/>
    </row>
    <row r="383" spans="1:18" ht="30" customHeight="1">
      <c r="A383" s="204" t="str">
        <f>IF(ISBLANK(D383)," ",272-COUNTBLANK($D$6:D383))</f>
        <v xml:space="preserve"> </v>
      </c>
      <c r="B383" s="202"/>
      <c r="C383" s="202"/>
      <c r="D383" s="202"/>
      <c r="E383" s="300"/>
      <c r="F383" s="210"/>
      <c r="G383" s="203"/>
      <c r="H383" s="203"/>
      <c r="I383" s="291"/>
      <c r="J383" s="263"/>
      <c r="K383" s="266"/>
      <c r="L383" s="265"/>
      <c r="M383" s="265"/>
      <c r="N383" s="265"/>
      <c r="O383" s="265"/>
      <c r="P383" s="265"/>
      <c r="Q383" s="265"/>
      <c r="R383" s="267"/>
    </row>
    <row r="384" spans="1:18" ht="30" customHeight="1">
      <c r="A384" s="204" t="s">
        <v>52</v>
      </c>
      <c r="B384" s="202"/>
      <c r="C384" s="202"/>
      <c r="D384" s="202"/>
      <c r="E384" s="300"/>
      <c r="F384" s="210">
        <f>SUM(F364:F383)</f>
        <v>0</v>
      </c>
      <c r="G384" s="203"/>
      <c r="H384" s="203"/>
      <c r="I384" s="291"/>
      <c r="J384" s="263"/>
      <c r="K384" s="266"/>
      <c r="L384" s="265"/>
      <c r="M384" s="265"/>
      <c r="N384" s="265"/>
      <c r="O384" s="265"/>
      <c r="P384" s="265"/>
      <c r="Q384" s="265"/>
      <c r="R384" s="267"/>
    </row>
    <row r="385" spans="1:21" ht="30" customHeight="1">
      <c r="A385" s="204" t="str">
        <f>IF(ISBLANK(D385)," ",274-COUNTBLANK($D$6:D385))</f>
        <v xml:space="preserve"> </v>
      </c>
      <c r="B385" s="202"/>
      <c r="C385" s="202"/>
      <c r="D385" s="202"/>
      <c r="E385" s="300"/>
      <c r="F385" s="210"/>
      <c r="G385" s="203"/>
      <c r="H385" s="203"/>
      <c r="I385" s="291"/>
      <c r="J385" s="263"/>
      <c r="K385" s="266"/>
      <c r="L385" s="265"/>
      <c r="M385" s="265"/>
      <c r="N385" s="265"/>
      <c r="O385" s="265"/>
      <c r="P385" s="265"/>
      <c r="Q385" s="265"/>
      <c r="R385" s="267"/>
    </row>
    <row r="386" spans="1:21" ht="30" customHeight="1">
      <c r="A386" s="304" t="str">
        <f>IF(ISBLANK(D386)," ",275-COUNTBLANK($D$6:D386))</f>
        <v xml:space="preserve"> </v>
      </c>
      <c r="B386" s="296"/>
      <c r="C386" s="305"/>
      <c r="D386" s="306"/>
      <c r="E386" s="297"/>
      <c r="F386" s="298"/>
      <c r="G386" s="282"/>
      <c r="H386" s="282"/>
      <c r="I386" s="303"/>
      <c r="J386" s="263"/>
      <c r="K386" s="264"/>
      <c r="L386" s="265"/>
      <c r="M386" s="265"/>
      <c r="N386" s="265"/>
      <c r="O386" s="265"/>
      <c r="P386" s="265"/>
      <c r="Q386" s="265"/>
      <c r="R386" s="284"/>
      <c r="S386" s="265"/>
      <c r="T386" s="265"/>
      <c r="U386" s="265"/>
    </row>
    <row r="387" spans="1:21" ht="30" customHeight="1">
      <c r="A387" s="260" t="str">
        <f>IF(ISBLANK(D387)," ",276-COUNTBLANK($D$6:D387))</f>
        <v xml:space="preserve"> </v>
      </c>
      <c r="B387" s="200"/>
      <c r="C387" s="200"/>
      <c r="D387" s="200"/>
      <c r="E387" s="299"/>
      <c r="F387" s="209"/>
      <c r="G387" s="201"/>
      <c r="H387" s="201"/>
      <c r="I387" s="291"/>
      <c r="J387" s="263"/>
      <c r="K387" s="266"/>
      <c r="L387" s="265"/>
      <c r="M387" s="265"/>
      <c r="N387" s="265"/>
      <c r="O387" s="265"/>
      <c r="P387" s="265"/>
      <c r="Q387" s="265"/>
      <c r="R387" s="284"/>
      <c r="S387" s="265"/>
      <c r="T387" s="265"/>
      <c r="U387" s="265"/>
    </row>
    <row r="388" spans="1:21" ht="30" customHeight="1">
      <c r="A388" s="204" t="str">
        <f>IF(ISBLANK(D388)," ",277-COUNTBLANK($D$6:D388))</f>
        <v xml:space="preserve"> </v>
      </c>
      <c r="B388" s="202"/>
      <c r="C388" s="202"/>
      <c r="D388" s="202"/>
      <c r="E388" s="300"/>
      <c r="F388" s="210"/>
      <c r="G388" s="203"/>
      <c r="H388" s="203"/>
      <c r="I388" s="291"/>
      <c r="J388" s="263"/>
      <c r="K388" s="264"/>
      <c r="L388" s="265"/>
      <c r="M388" s="265"/>
      <c r="N388" s="265"/>
      <c r="O388" s="265"/>
      <c r="P388" s="265"/>
      <c r="Q388" s="265"/>
      <c r="R388" s="265"/>
    </row>
    <row r="389" spans="1:21" ht="30" customHeight="1">
      <c r="A389" s="204" t="str">
        <f>IF(ISBLANK(D389)," ",278-COUNTBLANK($D$6:D389))</f>
        <v xml:space="preserve"> </v>
      </c>
      <c r="B389" s="202"/>
      <c r="C389" s="202"/>
      <c r="D389" s="202"/>
      <c r="E389" s="300"/>
      <c r="F389" s="210"/>
      <c r="G389" s="203"/>
      <c r="H389" s="203"/>
      <c r="I389" s="291"/>
      <c r="J389" s="263"/>
      <c r="K389" s="264"/>
      <c r="L389" s="265"/>
      <c r="M389" s="265"/>
      <c r="N389" s="265"/>
      <c r="O389" s="265"/>
      <c r="P389" s="265"/>
      <c r="Q389" s="265"/>
      <c r="R389" s="265"/>
    </row>
    <row r="390" spans="1:21" ht="30" customHeight="1">
      <c r="A390" s="204" t="str">
        <f>IF(ISBLANK(D390)," ",279-COUNTBLANK($D$6:D390))</f>
        <v xml:space="preserve"> </v>
      </c>
      <c r="B390" s="202"/>
      <c r="C390" s="202"/>
      <c r="D390" s="202"/>
      <c r="E390" s="300"/>
      <c r="F390" s="210"/>
      <c r="G390" s="203"/>
      <c r="H390" s="203"/>
      <c r="I390" s="291"/>
      <c r="J390" s="263"/>
      <c r="K390" s="264"/>
      <c r="L390" s="265"/>
      <c r="M390" s="265"/>
      <c r="N390" s="265"/>
      <c r="O390" s="265"/>
      <c r="P390" s="265"/>
      <c r="Q390" s="265"/>
      <c r="R390" s="265"/>
    </row>
    <row r="391" spans="1:21" ht="30" customHeight="1">
      <c r="A391" s="204" t="str">
        <f>IF(ISBLANK(D391)," ",280-COUNTBLANK($D$6:D391))</f>
        <v xml:space="preserve"> </v>
      </c>
      <c r="B391" s="202"/>
      <c r="C391" s="202"/>
      <c r="D391" s="202"/>
      <c r="E391" s="300"/>
      <c r="F391" s="210"/>
      <c r="G391" s="203"/>
      <c r="H391" s="203"/>
      <c r="I391" s="291"/>
      <c r="J391" s="263"/>
      <c r="K391" s="264"/>
      <c r="L391" s="265"/>
      <c r="M391" s="265"/>
      <c r="N391" s="265"/>
      <c r="O391" s="265"/>
      <c r="P391" s="265"/>
      <c r="Q391" s="265"/>
      <c r="R391" s="265"/>
    </row>
    <row r="392" spans="1:21" ht="30" customHeight="1">
      <c r="A392" s="204" t="str">
        <f>IF(ISBLANK(D392)," ",281-COUNTBLANK($D$6:D392))</f>
        <v xml:space="preserve"> </v>
      </c>
      <c r="B392" s="202"/>
      <c r="C392" s="202"/>
      <c r="D392" s="202"/>
      <c r="E392" s="300"/>
      <c r="F392" s="210"/>
      <c r="G392" s="203"/>
      <c r="H392" s="203"/>
      <c r="I392" s="291"/>
      <c r="J392" s="263"/>
      <c r="K392" s="264"/>
      <c r="L392" s="265"/>
      <c r="M392" s="265"/>
      <c r="N392" s="265"/>
      <c r="O392" s="265"/>
      <c r="P392" s="265"/>
      <c r="Q392" s="265"/>
      <c r="R392" s="265"/>
    </row>
    <row r="393" spans="1:21" ht="30" customHeight="1">
      <c r="A393" s="204" t="str">
        <f>IF(ISBLANK(D393)," ",282-COUNTBLANK($D$6:D393))</f>
        <v xml:space="preserve"> </v>
      </c>
      <c r="B393" s="202"/>
      <c r="C393" s="202"/>
      <c r="D393" s="202"/>
      <c r="E393" s="300"/>
      <c r="F393" s="210"/>
      <c r="G393" s="203"/>
      <c r="H393" s="203"/>
      <c r="I393" s="291"/>
      <c r="J393" s="263"/>
      <c r="K393" s="264"/>
      <c r="L393" s="265"/>
      <c r="M393" s="265"/>
      <c r="N393" s="265"/>
      <c r="O393" s="265"/>
      <c r="P393" s="265"/>
      <c r="Q393" s="265"/>
      <c r="R393" s="265"/>
    </row>
    <row r="394" spans="1:21" ht="30" customHeight="1">
      <c r="A394" s="204" t="str">
        <f>IF(ISBLANK(D394)," ",283-COUNTBLANK($D$6:D394))</f>
        <v xml:space="preserve"> </v>
      </c>
      <c r="B394" s="202"/>
      <c r="C394" s="202"/>
      <c r="D394" s="202"/>
      <c r="E394" s="300"/>
      <c r="F394" s="210"/>
      <c r="G394" s="203"/>
      <c r="H394" s="203"/>
      <c r="I394" s="291"/>
      <c r="J394" s="263"/>
      <c r="K394" s="264"/>
      <c r="L394" s="265"/>
      <c r="M394" s="265"/>
      <c r="N394" s="265"/>
      <c r="O394" s="265"/>
      <c r="P394" s="265"/>
      <c r="Q394" s="265"/>
      <c r="R394" s="265"/>
    </row>
    <row r="395" spans="1:21" ht="30" customHeight="1">
      <c r="A395" s="204" t="str">
        <f>IF(ISBLANK(D395)," ",284-COUNTBLANK($D$6:D395))</f>
        <v xml:space="preserve"> </v>
      </c>
      <c r="B395" s="202"/>
      <c r="C395" s="202"/>
      <c r="D395" s="202"/>
      <c r="E395" s="300"/>
      <c r="F395" s="210"/>
      <c r="G395" s="203"/>
      <c r="H395" s="203"/>
      <c r="I395" s="291"/>
      <c r="J395" s="263"/>
      <c r="K395" s="264"/>
      <c r="L395" s="265"/>
      <c r="M395" s="265"/>
      <c r="N395" s="265"/>
      <c r="O395" s="265"/>
      <c r="P395" s="265"/>
      <c r="Q395" s="265"/>
      <c r="R395" s="265"/>
    </row>
    <row r="396" spans="1:21" ht="30" customHeight="1">
      <c r="A396" s="204" t="str">
        <f>IF(ISBLANK(D396)," ",285-COUNTBLANK($D$6:D396))</f>
        <v xml:space="preserve"> </v>
      </c>
      <c r="B396" s="202"/>
      <c r="C396" s="202"/>
      <c r="D396" s="202"/>
      <c r="E396" s="300"/>
      <c r="F396" s="210"/>
      <c r="G396" s="203"/>
      <c r="H396" s="203"/>
      <c r="I396" s="291"/>
      <c r="J396" s="263"/>
      <c r="K396" s="264"/>
      <c r="L396" s="265"/>
      <c r="M396" s="265"/>
      <c r="N396" s="265"/>
      <c r="O396" s="265"/>
      <c r="P396" s="265"/>
      <c r="Q396" s="265"/>
      <c r="R396" s="265"/>
    </row>
    <row r="397" spans="1:21" ht="30" customHeight="1">
      <c r="A397" s="204" t="str">
        <f>IF(ISBLANK(D397)," ",286-COUNTBLANK($D$6:D397))</f>
        <v xml:space="preserve"> </v>
      </c>
      <c r="B397" s="202"/>
      <c r="C397" s="202"/>
      <c r="D397" s="202"/>
      <c r="E397" s="300"/>
      <c r="F397" s="210"/>
      <c r="G397" s="203"/>
      <c r="H397" s="203"/>
      <c r="I397" s="291"/>
      <c r="J397" s="263"/>
      <c r="K397" s="264"/>
      <c r="L397" s="265"/>
      <c r="M397" s="265"/>
      <c r="N397" s="265"/>
      <c r="O397" s="265"/>
      <c r="P397" s="265"/>
      <c r="Q397" s="265"/>
      <c r="R397" s="265"/>
    </row>
    <row r="398" spans="1:21" ht="30" customHeight="1">
      <c r="A398" s="204" t="str">
        <f>IF(ISBLANK(D398)," ",287-COUNTBLANK($D$6:D398))</f>
        <v xml:space="preserve"> </v>
      </c>
      <c r="B398" s="202"/>
      <c r="C398" s="202"/>
      <c r="D398" s="202"/>
      <c r="E398" s="300"/>
      <c r="F398" s="210"/>
      <c r="G398" s="203"/>
      <c r="H398" s="203"/>
      <c r="I398" s="291"/>
      <c r="J398" s="263"/>
      <c r="K398" s="264"/>
      <c r="L398" s="265"/>
      <c r="M398" s="265"/>
      <c r="N398" s="265"/>
      <c r="O398" s="265"/>
      <c r="P398" s="265"/>
      <c r="Q398" s="265"/>
      <c r="R398" s="265"/>
    </row>
    <row r="399" spans="1:21" ht="30" customHeight="1">
      <c r="A399" s="204" t="str">
        <f>IF(ISBLANK(D399)," ",288-COUNTBLANK($D$6:D399))</f>
        <v xml:space="preserve"> </v>
      </c>
      <c r="B399" s="202"/>
      <c r="C399" s="202"/>
      <c r="D399" s="202"/>
      <c r="E399" s="300"/>
      <c r="F399" s="210"/>
      <c r="G399" s="203"/>
      <c r="H399" s="203"/>
      <c r="I399" s="291"/>
      <c r="J399" s="263"/>
      <c r="K399" s="264"/>
      <c r="L399" s="265"/>
      <c r="M399" s="265"/>
      <c r="N399" s="265"/>
      <c r="O399" s="265"/>
      <c r="P399" s="265"/>
      <c r="Q399" s="265"/>
      <c r="R399" s="265"/>
    </row>
    <row r="400" spans="1:21" ht="30" customHeight="1">
      <c r="A400" s="204" t="str">
        <f>IF(ISBLANK(D400)," ",289-COUNTBLANK($D$6:D400))</f>
        <v xml:space="preserve"> </v>
      </c>
      <c r="B400" s="202"/>
      <c r="C400" s="202"/>
      <c r="D400" s="202"/>
      <c r="E400" s="300"/>
      <c r="F400" s="210"/>
      <c r="G400" s="203"/>
      <c r="H400" s="203"/>
      <c r="I400" s="291"/>
      <c r="J400" s="263"/>
      <c r="K400" s="264"/>
      <c r="L400" s="265"/>
      <c r="M400" s="265"/>
      <c r="N400" s="265"/>
      <c r="O400" s="265"/>
      <c r="P400" s="265"/>
      <c r="Q400" s="265"/>
      <c r="R400" s="265"/>
    </row>
    <row r="401" spans="1:21" ht="30" customHeight="1">
      <c r="A401" s="204" t="str">
        <f>IF(ISBLANK(D401)," ",290-COUNTBLANK($D$6:D401))</f>
        <v xml:space="preserve"> </v>
      </c>
      <c r="B401" s="202"/>
      <c r="C401" s="202"/>
      <c r="D401" s="202"/>
      <c r="E401" s="300"/>
      <c r="F401" s="210"/>
      <c r="G401" s="203"/>
      <c r="H401" s="203"/>
      <c r="I401" s="291"/>
      <c r="J401" s="263"/>
      <c r="K401" s="264"/>
      <c r="L401" s="265"/>
      <c r="M401" s="265"/>
      <c r="N401" s="265"/>
      <c r="O401" s="265"/>
      <c r="P401" s="265"/>
      <c r="Q401" s="265"/>
      <c r="R401" s="265"/>
    </row>
    <row r="402" spans="1:21" ht="30" customHeight="1">
      <c r="A402" s="204" t="str">
        <f>IF(ISBLANK(D402)," ",291-COUNTBLANK($D$6:D402))</f>
        <v xml:space="preserve"> </v>
      </c>
      <c r="B402" s="202"/>
      <c r="C402" s="202"/>
      <c r="D402" s="202"/>
      <c r="E402" s="300"/>
      <c r="F402" s="210"/>
      <c r="G402" s="203"/>
      <c r="H402" s="203"/>
      <c r="I402" s="291"/>
      <c r="J402" s="263"/>
      <c r="K402" s="264"/>
      <c r="L402" s="265"/>
      <c r="M402" s="265"/>
      <c r="N402" s="265"/>
      <c r="O402" s="265"/>
      <c r="P402" s="265"/>
      <c r="Q402" s="265"/>
      <c r="R402" s="265"/>
    </row>
    <row r="403" spans="1:21" ht="30" customHeight="1">
      <c r="A403" s="204" t="str">
        <f>IF(ISBLANK(D403)," ",292-COUNTBLANK($D$6:D403))</f>
        <v xml:space="preserve"> </v>
      </c>
      <c r="B403" s="202"/>
      <c r="C403" s="202"/>
      <c r="D403" s="202"/>
      <c r="E403" s="300"/>
      <c r="F403" s="210"/>
      <c r="G403" s="203"/>
      <c r="H403" s="203"/>
      <c r="I403" s="291"/>
      <c r="J403" s="263"/>
      <c r="K403" s="266"/>
      <c r="L403" s="265"/>
      <c r="M403" s="265"/>
      <c r="N403" s="265"/>
      <c r="O403" s="265"/>
      <c r="P403" s="265"/>
      <c r="Q403" s="265"/>
      <c r="R403" s="267"/>
    </row>
    <row r="404" spans="1:21" ht="30" customHeight="1">
      <c r="A404" s="204" t="str">
        <f>IF(ISBLANK(D404)," ",293-COUNTBLANK($D$6:D404))</f>
        <v xml:space="preserve"> </v>
      </c>
      <c r="B404" s="202"/>
      <c r="C404" s="202"/>
      <c r="D404" s="202"/>
      <c r="E404" s="300"/>
      <c r="F404" s="210"/>
      <c r="G404" s="203"/>
      <c r="H404" s="203"/>
      <c r="I404" s="291"/>
      <c r="J404" s="263"/>
      <c r="K404" s="266"/>
      <c r="L404" s="265"/>
      <c r="M404" s="265"/>
      <c r="N404" s="265"/>
      <c r="O404" s="265"/>
      <c r="P404" s="265"/>
      <c r="Q404" s="265"/>
      <c r="R404" s="267"/>
    </row>
    <row r="405" spans="1:21" ht="30" customHeight="1">
      <c r="A405" s="204" t="s">
        <v>52</v>
      </c>
      <c r="B405" s="202"/>
      <c r="C405" s="202"/>
      <c r="D405" s="202"/>
      <c r="E405" s="300"/>
      <c r="F405" s="210">
        <f>SUM(F385:F404)</f>
        <v>0</v>
      </c>
      <c r="G405" s="203"/>
      <c r="H405" s="203"/>
      <c r="I405" s="291"/>
      <c r="J405" s="263"/>
      <c r="K405" s="266"/>
      <c r="L405" s="265"/>
      <c r="M405" s="265"/>
      <c r="N405" s="265"/>
      <c r="O405" s="265"/>
      <c r="P405" s="265"/>
      <c r="Q405" s="265"/>
      <c r="R405" s="267"/>
    </row>
    <row r="406" spans="1:21" ht="30" customHeight="1">
      <c r="A406" s="204" t="str">
        <f>IF(ISBLANK(D406)," ",295-COUNTBLANK($D$6:D406))</f>
        <v xml:space="preserve"> </v>
      </c>
      <c r="B406" s="202"/>
      <c r="C406" s="202"/>
      <c r="D406" s="202"/>
      <c r="E406" s="300"/>
      <c r="F406" s="210"/>
      <c r="G406" s="203"/>
      <c r="H406" s="203"/>
      <c r="I406" s="291"/>
      <c r="J406" s="263"/>
      <c r="K406" s="266"/>
      <c r="L406" s="265"/>
      <c r="M406" s="265"/>
      <c r="N406" s="265"/>
      <c r="O406" s="265"/>
      <c r="P406" s="265"/>
      <c r="Q406" s="265"/>
      <c r="R406" s="267"/>
    </row>
    <row r="407" spans="1:21" ht="30" customHeight="1">
      <c r="A407" s="304" t="str">
        <f>IF(ISBLANK(D407)," ",296-COUNTBLANK($D$6:D407))</f>
        <v xml:space="preserve"> </v>
      </c>
      <c r="B407" s="296"/>
      <c r="C407" s="305"/>
      <c r="D407" s="306"/>
      <c r="E407" s="297"/>
      <c r="F407" s="298"/>
      <c r="G407" s="282"/>
      <c r="H407" s="282"/>
      <c r="I407" s="303"/>
      <c r="J407" s="263"/>
      <c r="K407" s="264"/>
      <c r="L407" s="265"/>
      <c r="M407" s="265"/>
      <c r="N407" s="265"/>
      <c r="O407" s="265"/>
      <c r="P407" s="265"/>
      <c r="Q407" s="265"/>
      <c r="R407" s="284"/>
      <c r="S407" s="265"/>
      <c r="T407" s="265"/>
      <c r="U407" s="265"/>
    </row>
    <row r="408" spans="1:21" ht="30" customHeight="1">
      <c r="A408" s="260" t="str">
        <f>IF(ISBLANK(D408)," ",297-COUNTBLANK($D$6:D408))</f>
        <v xml:space="preserve"> </v>
      </c>
      <c r="B408" s="200"/>
      <c r="C408" s="200"/>
      <c r="D408" s="200"/>
      <c r="E408" s="299"/>
      <c r="F408" s="209"/>
      <c r="G408" s="201"/>
      <c r="H408" s="201"/>
      <c r="I408" s="291"/>
      <c r="J408" s="263"/>
      <c r="K408" s="266"/>
      <c r="L408" s="265"/>
      <c r="M408" s="265"/>
      <c r="N408" s="265"/>
      <c r="O408" s="265"/>
      <c r="P408" s="265"/>
      <c r="Q408" s="265"/>
      <c r="R408" s="284"/>
      <c r="S408" s="265"/>
      <c r="T408" s="265"/>
      <c r="U408" s="265"/>
    </row>
    <row r="409" spans="1:21" ht="30" customHeight="1">
      <c r="A409" s="204" t="str">
        <f>IF(ISBLANK(D409)," ",298-COUNTBLANK($D$6:D409))</f>
        <v xml:space="preserve"> </v>
      </c>
      <c r="B409" s="202"/>
      <c r="C409" s="202"/>
      <c r="D409" s="202"/>
      <c r="E409" s="300"/>
      <c r="F409" s="210"/>
      <c r="G409" s="203"/>
      <c r="H409" s="203"/>
      <c r="I409" s="291"/>
      <c r="J409" s="263"/>
      <c r="K409" s="264"/>
      <c r="L409" s="265"/>
      <c r="M409" s="265"/>
      <c r="N409" s="265"/>
      <c r="O409" s="265"/>
      <c r="P409" s="265"/>
      <c r="Q409" s="265"/>
      <c r="R409" s="265"/>
    </row>
    <row r="410" spans="1:21" ht="30" customHeight="1">
      <c r="A410" s="204" t="str">
        <f>IF(ISBLANK(D410)," ",299-COUNTBLANK($D$6:D410))</f>
        <v xml:space="preserve"> </v>
      </c>
      <c r="B410" s="202"/>
      <c r="C410" s="202"/>
      <c r="D410" s="202"/>
      <c r="E410" s="300"/>
      <c r="F410" s="210"/>
      <c r="G410" s="203"/>
      <c r="H410" s="203"/>
      <c r="I410" s="291"/>
      <c r="J410" s="263"/>
      <c r="K410" s="264"/>
      <c r="L410" s="265"/>
      <c r="M410" s="265"/>
      <c r="N410" s="265"/>
      <c r="O410" s="265"/>
      <c r="P410" s="265"/>
      <c r="Q410" s="265"/>
      <c r="R410" s="265"/>
    </row>
    <row r="411" spans="1:21" ht="30" customHeight="1">
      <c r="A411" s="204" t="str">
        <f>IF(ISBLANK(D411)," ",300-COUNTBLANK($D$6:D411))</f>
        <v xml:space="preserve"> </v>
      </c>
      <c r="B411" s="202"/>
      <c r="C411" s="202"/>
      <c r="D411" s="202"/>
      <c r="E411" s="300"/>
      <c r="F411" s="210"/>
      <c r="G411" s="203"/>
      <c r="H411" s="203"/>
      <c r="I411" s="291"/>
      <c r="J411" s="263"/>
      <c r="K411" s="264"/>
      <c r="L411" s="265"/>
      <c r="M411" s="265"/>
      <c r="N411" s="265"/>
      <c r="O411" s="265"/>
      <c r="P411" s="265"/>
      <c r="Q411" s="265"/>
      <c r="R411" s="265"/>
    </row>
    <row r="412" spans="1:21" ht="30" customHeight="1">
      <c r="A412" s="204" t="str">
        <f>IF(ISBLANK(D412)," ",301-COUNTBLANK($D$6:D412))</f>
        <v xml:space="preserve"> </v>
      </c>
      <c r="B412" s="202"/>
      <c r="C412" s="202"/>
      <c r="D412" s="202"/>
      <c r="E412" s="300"/>
      <c r="F412" s="210"/>
      <c r="G412" s="203"/>
      <c r="H412" s="203"/>
      <c r="I412" s="291"/>
      <c r="J412" s="263"/>
      <c r="K412" s="264"/>
      <c r="L412" s="265"/>
      <c r="M412" s="265"/>
      <c r="N412" s="265"/>
      <c r="O412" s="265"/>
      <c r="P412" s="265"/>
      <c r="Q412" s="265"/>
      <c r="R412" s="265"/>
    </row>
    <row r="413" spans="1:21" ht="30" customHeight="1">
      <c r="A413" s="204" t="str">
        <f>IF(ISBLANK(D413)," ",302-COUNTBLANK($D$6:D413))</f>
        <v xml:space="preserve"> </v>
      </c>
      <c r="B413" s="202"/>
      <c r="C413" s="202"/>
      <c r="D413" s="202"/>
      <c r="E413" s="300"/>
      <c r="F413" s="210"/>
      <c r="G413" s="203"/>
      <c r="H413" s="203"/>
      <c r="I413" s="291"/>
      <c r="J413" s="263"/>
      <c r="K413" s="264"/>
      <c r="L413" s="265"/>
      <c r="M413" s="265"/>
      <c r="N413" s="265"/>
      <c r="O413" s="265"/>
      <c r="P413" s="265"/>
      <c r="Q413" s="265"/>
      <c r="R413" s="265"/>
    </row>
    <row r="414" spans="1:21" ht="30" customHeight="1">
      <c r="A414" s="204" t="str">
        <f>IF(ISBLANK(D414)," ",303-COUNTBLANK($D$6:D414))</f>
        <v xml:space="preserve"> </v>
      </c>
      <c r="B414" s="202"/>
      <c r="C414" s="202"/>
      <c r="D414" s="202"/>
      <c r="E414" s="300"/>
      <c r="F414" s="210"/>
      <c r="G414" s="203"/>
      <c r="H414" s="203"/>
      <c r="I414" s="291"/>
      <c r="J414" s="263"/>
      <c r="K414" s="264"/>
      <c r="L414" s="265"/>
      <c r="M414" s="265"/>
      <c r="N414" s="265"/>
      <c r="O414" s="265"/>
      <c r="P414" s="265"/>
      <c r="Q414" s="265"/>
      <c r="R414" s="265"/>
    </row>
    <row r="415" spans="1:21" ht="30" customHeight="1">
      <c r="A415" s="204" t="str">
        <f>IF(ISBLANK(D415)," ",304-COUNTBLANK($D$6:D415))</f>
        <v xml:space="preserve"> </v>
      </c>
      <c r="B415" s="202"/>
      <c r="C415" s="202"/>
      <c r="D415" s="202"/>
      <c r="E415" s="300"/>
      <c r="F415" s="210"/>
      <c r="G415" s="203"/>
      <c r="H415" s="203"/>
      <c r="I415" s="291"/>
      <c r="J415" s="263"/>
      <c r="K415" s="264"/>
      <c r="L415" s="265"/>
      <c r="M415" s="265"/>
      <c r="N415" s="265"/>
      <c r="O415" s="265"/>
      <c r="P415" s="265"/>
      <c r="Q415" s="265"/>
      <c r="R415" s="265"/>
    </row>
    <row r="416" spans="1:21" ht="30" customHeight="1">
      <c r="A416" s="204" t="str">
        <f>IF(ISBLANK(D416)," ",305-COUNTBLANK($D$6:D416))</f>
        <v xml:space="preserve"> </v>
      </c>
      <c r="B416" s="202"/>
      <c r="C416" s="202"/>
      <c r="D416" s="202"/>
      <c r="E416" s="300"/>
      <c r="F416" s="210"/>
      <c r="G416" s="203"/>
      <c r="H416" s="203"/>
      <c r="I416" s="291"/>
      <c r="J416" s="263"/>
      <c r="K416" s="264"/>
      <c r="L416" s="265"/>
      <c r="M416" s="265"/>
      <c r="N416" s="265"/>
      <c r="O416" s="265"/>
      <c r="P416" s="265"/>
      <c r="Q416" s="265"/>
      <c r="R416" s="265"/>
    </row>
    <row r="417" spans="1:21" ht="30" customHeight="1">
      <c r="A417" s="204" t="str">
        <f>IF(ISBLANK(D417)," ",306-COUNTBLANK($D$6:D417))</f>
        <v xml:space="preserve"> </v>
      </c>
      <c r="B417" s="202"/>
      <c r="C417" s="202"/>
      <c r="D417" s="202"/>
      <c r="E417" s="300"/>
      <c r="F417" s="210"/>
      <c r="G417" s="203"/>
      <c r="H417" s="203"/>
      <c r="I417" s="291"/>
      <c r="J417" s="263"/>
      <c r="K417" s="264"/>
      <c r="L417" s="265"/>
      <c r="M417" s="265"/>
      <c r="N417" s="265"/>
      <c r="O417" s="265"/>
      <c r="P417" s="265"/>
      <c r="Q417" s="265"/>
      <c r="R417" s="265"/>
    </row>
    <row r="418" spans="1:21" ht="30" customHeight="1">
      <c r="A418" s="204" t="str">
        <f>IF(ISBLANK(D418)," ",307-COUNTBLANK($D$6:D418))</f>
        <v xml:space="preserve"> </v>
      </c>
      <c r="B418" s="202"/>
      <c r="C418" s="202"/>
      <c r="D418" s="202"/>
      <c r="E418" s="300"/>
      <c r="F418" s="210"/>
      <c r="G418" s="203"/>
      <c r="H418" s="203"/>
      <c r="I418" s="291"/>
      <c r="J418" s="263"/>
      <c r="K418" s="264"/>
      <c r="L418" s="265"/>
      <c r="M418" s="265"/>
      <c r="N418" s="265"/>
      <c r="O418" s="265"/>
      <c r="P418" s="265"/>
      <c r="Q418" s="265"/>
      <c r="R418" s="265"/>
    </row>
    <row r="419" spans="1:21" ht="30" customHeight="1">
      <c r="A419" s="204" t="str">
        <f>IF(ISBLANK(D419)," ",308-COUNTBLANK($D$6:D419))</f>
        <v xml:space="preserve"> </v>
      </c>
      <c r="B419" s="202"/>
      <c r="C419" s="202"/>
      <c r="D419" s="202"/>
      <c r="E419" s="300"/>
      <c r="F419" s="210"/>
      <c r="G419" s="203"/>
      <c r="H419" s="203"/>
      <c r="I419" s="291"/>
      <c r="J419" s="263"/>
      <c r="K419" s="264"/>
      <c r="L419" s="265"/>
      <c r="M419" s="265"/>
      <c r="N419" s="265"/>
      <c r="O419" s="265"/>
      <c r="P419" s="265"/>
      <c r="Q419" s="265"/>
      <c r="R419" s="265"/>
    </row>
    <row r="420" spans="1:21" ht="30" customHeight="1">
      <c r="A420" s="204" t="str">
        <f>IF(ISBLANK(D420)," ",309-COUNTBLANK($D$6:D420))</f>
        <v xml:space="preserve"> </v>
      </c>
      <c r="B420" s="202"/>
      <c r="C420" s="202"/>
      <c r="D420" s="202"/>
      <c r="E420" s="300"/>
      <c r="F420" s="210"/>
      <c r="G420" s="203"/>
      <c r="H420" s="203"/>
      <c r="I420" s="291"/>
      <c r="J420" s="263"/>
      <c r="K420" s="264"/>
      <c r="L420" s="265"/>
      <c r="M420" s="265"/>
      <c r="N420" s="265"/>
      <c r="O420" s="265"/>
      <c r="P420" s="265"/>
      <c r="Q420" s="265"/>
      <c r="R420" s="265"/>
    </row>
    <row r="421" spans="1:21" ht="30" customHeight="1">
      <c r="A421" s="204" t="str">
        <f>IF(ISBLANK(D421)," ",310-COUNTBLANK($D$6:D421))</f>
        <v xml:space="preserve"> </v>
      </c>
      <c r="B421" s="202"/>
      <c r="C421" s="202"/>
      <c r="D421" s="202"/>
      <c r="E421" s="300"/>
      <c r="F421" s="210"/>
      <c r="G421" s="203"/>
      <c r="H421" s="203"/>
      <c r="I421" s="291"/>
      <c r="J421" s="263"/>
      <c r="K421" s="264"/>
      <c r="L421" s="265"/>
      <c r="M421" s="265"/>
      <c r="N421" s="265"/>
      <c r="O421" s="265"/>
      <c r="P421" s="265"/>
      <c r="Q421" s="265"/>
      <c r="R421" s="265"/>
    </row>
    <row r="422" spans="1:21" ht="30" customHeight="1">
      <c r="A422" s="204" t="str">
        <f>IF(ISBLANK(D422)," ",311-COUNTBLANK($D$6:D422))</f>
        <v xml:space="preserve"> </v>
      </c>
      <c r="B422" s="202"/>
      <c r="C422" s="202"/>
      <c r="D422" s="202"/>
      <c r="E422" s="300"/>
      <c r="F422" s="210"/>
      <c r="G422" s="203"/>
      <c r="H422" s="203"/>
      <c r="I422" s="291"/>
      <c r="J422" s="263"/>
      <c r="K422" s="264"/>
      <c r="L422" s="265"/>
      <c r="M422" s="265"/>
      <c r="N422" s="265"/>
      <c r="O422" s="265"/>
      <c r="P422" s="265"/>
      <c r="Q422" s="265"/>
      <c r="R422" s="265"/>
    </row>
    <row r="423" spans="1:21" ht="27.75" customHeight="1">
      <c r="A423" s="204" t="str">
        <f>IF(ISBLANK(D423)," ",312-COUNTBLANK($D$6:D423))</f>
        <v xml:space="preserve"> </v>
      </c>
      <c r="B423" s="202"/>
      <c r="C423" s="202"/>
      <c r="D423" s="202"/>
      <c r="E423" s="300"/>
      <c r="F423" s="210"/>
      <c r="G423" s="203"/>
      <c r="H423" s="203"/>
      <c r="I423" s="291"/>
      <c r="J423" s="263"/>
      <c r="K423" s="264"/>
      <c r="L423" s="265"/>
      <c r="M423" s="265"/>
      <c r="N423" s="265"/>
      <c r="O423" s="265"/>
      <c r="P423" s="265"/>
      <c r="Q423" s="265"/>
      <c r="R423" s="265"/>
    </row>
    <row r="424" spans="1:21" ht="27.75" customHeight="1">
      <c r="A424" s="204" t="str">
        <f>IF(ISBLANK(D424)," ",313-COUNTBLANK($D$6:D424))</f>
        <v xml:space="preserve"> </v>
      </c>
      <c r="B424" s="202"/>
      <c r="C424" s="202"/>
      <c r="D424" s="202"/>
      <c r="E424" s="300"/>
      <c r="F424" s="210"/>
      <c r="G424" s="203"/>
      <c r="H424" s="203"/>
      <c r="I424" s="291"/>
      <c r="J424" s="263"/>
      <c r="K424" s="266"/>
      <c r="L424" s="265"/>
      <c r="M424" s="265"/>
      <c r="N424" s="265"/>
      <c r="O424" s="265"/>
      <c r="P424" s="265"/>
      <c r="Q424" s="265"/>
      <c r="R424" s="267"/>
    </row>
    <row r="425" spans="1:21" ht="27.75" customHeight="1">
      <c r="A425" s="204" t="str">
        <f>IF(ISBLANK(D425)," ",314-COUNTBLANK($D$6:D425))</f>
        <v xml:space="preserve"> </v>
      </c>
      <c r="B425" s="202"/>
      <c r="C425" s="202"/>
      <c r="D425" s="202"/>
      <c r="E425" s="300"/>
      <c r="F425" s="210"/>
      <c r="G425" s="203"/>
      <c r="H425" s="203"/>
      <c r="I425" s="291"/>
      <c r="J425" s="263"/>
      <c r="K425" s="266"/>
      <c r="L425" s="265"/>
      <c r="M425" s="265"/>
      <c r="N425" s="265"/>
      <c r="O425" s="265"/>
      <c r="P425" s="265"/>
      <c r="Q425" s="265"/>
      <c r="R425" s="267"/>
    </row>
    <row r="426" spans="1:21" ht="27.75" customHeight="1">
      <c r="A426" s="204" t="s">
        <v>52</v>
      </c>
      <c r="B426" s="202"/>
      <c r="C426" s="202"/>
      <c r="D426" s="202"/>
      <c r="E426" s="300"/>
      <c r="F426" s="210">
        <f>SUM(F406:F425)</f>
        <v>0</v>
      </c>
      <c r="G426" s="203"/>
      <c r="H426" s="203"/>
      <c r="I426" s="291"/>
      <c r="J426" s="263"/>
      <c r="K426" s="266"/>
      <c r="L426" s="265"/>
      <c r="M426" s="265"/>
      <c r="N426" s="265"/>
      <c r="O426" s="265"/>
      <c r="P426" s="265"/>
      <c r="Q426" s="265"/>
      <c r="R426" s="267"/>
    </row>
    <row r="427" spans="1:21" ht="27.75" customHeight="1">
      <c r="A427" s="204" t="str">
        <f>IF(ISBLANK(D427)," ",316-COUNTBLANK($D$6:D427))</f>
        <v xml:space="preserve"> </v>
      </c>
      <c r="B427" s="202"/>
      <c r="C427" s="202"/>
      <c r="D427" s="202"/>
      <c r="E427" s="300"/>
      <c r="F427" s="210"/>
      <c r="G427" s="203"/>
      <c r="H427" s="203"/>
      <c r="I427" s="291"/>
      <c r="J427" s="263"/>
      <c r="K427" s="266"/>
      <c r="L427" s="265"/>
      <c r="M427" s="265"/>
      <c r="N427" s="265"/>
      <c r="O427" s="265"/>
      <c r="P427" s="265"/>
      <c r="Q427" s="265"/>
      <c r="R427" s="267"/>
    </row>
    <row r="428" spans="1:21" ht="27.75" customHeight="1">
      <c r="A428" s="304" t="str">
        <f>IF(ISBLANK(D428)," ",317-COUNTBLANK($D$6:D428))</f>
        <v xml:space="preserve"> </v>
      </c>
      <c r="B428" s="296"/>
      <c r="C428" s="305"/>
      <c r="D428" s="306"/>
      <c r="E428" s="297"/>
      <c r="F428" s="298"/>
      <c r="G428" s="282"/>
      <c r="H428" s="282"/>
      <c r="I428" s="303"/>
      <c r="J428" s="263"/>
      <c r="K428" s="264"/>
      <c r="L428" s="265"/>
      <c r="M428" s="265"/>
      <c r="N428" s="265"/>
      <c r="O428" s="265"/>
      <c r="P428" s="265"/>
      <c r="Q428" s="265"/>
      <c r="R428" s="284"/>
      <c r="S428" s="265"/>
      <c r="T428" s="265"/>
      <c r="U428" s="265"/>
    </row>
    <row r="429" spans="1:21" ht="27.75" customHeight="1">
      <c r="A429" s="260" t="str">
        <f>IF(ISBLANK(D429)," ",318-COUNTBLANK($D$6:D429))</f>
        <v xml:space="preserve"> </v>
      </c>
      <c r="B429" s="200"/>
      <c r="C429" s="200"/>
      <c r="D429" s="200"/>
      <c r="E429" s="299"/>
      <c r="F429" s="209"/>
      <c r="G429" s="201"/>
      <c r="H429" s="201"/>
      <c r="I429" s="291"/>
      <c r="J429" s="263"/>
      <c r="K429" s="266"/>
      <c r="L429" s="265"/>
      <c r="M429" s="265"/>
      <c r="N429" s="265"/>
      <c r="O429" s="265"/>
      <c r="P429" s="265"/>
      <c r="Q429" s="265"/>
      <c r="R429" s="284"/>
      <c r="S429" s="265"/>
      <c r="T429" s="265"/>
      <c r="U429" s="265"/>
    </row>
    <row r="430" spans="1:21" ht="27.75" customHeight="1">
      <c r="A430" s="204" t="str">
        <f>IF(ISBLANK(D430)," ",319-COUNTBLANK($D$6:D430))</f>
        <v xml:space="preserve"> </v>
      </c>
      <c r="B430" s="202"/>
      <c r="C430" s="202"/>
      <c r="D430" s="202"/>
      <c r="E430" s="300"/>
      <c r="F430" s="210"/>
      <c r="G430" s="203"/>
      <c r="H430" s="203"/>
      <c r="I430" s="291"/>
      <c r="J430" s="263"/>
      <c r="K430" s="264"/>
      <c r="L430" s="265"/>
      <c r="M430" s="265"/>
      <c r="N430" s="265"/>
      <c r="O430" s="265"/>
      <c r="P430" s="265"/>
      <c r="Q430" s="265"/>
      <c r="R430" s="265"/>
    </row>
    <row r="431" spans="1:21" ht="27.75" customHeight="1">
      <c r="A431" s="204" t="str">
        <f>IF(ISBLANK(D431)," ",320-COUNTBLANK($D$6:D431))</f>
        <v xml:space="preserve"> </v>
      </c>
      <c r="B431" s="202"/>
      <c r="C431" s="202"/>
      <c r="D431" s="202"/>
      <c r="E431" s="300"/>
      <c r="F431" s="210"/>
      <c r="G431" s="203"/>
      <c r="H431" s="203"/>
      <c r="I431" s="291"/>
      <c r="J431" s="263"/>
      <c r="K431" s="264"/>
      <c r="L431" s="265"/>
      <c r="M431" s="265"/>
      <c r="N431" s="265"/>
      <c r="O431" s="265"/>
      <c r="P431" s="265"/>
      <c r="Q431" s="265"/>
      <c r="R431" s="265"/>
    </row>
    <row r="432" spans="1:21" ht="27.75" customHeight="1">
      <c r="A432" s="204" t="str">
        <f>IF(ISBLANK(D432)," ",321-COUNTBLANK($D$6:D432))</f>
        <v xml:space="preserve"> </v>
      </c>
      <c r="B432" s="202"/>
      <c r="C432" s="202"/>
      <c r="D432" s="202"/>
      <c r="E432" s="300"/>
      <c r="F432" s="210"/>
      <c r="G432" s="203"/>
      <c r="H432" s="203"/>
      <c r="I432" s="291"/>
      <c r="J432" s="263"/>
      <c r="K432" s="264"/>
      <c r="L432" s="265"/>
      <c r="M432" s="265"/>
      <c r="N432" s="265"/>
      <c r="O432" s="265"/>
      <c r="P432" s="265"/>
      <c r="Q432" s="265"/>
      <c r="R432" s="265"/>
    </row>
    <row r="433" spans="1:18" ht="27.75" customHeight="1">
      <c r="A433" s="204" t="str">
        <f>IF(ISBLANK(D433)," ",322-COUNTBLANK($D$6:D433))</f>
        <v xml:space="preserve"> </v>
      </c>
      <c r="B433" s="202"/>
      <c r="C433" s="202"/>
      <c r="D433" s="202"/>
      <c r="E433" s="300"/>
      <c r="F433" s="210"/>
      <c r="G433" s="203"/>
      <c r="H433" s="203"/>
      <c r="I433" s="291"/>
      <c r="J433" s="263"/>
      <c r="K433" s="264"/>
      <c r="L433" s="265"/>
      <c r="M433" s="265"/>
      <c r="N433" s="265"/>
      <c r="O433" s="265"/>
      <c r="P433" s="265"/>
      <c r="Q433" s="265"/>
      <c r="R433" s="265"/>
    </row>
    <row r="434" spans="1:18" ht="27.75" customHeight="1">
      <c r="A434" s="204" t="str">
        <f>IF(ISBLANK(D434)," ",323-COUNTBLANK($D$6:D434))</f>
        <v xml:space="preserve"> </v>
      </c>
      <c r="B434" s="202"/>
      <c r="C434" s="202"/>
      <c r="D434" s="202"/>
      <c r="E434" s="300"/>
      <c r="F434" s="210"/>
      <c r="G434" s="203"/>
      <c r="H434" s="203"/>
      <c r="I434" s="291"/>
      <c r="J434" s="263"/>
      <c r="K434" s="264"/>
      <c r="L434" s="265"/>
      <c r="M434" s="265"/>
      <c r="N434" s="265"/>
      <c r="O434" s="265"/>
      <c r="P434" s="265"/>
      <c r="Q434" s="265"/>
      <c r="R434" s="265"/>
    </row>
    <row r="435" spans="1:18" ht="27.75" customHeight="1">
      <c r="A435" s="204" t="str">
        <f>IF(ISBLANK(D435)," ",324-COUNTBLANK($D$6:D435))</f>
        <v xml:space="preserve"> </v>
      </c>
      <c r="B435" s="202"/>
      <c r="C435" s="202"/>
      <c r="D435" s="202"/>
      <c r="E435" s="300"/>
      <c r="F435" s="210"/>
      <c r="G435" s="203"/>
      <c r="H435" s="203"/>
      <c r="I435" s="291"/>
      <c r="J435" s="263"/>
      <c r="K435" s="264"/>
      <c r="L435" s="265"/>
      <c r="M435" s="265"/>
      <c r="N435" s="265"/>
      <c r="O435" s="265"/>
      <c r="P435" s="265"/>
      <c r="Q435" s="265"/>
      <c r="R435" s="265"/>
    </row>
    <row r="436" spans="1:18" ht="27.75" customHeight="1">
      <c r="A436" s="204" t="str">
        <f>IF(ISBLANK(D436)," ",325-COUNTBLANK($D$6:D436))</f>
        <v xml:space="preserve"> </v>
      </c>
      <c r="B436" s="202"/>
      <c r="C436" s="202"/>
      <c r="D436" s="202"/>
      <c r="E436" s="300"/>
      <c r="F436" s="210"/>
      <c r="G436" s="203"/>
      <c r="H436" s="203"/>
      <c r="I436" s="291"/>
      <c r="J436" s="263"/>
      <c r="K436" s="264"/>
      <c r="L436" s="265"/>
      <c r="M436" s="265"/>
      <c r="N436" s="265"/>
      <c r="O436" s="265"/>
      <c r="P436" s="265"/>
      <c r="Q436" s="265"/>
      <c r="R436" s="265"/>
    </row>
    <row r="437" spans="1:18" ht="27.75" customHeight="1">
      <c r="A437" s="204" t="str">
        <f>IF(ISBLANK(D437)," ",326-COUNTBLANK($D$6:D437))</f>
        <v xml:space="preserve"> </v>
      </c>
      <c r="B437" s="202"/>
      <c r="C437" s="202"/>
      <c r="D437" s="202"/>
      <c r="E437" s="300"/>
      <c r="F437" s="210"/>
      <c r="G437" s="203"/>
      <c r="H437" s="203"/>
      <c r="I437" s="291"/>
      <c r="J437" s="263"/>
      <c r="K437" s="264"/>
      <c r="L437" s="265"/>
      <c r="M437" s="265"/>
      <c r="N437" s="265"/>
      <c r="O437" s="265"/>
      <c r="P437" s="265"/>
      <c r="Q437" s="265"/>
      <c r="R437" s="265"/>
    </row>
    <row r="438" spans="1:18" ht="27.75" customHeight="1">
      <c r="A438" s="204" t="str">
        <f>IF(ISBLANK(D438)," ",327-COUNTBLANK($D$6:D438))</f>
        <v xml:space="preserve"> </v>
      </c>
      <c r="B438" s="202"/>
      <c r="C438" s="202"/>
      <c r="D438" s="202"/>
      <c r="E438" s="300"/>
      <c r="F438" s="210"/>
      <c r="G438" s="203"/>
      <c r="H438" s="203"/>
      <c r="I438" s="291"/>
      <c r="J438" s="263"/>
      <c r="K438" s="264"/>
      <c r="L438" s="265"/>
      <c r="M438" s="265"/>
      <c r="N438" s="265"/>
      <c r="O438" s="265"/>
      <c r="P438" s="265"/>
      <c r="Q438" s="265"/>
      <c r="R438" s="265"/>
    </row>
    <row r="439" spans="1:18" ht="27.75" customHeight="1">
      <c r="A439" s="204" t="str">
        <f>IF(ISBLANK(D439)," ",328-COUNTBLANK($D$6:D439))</f>
        <v xml:space="preserve"> </v>
      </c>
      <c r="B439" s="202"/>
      <c r="C439" s="202"/>
      <c r="D439" s="202"/>
      <c r="E439" s="300"/>
      <c r="F439" s="210"/>
      <c r="G439" s="203"/>
      <c r="H439" s="203"/>
      <c r="I439" s="291"/>
      <c r="J439" s="263"/>
      <c r="K439" s="264"/>
      <c r="L439" s="265"/>
      <c r="M439" s="265"/>
      <c r="N439" s="265"/>
      <c r="O439" s="265"/>
      <c r="P439" s="265"/>
      <c r="Q439" s="265"/>
      <c r="R439" s="265"/>
    </row>
    <row r="440" spans="1:18" ht="27.75" customHeight="1">
      <c r="A440" s="204" t="str">
        <f>IF(ISBLANK(D440)," ",329-COUNTBLANK($D$6:D440))</f>
        <v xml:space="preserve"> </v>
      </c>
      <c r="B440" s="202"/>
      <c r="C440" s="202"/>
      <c r="D440" s="202"/>
      <c r="E440" s="300"/>
      <c r="F440" s="210"/>
      <c r="G440" s="203"/>
      <c r="H440" s="203"/>
      <c r="I440" s="291"/>
      <c r="J440" s="263"/>
      <c r="K440" s="264"/>
      <c r="L440" s="265"/>
      <c r="M440" s="265"/>
      <c r="N440" s="265"/>
      <c r="O440" s="265"/>
      <c r="P440" s="265"/>
      <c r="Q440" s="265"/>
      <c r="R440" s="265"/>
    </row>
    <row r="441" spans="1:18" ht="27.75" customHeight="1">
      <c r="A441" s="204" t="str">
        <f>IF(ISBLANK(D441)," ",330-COUNTBLANK($D$6:D441))</f>
        <v xml:space="preserve"> </v>
      </c>
      <c r="B441" s="202"/>
      <c r="C441" s="202"/>
      <c r="D441" s="202"/>
      <c r="E441" s="300"/>
      <c r="F441" s="210"/>
      <c r="G441" s="203"/>
      <c r="H441" s="203"/>
      <c r="I441" s="291"/>
      <c r="J441" s="263"/>
      <c r="K441" s="264"/>
      <c r="L441" s="265"/>
      <c r="M441" s="265"/>
      <c r="N441" s="265"/>
      <c r="O441" s="265"/>
      <c r="P441" s="265"/>
      <c r="Q441" s="265"/>
      <c r="R441" s="265"/>
    </row>
    <row r="442" spans="1:18" ht="27.75" customHeight="1">
      <c r="A442" s="204" t="str">
        <f>IF(ISBLANK(D442)," ",331-COUNTBLANK($D$6:D442))</f>
        <v xml:space="preserve"> </v>
      </c>
      <c r="B442" s="202"/>
      <c r="C442" s="202"/>
      <c r="D442" s="202"/>
      <c r="E442" s="300"/>
      <c r="F442" s="210"/>
      <c r="G442" s="203"/>
      <c r="H442" s="203"/>
      <c r="I442" s="291"/>
      <c r="J442" s="263"/>
      <c r="K442" s="264"/>
      <c r="L442" s="265"/>
      <c r="M442" s="265"/>
      <c r="N442" s="265"/>
      <c r="O442" s="265"/>
      <c r="P442" s="265"/>
      <c r="Q442" s="265"/>
      <c r="R442" s="265"/>
    </row>
    <row r="443" spans="1:18" ht="27.75" customHeight="1">
      <c r="A443" s="204" t="str">
        <f>IF(ISBLANK(D443)," ",332-COUNTBLANK($D$6:D443))</f>
        <v xml:space="preserve"> </v>
      </c>
      <c r="B443" s="202"/>
      <c r="C443" s="202"/>
      <c r="D443" s="202"/>
      <c r="E443" s="300"/>
      <c r="F443" s="210"/>
      <c r="G443" s="203"/>
      <c r="H443" s="203"/>
      <c r="I443" s="291"/>
      <c r="J443" s="263"/>
      <c r="K443" s="264"/>
      <c r="L443" s="265"/>
      <c r="M443" s="265"/>
      <c r="N443" s="265"/>
      <c r="O443" s="265"/>
      <c r="P443" s="265"/>
      <c r="Q443" s="265"/>
      <c r="R443" s="265"/>
    </row>
    <row r="444" spans="1:18" ht="27.75" customHeight="1">
      <c r="A444" s="204" t="str">
        <f>IF(ISBLANK(D444)," ",333-COUNTBLANK($D$6:D444))</f>
        <v xml:space="preserve"> </v>
      </c>
      <c r="B444" s="202"/>
      <c r="C444" s="202"/>
      <c r="D444" s="202"/>
      <c r="E444" s="300"/>
      <c r="F444" s="210"/>
      <c r="G444" s="203"/>
      <c r="H444" s="203"/>
      <c r="I444" s="291"/>
      <c r="J444" s="263"/>
      <c r="K444" s="264"/>
      <c r="L444" s="265"/>
      <c r="M444" s="265"/>
      <c r="N444" s="265"/>
      <c r="O444" s="265"/>
      <c r="P444" s="265"/>
      <c r="Q444" s="265"/>
      <c r="R444" s="265"/>
    </row>
    <row r="445" spans="1:18" ht="27.75" customHeight="1">
      <c r="A445" s="204" t="str">
        <f>IF(ISBLANK(D445)," ",334-COUNTBLANK($D$6:D445))</f>
        <v xml:space="preserve"> </v>
      </c>
      <c r="B445" s="202"/>
      <c r="C445" s="202"/>
      <c r="D445" s="202"/>
      <c r="E445" s="300"/>
      <c r="F445" s="210"/>
      <c r="G445" s="203"/>
      <c r="H445" s="203"/>
      <c r="I445" s="291"/>
      <c r="J445" s="263"/>
      <c r="K445" s="266"/>
      <c r="L445" s="265"/>
      <c r="M445" s="265"/>
      <c r="N445" s="265"/>
      <c r="O445" s="265"/>
      <c r="P445" s="265"/>
      <c r="Q445" s="265"/>
      <c r="R445" s="267"/>
    </row>
    <row r="446" spans="1:18" ht="27.75" customHeight="1">
      <c r="A446" s="204" t="str">
        <f>IF(ISBLANK(D446)," ",335-COUNTBLANK($D$6:D446))</f>
        <v xml:space="preserve"> </v>
      </c>
      <c r="B446" s="202"/>
      <c r="C446" s="202"/>
      <c r="D446" s="202"/>
      <c r="E446" s="300"/>
      <c r="F446" s="210"/>
      <c r="G446" s="203"/>
      <c r="H446" s="203"/>
      <c r="I446" s="291"/>
      <c r="J446" s="263"/>
      <c r="K446" s="266"/>
      <c r="L446" s="265"/>
      <c r="M446" s="265"/>
      <c r="N446" s="265"/>
      <c r="O446" s="265"/>
      <c r="P446" s="265"/>
      <c r="Q446" s="265"/>
      <c r="R446" s="267"/>
    </row>
    <row r="447" spans="1:18" ht="27.75" customHeight="1">
      <c r="A447" s="204" t="s">
        <v>52</v>
      </c>
      <c r="B447" s="202"/>
      <c r="C447" s="202"/>
      <c r="D447" s="202"/>
      <c r="E447" s="300"/>
      <c r="F447" s="210">
        <f>SUM(F427:F446)</f>
        <v>0</v>
      </c>
      <c r="G447" s="203"/>
      <c r="H447" s="203"/>
      <c r="I447" s="291"/>
      <c r="J447" s="263"/>
      <c r="K447" s="266"/>
      <c r="L447" s="265"/>
      <c r="M447" s="265"/>
      <c r="N447" s="265"/>
      <c r="O447" s="265"/>
      <c r="P447" s="265"/>
      <c r="Q447" s="265"/>
      <c r="R447" s="267"/>
    </row>
    <row r="448" spans="1:18" ht="27.75" customHeight="1">
      <c r="A448" s="204" t="str">
        <f>IF(ISBLANK(D448)," ",337-COUNTBLANK($D$6:D448))</f>
        <v xml:space="preserve"> </v>
      </c>
      <c r="B448" s="202"/>
      <c r="C448" s="202"/>
      <c r="D448" s="202"/>
      <c r="E448" s="300"/>
      <c r="F448" s="210"/>
      <c r="G448" s="203"/>
      <c r="H448" s="203"/>
      <c r="I448" s="291"/>
      <c r="J448" s="263"/>
      <c r="K448" s="266"/>
      <c r="L448" s="265"/>
      <c r="M448" s="265"/>
      <c r="N448" s="265"/>
      <c r="O448" s="265"/>
      <c r="P448" s="265"/>
      <c r="Q448" s="265"/>
      <c r="R448" s="267"/>
    </row>
    <row r="449" spans="1:21" ht="27.75" customHeight="1">
      <c r="A449" s="304" t="str">
        <f>IF(ISBLANK(D449)," ",338-COUNTBLANK($D$6:D449))</f>
        <v xml:space="preserve"> </v>
      </c>
      <c r="B449" s="296"/>
      <c r="C449" s="305"/>
      <c r="D449" s="306"/>
      <c r="E449" s="297"/>
      <c r="F449" s="298"/>
      <c r="G449" s="282"/>
      <c r="H449" s="282"/>
      <c r="I449" s="303"/>
      <c r="J449" s="263"/>
      <c r="K449" s="264"/>
      <c r="L449" s="265"/>
      <c r="M449" s="265"/>
      <c r="N449" s="265"/>
      <c r="O449" s="265"/>
      <c r="P449" s="265"/>
      <c r="Q449" s="265"/>
      <c r="R449" s="284"/>
      <c r="S449" s="265"/>
      <c r="T449" s="265"/>
      <c r="U449" s="265"/>
    </row>
    <row r="450" spans="1:21" ht="27.75" customHeight="1">
      <c r="A450" s="260" t="str">
        <f>IF(ISBLANK(D450)," ",339-COUNTBLANK($D$6:D450))</f>
        <v xml:space="preserve"> </v>
      </c>
      <c r="B450" s="200"/>
      <c r="C450" s="200"/>
      <c r="D450" s="200"/>
      <c r="E450" s="299"/>
      <c r="F450" s="209"/>
      <c r="G450" s="201"/>
      <c r="H450" s="201"/>
      <c r="I450" s="291"/>
      <c r="J450" s="263"/>
      <c r="K450" s="266"/>
      <c r="L450" s="265"/>
      <c r="M450" s="265"/>
      <c r="N450" s="265"/>
      <c r="O450" s="265"/>
      <c r="P450" s="265"/>
      <c r="Q450" s="265"/>
      <c r="R450" s="284"/>
      <c r="S450" s="265"/>
      <c r="T450" s="265"/>
      <c r="U450" s="265"/>
    </row>
    <row r="451" spans="1:21" ht="27.75" customHeight="1">
      <c r="A451" s="204" t="str">
        <f>IF(ISBLANK(D451)," ",340-COUNTBLANK($D$6:D451))</f>
        <v xml:space="preserve"> </v>
      </c>
      <c r="B451" s="202"/>
      <c r="C451" s="202"/>
      <c r="D451" s="202"/>
      <c r="E451" s="300"/>
      <c r="F451" s="210"/>
      <c r="G451" s="203"/>
      <c r="H451" s="203"/>
      <c r="I451" s="291"/>
      <c r="J451" s="263"/>
      <c r="K451" s="264"/>
      <c r="L451" s="265"/>
      <c r="M451" s="265"/>
      <c r="N451" s="265"/>
      <c r="O451" s="265"/>
      <c r="P451" s="265"/>
      <c r="Q451" s="265"/>
      <c r="R451" s="265"/>
    </row>
    <row r="452" spans="1:21" ht="27.75" customHeight="1">
      <c r="A452" s="204" t="str">
        <f>IF(ISBLANK(D452)," ",341-COUNTBLANK($D$6:D452))</f>
        <v xml:space="preserve"> </v>
      </c>
      <c r="B452" s="202"/>
      <c r="C452" s="202"/>
      <c r="D452" s="202"/>
      <c r="E452" s="300"/>
      <c r="F452" s="210"/>
      <c r="G452" s="203"/>
      <c r="H452" s="203"/>
      <c r="I452" s="291"/>
      <c r="J452" s="263"/>
      <c r="K452" s="264"/>
      <c r="L452" s="265"/>
      <c r="M452" s="265"/>
      <c r="N452" s="265"/>
      <c r="O452" s="265"/>
      <c r="P452" s="265"/>
      <c r="Q452" s="265"/>
      <c r="R452" s="265"/>
    </row>
    <row r="453" spans="1:21" ht="27.75" customHeight="1">
      <c r="A453" s="204" t="str">
        <f>IF(ISBLANK(D453)," ",342-COUNTBLANK($D$6:D453))</f>
        <v xml:space="preserve"> </v>
      </c>
      <c r="B453" s="202"/>
      <c r="C453" s="202"/>
      <c r="D453" s="202"/>
      <c r="E453" s="300"/>
      <c r="F453" s="210"/>
      <c r="G453" s="203"/>
      <c r="H453" s="203"/>
      <c r="I453" s="291"/>
      <c r="J453" s="263"/>
      <c r="K453" s="264"/>
      <c r="L453" s="265"/>
      <c r="M453" s="265"/>
      <c r="N453" s="265"/>
      <c r="O453" s="265"/>
      <c r="P453" s="265"/>
      <c r="Q453" s="265"/>
      <c r="R453" s="265"/>
    </row>
    <row r="454" spans="1:21" ht="27.75" customHeight="1">
      <c r="A454" s="204" t="str">
        <f>IF(ISBLANK(D454)," ",343-COUNTBLANK($D$6:D454))</f>
        <v xml:space="preserve"> </v>
      </c>
      <c r="B454" s="202"/>
      <c r="C454" s="202"/>
      <c r="D454" s="202"/>
      <c r="E454" s="300"/>
      <c r="F454" s="210"/>
      <c r="G454" s="203"/>
      <c r="H454" s="203"/>
      <c r="I454" s="291"/>
      <c r="J454" s="263"/>
      <c r="K454" s="264"/>
      <c r="L454" s="265"/>
      <c r="M454" s="265"/>
      <c r="N454" s="265"/>
      <c r="O454" s="265"/>
      <c r="P454" s="265"/>
      <c r="Q454" s="265"/>
      <c r="R454" s="265"/>
    </row>
    <row r="455" spans="1:21" ht="27.75" customHeight="1">
      <c r="A455" s="204" t="str">
        <f>IF(ISBLANK(D455)," ",344-COUNTBLANK($D$6:D455))</f>
        <v xml:space="preserve"> </v>
      </c>
      <c r="B455" s="202"/>
      <c r="C455" s="202"/>
      <c r="D455" s="202"/>
      <c r="E455" s="300"/>
      <c r="F455" s="210"/>
      <c r="G455" s="203"/>
      <c r="H455" s="203"/>
      <c r="I455" s="291"/>
      <c r="J455" s="263"/>
      <c r="K455" s="264"/>
      <c r="L455" s="265"/>
      <c r="M455" s="265"/>
      <c r="N455" s="265"/>
      <c r="O455" s="265"/>
      <c r="P455" s="265"/>
      <c r="Q455" s="265"/>
      <c r="R455" s="265"/>
    </row>
    <row r="456" spans="1:21" ht="27.75" customHeight="1">
      <c r="A456" s="204" t="str">
        <f>IF(ISBLANK(D456)," ",345-COUNTBLANK($D$6:D456))</f>
        <v xml:space="preserve"> </v>
      </c>
      <c r="B456" s="202"/>
      <c r="C456" s="202"/>
      <c r="D456" s="202"/>
      <c r="E456" s="300"/>
      <c r="F456" s="210"/>
      <c r="G456" s="203"/>
      <c r="H456" s="203"/>
      <c r="I456" s="291"/>
      <c r="J456" s="263"/>
      <c r="K456" s="264"/>
      <c r="L456" s="265"/>
      <c r="M456" s="265"/>
      <c r="N456" s="265"/>
      <c r="O456" s="265"/>
      <c r="P456" s="265"/>
      <c r="Q456" s="265"/>
      <c r="R456" s="265"/>
    </row>
    <row r="457" spans="1:21" ht="27.75" customHeight="1">
      <c r="A457" s="204" t="str">
        <f>IF(ISBLANK(D457)," ",346-COUNTBLANK($D$6:D457))</f>
        <v xml:space="preserve"> </v>
      </c>
      <c r="B457" s="202"/>
      <c r="C457" s="202"/>
      <c r="D457" s="202"/>
      <c r="E457" s="300"/>
      <c r="F457" s="210"/>
      <c r="G457" s="203"/>
      <c r="H457" s="203"/>
      <c r="I457" s="291"/>
      <c r="J457" s="263"/>
      <c r="K457" s="264"/>
      <c r="L457" s="265"/>
      <c r="M457" s="265"/>
      <c r="N457" s="265"/>
      <c r="O457" s="265"/>
      <c r="P457" s="265"/>
      <c r="Q457" s="265"/>
      <c r="R457" s="265"/>
    </row>
    <row r="458" spans="1:21" ht="27.75" customHeight="1">
      <c r="A458" s="204" t="str">
        <f>IF(ISBLANK(D458)," ",347-COUNTBLANK($D$6:D458))</f>
        <v xml:space="preserve"> </v>
      </c>
      <c r="B458" s="202"/>
      <c r="C458" s="202"/>
      <c r="D458" s="202"/>
      <c r="E458" s="300"/>
      <c r="F458" s="210"/>
      <c r="G458" s="203"/>
      <c r="H458" s="203"/>
      <c r="I458" s="291"/>
      <c r="J458" s="263"/>
      <c r="K458" s="264"/>
      <c r="L458" s="265"/>
      <c r="M458" s="265"/>
      <c r="N458" s="265"/>
      <c r="O458" s="265"/>
      <c r="P458" s="265"/>
      <c r="Q458" s="265"/>
      <c r="R458" s="265"/>
    </row>
    <row r="459" spans="1:21" ht="27.75" customHeight="1">
      <c r="A459" s="204" t="str">
        <f>IF(ISBLANK(D459)," ",348-COUNTBLANK($D$6:D459))</f>
        <v xml:space="preserve"> </v>
      </c>
      <c r="B459" s="202"/>
      <c r="C459" s="202"/>
      <c r="D459" s="202"/>
      <c r="E459" s="300"/>
      <c r="F459" s="210"/>
      <c r="G459" s="203"/>
      <c r="H459" s="203"/>
      <c r="I459" s="291"/>
      <c r="J459" s="263"/>
      <c r="K459" s="264"/>
      <c r="L459" s="265"/>
      <c r="M459" s="265"/>
      <c r="N459" s="265"/>
      <c r="O459" s="265"/>
      <c r="P459" s="265"/>
      <c r="Q459" s="265"/>
      <c r="R459" s="265"/>
    </row>
    <row r="460" spans="1:21" ht="27.75" customHeight="1">
      <c r="A460" s="204" t="str">
        <f>IF(ISBLANK(D460)," ",349-COUNTBLANK($D$6:D460))</f>
        <v xml:space="preserve"> </v>
      </c>
      <c r="B460" s="202"/>
      <c r="C460" s="202"/>
      <c r="D460" s="202"/>
      <c r="E460" s="300"/>
      <c r="F460" s="210"/>
      <c r="G460" s="203"/>
      <c r="H460" s="203"/>
      <c r="I460" s="291"/>
      <c r="J460" s="263"/>
      <c r="K460" s="264"/>
      <c r="L460" s="265"/>
      <c r="M460" s="265"/>
      <c r="N460" s="265"/>
      <c r="O460" s="265"/>
      <c r="P460" s="265"/>
      <c r="Q460" s="265"/>
      <c r="R460" s="265"/>
    </row>
    <row r="461" spans="1:21" ht="27.75" customHeight="1">
      <c r="A461" s="204" t="str">
        <f>IF(ISBLANK(D461)," ",350-COUNTBLANK($D$6:D461))</f>
        <v xml:space="preserve"> </v>
      </c>
      <c r="B461" s="202"/>
      <c r="C461" s="202"/>
      <c r="D461" s="202"/>
      <c r="E461" s="300"/>
      <c r="F461" s="210"/>
      <c r="G461" s="203"/>
      <c r="H461" s="203"/>
      <c r="I461" s="291"/>
      <c r="J461" s="263"/>
      <c r="K461" s="264"/>
      <c r="L461" s="265"/>
      <c r="M461" s="265"/>
      <c r="N461" s="265"/>
      <c r="O461" s="265"/>
      <c r="P461" s="265"/>
      <c r="Q461" s="265"/>
      <c r="R461" s="265"/>
    </row>
    <row r="462" spans="1:21" ht="27.75" customHeight="1">
      <c r="A462" s="204" t="str">
        <f>IF(ISBLANK(D462)," ",351-COUNTBLANK($D$6:D462))</f>
        <v xml:space="preserve"> </v>
      </c>
      <c r="B462" s="202"/>
      <c r="C462" s="202"/>
      <c r="D462" s="202"/>
      <c r="E462" s="300"/>
      <c r="F462" s="210"/>
      <c r="G462" s="203"/>
      <c r="H462" s="203"/>
      <c r="I462" s="291"/>
      <c r="J462" s="263"/>
      <c r="K462" s="264"/>
      <c r="L462" s="265"/>
      <c r="M462" s="265"/>
      <c r="N462" s="265"/>
      <c r="O462" s="265"/>
      <c r="P462" s="265"/>
      <c r="Q462" s="265"/>
      <c r="R462" s="265"/>
    </row>
    <row r="463" spans="1:21" ht="27.75" customHeight="1">
      <c r="A463" s="204" t="str">
        <f>IF(ISBLANK(D463)," ",352-COUNTBLANK($D$6:D463))</f>
        <v xml:space="preserve"> </v>
      </c>
      <c r="B463" s="202"/>
      <c r="C463" s="202"/>
      <c r="D463" s="202"/>
      <c r="E463" s="300"/>
      <c r="F463" s="210"/>
      <c r="G463" s="203"/>
      <c r="H463" s="203"/>
      <c r="I463" s="291"/>
      <c r="J463" s="263"/>
      <c r="K463" s="264"/>
      <c r="L463" s="265"/>
      <c r="M463" s="265"/>
      <c r="N463" s="265"/>
      <c r="O463" s="265"/>
      <c r="P463" s="265"/>
      <c r="Q463" s="265"/>
      <c r="R463" s="265"/>
    </row>
    <row r="464" spans="1:21" ht="27.75" customHeight="1">
      <c r="A464" s="204" t="str">
        <f>IF(ISBLANK(D464)," ",353-COUNTBLANK($D$6:D464))</f>
        <v xml:space="preserve"> </v>
      </c>
      <c r="B464" s="202"/>
      <c r="C464" s="202"/>
      <c r="D464" s="202"/>
      <c r="E464" s="300"/>
      <c r="F464" s="210"/>
      <c r="G464" s="203"/>
      <c r="H464" s="203"/>
      <c r="I464" s="291"/>
      <c r="J464" s="263"/>
      <c r="K464" s="264"/>
      <c r="L464" s="265"/>
      <c r="M464" s="265"/>
      <c r="N464" s="265"/>
      <c r="O464" s="265"/>
      <c r="P464" s="265"/>
      <c r="Q464" s="265"/>
      <c r="R464" s="265"/>
    </row>
    <row r="465" spans="1:21" ht="27.75" customHeight="1">
      <c r="A465" s="204" t="str">
        <f>IF(ISBLANK(D465)," ",354-COUNTBLANK($D$6:D465))</f>
        <v xml:space="preserve"> </v>
      </c>
      <c r="B465" s="202"/>
      <c r="C465" s="202"/>
      <c r="D465" s="202"/>
      <c r="E465" s="300"/>
      <c r="F465" s="210"/>
      <c r="G465" s="203"/>
      <c r="H465" s="203"/>
      <c r="I465" s="291"/>
      <c r="J465" s="263"/>
      <c r="K465" s="264"/>
      <c r="L465" s="265"/>
      <c r="M465" s="265"/>
      <c r="N465" s="265"/>
      <c r="O465" s="265"/>
      <c r="P465" s="265"/>
      <c r="Q465" s="265"/>
      <c r="R465" s="265"/>
    </row>
    <row r="466" spans="1:21" ht="27.75" customHeight="1">
      <c r="A466" s="204" t="str">
        <f>IF(ISBLANK(D466)," ",355-COUNTBLANK($D$6:D466))</f>
        <v xml:space="preserve"> </v>
      </c>
      <c r="B466" s="202"/>
      <c r="C466" s="202"/>
      <c r="D466" s="202"/>
      <c r="E466" s="300"/>
      <c r="F466" s="210"/>
      <c r="G466" s="203"/>
      <c r="H466" s="203"/>
      <c r="I466" s="291"/>
      <c r="J466" s="263"/>
      <c r="K466" s="266"/>
      <c r="L466" s="265"/>
      <c r="M466" s="265"/>
      <c r="N466" s="265"/>
      <c r="O466" s="265"/>
      <c r="P466" s="265"/>
      <c r="Q466" s="265"/>
      <c r="R466" s="267"/>
    </row>
    <row r="467" spans="1:21" ht="27.75" customHeight="1">
      <c r="A467" s="204" t="str">
        <f>IF(ISBLANK(D467)," ",356-COUNTBLANK($D$6:D467))</f>
        <v xml:space="preserve"> </v>
      </c>
      <c r="B467" s="202"/>
      <c r="C467" s="202"/>
      <c r="D467" s="202"/>
      <c r="E467" s="300"/>
      <c r="F467" s="210"/>
      <c r="G467" s="203"/>
      <c r="H467" s="203"/>
      <c r="I467" s="291"/>
      <c r="J467" s="263"/>
      <c r="K467" s="266"/>
      <c r="L467" s="265"/>
      <c r="M467" s="265"/>
      <c r="N467" s="265"/>
      <c r="O467" s="265"/>
      <c r="P467" s="265"/>
      <c r="Q467" s="265"/>
      <c r="R467" s="267"/>
    </row>
    <row r="468" spans="1:21" ht="27.75" customHeight="1">
      <c r="A468" s="204" t="s">
        <v>52</v>
      </c>
      <c r="B468" s="202"/>
      <c r="C468" s="202"/>
      <c r="D468" s="202"/>
      <c r="E468" s="300"/>
      <c r="F468" s="210">
        <f>SUM(F448:F467)</f>
        <v>0</v>
      </c>
      <c r="G468" s="203"/>
      <c r="H468" s="203"/>
      <c r="I468" s="291"/>
      <c r="J468" s="263"/>
      <c r="K468" s="266"/>
      <c r="L468" s="265"/>
      <c r="M468" s="265"/>
      <c r="N468" s="265"/>
      <c r="O468" s="265"/>
      <c r="P468" s="265"/>
      <c r="Q468" s="265"/>
      <c r="R468" s="267"/>
    </row>
    <row r="469" spans="1:21" ht="27.75" customHeight="1">
      <c r="A469" s="204" t="str">
        <f>IF(ISBLANK(D469)," ",358-COUNTBLANK($D$6:D469))</f>
        <v xml:space="preserve"> </v>
      </c>
      <c r="B469" s="202"/>
      <c r="C469" s="202"/>
      <c r="D469" s="202"/>
      <c r="E469" s="300"/>
      <c r="F469" s="210"/>
      <c r="G469" s="203"/>
      <c r="H469" s="203"/>
      <c r="I469" s="291"/>
      <c r="J469" s="263"/>
      <c r="K469" s="266"/>
      <c r="L469" s="265"/>
      <c r="M469" s="265"/>
      <c r="N469" s="265"/>
      <c r="O469" s="265"/>
      <c r="P469" s="265"/>
      <c r="Q469" s="265"/>
      <c r="R469" s="267"/>
    </row>
    <row r="470" spans="1:21" ht="27.75" customHeight="1">
      <c r="A470" s="304" t="str">
        <f>IF(ISBLANK(D470)," ",359-COUNTBLANK($D$6:D470))</f>
        <v xml:space="preserve"> </v>
      </c>
      <c r="B470" s="296"/>
      <c r="C470" s="305"/>
      <c r="D470" s="306"/>
      <c r="E470" s="297"/>
      <c r="F470" s="298"/>
      <c r="G470" s="282"/>
      <c r="H470" s="282"/>
      <c r="I470" s="303"/>
      <c r="J470" s="263"/>
      <c r="K470" s="264"/>
      <c r="L470" s="265"/>
      <c r="M470" s="265"/>
      <c r="N470" s="265"/>
      <c r="O470" s="265"/>
      <c r="P470" s="265"/>
      <c r="Q470" s="265"/>
      <c r="R470" s="284"/>
      <c r="S470" s="265"/>
      <c r="T470" s="265"/>
      <c r="U470" s="265"/>
    </row>
    <row r="471" spans="1:21" ht="27.75" customHeight="1">
      <c r="A471" s="260" t="str">
        <f>IF(ISBLANK(D471)," ",360-COUNTBLANK($D$6:D471))</f>
        <v xml:space="preserve"> </v>
      </c>
      <c r="B471" s="200"/>
      <c r="C471" s="200"/>
      <c r="D471" s="200"/>
      <c r="E471" s="299"/>
      <c r="F471" s="209"/>
      <c r="G471" s="201"/>
      <c r="H471" s="201"/>
      <c r="I471" s="291"/>
      <c r="J471" s="263"/>
      <c r="K471" s="266"/>
      <c r="L471" s="265"/>
      <c r="M471" s="265"/>
      <c r="N471" s="265"/>
      <c r="O471" s="265"/>
      <c r="P471" s="265"/>
      <c r="Q471" s="265"/>
      <c r="R471" s="284"/>
      <c r="S471" s="265"/>
      <c r="T471" s="265"/>
      <c r="U471" s="265"/>
    </row>
    <row r="472" spans="1:21" ht="27.75" customHeight="1">
      <c r="A472" s="204" t="str">
        <f>IF(ISBLANK(D472)," ",361-COUNTBLANK($D$6:D472))</f>
        <v xml:space="preserve"> </v>
      </c>
      <c r="B472" s="202"/>
      <c r="C472" s="202"/>
      <c r="D472" s="202"/>
      <c r="E472" s="300"/>
      <c r="F472" s="210"/>
      <c r="G472" s="203"/>
      <c r="H472" s="203"/>
      <c r="I472" s="291"/>
      <c r="J472" s="263"/>
      <c r="K472" s="264"/>
      <c r="L472" s="265"/>
      <c r="M472" s="265"/>
      <c r="N472" s="265"/>
      <c r="O472" s="265"/>
      <c r="P472" s="265"/>
      <c r="Q472" s="265"/>
      <c r="R472" s="265"/>
    </row>
    <row r="473" spans="1:21" ht="27.75" customHeight="1">
      <c r="A473" s="204" t="str">
        <f>IF(ISBLANK(D473)," ",362-COUNTBLANK($D$6:D473))</f>
        <v xml:space="preserve"> </v>
      </c>
      <c r="B473" s="202"/>
      <c r="C473" s="202"/>
      <c r="D473" s="202"/>
      <c r="E473" s="300"/>
      <c r="F473" s="210"/>
      <c r="G473" s="203"/>
      <c r="H473" s="203"/>
      <c r="I473" s="291"/>
      <c r="J473" s="263"/>
      <c r="K473" s="264"/>
      <c r="L473" s="265"/>
      <c r="M473" s="265"/>
      <c r="N473" s="265"/>
      <c r="O473" s="265"/>
      <c r="P473" s="265"/>
      <c r="Q473" s="265"/>
      <c r="R473" s="265"/>
    </row>
    <row r="474" spans="1:21" ht="27.75" customHeight="1">
      <c r="A474" s="204" t="str">
        <f>IF(ISBLANK(D474)," ",363-COUNTBLANK($D$6:D474))</f>
        <v xml:space="preserve"> </v>
      </c>
      <c r="B474" s="202"/>
      <c r="C474" s="202"/>
      <c r="D474" s="202"/>
      <c r="E474" s="300"/>
      <c r="F474" s="210"/>
      <c r="G474" s="203"/>
      <c r="H474" s="203"/>
      <c r="I474" s="291"/>
      <c r="J474" s="263"/>
      <c r="K474" s="264"/>
      <c r="L474" s="265"/>
      <c r="M474" s="265"/>
      <c r="N474" s="265"/>
      <c r="O474" s="265"/>
      <c r="P474" s="265"/>
      <c r="Q474" s="265"/>
      <c r="R474" s="265"/>
    </row>
    <row r="475" spans="1:21" ht="27.75" customHeight="1">
      <c r="A475" s="204" t="str">
        <f>IF(ISBLANK(D475)," ",364-COUNTBLANK($D$6:D475))</f>
        <v xml:space="preserve"> </v>
      </c>
      <c r="B475" s="202"/>
      <c r="C475" s="202"/>
      <c r="D475" s="202"/>
      <c r="E475" s="300"/>
      <c r="F475" s="210"/>
      <c r="G475" s="203"/>
      <c r="H475" s="203"/>
      <c r="I475" s="291"/>
      <c r="J475" s="263"/>
      <c r="K475" s="264"/>
      <c r="L475" s="265"/>
      <c r="M475" s="265"/>
      <c r="N475" s="265"/>
      <c r="O475" s="265"/>
      <c r="P475" s="265"/>
      <c r="Q475" s="265"/>
      <c r="R475" s="265"/>
    </row>
    <row r="476" spans="1:21" ht="27.75" customHeight="1">
      <c r="A476" s="204" t="str">
        <f>IF(ISBLANK(D476)," ",365-COUNTBLANK($D$6:D476))</f>
        <v xml:space="preserve"> </v>
      </c>
      <c r="B476" s="202"/>
      <c r="C476" s="202"/>
      <c r="D476" s="202"/>
      <c r="E476" s="300"/>
      <c r="F476" s="210"/>
      <c r="G476" s="203"/>
      <c r="H476" s="203"/>
      <c r="I476" s="291"/>
      <c r="J476" s="263"/>
      <c r="K476" s="264"/>
      <c r="L476" s="265"/>
      <c r="M476" s="265"/>
      <c r="N476" s="265"/>
      <c r="O476" s="265"/>
      <c r="P476" s="265"/>
      <c r="Q476" s="265"/>
      <c r="R476" s="265"/>
    </row>
    <row r="477" spans="1:21" ht="27.75" customHeight="1">
      <c r="A477" s="204" t="str">
        <f>IF(ISBLANK(D477)," ",366-COUNTBLANK($D$6:D477))</f>
        <v xml:space="preserve"> </v>
      </c>
      <c r="B477" s="202"/>
      <c r="C477" s="202"/>
      <c r="D477" s="202"/>
      <c r="E477" s="300"/>
      <c r="F477" s="210"/>
      <c r="G477" s="203"/>
      <c r="H477" s="203"/>
      <c r="I477" s="291"/>
      <c r="J477" s="263"/>
      <c r="K477" s="264"/>
      <c r="L477" s="265"/>
      <c r="M477" s="265"/>
      <c r="N477" s="265"/>
      <c r="O477" s="265"/>
      <c r="P477" s="265"/>
      <c r="Q477" s="265"/>
      <c r="R477" s="265"/>
    </row>
    <row r="478" spans="1:21" ht="27.75" customHeight="1">
      <c r="A478" s="204" t="str">
        <f>IF(ISBLANK(D478)," ",367-COUNTBLANK($D$6:D478))</f>
        <v xml:space="preserve"> </v>
      </c>
      <c r="B478" s="202"/>
      <c r="C478" s="202"/>
      <c r="D478" s="202"/>
      <c r="E478" s="300"/>
      <c r="F478" s="210"/>
      <c r="G478" s="203"/>
      <c r="H478" s="203"/>
      <c r="I478" s="291"/>
      <c r="J478" s="263"/>
      <c r="K478" s="264"/>
      <c r="L478" s="265"/>
      <c r="M478" s="265"/>
      <c r="N478" s="265"/>
      <c r="O478" s="265"/>
      <c r="P478" s="265"/>
      <c r="Q478" s="265"/>
      <c r="R478" s="265"/>
    </row>
    <row r="479" spans="1:21" ht="27.75" customHeight="1">
      <c r="A479" s="204" t="str">
        <f>IF(ISBLANK(D479)," ",368-COUNTBLANK($D$6:D479))</f>
        <v xml:space="preserve"> </v>
      </c>
      <c r="B479" s="202"/>
      <c r="C479" s="202"/>
      <c r="D479" s="202"/>
      <c r="E479" s="300"/>
      <c r="F479" s="210"/>
      <c r="G479" s="203"/>
      <c r="H479" s="203"/>
      <c r="I479" s="291"/>
      <c r="J479" s="263"/>
      <c r="K479" s="264"/>
      <c r="L479" s="265"/>
      <c r="M479" s="265"/>
      <c r="N479" s="265"/>
      <c r="O479" s="265"/>
      <c r="P479" s="265"/>
      <c r="Q479" s="265"/>
      <c r="R479" s="265"/>
    </row>
    <row r="480" spans="1:21" ht="27.75" customHeight="1">
      <c r="A480" s="204" t="str">
        <f>IF(ISBLANK(D480)," ",369-COUNTBLANK($D$6:D480))</f>
        <v xml:space="preserve"> </v>
      </c>
      <c r="B480" s="202"/>
      <c r="C480" s="202"/>
      <c r="D480" s="202"/>
      <c r="E480" s="300"/>
      <c r="F480" s="210"/>
      <c r="G480" s="203"/>
      <c r="H480" s="203"/>
      <c r="I480" s="291"/>
      <c r="J480" s="263"/>
      <c r="K480" s="264"/>
      <c r="L480" s="265"/>
      <c r="M480" s="265"/>
      <c r="N480" s="265"/>
      <c r="O480" s="265"/>
      <c r="P480" s="265"/>
      <c r="Q480" s="265"/>
      <c r="R480" s="265"/>
    </row>
    <row r="481" spans="1:21" ht="27.75" customHeight="1">
      <c r="A481" s="204" t="str">
        <f>IF(ISBLANK(D481)," ",370-COUNTBLANK($D$6:D481))</f>
        <v xml:space="preserve"> </v>
      </c>
      <c r="B481" s="202"/>
      <c r="C481" s="202"/>
      <c r="D481" s="202"/>
      <c r="E481" s="300"/>
      <c r="F481" s="210"/>
      <c r="G481" s="203"/>
      <c r="H481" s="203"/>
      <c r="I481" s="291"/>
      <c r="J481" s="263"/>
      <c r="K481" s="264"/>
      <c r="L481" s="265"/>
      <c r="M481" s="265"/>
      <c r="N481" s="265"/>
      <c r="O481" s="265"/>
      <c r="P481" s="265"/>
      <c r="Q481" s="265"/>
      <c r="R481" s="265"/>
    </row>
    <row r="482" spans="1:21" ht="27.75" customHeight="1">
      <c r="A482" s="204" t="str">
        <f>IF(ISBLANK(D482)," ",371-COUNTBLANK($D$6:D482))</f>
        <v xml:space="preserve"> </v>
      </c>
      <c r="B482" s="202"/>
      <c r="C482" s="202"/>
      <c r="D482" s="202"/>
      <c r="E482" s="300"/>
      <c r="F482" s="210"/>
      <c r="G482" s="203"/>
      <c r="H482" s="203"/>
      <c r="I482" s="291"/>
      <c r="J482" s="263"/>
      <c r="K482" s="264"/>
      <c r="L482" s="265"/>
      <c r="M482" s="265"/>
      <c r="N482" s="265"/>
      <c r="O482" s="265"/>
      <c r="P482" s="265"/>
      <c r="Q482" s="265"/>
      <c r="R482" s="265"/>
    </row>
    <row r="483" spans="1:21" ht="27.75" customHeight="1">
      <c r="A483" s="204" t="str">
        <f>IF(ISBLANK(D483)," ",372-COUNTBLANK($D$6:D483))</f>
        <v xml:space="preserve"> </v>
      </c>
      <c r="B483" s="202"/>
      <c r="C483" s="202"/>
      <c r="D483" s="202"/>
      <c r="E483" s="300"/>
      <c r="F483" s="210"/>
      <c r="G483" s="203"/>
      <c r="H483" s="203"/>
      <c r="I483" s="291"/>
      <c r="J483" s="263"/>
      <c r="K483" s="264"/>
      <c r="L483" s="265"/>
      <c r="M483" s="265"/>
      <c r="N483" s="265"/>
      <c r="O483" s="265"/>
      <c r="P483" s="265"/>
      <c r="Q483" s="265"/>
      <c r="R483" s="265"/>
    </row>
    <row r="484" spans="1:21" ht="27.75" customHeight="1">
      <c r="A484" s="204" t="str">
        <f>IF(ISBLANK(D484)," ",373-COUNTBLANK($D$6:D484))</f>
        <v xml:space="preserve"> </v>
      </c>
      <c r="B484" s="202"/>
      <c r="C484" s="202"/>
      <c r="D484" s="202"/>
      <c r="E484" s="300"/>
      <c r="F484" s="210"/>
      <c r="G484" s="203"/>
      <c r="H484" s="203"/>
      <c r="I484" s="291"/>
      <c r="J484" s="263"/>
      <c r="K484" s="264"/>
      <c r="L484" s="265"/>
      <c r="M484" s="265"/>
      <c r="N484" s="265"/>
      <c r="O484" s="265"/>
      <c r="P484" s="265"/>
      <c r="Q484" s="265"/>
      <c r="R484" s="265"/>
    </row>
    <row r="485" spans="1:21" ht="27.75" customHeight="1">
      <c r="A485" s="204" t="str">
        <f>IF(ISBLANK(D485)," ",374-COUNTBLANK($D$6:D485))</f>
        <v xml:space="preserve"> </v>
      </c>
      <c r="B485" s="202"/>
      <c r="C485" s="202"/>
      <c r="D485" s="202"/>
      <c r="E485" s="300"/>
      <c r="F485" s="210"/>
      <c r="G485" s="203"/>
      <c r="H485" s="203"/>
      <c r="I485" s="291"/>
      <c r="J485" s="263"/>
      <c r="K485" s="264"/>
      <c r="L485" s="265"/>
      <c r="M485" s="265"/>
      <c r="N485" s="265"/>
      <c r="O485" s="265"/>
      <c r="P485" s="265"/>
      <c r="Q485" s="265"/>
      <c r="R485" s="265"/>
    </row>
    <row r="486" spans="1:21" ht="27.75" customHeight="1">
      <c r="A486" s="204" t="str">
        <f>IF(ISBLANK(D486)," ",375-COUNTBLANK($D$6:D486))</f>
        <v xml:space="preserve"> </v>
      </c>
      <c r="B486" s="202"/>
      <c r="C486" s="202"/>
      <c r="D486" s="202"/>
      <c r="E486" s="300"/>
      <c r="F486" s="210"/>
      <c r="G486" s="203"/>
      <c r="H486" s="203"/>
      <c r="I486" s="291"/>
      <c r="J486" s="263"/>
      <c r="K486" s="264"/>
      <c r="L486" s="265"/>
      <c r="M486" s="265"/>
      <c r="N486" s="265"/>
      <c r="O486" s="265"/>
      <c r="P486" s="265"/>
      <c r="Q486" s="265"/>
      <c r="R486" s="265"/>
    </row>
    <row r="487" spans="1:21" ht="27.75" customHeight="1">
      <c r="A487" s="204" t="str">
        <f>IF(ISBLANK(D487)," ",376-COUNTBLANK($D$6:D487))</f>
        <v xml:space="preserve"> </v>
      </c>
      <c r="B487" s="202"/>
      <c r="C487" s="202"/>
      <c r="D487" s="202"/>
      <c r="E487" s="300"/>
      <c r="F487" s="210"/>
      <c r="G487" s="203"/>
      <c r="H487" s="203"/>
      <c r="I487" s="291"/>
      <c r="J487" s="263"/>
      <c r="K487" s="266"/>
      <c r="L487" s="265"/>
      <c r="M487" s="265"/>
      <c r="N487" s="265"/>
      <c r="O487" s="265"/>
      <c r="P487" s="265"/>
      <c r="Q487" s="265"/>
      <c r="R487" s="267"/>
    </row>
    <row r="488" spans="1:21" ht="27.75" customHeight="1">
      <c r="A488" s="204" t="str">
        <f>IF(ISBLANK(D488)," ",377-COUNTBLANK($D$6:D488))</f>
        <v xml:space="preserve"> </v>
      </c>
      <c r="B488" s="202"/>
      <c r="C488" s="202"/>
      <c r="D488" s="202"/>
      <c r="E488" s="300"/>
      <c r="F488" s="210"/>
      <c r="G488" s="203"/>
      <c r="H488" s="203"/>
      <c r="I488" s="291"/>
      <c r="J488" s="263"/>
      <c r="K488" s="266"/>
      <c r="L488" s="265"/>
      <c r="M488" s="265"/>
      <c r="N488" s="265"/>
      <c r="O488" s="265"/>
      <c r="P488" s="265"/>
      <c r="Q488" s="265"/>
      <c r="R488" s="267"/>
    </row>
    <row r="489" spans="1:21" ht="27.75" customHeight="1">
      <c r="A489" s="204" t="s">
        <v>52</v>
      </c>
      <c r="B489" s="202"/>
      <c r="C489" s="202"/>
      <c r="D489" s="202"/>
      <c r="E489" s="300"/>
      <c r="F489" s="210">
        <f>SUM(F469:F488)</f>
        <v>0</v>
      </c>
      <c r="G489" s="203"/>
      <c r="H489" s="203"/>
      <c r="I489" s="291"/>
      <c r="J489" s="263"/>
      <c r="K489" s="266"/>
      <c r="L489" s="265"/>
      <c r="M489" s="265"/>
      <c r="N489" s="265"/>
      <c r="O489" s="265"/>
      <c r="P489" s="265"/>
      <c r="Q489" s="265"/>
      <c r="R489" s="267"/>
    </row>
    <row r="490" spans="1:21" ht="27.75" customHeight="1">
      <c r="A490" s="204" t="str">
        <f>IF(ISBLANK(D490)," ",379-COUNTBLANK($D$6:D490))</f>
        <v xml:space="preserve"> </v>
      </c>
      <c r="B490" s="202"/>
      <c r="C490" s="202"/>
      <c r="D490" s="202"/>
      <c r="E490" s="300"/>
      <c r="F490" s="210"/>
      <c r="G490" s="203"/>
      <c r="H490" s="203"/>
      <c r="I490" s="291"/>
      <c r="J490" s="263"/>
      <c r="K490" s="266"/>
      <c r="L490" s="265"/>
      <c r="M490" s="265"/>
      <c r="N490" s="265"/>
      <c r="O490" s="265"/>
      <c r="P490" s="265"/>
      <c r="Q490" s="265"/>
      <c r="R490" s="267"/>
    </row>
    <row r="491" spans="1:21" ht="27.75" customHeight="1">
      <c r="A491" s="304" t="str">
        <f>IF(ISBLANK(D491)," ",380-COUNTBLANK($D$6:D491))</f>
        <v xml:space="preserve"> </v>
      </c>
      <c r="B491" s="296"/>
      <c r="C491" s="305"/>
      <c r="D491" s="306"/>
      <c r="E491" s="297"/>
      <c r="F491" s="298"/>
      <c r="G491" s="282"/>
      <c r="H491" s="282"/>
      <c r="I491" s="303"/>
      <c r="J491" s="263"/>
      <c r="K491" s="264"/>
      <c r="L491" s="265"/>
      <c r="M491" s="265"/>
      <c r="N491" s="265"/>
      <c r="O491" s="265"/>
      <c r="P491" s="265"/>
      <c r="Q491" s="265"/>
      <c r="R491" s="284"/>
      <c r="S491" s="265"/>
      <c r="T491" s="265"/>
      <c r="U491" s="265"/>
    </row>
    <row r="492" spans="1:21" ht="27.75" customHeight="1">
      <c r="A492" s="260" t="str">
        <f>IF(ISBLANK(D492)," ",381-COUNTBLANK($D$6:D492))</f>
        <v xml:space="preserve"> </v>
      </c>
      <c r="B492" s="200"/>
      <c r="C492" s="200"/>
      <c r="D492" s="200"/>
      <c r="E492" s="299"/>
      <c r="F492" s="209"/>
      <c r="G492" s="201"/>
      <c r="H492" s="201"/>
      <c r="I492" s="291"/>
      <c r="J492" s="263"/>
      <c r="K492" s="266"/>
      <c r="L492" s="265"/>
      <c r="M492" s="265"/>
      <c r="N492" s="265"/>
      <c r="O492" s="265"/>
      <c r="P492" s="265"/>
      <c r="Q492" s="265"/>
      <c r="R492" s="284"/>
      <c r="S492" s="265"/>
      <c r="T492" s="265"/>
      <c r="U492" s="265"/>
    </row>
    <row r="493" spans="1:21" ht="27.75" customHeight="1">
      <c r="A493" s="204" t="str">
        <f>IF(ISBLANK(D493)," ",382-COUNTBLANK($D$6:D493))</f>
        <v xml:space="preserve"> </v>
      </c>
      <c r="B493" s="202"/>
      <c r="C493" s="202"/>
      <c r="D493" s="202"/>
      <c r="E493" s="300"/>
      <c r="F493" s="210"/>
      <c r="G493" s="203"/>
      <c r="H493" s="203"/>
      <c r="I493" s="291"/>
      <c r="J493" s="263"/>
      <c r="K493" s="264"/>
      <c r="L493" s="265"/>
      <c r="M493" s="265"/>
      <c r="N493" s="265"/>
      <c r="O493" s="265"/>
      <c r="P493" s="265"/>
      <c r="Q493" s="265"/>
      <c r="R493" s="265"/>
    </row>
    <row r="494" spans="1:21" ht="27.75" customHeight="1">
      <c r="A494" s="204" t="str">
        <f>IF(ISBLANK(D494)," ",383-COUNTBLANK($D$6:D494))</f>
        <v xml:space="preserve"> </v>
      </c>
      <c r="B494" s="202"/>
      <c r="C494" s="202"/>
      <c r="D494" s="202"/>
      <c r="E494" s="300"/>
      <c r="F494" s="210"/>
      <c r="G494" s="203"/>
      <c r="H494" s="203"/>
      <c r="I494" s="291"/>
      <c r="J494" s="263"/>
      <c r="K494" s="264"/>
      <c r="L494" s="265"/>
      <c r="M494" s="265"/>
      <c r="N494" s="265"/>
      <c r="O494" s="265"/>
      <c r="P494" s="265"/>
      <c r="Q494" s="265"/>
      <c r="R494" s="265"/>
    </row>
    <row r="495" spans="1:21" ht="27.75" customHeight="1">
      <c r="A495" s="204" t="str">
        <f>IF(ISBLANK(D495)," ",384-COUNTBLANK($D$6:D495))</f>
        <v xml:space="preserve"> </v>
      </c>
      <c r="B495" s="202"/>
      <c r="C495" s="202"/>
      <c r="D495" s="202"/>
      <c r="E495" s="300"/>
      <c r="F495" s="210"/>
      <c r="G495" s="203"/>
      <c r="H495" s="203"/>
      <c r="I495" s="291"/>
      <c r="J495" s="263"/>
      <c r="K495" s="264"/>
      <c r="L495" s="265"/>
      <c r="M495" s="265"/>
      <c r="N495" s="265"/>
      <c r="O495" s="265"/>
      <c r="P495" s="265"/>
      <c r="Q495" s="265"/>
      <c r="R495" s="265"/>
    </row>
    <row r="496" spans="1:21" ht="27.75" customHeight="1">
      <c r="A496" s="204" t="str">
        <f>IF(ISBLANK(D496)," ",385-COUNTBLANK($D$6:D496))</f>
        <v xml:space="preserve"> </v>
      </c>
      <c r="B496" s="202"/>
      <c r="C496" s="202"/>
      <c r="D496" s="202"/>
      <c r="E496" s="300"/>
      <c r="F496" s="210"/>
      <c r="G496" s="203"/>
      <c r="H496" s="203"/>
      <c r="I496" s="291"/>
      <c r="J496" s="263"/>
      <c r="K496" s="264"/>
      <c r="L496" s="265"/>
      <c r="M496" s="265"/>
      <c r="N496" s="265"/>
      <c r="O496" s="265"/>
      <c r="P496" s="265"/>
      <c r="Q496" s="265"/>
      <c r="R496" s="265"/>
    </row>
    <row r="497" spans="1:21" ht="27.75" customHeight="1">
      <c r="A497" s="204" t="str">
        <f>IF(ISBLANK(D497)," ",386-COUNTBLANK($D$6:D497))</f>
        <v xml:space="preserve"> </v>
      </c>
      <c r="B497" s="202"/>
      <c r="C497" s="202"/>
      <c r="D497" s="202"/>
      <c r="E497" s="300"/>
      <c r="F497" s="210"/>
      <c r="G497" s="203"/>
      <c r="H497" s="203"/>
      <c r="I497" s="291"/>
      <c r="J497" s="263"/>
      <c r="K497" s="264"/>
      <c r="L497" s="265"/>
      <c r="M497" s="265"/>
      <c r="N497" s="265"/>
      <c r="O497" s="265"/>
      <c r="P497" s="265"/>
      <c r="Q497" s="265"/>
      <c r="R497" s="265"/>
    </row>
    <row r="498" spans="1:21" ht="27.75" customHeight="1">
      <c r="A498" s="204" t="str">
        <f>IF(ISBLANK(D498)," ",387-COUNTBLANK($D$6:D498))</f>
        <v xml:space="preserve"> </v>
      </c>
      <c r="B498" s="202"/>
      <c r="C498" s="202"/>
      <c r="D498" s="202"/>
      <c r="E498" s="300"/>
      <c r="F498" s="210"/>
      <c r="G498" s="203"/>
      <c r="H498" s="203"/>
      <c r="I498" s="291"/>
      <c r="J498" s="263"/>
      <c r="K498" s="264"/>
      <c r="L498" s="265"/>
      <c r="M498" s="265"/>
      <c r="N498" s="265"/>
      <c r="O498" s="265"/>
      <c r="P498" s="265"/>
      <c r="Q498" s="265"/>
      <c r="R498" s="265"/>
    </row>
    <row r="499" spans="1:21" ht="27.75" customHeight="1">
      <c r="A499" s="204" t="str">
        <f>IF(ISBLANK(D499)," ",388-COUNTBLANK($D$6:D499))</f>
        <v xml:space="preserve"> </v>
      </c>
      <c r="B499" s="202"/>
      <c r="C499" s="202"/>
      <c r="D499" s="202"/>
      <c r="E499" s="300"/>
      <c r="F499" s="210"/>
      <c r="G499" s="203"/>
      <c r="H499" s="203"/>
      <c r="I499" s="291"/>
      <c r="J499" s="263"/>
      <c r="K499" s="264"/>
      <c r="L499" s="265"/>
      <c r="M499" s="265"/>
      <c r="N499" s="265"/>
      <c r="O499" s="265"/>
      <c r="P499" s="265"/>
      <c r="Q499" s="265"/>
      <c r="R499" s="265"/>
    </row>
    <row r="500" spans="1:21" ht="27.75" customHeight="1">
      <c r="A500" s="204" t="str">
        <f>IF(ISBLANK(D500)," ",389-COUNTBLANK($D$6:D500))</f>
        <v xml:space="preserve"> </v>
      </c>
      <c r="B500" s="202"/>
      <c r="C500" s="202"/>
      <c r="D500" s="202"/>
      <c r="E500" s="300"/>
      <c r="F500" s="210"/>
      <c r="G500" s="203"/>
      <c r="H500" s="203"/>
      <c r="I500" s="291"/>
      <c r="J500" s="263"/>
      <c r="K500" s="264"/>
      <c r="L500" s="265"/>
      <c r="M500" s="265"/>
      <c r="N500" s="265"/>
      <c r="O500" s="265"/>
      <c r="P500" s="265"/>
      <c r="Q500" s="265"/>
      <c r="R500" s="265"/>
    </row>
    <row r="501" spans="1:21" ht="27.75" customHeight="1">
      <c r="A501" s="204" t="str">
        <f>IF(ISBLANK(D501)," ",390-COUNTBLANK($D$6:D501))</f>
        <v xml:space="preserve"> </v>
      </c>
      <c r="B501" s="202"/>
      <c r="C501" s="202"/>
      <c r="D501" s="202"/>
      <c r="E501" s="300"/>
      <c r="F501" s="210"/>
      <c r="G501" s="203"/>
      <c r="H501" s="203"/>
      <c r="I501" s="291"/>
      <c r="J501" s="263"/>
      <c r="K501" s="264"/>
      <c r="L501" s="265"/>
      <c r="M501" s="265"/>
      <c r="N501" s="265"/>
      <c r="O501" s="265"/>
      <c r="P501" s="265"/>
      <c r="Q501" s="265"/>
      <c r="R501" s="265"/>
    </row>
    <row r="502" spans="1:21" ht="27.75" customHeight="1">
      <c r="A502" s="204" t="str">
        <f>IF(ISBLANK(D502)," ",391-COUNTBLANK($D$6:D502))</f>
        <v xml:space="preserve"> </v>
      </c>
      <c r="B502" s="202"/>
      <c r="C502" s="202"/>
      <c r="D502" s="202"/>
      <c r="E502" s="300"/>
      <c r="F502" s="210"/>
      <c r="G502" s="203"/>
      <c r="H502" s="203"/>
      <c r="I502" s="291"/>
      <c r="J502" s="263"/>
      <c r="K502" s="264"/>
      <c r="L502" s="265"/>
      <c r="M502" s="265"/>
      <c r="N502" s="265"/>
      <c r="O502" s="265"/>
      <c r="P502" s="265"/>
      <c r="Q502" s="265"/>
      <c r="R502" s="265"/>
    </row>
    <row r="503" spans="1:21" ht="27.75" customHeight="1">
      <c r="A503" s="204" t="str">
        <f>IF(ISBLANK(D503)," ",392-COUNTBLANK($D$6:D503))</f>
        <v xml:space="preserve"> </v>
      </c>
      <c r="B503" s="202"/>
      <c r="C503" s="202"/>
      <c r="D503" s="202"/>
      <c r="E503" s="300"/>
      <c r="F503" s="210"/>
      <c r="G503" s="203"/>
      <c r="H503" s="203"/>
      <c r="I503" s="291"/>
      <c r="J503" s="263"/>
      <c r="K503" s="264"/>
      <c r="L503" s="265"/>
      <c r="M503" s="265"/>
      <c r="N503" s="265"/>
      <c r="O503" s="265"/>
      <c r="P503" s="265"/>
      <c r="Q503" s="265"/>
      <c r="R503" s="265"/>
    </row>
    <row r="504" spans="1:21" ht="27.75" customHeight="1">
      <c r="A504" s="204" t="str">
        <f>IF(ISBLANK(D504)," ",393-COUNTBLANK($D$6:D504))</f>
        <v xml:space="preserve"> </v>
      </c>
      <c r="B504" s="202"/>
      <c r="C504" s="202"/>
      <c r="D504" s="202"/>
      <c r="E504" s="300"/>
      <c r="F504" s="210"/>
      <c r="G504" s="203"/>
      <c r="H504" s="203"/>
      <c r="I504" s="291"/>
      <c r="J504" s="263"/>
      <c r="K504" s="264"/>
      <c r="L504" s="265"/>
      <c r="M504" s="265"/>
      <c r="N504" s="265"/>
      <c r="O504" s="265"/>
      <c r="P504" s="265"/>
      <c r="Q504" s="265"/>
      <c r="R504" s="265"/>
    </row>
    <row r="505" spans="1:21" ht="27.75" customHeight="1">
      <c r="A505" s="204" t="str">
        <f>IF(ISBLANK(D505)," ",394-COUNTBLANK($D$6:D505))</f>
        <v xml:space="preserve"> </v>
      </c>
      <c r="B505" s="202"/>
      <c r="C505" s="202"/>
      <c r="D505" s="202"/>
      <c r="E505" s="300"/>
      <c r="F505" s="210"/>
      <c r="G505" s="203"/>
      <c r="H505" s="203"/>
      <c r="I505" s="291"/>
      <c r="J505" s="263"/>
      <c r="K505" s="264"/>
      <c r="L505" s="265"/>
      <c r="M505" s="265"/>
      <c r="N505" s="265"/>
      <c r="O505" s="265"/>
      <c r="P505" s="265"/>
      <c r="Q505" s="265"/>
      <c r="R505" s="265"/>
    </row>
    <row r="506" spans="1:21" ht="27.75" customHeight="1">
      <c r="A506" s="204" t="str">
        <f>IF(ISBLANK(D506)," ",395-COUNTBLANK($D$6:D506))</f>
        <v xml:space="preserve"> </v>
      </c>
      <c r="B506" s="202"/>
      <c r="C506" s="202"/>
      <c r="D506" s="202"/>
      <c r="E506" s="300"/>
      <c r="F506" s="210"/>
      <c r="G506" s="203"/>
      <c r="H506" s="203"/>
      <c r="I506" s="291"/>
      <c r="J506" s="263"/>
      <c r="K506" s="264"/>
      <c r="L506" s="265"/>
      <c r="M506" s="265"/>
      <c r="N506" s="265"/>
      <c r="O506" s="265"/>
      <c r="P506" s="265"/>
      <c r="Q506" s="265"/>
      <c r="R506" s="265"/>
    </row>
    <row r="507" spans="1:21" ht="27.75" customHeight="1">
      <c r="A507" s="204" t="str">
        <f>IF(ISBLANK(D507)," ",396-COUNTBLANK($D$6:D507))</f>
        <v xml:space="preserve"> </v>
      </c>
      <c r="B507" s="202"/>
      <c r="C507" s="202"/>
      <c r="D507" s="202"/>
      <c r="E507" s="300"/>
      <c r="F507" s="210"/>
      <c r="G507" s="203"/>
      <c r="H507" s="203"/>
      <c r="I507" s="291"/>
      <c r="J507" s="263"/>
      <c r="K507" s="264"/>
      <c r="L507" s="265"/>
      <c r="M507" s="265"/>
      <c r="N507" s="265"/>
      <c r="O507" s="265"/>
      <c r="P507" s="265"/>
      <c r="Q507" s="265"/>
      <c r="R507" s="265"/>
    </row>
    <row r="508" spans="1:21" ht="27.75" customHeight="1">
      <c r="A508" s="204" t="str">
        <f>IF(ISBLANK(D508)," ",397-COUNTBLANK($D$6:D508))</f>
        <v xml:space="preserve"> </v>
      </c>
      <c r="B508" s="202"/>
      <c r="C508" s="202"/>
      <c r="D508" s="202"/>
      <c r="E508" s="300"/>
      <c r="F508" s="210"/>
      <c r="G508" s="203"/>
      <c r="H508" s="203"/>
      <c r="I508" s="291"/>
      <c r="J508" s="263"/>
      <c r="K508" s="266"/>
      <c r="L508" s="265"/>
      <c r="M508" s="265"/>
      <c r="N508" s="265"/>
      <c r="O508" s="265"/>
      <c r="P508" s="265"/>
      <c r="Q508" s="265"/>
      <c r="R508" s="267"/>
    </row>
    <row r="509" spans="1:21" ht="27.75" customHeight="1">
      <c r="A509" s="204" t="str">
        <f>IF(ISBLANK(D509)," ",398-COUNTBLANK($D$6:D509))</f>
        <v xml:space="preserve"> </v>
      </c>
      <c r="B509" s="202"/>
      <c r="C509" s="202"/>
      <c r="D509" s="202"/>
      <c r="E509" s="300"/>
      <c r="F509" s="210"/>
      <c r="G509" s="203"/>
      <c r="H509" s="203"/>
      <c r="I509" s="291"/>
      <c r="J509" s="263"/>
      <c r="K509" s="266"/>
      <c r="L509" s="265"/>
      <c r="M509" s="265"/>
      <c r="N509" s="265"/>
      <c r="O509" s="265"/>
      <c r="P509" s="265"/>
      <c r="Q509" s="265"/>
      <c r="R509" s="267"/>
    </row>
    <row r="510" spans="1:21" ht="27.75" customHeight="1">
      <c r="A510" s="204" t="s">
        <v>52</v>
      </c>
      <c r="B510" s="202"/>
      <c r="C510" s="202"/>
      <c r="D510" s="202"/>
      <c r="E510" s="300"/>
      <c r="F510" s="210">
        <f>SUM(F490:F509)</f>
        <v>0</v>
      </c>
      <c r="G510" s="203"/>
      <c r="H510" s="203"/>
      <c r="I510" s="291"/>
      <c r="J510" s="263"/>
      <c r="K510" s="266"/>
      <c r="L510" s="265"/>
      <c r="M510" s="265"/>
      <c r="N510" s="265"/>
      <c r="O510" s="265"/>
      <c r="P510" s="265"/>
      <c r="Q510" s="265"/>
      <c r="R510" s="267"/>
    </row>
    <row r="511" spans="1:21" ht="27.75" customHeight="1">
      <c r="A511" s="204" t="str">
        <f>IF(ISBLANK(D511)," ",400-COUNTBLANK($D$6:D511))</f>
        <v xml:space="preserve"> </v>
      </c>
      <c r="B511" s="202"/>
      <c r="C511" s="202"/>
      <c r="D511" s="202"/>
      <c r="E511" s="300"/>
      <c r="F511" s="210"/>
      <c r="G511" s="203"/>
      <c r="H511" s="203"/>
      <c r="I511" s="291"/>
      <c r="J511" s="263"/>
      <c r="K511" s="266"/>
      <c r="L511" s="265"/>
      <c r="M511" s="265"/>
      <c r="N511" s="265"/>
      <c r="O511" s="265"/>
      <c r="P511" s="265"/>
      <c r="Q511" s="265"/>
      <c r="R511" s="267"/>
    </row>
    <row r="512" spans="1:21" ht="27.75" customHeight="1">
      <c r="A512" s="304" t="str">
        <f>IF(ISBLANK(D512)," ",401-COUNTBLANK($D$6:D512))</f>
        <v xml:space="preserve"> </v>
      </c>
      <c r="B512" s="296"/>
      <c r="C512" s="305"/>
      <c r="D512" s="306"/>
      <c r="E512" s="297"/>
      <c r="F512" s="298"/>
      <c r="G512" s="282"/>
      <c r="H512" s="282"/>
      <c r="I512" s="303"/>
      <c r="J512" s="263"/>
      <c r="K512" s="264"/>
      <c r="L512" s="265"/>
      <c r="M512" s="265"/>
      <c r="N512" s="265"/>
      <c r="O512" s="265"/>
      <c r="P512" s="265"/>
      <c r="Q512" s="265"/>
      <c r="R512" s="284"/>
      <c r="S512" s="265"/>
      <c r="T512" s="265"/>
      <c r="U512" s="265"/>
    </row>
    <row r="513" spans="1:21" ht="27.75" customHeight="1">
      <c r="A513" s="240" t="str">
        <f>IF(ISBLANK(D513)," ",402-COUNTBLANK($D$6:D513))</f>
        <v xml:space="preserve"> </v>
      </c>
      <c r="J513" s="263"/>
      <c r="K513" s="266"/>
      <c r="L513" s="265"/>
      <c r="M513" s="265"/>
      <c r="N513" s="265"/>
      <c r="O513" s="265"/>
      <c r="P513" s="265"/>
      <c r="Q513" s="265"/>
      <c r="R513" s="284"/>
      <c r="S513" s="265"/>
      <c r="T513" s="265"/>
      <c r="U513" s="265"/>
    </row>
    <row r="514" spans="1:21" ht="27.75" customHeight="1">
      <c r="A514" s="240" t="str">
        <f>IF(ISBLANK(D514)," ",403-COUNTBLANK($D$6:D514))</f>
        <v xml:space="preserve"> </v>
      </c>
      <c r="J514" s="263"/>
      <c r="K514" s="264"/>
      <c r="L514" s="265"/>
      <c r="M514" s="265"/>
      <c r="N514" s="265"/>
      <c r="O514" s="265"/>
      <c r="P514" s="265"/>
      <c r="Q514" s="265"/>
      <c r="R514" s="265"/>
    </row>
    <row r="515" spans="1:21" ht="27.75" customHeight="1">
      <c r="A515" s="240" t="str">
        <f>IF(ISBLANK(D515)," ",404-COUNTBLANK($D$6:D515))</f>
        <v xml:space="preserve"> </v>
      </c>
      <c r="J515" s="263"/>
      <c r="K515" s="264"/>
      <c r="L515" s="265"/>
      <c r="M515" s="265"/>
      <c r="N515" s="265"/>
      <c r="O515" s="265"/>
      <c r="P515" s="265"/>
      <c r="Q515" s="265"/>
      <c r="R515" s="265"/>
    </row>
    <row r="516" spans="1:21" ht="27.75" customHeight="1">
      <c r="A516" s="240" t="str">
        <f>IF(ISBLANK(D516)," ",405-COUNTBLANK($D$6:D516))</f>
        <v xml:space="preserve"> </v>
      </c>
      <c r="J516" s="263"/>
      <c r="K516" s="264"/>
      <c r="L516" s="265"/>
      <c r="M516" s="265"/>
      <c r="N516" s="265"/>
      <c r="O516" s="265"/>
      <c r="P516" s="265"/>
      <c r="Q516" s="265"/>
      <c r="R516" s="265"/>
    </row>
    <row r="517" spans="1:21" ht="27.75" customHeight="1">
      <c r="A517" s="240" t="str">
        <f>IF(ISBLANK(D517)," ",406-COUNTBLANK($D$6:D517))</f>
        <v xml:space="preserve"> </v>
      </c>
      <c r="J517" s="263"/>
      <c r="K517" s="264"/>
      <c r="L517" s="265"/>
      <c r="M517" s="265"/>
      <c r="N517" s="265"/>
      <c r="O517" s="265"/>
      <c r="P517" s="265"/>
      <c r="Q517" s="265"/>
      <c r="R517" s="265"/>
    </row>
    <row r="518" spans="1:21" ht="27.75" customHeight="1">
      <c r="A518" s="240" t="str">
        <f>IF(ISBLANK(D518)," ",407-COUNTBLANK($D$6:D518))</f>
        <v xml:space="preserve"> </v>
      </c>
      <c r="J518" s="263"/>
      <c r="K518" s="264"/>
      <c r="L518" s="265"/>
      <c r="M518" s="265"/>
      <c r="N518" s="265"/>
      <c r="O518" s="265"/>
      <c r="P518" s="265"/>
      <c r="Q518" s="265"/>
      <c r="R518" s="265"/>
    </row>
    <row r="519" spans="1:21" ht="27.75" customHeight="1">
      <c r="A519" s="240" t="str">
        <f>IF(ISBLANK(D519)," ",408-COUNTBLANK($D$6:D519))</f>
        <v xml:space="preserve"> </v>
      </c>
      <c r="J519" s="263"/>
      <c r="K519" s="264"/>
      <c r="L519" s="265"/>
      <c r="M519" s="265"/>
      <c r="N519" s="265"/>
      <c r="O519" s="265"/>
      <c r="P519" s="265"/>
      <c r="Q519" s="265"/>
      <c r="R519" s="265"/>
    </row>
    <row r="520" spans="1:21" ht="27.75" customHeight="1">
      <c r="A520" s="240" t="str">
        <f>IF(ISBLANK(D520)," ",409-COUNTBLANK($D$6:D520))</f>
        <v xml:space="preserve"> </v>
      </c>
      <c r="J520" s="263"/>
      <c r="K520" s="264"/>
      <c r="L520" s="265"/>
      <c r="M520" s="265"/>
      <c r="N520" s="265"/>
      <c r="O520" s="265"/>
      <c r="P520" s="265"/>
      <c r="Q520" s="265"/>
      <c r="R520" s="265"/>
    </row>
    <row r="521" spans="1:21" ht="27.75" customHeight="1">
      <c r="A521" s="240" t="str">
        <f>IF(ISBLANK(D521)," ",410-COUNTBLANK($D$6:D521))</f>
        <v xml:space="preserve"> </v>
      </c>
      <c r="J521" s="263"/>
      <c r="K521" s="264"/>
      <c r="L521" s="265"/>
      <c r="M521" s="265"/>
      <c r="N521" s="265"/>
      <c r="O521" s="265"/>
      <c r="P521" s="265"/>
      <c r="Q521" s="265"/>
      <c r="R521" s="265"/>
    </row>
    <row r="522" spans="1:21" ht="27.75" customHeight="1">
      <c r="A522" s="240" t="str">
        <f>IF(ISBLANK(D522)," ",411-COUNTBLANK($D$6:D522))</f>
        <v xml:space="preserve"> </v>
      </c>
      <c r="J522" s="263"/>
      <c r="K522" s="264"/>
      <c r="L522" s="265"/>
      <c r="M522" s="265"/>
      <c r="N522" s="265"/>
      <c r="O522" s="265"/>
      <c r="P522" s="265"/>
      <c r="Q522" s="265"/>
      <c r="R522" s="265"/>
    </row>
    <row r="523" spans="1:21" ht="27.75" customHeight="1">
      <c r="A523" s="240" t="str">
        <f>IF(ISBLANK(D523)," ",412-COUNTBLANK($D$6:D523))</f>
        <v xml:space="preserve"> </v>
      </c>
      <c r="J523" s="263"/>
      <c r="K523" s="264"/>
      <c r="L523" s="265"/>
      <c r="M523" s="265"/>
      <c r="N523" s="265"/>
      <c r="O523" s="265"/>
      <c r="P523" s="265"/>
      <c r="Q523" s="265"/>
      <c r="R523" s="265"/>
    </row>
    <row r="524" spans="1:21" ht="27.75" customHeight="1">
      <c r="A524" s="240" t="str">
        <f>IF(ISBLANK(D524)," ",413-COUNTBLANK($D$6:D524))</f>
        <v xml:space="preserve"> </v>
      </c>
      <c r="J524" s="263"/>
      <c r="K524" s="264"/>
      <c r="L524" s="265"/>
      <c r="M524" s="265"/>
      <c r="N524" s="265"/>
      <c r="O524" s="265"/>
      <c r="P524" s="265"/>
      <c r="Q524" s="265"/>
      <c r="R524" s="265"/>
    </row>
    <row r="525" spans="1:21" ht="27.75" customHeight="1">
      <c r="A525" s="240" t="str">
        <f>IF(ISBLANK(D525)," ",414-COUNTBLANK($D$6:D525))</f>
        <v xml:space="preserve"> </v>
      </c>
      <c r="J525" s="263"/>
      <c r="K525" s="264"/>
      <c r="L525" s="265"/>
      <c r="M525" s="265"/>
      <c r="N525" s="265"/>
      <c r="O525" s="265"/>
      <c r="P525" s="265"/>
      <c r="Q525" s="265"/>
      <c r="R525" s="265"/>
    </row>
    <row r="526" spans="1:21" ht="27.75" customHeight="1">
      <c r="A526" s="240" t="str">
        <f>IF(ISBLANK(D526)," ",415-COUNTBLANK($D$6:D526))</f>
        <v xml:space="preserve"> </v>
      </c>
      <c r="J526" s="263"/>
      <c r="K526" s="264"/>
      <c r="L526" s="265"/>
      <c r="M526" s="265"/>
      <c r="N526" s="265"/>
      <c r="O526" s="265"/>
      <c r="P526" s="265"/>
      <c r="Q526" s="265"/>
      <c r="R526" s="265"/>
    </row>
    <row r="527" spans="1:21" ht="27.75" customHeight="1">
      <c r="A527" s="240" t="str">
        <f>IF(ISBLANK(D527)," ",416-COUNTBLANK($D$6:D527))</f>
        <v xml:space="preserve"> </v>
      </c>
      <c r="J527" s="263"/>
      <c r="K527" s="264"/>
      <c r="L527" s="265"/>
      <c r="M527" s="265"/>
      <c r="N527" s="265"/>
      <c r="O527" s="265"/>
      <c r="P527" s="265"/>
      <c r="Q527" s="265"/>
      <c r="R527" s="265"/>
    </row>
    <row r="528" spans="1:21" ht="27.75" customHeight="1">
      <c r="A528" s="240" t="str">
        <f>IF(ISBLANK(D528)," ",417-COUNTBLANK($D$6:D528))</f>
        <v xml:space="preserve"> </v>
      </c>
      <c r="J528" s="263"/>
      <c r="K528" s="264"/>
      <c r="L528" s="265"/>
      <c r="M528" s="265"/>
      <c r="N528" s="265"/>
      <c r="O528" s="265"/>
      <c r="P528" s="265"/>
      <c r="Q528" s="265"/>
      <c r="R528" s="265"/>
    </row>
    <row r="529" spans="1:21" ht="27.75" customHeight="1">
      <c r="A529" s="240" t="str">
        <f>IF(ISBLANK(D529)," ",418-COUNTBLANK($D$6:D529))</f>
        <v xml:space="preserve"> </v>
      </c>
      <c r="J529" s="263"/>
      <c r="K529" s="266"/>
      <c r="L529" s="265"/>
      <c r="M529" s="265"/>
      <c r="N529" s="265"/>
      <c r="O529" s="265"/>
      <c r="P529" s="265"/>
      <c r="Q529" s="265"/>
      <c r="R529" s="267"/>
    </row>
    <row r="530" spans="1:21" ht="27.75" customHeight="1">
      <c r="A530" s="240" t="str">
        <f>IF(ISBLANK(D530)," ",419-COUNTBLANK($D$6:D530))</f>
        <v xml:space="preserve"> </v>
      </c>
      <c r="J530" s="263"/>
      <c r="K530" s="266"/>
      <c r="L530" s="265"/>
      <c r="M530" s="265"/>
      <c r="N530" s="265"/>
      <c r="O530" s="265"/>
      <c r="P530" s="265"/>
      <c r="Q530" s="265"/>
      <c r="R530" s="267"/>
    </row>
    <row r="531" spans="1:21" ht="27.75" customHeight="1">
      <c r="A531" s="240" t="s">
        <v>52</v>
      </c>
      <c r="F531" s="309">
        <f>SUM(F511:F530)</f>
        <v>0</v>
      </c>
      <c r="J531" s="263"/>
      <c r="K531" s="266"/>
      <c r="L531" s="265"/>
      <c r="M531" s="265"/>
      <c r="N531" s="265"/>
      <c r="O531" s="265"/>
      <c r="P531" s="265"/>
      <c r="Q531" s="265"/>
      <c r="R531" s="267"/>
    </row>
    <row r="532" spans="1:21" ht="27.75" customHeight="1">
      <c r="A532" s="240" t="str">
        <f>IF(ISBLANK(D532)," ",421-COUNTBLANK($D$6:D532))</f>
        <v xml:space="preserve"> </v>
      </c>
      <c r="J532" s="263"/>
      <c r="K532" s="266"/>
      <c r="L532" s="265"/>
      <c r="M532" s="265"/>
      <c r="N532" s="265"/>
      <c r="O532" s="265"/>
      <c r="P532" s="265"/>
      <c r="Q532" s="265"/>
      <c r="R532" s="267"/>
    </row>
    <row r="533" spans="1:21" ht="27.75" customHeight="1">
      <c r="A533" s="240" t="str">
        <f>IF(ISBLANK(D533)," ",422-COUNTBLANK($D$6:D533))</f>
        <v xml:space="preserve"> </v>
      </c>
      <c r="J533" s="263"/>
      <c r="K533" s="264"/>
      <c r="L533" s="265"/>
      <c r="M533" s="265"/>
      <c r="N533" s="265"/>
      <c r="O533" s="265"/>
      <c r="P533" s="265"/>
      <c r="Q533" s="265"/>
      <c r="R533" s="284"/>
      <c r="S533" s="265"/>
      <c r="T533" s="265"/>
      <c r="U533" s="265"/>
    </row>
    <row r="534" spans="1:21" ht="27.75" customHeight="1">
      <c r="A534" s="240" t="str">
        <f>IF(ISBLANK(D534)," ",423-COUNTBLANK($D$6:D534))</f>
        <v xml:space="preserve"> </v>
      </c>
      <c r="J534" s="263"/>
      <c r="K534" s="266"/>
      <c r="L534" s="265"/>
      <c r="M534" s="265"/>
      <c r="N534" s="265"/>
      <c r="O534" s="265"/>
      <c r="P534" s="265"/>
      <c r="Q534" s="265"/>
      <c r="R534" s="284"/>
      <c r="S534" s="265"/>
      <c r="T534" s="265"/>
      <c r="U534" s="265"/>
    </row>
    <row r="535" spans="1:21" ht="27.75" customHeight="1">
      <c r="A535" s="240" t="str">
        <f>IF(ISBLANK(D535)," ",424-COUNTBLANK($D$6:D535))</f>
        <v xml:space="preserve"> </v>
      </c>
      <c r="J535" s="263"/>
      <c r="K535" s="264"/>
      <c r="L535" s="265"/>
      <c r="M535" s="265"/>
      <c r="N535" s="265"/>
      <c r="O535" s="265"/>
      <c r="P535" s="265"/>
      <c r="Q535" s="265"/>
      <c r="R535" s="265"/>
    </row>
    <row r="536" spans="1:21" ht="27.75" customHeight="1">
      <c r="A536" s="240" t="str">
        <f>IF(ISBLANK(D536)," ",425-COUNTBLANK($D$6:D536))</f>
        <v xml:space="preserve"> </v>
      </c>
      <c r="J536" s="263"/>
      <c r="K536" s="264"/>
      <c r="L536" s="265"/>
      <c r="M536" s="265"/>
      <c r="N536" s="265"/>
      <c r="O536" s="265"/>
      <c r="P536" s="265"/>
      <c r="Q536" s="265"/>
      <c r="R536" s="265"/>
    </row>
    <row r="537" spans="1:21" ht="27.75" customHeight="1">
      <c r="A537" s="240" t="str">
        <f>IF(ISBLANK(D537)," ",426-COUNTBLANK($D$6:D537))</f>
        <v xml:space="preserve"> </v>
      </c>
      <c r="J537" s="263"/>
      <c r="K537" s="264"/>
      <c r="L537" s="265"/>
      <c r="M537" s="265"/>
      <c r="N537" s="265"/>
      <c r="O537" s="265"/>
      <c r="P537" s="265"/>
      <c r="Q537" s="265"/>
      <c r="R537" s="265"/>
    </row>
    <row r="538" spans="1:21" ht="27.75" customHeight="1">
      <c r="A538" s="240" t="str">
        <f>IF(ISBLANK(D538)," ",427-COUNTBLANK($D$6:D538))</f>
        <v xml:space="preserve"> </v>
      </c>
      <c r="J538" s="263"/>
      <c r="K538" s="264"/>
      <c r="L538" s="265"/>
      <c r="M538" s="265"/>
      <c r="N538" s="265"/>
      <c r="O538" s="265"/>
      <c r="P538" s="265"/>
      <c r="Q538" s="265"/>
      <c r="R538" s="265"/>
    </row>
    <row r="539" spans="1:21" ht="27.75" customHeight="1">
      <c r="A539" s="240" t="str">
        <f>IF(ISBLANK(D539)," ",428-COUNTBLANK($D$6:D539))</f>
        <v xml:space="preserve"> </v>
      </c>
      <c r="J539" s="263"/>
      <c r="K539" s="264"/>
      <c r="L539" s="265"/>
      <c r="M539" s="265"/>
      <c r="N539" s="265"/>
      <c r="O539" s="265"/>
      <c r="P539" s="265"/>
      <c r="Q539" s="265"/>
      <c r="R539" s="265"/>
    </row>
    <row r="540" spans="1:21" ht="27.75" customHeight="1">
      <c r="A540" s="240" t="str">
        <f>IF(ISBLANK(D540)," ",429-COUNTBLANK($D$6:D540))</f>
        <v xml:space="preserve"> </v>
      </c>
      <c r="J540" s="263"/>
      <c r="K540" s="264"/>
      <c r="L540" s="265"/>
      <c r="M540" s="265"/>
      <c r="N540" s="265"/>
      <c r="O540" s="265"/>
      <c r="P540" s="265"/>
      <c r="Q540" s="265"/>
      <c r="R540" s="265"/>
    </row>
    <row r="541" spans="1:21" ht="27.75" customHeight="1">
      <c r="A541" s="240" t="str">
        <f>IF(ISBLANK(D541)," ",430-COUNTBLANK($D$6:D541))</f>
        <v xml:space="preserve"> </v>
      </c>
      <c r="J541" s="263"/>
      <c r="K541" s="264"/>
      <c r="L541" s="265"/>
      <c r="M541" s="265"/>
      <c r="N541" s="265"/>
      <c r="O541" s="265"/>
      <c r="P541" s="265"/>
      <c r="Q541" s="265"/>
      <c r="R541" s="265"/>
    </row>
    <row r="542" spans="1:21" ht="27.75" customHeight="1">
      <c r="A542" s="240" t="str">
        <f>IF(ISBLANK(D542)," ",431-COUNTBLANK($D$6:D542))</f>
        <v xml:space="preserve"> </v>
      </c>
      <c r="J542" s="263"/>
      <c r="K542" s="264"/>
      <c r="L542" s="265"/>
      <c r="M542" s="265"/>
      <c r="N542" s="265"/>
      <c r="O542" s="265"/>
      <c r="P542" s="265"/>
      <c r="Q542" s="265"/>
      <c r="R542" s="265"/>
    </row>
    <row r="543" spans="1:21" ht="27.75" customHeight="1">
      <c r="A543" s="240" t="str">
        <f>IF(ISBLANK(D543)," ",432-COUNTBLANK($D$6:D543))</f>
        <v xml:space="preserve"> </v>
      </c>
      <c r="J543" s="263"/>
      <c r="K543" s="264"/>
      <c r="L543" s="265"/>
      <c r="M543" s="265"/>
      <c r="N543" s="265"/>
      <c r="O543" s="265"/>
      <c r="P543" s="265"/>
      <c r="Q543" s="265"/>
      <c r="R543" s="265"/>
    </row>
    <row r="544" spans="1:21" ht="27.75" customHeight="1">
      <c r="A544" s="240" t="str">
        <f>IF(ISBLANK(D544)," ",433-COUNTBLANK($D$6:D544))</f>
        <v xml:space="preserve"> </v>
      </c>
      <c r="J544" s="263"/>
      <c r="K544" s="264"/>
      <c r="L544" s="265"/>
      <c r="M544" s="265"/>
      <c r="N544" s="265"/>
      <c r="O544" s="265"/>
      <c r="P544" s="265"/>
      <c r="Q544" s="265"/>
      <c r="R544" s="265"/>
    </row>
    <row r="545" spans="1:21" ht="27.75" customHeight="1">
      <c r="A545" s="240" t="str">
        <f>IF(ISBLANK(D545)," ",434-COUNTBLANK($D$6:D545))</f>
        <v xml:space="preserve"> </v>
      </c>
      <c r="J545" s="263"/>
      <c r="K545" s="264"/>
      <c r="L545" s="265"/>
      <c r="M545" s="265"/>
      <c r="N545" s="265"/>
      <c r="O545" s="265"/>
      <c r="P545" s="265"/>
      <c r="Q545" s="265"/>
      <c r="R545" s="265"/>
    </row>
    <row r="546" spans="1:21" ht="27.75" customHeight="1">
      <c r="A546" s="240" t="str">
        <f>IF(ISBLANK(D546)," ",435-COUNTBLANK($D$6:D546))</f>
        <v xml:space="preserve"> </v>
      </c>
      <c r="J546" s="263"/>
      <c r="K546" s="264"/>
      <c r="L546" s="265"/>
      <c r="M546" s="265"/>
      <c r="N546" s="265"/>
      <c r="O546" s="265"/>
      <c r="P546" s="265"/>
      <c r="Q546" s="265"/>
      <c r="R546" s="265"/>
    </row>
    <row r="547" spans="1:21" ht="27.75" customHeight="1">
      <c r="A547" s="240" t="str">
        <f>IF(ISBLANK(D547)," ",436-COUNTBLANK($D$6:D547))</f>
        <v xml:space="preserve"> </v>
      </c>
      <c r="J547" s="263"/>
      <c r="K547" s="264"/>
      <c r="L547" s="265"/>
      <c r="M547" s="265"/>
      <c r="N547" s="265"/>
      <c r="O547" s="265"/>
      <c r="P547" s="265"/>
      <c r="Q547" s="265"/>
      <c r="R547" s="265"/>
    </row>
    <row r="548" spans="1:21" ht="27.75" customHeight="1">
      <c r="A548" s="240" t="str">
        <f>IF(ISBLANK(D548)," ",437-COUNTBLANK($D$6:D548))</f>
        <v xml:space="preserve"> </v>
      </c>
      <c r="J548" s="263"/>
      <c r="K548" s="264"/>
      <c r="L548" s="265"/>
      <c r="M548" s="265"/>
      <c r="N548" s="265"/>
      <c r="O548" s="265"/>
      <c r="P548" s="265"/>
      <c r="Q548" s="265"/>
      <c r="R548" s="265"/>
    </row>
    <row r="549" spans="1:21" ht="27.75" customHeight="1">
      <c r="A549" s="240" t="str">
        <f>IF(ISBLANK(D549)," ",438-COUNTBLANK($D$6:D549))</f>
        <v xml:space="preserve"> </v>
      </c>
      <c r="J549" s="263"/>
      <c r="K549" s="264"/>
      <c r="L549" s="265"/>
      <c r="M549" s="265"/>
      <c r="N549" s="265"/>
      <c r="O549" s="265"/>
      <c r="P549" s="265"/>
      <c r="Q549" s="265"/>
      <c r="R549" s="265"/>
    </row>
    <row r="550" spans="1:21" ht="27.75" customHeight="1">
      <c r="A550" s="240" t="str">
        <f>IF(ISBLANK(D550)," ",439-COUNTBLANK($D$6:D550))</f>
        <v xml:space="preserve"> </v>
      </c>
      <c r="J550" s="263"/>
      <c r="K550" s="266"/>
      <c r="L550" s="265"/>
      <c r="M550" s="265"/>
      <c r="N550" s="265"/>
      <c r="O550" s="265"/>
      <c r="P550" s="265"/>
      <c r="Q550" s="265"/>
      <c r="R550" s="267"/>
    </row>
    <row r="551" spans="1:21" ht="27.75" customHeight="1">
      <c r="A551" s="240" t="str">
        <f>IF(ISBLANK(D551)," ",440-COUNTBLANK($D$6:D551))</f>
        <v xml:space="preserve"> </v>
      </c>
      <c r="J551" s="263"/>
      <c r="K551" s="266"/>
      <c r="L551" s="265"/>
      <c r="M551" s="265"/>
      <c r="N551" s="265"/>
      <c r="O551" s="265"/>
      <c r="P551" s="265"/>
      <c r="Q551" s="265"/>
      <c r="R551" s="267"/>
    </row>
    <row r="552" spans="1:21" ht="27.75" customHeight="1">
      <c r="A552" s="240" t="s">
        <v>52</v>
      </c>
      <c r="F552" s="309">
        <f>SUM(F532:F551)</f>
        <v>0</v>
      </c>
      <c r="J552" s="263"/>
      <c r="K552" s="266"/>
      <c r="L552" s="265"/>
      <c r="M552" s="265"/>
      <c r="N552" s="265"/>
      <c r="O552" s="265"/>
      <c r="P552" s="265"/>
      <c r="Q552" s="265"/>
      <c r="R552" s="267"/>
    </row>
    <row r="553" spans="1:21" ht="27.75" customHeight="1">
      <c r="A553" s="240" t="str">
        <f>IF(ISBLANK(D553)," ",442-COUNTBLANK($D$6:D553))</f>
        <v xml:space="preserve"> </v>
      </c>
      <c r="J553" s="263"/>
      <c r="K553" s="266"/>
      <c r="L553" s="265"/>
      <c r="M553" s="265"/>
      <c r="N553" s="265"/>
      <c r="O553" s="265"/>
      <c r="P553" s="265"/>
      <c r="Q553" s="265"/>
      <c r="R553" s="267"/>
    </row>
    <row r="554" spans="1:21" ht="27.75" customHeight="1">
      <c r="A554" s="240" t="str">
        <f>IF(ISBLANK(D554)," ",443-COUNTBLANK($D$6:D554))</f>
        <v xml:space="preserve"> </v>
      </c>
      <c r="J554" s="263"/>
      <c r="K554" s="264"/>
      <c r="L554" s="265"/>
      <c r="M554" s="265"/>
      <c r="N554" s="265"/>
      <c r="O554" s="265"/>
      <c r="P554" s="265"/>
      <c r="Q554" s="265"/>
      <c r="R554" s="284"/>
      <c r="S554" s="265"/>
      <c r="T554" s="265"/>
      <c r="U554" s="265"/>
    </row>
    <row r="555" spans="1:21" ht="27.75" customHeight="1">
      <c r="A555" s="240" t="str">
        <f>IF(ISBLANK(D555)," ",444-COUNTBLANK($D$6:D555))</f>
        <v xml:space="preserve"> </v>
      </c>
      <c r="J555" s="263"/>
      <c r="K555" s="266"/>
      <c r="L555" s="265"/>
      <c r="M555" s="265"/>
      <c r="N555" s="265"/>
      <c r="O555" s="265"/>
      <c r="P555" s="265"/>
      <c r="Q555" s="265"/>
      <c r="R555" s="284"/>
      <c r="S555" s="265"/>
      <c r="T555" s="265"/>
      <c r="U555" s="265"/>
    </row>
    <row r="556" spans="1:21" ht="27.75" customHeight="1">
      <c r="A556" s="240" t="str">
        <f>IF(ISBLANK(D556)," ",445-COUNTBLANK($D$6:D556))</f>
        <v xml:space="preserve"> </v>
      </c>
      <c r="J556" s="263"/>
      <c r="K556" s="264"/>
      <c r="L556" s="265"/>
      <c r="M556" s="265"/>
      <c r="N556" s="265"/>
      <c r="O556" s="265"/>
      <c r="P556" s="265"/>
      <c r="Q556" s="265"/>
      <c r="R556" s="265"/>
    </row>
    <row r="557" spans="1:21" ht="27.75" customHeight="1">
      <c r="A557" s="240" t="str">
        <f>IF(ISBLANK(D557)," ",446-COUNTBLANK($D$6:D557))</f>
        <v xml:space="preserve"> </v>
      </c>
      <c r="J557" s="263"/>
      <c r="K557" s="264"/>
      <c r="L557" s="265"/>
      <c r="M557" s="265"/>
      <c r="N557" s="265"/>
      <c r="O557" s="265"/>
      <c r="P557" s="265"/>
      <c r="Q557" s="265"/>
      <c r="R557" s="265"/>
    </row>
    <row r="558" spans="1:21" ht="27.75" customHeight="1">
      <c r="A558" s="240" t="str">
        <f>IF(ISBLANK(D558)," ",447-COUNTBLANK($D$6:D558))</f>
        <v xml:space="preserve"> </v>
      </c>
      <c r="J558" s="263"/>
      <c r="K558" s="264"/>
      <c r="L558" s="265"/>
      <c r="M558" s="265"/>
      <c r="N558" s="265"/>
      <c r="O558" s="265"/>
      <c r="P558" s="265"/>
      <c r="Q558" s="265"/>
      <c r="R558" s="265"/>
    </row>
    <row r="559" spans="1:21" ht="27.75" customHeight="1">
      <c r="A559" s="240" t="str">
        <f>IF(ISBLANK(D559)," ",448-COUNTBLANK($D$6:D559))</f>
        <v xml:space="preserve"> </v>
      </c>
      <c r="J559" s="263"/>
      <c r="K559" s="264"/>
      <c r="L559" s="265"/>
      <c r="M559" s="265"/>
      <c r="N559" s="265"/>
      <c r="O559" s="265"/>
      <c r="P559" s="265"/>
      <c r="Q559" s="265"/>
      <c r="R559" s="265"/>
    </row>
    <row r="560" spans="1:21" ht="27.75" customHeight="1">
      <c r="A560" s="240" t="str">
        <f>IF(ISBLANK(D560)," ",449-COUNTBLANK($D$6:D560))</f>
        <v xml:space="preserve"> </v>
      </c>
      <c r="J560" s="263"/>
      <c r="K560" s="264"/>
      <c r="L560" s="265"/>
      <c r="M560" s="265"/>
      <c r="N560" s="265"/>
      <c r="O560" s="265"/>
      <c r="P560" s="265"/>
      <c r="Q560" s="265"/>
      <c r="R560" s="265"/>
    </row>
    <row r="561" spans="1:21" ht="27.75" customHeight="1">
      <c r="A561" s="240" t="str">
        <f>IF(ISBLANK(D561)," ",450-COUNTBLANK($D$6:D561))</f>
        <v xml:space="preserve"> </v>
      </c>
      <c r="J561" s="263"/>
      <c r="K561" s="264"/>
      <c r="L561" s="265"/>
      <c r="M561" s="265"/>
      <c r="N561" s="265"/>
      <c r="O561" s="265"/>
      <c r="P561" s="265"/>
      <c r="Q561" s="265"/>
      <c r="R561" s="265"/>
    </row>
    <row r="562" spans="1:21" ht="27.75" customHeight="1">
      <c r="A562" s="240" t="str">
        <f>IF(ISBLANK(D562)," ",451-COUNTBLANK($D$6:D562))</f>
        <v xml:space="preserve"> </v>
      </c>
      <c r="J562" s="263"/>
      <c r="K562" s="264"/>
      <c r="L562" s="265"/>
      <c r="M562" s="265"/>
      <c r="N562" s="265"/>
      <c r="O562" s="265"/>
      <c r="P562" s="265"/>
      <c r="Q562" s="265"/>
      <c r="R562" s="265"/>
    </row>
    <row r="563" spans="1:21" ht="27.75" customHeight="1">
      <c r="A563" s="240" t="str">
        <f>IF(ISBLANK(D563)," ",452-COUNTBLANK($D$6:D563))</f>
        <v xml:space="preserve"> </v>
      </c>
      <c r="J563" s="263"/>
      <c r="K563" s="264"/>
      <c r="L563" s="265"/>
      <c r="M563" s="265"/>
      <c r="N563" s="265"/>
      <c r="O563" s="265"/>
      <c r="P563" s="265"/>
      <c r="Q563" s="265"/>
      <c r="R563" s="265"/>
    </row>
    <row r="564" spans="1:21" ht="27.75" customHeight="1">
      <c r="A564" s="240" t="str">
        <f>IF(ISBLANK(D564)," ",453-COUNTBLANK($D$6:D564))</f>
        <v xml:space="preserve"> </v>
      </c>
      <c r="J564" s="263"/>
      <c r="K564" s="264"/>
      <c r="L564" s="265"/>
      <c r="M564" s="265"/>
      <c r="N564" s="265"/>
      <c r="O564" s="265"/>
      <c r="P564" s="265"/>
      <c r="Q564" s="265"/>
      <c r="R564" s="265"/>
    </row>
    <row r="565" spans="1:21" ht="27.75" customHeight="1">
      <c r="A565" s="240" t="str">
        <f>IF(ISBLANK(D565)," ",454-COUNTBLANK($D$6:D565))</f>
        <v xml:space="preserve"> </v>
      </c>
      <c r="J565" s="263"/>
      <c r="K565" s="264"/>
      <c r="L565" s="265"/>
      <c r="M565" s="265"/>
      <c r="N565" s="265"/>
      <c r="O565" s="265"/>
      <c r="P565" s="265"/>
      <c r="Q565" s="265"/>
      <c r="R565" s="265"/>
    </row>
    <row r="566" spans="1:21" ht="27.75" customHeight="1">
      <c r="A566" s="240" t="str">
        <f>IF(ISBLANK(D566)," ",455-COUNTBLANK($D$6:D566))</f>
        <v xml:space="preserve"> </v>
      </c>
      <c r="J566" s="263"/>
      <c r="K566" s="264"/>
      <c r="L566" s="265"/>
      <c r="M566" s="265"/>
      <c r="N566" s="265"/>
      <c r="O566" s="265"/>
      <c r="P566" s="265"/>
      <c r="Q566" s="265"/>
      <c r="R566" s="265"/>
    </row>
    <row r="567" spans="1:21" ht="27.75" customHeight="1">
      <c r="A567" s="240" t="str">
        <f>IF(ISBLANK(D567)," ",456-COUNTBLANK($D$6:D567))</f>
        <v xml:space="preserve"> </v>
      </c>
      <c r="J567" s="263"/>
      <c r="K567" s="264"/>
      <c r="L567" s="265"/>
      <c r="M567" s="265"/>
      <c r="N567" s="265"/>
      <c r="O567" s="265"/>
      <c r="P567" s="265"/>
      <c r="Q567" s="265"/>
      <c r="R567" s="265"/>
    </row>
    <row r="568" spans="1:21" ht="27.75" customHeight="1">
      <c r="A568" s="240" t="str">
        <f>IF(ISBLANK(D568)," ",457-COUNTBLANK($D$6:D568))</f>
        <v xml:space="preserve"> </v>
      </c>
      <c r="J568" s="263"/>
      <c r="K568" s="264"/>
      <c r="L568" s="265"/>
      <c r="M568" s="265"/>
      <c r="N568" s="265"/>
      <c r="O568" s="265"/>
      <c r="P568" s="265"/>
      <c r="Q568" s="265"/>
      <c r="R568" s="265"/>
    </row>
    <row r="569" spans="1:21" ht="27.75" customHeight="1">
      <c r="A569" s="240" t="str">
        <f>IF(ISBLANK(D569)," ",458-COUNTBLANK($D$6:D569))</f>
        <v xml:space="preserve"> </v>
      </c>
      <c r="J569" s="263"/>
      <c r="K569" s="264"/>
      <c r="L569" s="265"/>
      <c r="M569" s="265"/>
      <c r="N569" s="265"/>
      <c r="O569" s="265"/>
      <c r="P569" s="265"/>
      <c r="Q569" s="265"/>
      <c r="R569" s="265"/>
    </row>
    <row r="570" spans="1:21" ht="27.75" customHeight="1">
      <c r="A570" s="240" t="str">
        <f>IF(ISBLANK(D570)," ",459-COUNTBLANK($D$6:D570))</f>
        <v xml:space="preserve"> </v>
      </c>
      <c r="J570" s="263"/>
      <c r="K570" s="264"/>
      <c r="L570" s="265"/>
      <c r="M570" s="265"/>
      <c r="N570" s="265"/>
      <c r="O570" s="265"/>
      <c r="P570" s="265"/>
      <c r="Q570" s="265"/>
      <c r="R570" s="265"/>
    </row>
    <row r="571" spans="1:21" ht="27.75" customHeight="1">
      <c r="A571" s="240" t="str">
        <f>IF(ISBLANK(D571)," ",460-COUNTBLANK($D$6:D571))</f>
        <v xml:space="preserve"> </v>
      </c>
      <c r="J571" s="263"/>
      <c r="K571" s="266"/>
      <c r="L571" s="265"/>
      <c r="M571" s="265"/>
      <c r="N571" s="265"/>
      <c r="O571" s="265"/>
      <c r="P571" s="265"/>
      <c r="Q571" s="265"/>
      <c r="R571" s="267"/>
    </row>
    <row r="572" spans="1:21" ht="27.75" customHeight="1">
      <c r="A572" s="240" t="str">
        <f>IF(ISBLANK(D572)," ",461-COUNTBLANK($D$6:D572))</f>
        <v xml:space="preserve"> </v>
      </c>
      <c r="J572" s="263"/>
      <c r="K572" s="266"/>
      <c r="L572" s="265"/>
      <c r="M572" s="265"/>
      <c r="N572" s="265"/>
      <c r="O572" s="265"/>
      <c r="P572" s="265"/>
      <c r="Q572" s="265"/>
      <c r="R572" s="267"/>
    </row>
    <row r="573" spans="1:21" ht="27.75" customHeight="1">
      <c r="A573" s="240" t="s">
        <v>52</v>
      </c>
      <c r="F573" s="309">
        <f>SUM(F553:F572)</f>
        <v>0</v>
      </c>
      <c r="J573" s="263"/>
      <c r="K573" s="266"/>
      <c r="L573" s="265"/>
      <c r="M573" s="265"/>
      <c r="N573" s="265"/>
      <c r="O573" s="265"/>
      <c r="P573" s="265"/>
      <c r="Q573" s="265"/>
      <c r="R573" s="267"/>
    </row>
    <row r="574" spans="1:21" ht="27.75" customHeight="1">
      <c r="A574" s="240" t="str">
        <f>IF(ISBLANK(D574)," ",463-COUNTBLANK($D$6:D574))</f>
        <v xml:space="preserve"> </v>
      </c>
      <c r="J574" s="263"/>
      <c r="K574" s="266"/>
      <c r="L574" s="265"/>
      <c r="M574" s="265"/>
      <c r="N574" s="265"/>
      <c r="O574" s="265"/>
      <c r="P574" s="265"/>
      <c r="Q574" s="265"/>
      <c r="R574" s="267"/>
    </row>
    <row r="575" spans="1:21" ht="27.75" customHeight="1">
      <c r="A575" s="240" t="str">
        <f>IF(ISBLANK(D575)," ",464-COUNTBLANK($D$6:D575))</f>
        <v xml:space="preserve"> </v>
      </c>
      <c r="J575" s="263"/>
      <c r="K575" s="264"/>
      <c r="L575" s="265"/>
      <c r="M575" s="265"/>
      <c r="N575" s="265"/>
      <c r="O575" s="265"/>
      <c r="P575" s="265"/>
      <c r="Q575" s="265"/>
      <c r="R575" s="284"/>
      <c r="S575" s="265"/>
      <c r="T575" s="265"/>
      <c r="U575" s="265"/>
    </row>
    <row r="576" spans="1:21" ht="27.75" customHeight="1">
      <c r="A576" s="240" t="str">
        <f>IF(ISBLANK(D576)," ",465-COUNTBLANK($D$6:D576))</f>
        <v xml:space="preserve"> </v>
      </c>
      <c r="J576" s="263"/>
      <c r="K576" s="266"/>
      <c r="L576" s="265"/>
      <c r="M576" s="265"/>
      <c r="N576" s="265"/>
      <c r="O576" s="265"/>
      <c r="P576" s="265"/>
      <c r="Q576" s="265"/>
      <c r="R576" s="284"/>
      <c r="S576" s="265"/>
      <c r="T576" s="265"/>
      <c r="U576" s="265"/>
    </row>
    <row r="577" spans="1:18" ht="27.75" customHeight="1">
      <c r="A577" s="240" t="str">
        <f>IF(ISBLANK(D577)," ",466-COUNTBLANK($D$6:D577))</f>
        <v xml:space="preserve"> </v>
      </c>
      <c r="J577" s="263"/>
      <c r="K577" s="264"/>
      <c r="L577" s="265"/>
      <c r="M577" s="265"/>
      <c r="N577" s="265"/>
      <c r="O577" s="265"/>
      <c r="P577" s="265"/>
      <c r="Q577" s="265"/>
      <c r="R577" s="265"/>
    </row>
    <row r="578" spans="1:18" ht="27.75" customHeight="1">
      <c r="A578" s="240" t="str">
        <f>IF(ISBLANK(D578)," ",467-COUNTBLANK($D$6:D578))</f>
        <v xml:space="preserve"> </v>
      </c>
      <c r="J578" s="263"/>
      <c r="K578" s="264"/>
      <c r="L578" s="265"/>
      <c r="M578" s="265"/>
      <c r="N578" s="265"/>
      <c r="O578" s="265"/>
      <c r="P578" s="265"/>
      <c r="Q578" s="265"/>
      <c r="R578" s="265"/>
    </row>
    <row r="579" spans="1:18" ht="27.75" customHeight="1">
      <c r="A579" s="240" t="str">
        <f>IF(ISBLANK(D579)," ",468-COUNTBLANK($D$6:D579))</f>
        <v xml:space="preserve"> </v>
      </c>
      <c r="J579" s="263"/>
      <c r="K579" s="264"/>
      <c r="L579" s="265"/>
      <c r="M579" s="265"/>
      <c r="N579" s="265"/>
      <c r="O579" s="265"/>
      <c r="P579" s="265"/>
      <c r="Q579" s="265"/>
      <c r="R579" s="265"/>
    </row>
    <row r="580" spans="1:18" ht="27.75" customHeight="1">
      <c r="A580" s="240" t="str">
        <f>IF(ISBLANK(D580)," ",469-COUNTBLANK($D$6:D580))</f>
        <v xml:space="preserve"> </v>
      </c>
      <c r="J580" s="263"/>
      <c r="K580" s="264"/>
      <c r="L580" s="265"/>
      <c r="M580" s="265"/>
      <c r="N580" s="265"/>
      <c r="O580" s="265"/>
      <c r="P580" s="265"/>
      <c r="Q580" s="265"/>
      <c r="R580" s="265"/>
    </row>
    <row r="581" spans="1:18" ht="27.75" customHeight="1">
      <c r="A581" s="240" t="str">
        <f>IF(ISBLANK(D581)," ",470-COUNTBLANK($D$6:D581))</f>
        <v xml:space="preserve"> </v>
      </c>
      <c r="J581" s="263"/>
      <c r="K581" s="264"/>
      <c r="L581" s="265"/>
      <c r="M581" s="265"/>
      <c r="N581" s="265"/>
      <c r="O581" s="265"/>
      <c r="P581" s="265"/>
      <c r="Q581" s="265"/>
      <c r="R581" s="265"/>
    </row>
    <row r="582" spans="1:18" ht="27.75" customHeight="1">
      <c r="A582" s="240" t="str">
        <f>IF(ISBLANK(D582)," ",471-COUNTBLANK($D$6:D582))</f>
        <v xml:space="preserve"> </v>
      </c>
      <c r="J582" s="263"/>
      <c r="K582" s="264"/>
      <c r="L582" s="265"/>
      <c r="M582" s="265"/>
      <c r="N582" s="265"/>
      <c r="O582" s="265"/>
      <c r="P582" s="265"/>
      <c r="Q582" s="265"/>
      <c r="R582" s="265"/>
    </row>
    <row r="583" spans="1:18" ht="27.75" customHeight="1">
      <c r="A583" s="240" t="str">
        <f>IF(ISBLANK(D583)," ",472-COUNTBLANK($D$6:D583))</f>
        <v xml:space="preserve"> </v>
      </c>
      <c r="J583" s="263"/>
      <c r="K583" s="264"/>
      <c r="L583" s="265"/>
      <c r="M583" s="265"/>
      <c r="N583" s="265"/>
      <c r="O583" s="265"/>
      <c r="P583" s="265"/>
      <c r="Q583" s="265"/>
      <c r="R583" s="265"/>
    </row>
    <row r="584" spans="1:18" ht="27.75" customHeight="1">
      <c r="A584" s="240" t="str">
        <f>IF(ISBLANK(D584)," ",473-COUNTBLANK($D$6:D584))</f>
        <v xml:space="preserve"> </v>
      </c>
      <c r="J584" s="263"/>
      <c r="K584" s="264"/>
      <c r="L584" s="265"/>
      <c r="M584" s="265"/>
      <c r="N584" s="265"/>
      <c r="O584" s="265"/>
      <c r="P584" s="265"/>
      <c r="Q584" s="265"/>
      <c r="R584" s="265"/>
    </row>
    <row r="585" spans="1:18" ht="27.75" customHeight="1">
      <c r="A585" s="240" t="str">
        <f>IF(ISBLANK(D585)," ",474-COUNTBLANK($D$6:D585))</f>
        <v xml:space="preserve"> </v>
      </c>
      <c r="J585" s="263"/>
      <c r="K585" s="264"/>
      <c r="L585" s="265"/>
      <c r="M585" s="265"/>
      <c r="N585" s="265"/>
      <c r="O585" s="265"/>
      <c r="P585" s="265"/>
      <c r="Q585" s="265"/>
      <c r="R585" s="265"/>
    </row>
    <row r="586" spans="1:18" ht="27.75" customHeight="1">
      <c r="A586" s="240" t="str">
        <f>IF(ISBLANK(D586)," ",475-COUNTBLANK($D$6:D586))</f>
        <v xml:space="preserve"> </v>
      </c>
      <c r="J586" s="263"/>
      <c r="K586" s="264"/>
      <c r="L586" s="265"/>
      <c r="M586" s="265"/>
      <c r="N586" s="265"/>
      <c r="O586" s="265"/>
      <c r="P586" s="265"/>
      <c r="Q586" s="265"/>
      <c r="R586" s="265"/>
    </row>
    <row r="587" spans="1:18" ht="27.75" customHeight="1">
      <c r="A587" s="240" t="str">
        <f>IF(ISBLANK(D587)," ",476-COUNTBLANK($D$6:D587))</f>
        <v xml:space="preserve"> </v>
      </c>
      <c r="J587" s="263"/>
      <c r="K587" s="264"/>
      <c r="L587" s="265"/>
      <c r="M587" s="265"/>
      <c r="N587" s="265"/>
      <c r="O587" s="265"/>
      <c r="P587" s="265"/>
      <c r="Q587" s="265"/>
      <c r="R587" s="265"/>
    </row>
    <row r="588" spans="1:18" ht="27.75" customHeight="1">
      <c r="A588" s="240" t="str">
        <f>IF(ISBLANK(D588)," ",477-COUNTBLANK($D$6:D588))</f>
        <v xml:space="preserve"> </v>
      </c>
      <c r="J588" s="263"/>
      <c r="K588" s="264"/>
      <c r="L588" s="265"/>
      <c r="M588" s="265"/>
      <c r="N588" s="265"/>
      <c r="O588" s="265"/>
      <c r="P588" s="265"/>
      <c r="Q588" s="265"/>
      <c r="R588" s="265"/>
    </row>
    <row r="589" spans="1:18" ht="27.75" customHeight="1">
      <c r="A589" s="240" t="str">
        <f>IF(ISBLANK(D589)," ",478-COUNTBLANK($D$6:D589))</f>
        <v xml:space="preserve"> </v>
      </c>
      <c r="J589" s="263"/>
      <c r="K589" s="264"/>
      <c r="L589" s="265"/>
      <c r="M589" s="265"/>
      <c r="N589" s="265"/>
      <c r="O589" s="265"/>
      <c r="P589" s="265"/>
      <c r="Q589" s="265"/>
      <c r="R589" s="265"/>
    </row>
    <row r="590" spans="1:18" ht="27.75" customHeight="1">
      <c r="A590" s="240" t="str">
        <f>IF(ISBLANK(D590)," ",479-COUNTBLANK($D$6:D590))</f>
        <v xml:space="preserve"> </v>
      </c>
      <c r="J590" s="263"/>
      <c r="K590" s="264"/>
      <c r="L590" s="265"/>
      <c r="M590" s="265"/>
      <c r="N590" s="265"/>
      <c r="O590" s="265"/>
      <c r="P590" s="265"/>
      <c r="Q590" s="265"/>
      <c r="R590" s="265"/>
    </row>
    <row r="591" spans="1:18" ht="27.75" customHeight="1">
      <c r="A591" s="240" t="str">
        <f>IF(ISBLANK(D591)," ",480-COUNTBLANK($D$6:D591))</f>
        <v xml:space="preserve"> </v>
      </c>
      <c r="J591" s="263"/>
      <c r="K591" s="264"/>
      <c r="L591" s="265"/>
      <c r="M591" s="265"/>
      <c r="N591" s="265"/>
      <c r="O591" s="265"/>
      <c r="P591" s="265"/>
      <c r="Q591" s="265"/>
      <c r="R591" s="265"/>
    </row>
    <row r="592" spans="1:18" ht="27.75" customHeight="1">
      <c r="A592" s="240" t="str">
        <f>IF(ISBLANK(D592)," ",481-COUNTBLANK($D$6:D592))</f>
        <v xml:space="preserve"> </v>
      </c>
      <c r="J592" s="263"/>
      <c r="K592" s="266"/>
      <c r="L592" s="265"/>
      <c r="M592" s="265"/>
      <c r="N592" s="265"/>
      <c r="O592" s="265"/>
      <c r="P592" s="265"/>
      <c r="Q592" s="265"/>
      <c r="R592" s="267"/>
    </row>
    <row r="593" spans="1:21" ht="27.75" customHeight="1">
      <c r="A593" s="240" t="str">
        <f>IF(ISBLANK(D593)," ",482-COUNTBLANK($D$6:D593))</f>
        <v xml:space="preserve"> </v>
      </c>
      <c r="J593" s="263"/>
      <c r="K593" s="266"/>
      <c r="L593" s="265"/>
      <c r="M593" s="265"/>
      <c r="N593" s="265"/>
      <c r="O593" s="265"/>
      <c r="P593" s="265"/>
      <c r="Q593" s="265"/>
      <c r="R593" s="267"/>
    </row>
    <row r="594" spans="1:21" ht="27.75" customHeight="1">
      <c r="A594" s="240" t="s">
        <v>52</v>
      </c>
      <c r="F594" s="309">
        <f>SUM(F574:F593)</f>
        <v>0</v>
      </c>
      <c r="J594" s="263"/>
      <c r="K594" s="266"/>
      <c r="L594" s="265"/>
      <c r="M594" s="265"/>
      <c r="N594" s="265"/>
      <c r="O594" s="265"/>
      <c r="P594" s="265"/>
      <c r="Q594" s="265"/>
      <c r="R594" s="267"/>
    </row>
    <row r="595" spans="1:21" ht="27.75" customHeight="1">
      <c r="A595" s="240" t="str">
        <f>IF(ISBLANK(D595)," ",484-COUNTBLANK($D$6:D595))</f>
        <v xml:space="preserve"> </v>
      </c>
      <c r="J595" s="263"/>
      <c r="K595" s="266"/>
      <c r="L595" s="265"/>
      <c r="M595" s="265"/>
      <c r="N595" s="265"/>
      <c r="O595" s="265"/>
      <c r="P595" s="265"/>
      <c r="Q595" s="265"/>
      <c r="R595" s="267"/>
    </row>
    <row r="596" spans="1:21" ht="27.75" customHeight="1">
      <c r="A596" s="240" t="str">
        <f>IF(ISBLANK(D596)," ",485-COUNTBLANK($D$6:D596))</f>
        <v xml:space="preserve"> </v>
      </c>
      <c r="J596" s="263"/>
      <c r="K596" s="264"/>
      <c r="L596" s="265"/>
      <c r="M596" s="265"/>
      <c r="N596" s="265"/>
      <c r="O596" s="265"/>
      <c r="P596" s="265"/>
      <c r="Q596" s="265"/>
      <c r="R596" s="284"/>
      <c r="S596" s="265"/>
      <c r="T596" s="265"/>
      <c r="U596" s="265"/>
    </row>
    <row r="597" spans="1:21" ht="27.75" customHeight="1">
      <c r="A597" s="240" t="str">
        <f>IF(ISBLANK(D597)," ",486-COUNTBLANK($D$6:D597))</f>
        <v xml:space="preserve"> </v>
      </c>
      <c r="J597" s="263"/>
      <c r="K597" s="266"/>
      <c r="L597" s="265"/>
      <c r="M597" s="265"/>
      <c r="N597" s="265"/>
      <c r="O597" s="265"/>
      <c r="P597" s="265"/>
      <c r="Q597" s="265"/>
      <c r="R597" s="284"/>
      <c r="S597" s="265"/>
      <c r="T597" s="265"/>
      <c r="U597" s="265"/>
    </row>
    <row r="598" spans="1:21">
      <c r="A598" s="240" t="str">
        <f>IF(ISBLANK(D598)," ",487-COUNTBLANK($D$6:D598))</f>
        <v xml:space="preserve"> </v>
      </c>
      <c r="K598" s="312"/>
      <c r="L598" s="311"/>
      <c r="M598" s="311"/>
      <c r="N598" s="311"/>
      <c r="O598" s="311"/>
      <c r="P598" s="311"/>
      <c r="Q598" s="311"/>
      <c r="R598" s="311"/>
    </row>
    <row r="599" spans="1:21">
      <c r="A599" s="240" t="str">
        <f>IF(ISBLANK(D599)," ",488-COUNTBLANK($D$6:D599))</f>
        <v xml:space="preserve"> </v>
      </c>
      <c r="K599" s="312"/>
      <c r="L599" s="311"/>
      <c r="M599" s="311"/>
      <c r="N599" s="311"/>
      <c r="O599" s="311"/>
      <c r="P599" s="311"/>
      <c r="Q599" s="311"/>
      <c r="R599" s="311"/>
    </row>
    <row r="600" spans="1:21">
      <c r="A600" s="240" t="str">
        <f>IF(ISBLANK(D600)," ",489-COUNTBLANK($D$6:D600))</f>
        <v xml:space="preserve"> </v>
      </c>
    </row>
    <row r="601" spans="1:21">
      <c r="A601" s="240" t="str">
        <f>IF(ISBLANK(D601)," ",490-COUNTBLANK($D$6:D601))</f>
        <v xml:space="preserve"> </v>
      </c>
    </row>
    <row r="602" spans="1:21">
      <c r="A602" s="240" t="str">
        <f>IF(ISBLANK(D602)," ",491-COUNTBLANK($D$6:D602))</f>
        <v xml:space="preserve"> </v>
      </c>
    </row>
    <row r="603" spans="1:21">
      <c r="A603" s="240" t="str">
        <f>IF(ISBLANK(D603)," ",492-COUNTBLANK($D$6:D603))</f>
        <v xml:space="preserve"> </v>
      </c>
    </row>
    <row r="604" spans="1:21">
      <c r="A604" s="240" t="str">
        <f>IF(ISBLANK(D604)," ",493-COUNTBLANK($D$6:D604))</f>
        <v xml:space="preserve"> </v>
      </c>
    </row>
    <row r="605" spans="1:21">
      <c r="A605" s="240" t="str">
        <f>IF(ISBLANK(D605)," ",494-COUNTBLANK($D$6:D605))</f>
        <v xml:space="preserve"> </v>
      </c>
    </row>
    <row r="606" spans="1:21">
      <c r="A606" s="240" t="str">
        <f>IF(ISBLANK(D606)," ",495-COUNTBLANK($D$6:D606))</f>
        <v xml:space="preserve"> </v>
      </c>
    </row>
    <row r="607" spans="1:21">
      <c r="A607" s="240" t="str">
        <f>IF(ISBLANK(D607)," ",496-COUNTBLANK($D$6:D607))</f>
        <v xml:space="preserve"> </v>
      </c>
    </row>
    <row r="608" spans="1:21">
      <c r="A608" s="240" t="str">
        <f>IF(ISBLANK(D608)," ",497-COUNTBLANK($D$6:D608))</f>
        <v xml:space="preserve"> </v>
      </c>
    </row>
    <row r="609" spans="1:6">
      <c r="A609" s="240" t="str">
        <f>IF(ISBLANK(D609)," ",498-COUNTBLANK($D$6:D609))</f>
        <v xml:space="preserve"> </v>
      </c>
    </row>
    <row r="610" spans="1:6">
      <c r="A610" s="240" t="str">
        <f>IF(ISBLANK(D610)," ",499-COUNTBLANK($D$6:D610))</f>
        <v xml:space="preserve"> </v>
      </c>
    </row>
    <row r="611" spans="1:6">
      <c r="A611" s="240" t="str">
        <f>IF(ISBLANK(D611)," ",500-COUNTBLANK($D$6:D611))</f>
        <v xml:space="preserve"> </v>
      </c>
    </row>
    <row r="612" spans="1:6">
      <c r="A612" s="240" t="str">
        <f>IF(ISBLANK(D612)," ",501-COUNTBLANK($D$6:D612))</f>
        <v xml:space="preserve"> </v>
      </c>
    </row>
    <row r="613" spans="1:6">
      <c r="A613" s="240" t="str">
        <f>IF(ISBLANK(D613)," ",502-COUNTBLANK($D$6:D613))</f>
        <v xml:space="preserve"> </v>
      </c>
    </row>
    <row r="614" spans="1:6">
      <c r="A614" s="240" t="str">
        <f>IF(ISBLANK(D614)," ",503-COUNTBLANK($D$6:D614))</f>
        <v xml:space="preserve"> </v>
      </c>
    </row>
    <row r="615" spans="1:6">
      <c r="A615" s="240" t="s">
        <v>52</v>
      </c>
      <c r="F615" s="309">
        <f>SUM(F595:F614)</f>
        <v>0</v>
      </c>
    </row>
    <row r="616" spans="1:6">
      <c r="A616" s="240" t="str">
        <f>IF(ISBLANK(D616)," ",505-COUNTBLANK($D$6:D616))</f>
        <v xml:space="preserve"> </v>
      </c>
    </row>
    <row r="617" spans="1:6">
      <c r="A617" s="240" t="str">
        <f>IF(ISBLANK(D617)," ",506-COUNTBLANK($D$6:D617))</f>
        <v xml:space="preserve"> </v>
      </c>
    </row>
    <row r="618" spans="1:6">
      <c r="A618" s="240" t="str">
        <f>IF(ISBLANK(D618)," ",507-COUNTBLANK($D$6:D618))</f>
        <v xml:space="preserve"> </v>
      </c>
    </row>
    <row r="619" spans="1:6">
      <c r="A619" s="240" t="str">
        <f>IF(ISBLANK(D619)," ",508-COUNTBLANK($D$6:D619))</f>
        <v xml:space="preserve"> </v>
      </c>
    </row>
    <row r="620" spans="1:6">
      <c r="A620" s="240" t="str">
        <f>IF(ISBLANK(D620)," ",509-COUNTBLANK($D$6:D620))</f>
        <v xml:space="preserve"> </v>
      </c>
    </row>
    <row r="621" spans="1:6">
      <c r="A621" s="240" t="str">
        <f>IF(ISBLANK(D621)," ",510-COUNTBLANK($D$6:D621))</f>
        <v xml:space="preserve"> </v>
      </c>
    </row>
    <row r="622" spans="1:6">
      <c r="A622" s="240" t="str">
        <f>IF(ISBLANK(D622)," ",511-COUNTBLANK($D$6:D622))</f>
        <v xml:space="preserve"> </v>
      </c>
    </row>
    <row r="623" spans="1:6">
      <c r="A623" s="240" t="str">
        <f>IF(ISBLANK(D623)," ",512-COUNTBLANK($D$6:D623))</f>
        <v xml:space="preserve"> </v>
      </c>
    </row>
    <row r="624" spans="1:6">
      <c r="A624" s="240" t="str">
        <f>IF(ISBLANK(D624)," ",513-COUNTBLANK($D$6:D624))</f>
        <v xml:space="preserve"> </v>
      </c>
    </row>
    <row r="625" spans="1:6">
      <c r="A625" s="240" t="str">
        <f>IF(ISBLANK(D625)," ",514-COUNTBLANK($D$6:D625))</f>
        <v xml:space="preserve"> </v>
      </c>
    </row>
    <row r="626" spans="1:6">
      <c r="A626" s="240" t="str">
        <f>IF(ISBLANK(D626)," ",515-COUNTBLANK($D$6:D626))</f>
        <v xml:space="preserve"> </v>
      </c>
    </row>
    <row r="627" spans="1:6">
      <c r="A627" s="240" t="str">
        <f>IF(ISBLANK(D627)," ",516-COUNTBLANK($D$6:D627))</f>
        <v xml:space="preserve"> </v>
      </c>
    </row>
    <row r="628" spans="1:6">
      <c r="A628" s="240" t="str">
        <f>IF(ISBLANK(D628)," ",517-COUNTBLANK($D$6:D628))</f>
        <v xml:space="preserve"> </v>
      </c>
    </row>
    <row r="629" spans="1:6">
      <c r="A629" s="240" t="str">
        <f>IF(ISBLANK(D629)," ",518-COUNTBLANK($D$6:D629))</f>
        <v xml:space="preserve"> </v>
      </c>
    </row>
    <row r="630" spans="1:6">
      <c r="A630" s="240" t="str">
        <f>IF(ISBLANK(D630)," ",519-COUNTBLANK($D$6:D630))</f>
        <v xml:space="preserve"> </v>
      </c>
    </row>
    <row r="631" spans="1:6">
      <c r="A631" s="240" t="str">
        <f>IF(ISBLANK(D631)," ",520-COUNTBLANK($D$6:D631))</f>
        <v xml:space="preserve"> </v>
      </c>
    </row>
    <row r="632" spans="1:6">
      <c r="A632" s="240" t="str">
        <f>IF(ISBLANK(D632)," ",521-COUNTBLANK($D$6:D632))</f>
        <v xml:space="preserve"> </v>
      </c>
    </row>
    <row r="633" spans="1:6">
      <c r="A633" s="240" t="str">
        <f>IF(ISBLANK(D633)," ",522-COUNTBLANK($D$6:D633))</f>
        <v xml:space="preserve"> </v>
      </c>
    </row>
    <row r="634" spans="1:6">
      <c r="A634" s="240" t="str">
        <f>IF(ISBLANK(D634)," ",523-COUNTBLANK($D$6:D634))</f>
        <v xml:space="preserve"> </v>
      </c>
    </row>
    <row r="635" spans="1:6">
      <c r="A635" s="240" t="str">
        <f>IF(ISBLANK(D635)," ",524-COUNTBLANK($D$6:D635))</f>
        <v xml:space="preserve"> </v>
      </c>
    </row>
    <row r="636" spans="1:6">
      <c r="A636" s="240" t="s">
        <v>52</v>
      </c>
      <c r="F636" s="309">
        <f>SUM(F616:F635)</f>
        <v>0</v>
      </c>
    </row>
  </sheetData>
  <mergeCells count="6">
    <mergeCell ref="J4:J5"/>
    <mergeCell ref="K4:K5"/>
    <mergeCell ref="B4:C4"/>
    <mergeCell ref="D4:D5"/>
    <mergeCell ref="G4:H4"/>
    <mergeCell ref="I4:I5"/>
  </mergeCells>
  <phoneticPr fontId="5" type="noConversion"/>
  <printOptions horizontalCentered="1"/>
  <pageMargins left="0.19685039370078741" right="0.19685039370078741" top="1.3779527559055118" bottom="0.59055118110236227" header="0.59055118110236227" footer="0.19685039370078741"/>
  <pageSetup paperSize="9" fitToHeight="100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635"/>
  <sheetViews>
    <sheetView showGridLines="0" showZeros="0" view="pageBreakPreview" zoomScaleSheetLayoutView="100" workbookViewId="0">
      <selection activeCell="S11" sqref="S11"/>
    </sheetView>
  </sheetViews>
  <sheetFormatPr defaultRowHeight="11.25"/>
  <cols>
    <col min="1" max="1" width="4.33203125" style="240" customWidth="1"/>
    <col min="2" max="3" width="6.33203125" style="307" customWidth="1"/>
    <col min="4" max="4" width="3.77734375" style="240" customWidth="1"/>
    <col min="5" max="5" width="7.77734375" style="308" customWidth="1"/>
    <col min="6" max="7" width="7.77734375" style="309" customWidth="1"/>
    <col min="8" max="8" width="5.77734375" style="240" customWidth="1"/>
    <col min="9" max="9" width="7.77734375" style="310" hidden="1" customWidth="1"/>
    <col min="10" max="10" width="17.44140625" style="240" hidden="1" customWidth="1"/>
    <col min="11" max="11" width="14.77734375" style="310" customWidth="1"/>
    <col min="12" max="12" width="17.44140625" style="240" customWidth="1"/>
    <col min="13" max="13" width="5.77734375" style="240" customWidth="1"/>
    <col min="14" max="14" width="11.77734375" style="240" customWidth="1"/>
    <col min="15" max="16" width="5.77734375" style="240" customWidth="1"/>
    <col min="17" max="19" width="9.77734375" style="240" customWidth="1"/>
    <col min="20" max="20" width="10.77734375" style="240" customWidth="1"/>
    <col min="21" max="16384" width="8.88671875" style="240"/>
  </cols>
  <sheetData>
    <row r="1" spans="1:20" ht="27" customHeight="1">
      <c r="A1" s="314" t="s">
        <v>139</v>
      </c>
      <c r="B1" s="315"/>
      <c r="C1" s="315"/>
      <c r="D1" s="248"/>
      <c r="E1" s="316"/>
      <c r="F1" s="317"/>
      <c r="G1" s="317"/>
      <c r="H1" s="248"/>
      <c r="I1" s="248"/>
      <c r="J1" s="248"/>
      <c r="K1" s="248"/>
      <c r="L1" s="248"/>
      <c r="M1" s="248"/>
      <c r="N1" s="248"/>
      <c r="O1" s="248"/>
      <c r="P1" s="248"/>
      <c r="Q1" s="239"/>
      <c r="R1" s="239"/>
      <c r="S1" s="239"/>
      <c r="T1" s="239"/>
    </row>
    <row r="2" spans="1:20" ht="19.899999999999999" customHeight="1">
      <c r="A2" s="239"/>
      <c r="B2" s="242"/>
      <c r="C2" s="242"/>
      <c r="D2" s="239"/>
      <c r="E2" s="243"/>
      <c r="F2" s="244"/>
      <c r="G2" s="244"/>
      <c r="H2" s="239"/>
      <c r="I2" s="245"/>
      <c r="J2" s="246"/>
      <c r="K2" s="245"/>
      <c r="L2" s="246"/>
      <c r="M2" s="247" t="s">
        <v>140</v>
      </c>
      <c r="N2" s="248"/>
      <c r="O2" s="248"/>
      <c r="P2" s="248"/>
      <c r="Q2" s="239"/>
      <c r="R2" s="239"/>
      <c r="S2" s="239"/>
      <c r="T2" s="239"/>
    </row>
    <row r="3" spans="1:20" ht="18" customHeight="1">
      <c r="A3" s="444" t="s">
        <v>39</v>
      </c>
      <c r="B3" s="508" t="s">
        <v>40</v>
      </c>
      <c r="C3" s="509"/>
      <c r="D3" s="511" t="s">
        <v>41</v>
      </c>
      <c r="E3" s="445" t="s">
        <v>42</v>
      </c>
      <c r="F3" s="508" t="s">
        <v>1451</v>
      </c>
      <c r="G3" s="510"/>
      <c r="H3" s="509"/>
      <c r="I3" s="508" t="s">
        <v>131</v>
      </c>
      <c r="J3" s="509"/>
      <c r="K3" s="508" t="s">
        <v>1463</v>
      </c>
      <c r="L3" s="509"/>
      <c r="M3" s="446" t="s">
        <v>46</v>
      </c>
      <c r="N3" s="447"/>
      <c r="O3" s="448"/>
      <c r="P3" s="513" t="s">
        <v>31</v>
      </c>
      <c r="Q3" s="258"/>
      <c r="R3" s="258"/>
      <c r="S3" s="258"/>
      <c r="T3" s="258"/>
    </row>
    <row r="4" spans="1:20" ht="18" customHeight="1">
      <c r="A4" s="449" t="s">
        <v>47</v>
      </c>
      <c r="B4" s="450" t="s">
        <v>1438</v>
      </c>
      <c r="C4" s="450" t="s">
        <v>130</v>
      </c>
      <c r="D4" s="512"/>
      <c r="E4" s="451" t="s">
        <v>59</v>
      </c>
      <c r="F4" s="450" t="s">
        <v>1438</v>
      </c>
      <c r="G4" s="450" t="s">
        <v>141</v>
      </c>
      <c r="H4" s="450" t="s">
        <v>138</v>
      </c>
      <c r="I4" s="450" t="s">
        <v>49</v>
      </c>
      <c r="J4" s="452" t="s">
        <v>50</v>
      </c>
      <c r="K4" s="450" t="s">
        <v>49</v>
      </c>
      <c r="L4" s="452" t="s">
        <v>50</v>
      </c>
      <c r="M4" s="450" t="s">
        <v>49</v>
      </c>
      <c r="N4" s="450" t="s">
        <v>50</v>
      </c>
      <c r="O4" s="453" t="s">
        <v>51</v>
      </c>
      <c r="P4" s="514"/>
      <c r="Q4" s="259"/>
      <c r="R4" s="259"/>
      <c r="S4" s="259"/>
      <c r="T4" s="239"/>
    </row>
    <row r="5" spans="1:20" ht="18" customHeight="1">
      <c r="A5" s="204">
        <v>1</v>
      </c>
      <c r="B5" s="202" t="s">
        <v>749</v>
      </c>
      <c r="C5" s="202" t="s">
        <v>749</v>
      </c>
      <c r="D5" s="202" t="s">
        <v>93</v>
      </c>
      <c r="E5" s="300">
        <v>724</v>
      </c>
      <c r="F5" s="210">
        <v>724</v>
      </c>
      <c r="G5" s="210">
        <v>724</v>
      </c>
      <c r="H5" s="210">
        <f>G5-F5</f>
        <v>0</v>
      </c>
      <c r="I5" s="203" t="s">
        <v>451</v>
      </c>
      <c r="J5" s="203" t="s">
        <v>452</v>
      </c>
      <c r="K5" s="203" t="s">
        <v>452</v>
      </c>
      <c r="L5" s="203" t="s">
        <v>451</v>
      </c>
      <c r="M5" s="203"/>
      <c r="N5" s="463"/>
      <c r="O5" s="203"/>
      <c r="P5" s="276"/>
      <c r="Q5" s="265"/>
      <c r="R5" s="265"/>
      <c r="S5" s="265"/>
      <c r="T5" s="265"/>
    </row>
    <row r="6" spans="1:20" ht="18" customHeight="1">
      <c r="A6" s="204">
        <v>2</v>
      </c>
      <c r="B6" s="202" t="s">
        <v>750</v>
      </c>
      <c r="C6" s="202" t="s">
        <v>750</v>
      </c>
      <c r="D6" s="202" t="s">
        <v>93</v>
      </c>
      <c r="E6" s="300">
        <v>1558</v>
      </c>
      <c r="F6" s="210">
        <v>1558</v>
      </c>
      <c r="G6" s="210">
        <v>1558</v>
      </c>
      <c r="H6" s="210">
        <f t="shared" ref="H6:H69" si="0">G6-F6</f>
        <v>0</v>
      </c>
      <c r="I6" s="203" t="s">
        <v>451</v>
      </c>
      <c r="J6" s="203" t="s">
        <v>452</v>
      </c>
      <c r="K6" s="203" t="s">
        <v>452</v>
      </c>
      <c r="L6" s="203" t="s">
        <v>451</v>
      </c>
      <c r="M6" s="203"/>
      <c r="N6" s="463"/>
      <c r="O6" s="203"/>
      <c r="P6" s="276"/>
      <c r="Q6" s="265"/>
      <c r="R6" s="265"/>
      <c r="S6" s="265"/>
      <c r="T6" s="265"/>
    </row>
    <row r="7" spans="1:20" ht="18" customHeight="1">
      <c r="A7" s="204">
        <v>3</v>
      </c>
      <c r="B7" s="202" t="s">
        <v>751</v>
      </c>
      <c r="C7" s="202" t="s">
        <v>751</v>
      </c>
      <c r="D7" s="202" t="s">
        <v>93</v>
      </c>
      <c r="E7" s="300">
        <v>658</v>
      </c>
      <c r="F7" s="210">
        <v>340</v>
      </c>
      <c r="G7" s="210">
        <v>340</v>
      </c>
      <c r="H7" s="210">
        <f t="shared" si="0"/>
        <v>0</v>
      </c>
      <c r="I7" s="203" t="s">
        <v>0</v>
      </c>
      <c r="J7" s="203" t="s">
        <v>1</v>
      </c>
      <c r="K7" s="203" t="s">
        <v>452</v>
      </c>
      <c r="L7" s="203" t="s">
        <v>451</v>
      </c>
      <c r="M7" s="203"/>
      <c r="N7" s="463"/>
      <c r="O7" s="203"/>
      <c r="P7" s="276"/>
      <c r="Q7" s="265"/>
      <c r="R7" s="265"/>
      <c r="S7" s="265"/>
      <c r="T7" s="265"/>
    </row>
    <row r="8" spans="1:20" ht="18" customHeight="1">
      <c r="A8" s="204">
        <v>4</v>
      </c>
      <c r="B8" s="202" t="s">
        <v>752</v>
      </c>
      <c r="C8" s="202" t="s">
        <v>752</v>
      </c>
      <c r="D8" s="202" t="s">
        <v>7</v>
      </c>
      <c r="E8" s="300">
        <v>254</v>
      </c>
      <c r="F8" s="210">
        <v>254</v>
      </c>
      <c r="G8" s="210">
        <v>254</v>
      </c>
      <c r="H8" s="210">
        <f t="shared" si="0"/>
        <v>0</v>
      </c>
      <c r="I8" s="203" t="s">
        <v>451</v>
      </c>
      <c r="J8" s="203" t="s">
        <v>452</v>
      </c>
      <c r="K8" s="203" t="s">
        <v>452</v>
      </c>
      <c r="L8" s="203" t="s">
        <v>451</v>
      </c>
      <c r="M8" s="203"/>
      <c r="N8" s="463"/>
      <c r="O8" s="203"/>
      <c r="P8" s="276"/>
      <c r="Q8" s="265"/>
      <c r="R8" s="265"/>
      <c r="S8" s="265"/>
      <c r="T8" s="265"/>
    </row>
    <row r="9" spans="1:20" ht="18" customHeight="1">
      <c r="A9" s="204">
        <v>5</v>
      </c>
      <c r="B9" s="202">
        <v>857</v>
      </c>
      <c r="C9" s="202">
        <v>857</v>
      </c>
      <c r="D9" s="202" t="s">
        <v>462</v>
      </c>
      <c r="E9" s="300">
        <v>7643</v>
      </c>
      <c r="F9" s="210">
        <v>151</v>
      </c>
      <c r="G9" s="210">
        <v>151</v>
      </c>
      <c r="H9" s="210">
        <f t="shared" si="0"/>
        <v>0</v>
      </c>
      <c r="I9" s="203" t="s">
        <v>86</v>
      </c>
      <c r="J9" s="203" t="s">
        <v>88</v>
      </c>
      <c r="K9" s="203" t="s">
        <v>512</v>
      </c>
      <c r="L9" s="203" t="s">
        <v>511</v>
      </c>
      <c r="M9" s="203"/>
      <c r="N9" s="463"/>
      <c r="O9" s="203"/>
      <c r="P9" s="276"/>
      <c r="Q9" s="265"/>
      <c r="R9" s="265"/>
      <c r="S9" s="265"/>
      <c r="T9" s="265"/>
    </row>
    <row r="10" spans="1:20" ht="18" customHeight="1">
      <c r="A10" s="204">
        <v>6</v>
      </c>
      <c r="B10" s="202" t="s">
        <v>753</v>
      </c>
      <c r="C10" s="202" t="s">
        <v>753</v>
      </c>
      <c r="D10" s="202" t="s">
        <v>8</v>
      </c>
      <c r="E10" s="300">
        <v>183</v>
      </c>
      <c r="F10" s="210">
        <v>183</v>
      </c>
      <c r="G10" s="210">
        <v>183</v>
      </c>
      <c r="H10" s="210">
        <f t="shared" si="0"/>
        <v>0</v>
      </c>
      <c r="I10" s="203" t="s">
        <v>451</v>
      </c>
      <c r="J10" s="203" t="s">
        <v>452</v>
      </c>
      <c r="K10" s="203" t="s">
        <v>452</v>
      </c>
      <c r="L10" s="203" t="s">
        <v>451</v>
      </c>
      <c r="M10" s="203"/>
      <c r="N10" s="463"/>
      <c r="O10" s="203"/>
      <c r="P10" s="276"/>
      <c r="Q10" s="265"/>
      <c r="R10" s="265"/>
      <c r="S10" s="265"/>
      <c r="T10" s="267"/>
    </row>
    <row r="11" spans="1:20" ht="18" customHeight="1">
      <c r="A11" s="204">
        <v>7</v>
      </c>
      <c r="B11" s="202" t="s">
        <v>754</v>
      </c>
      <c r="C11" s="202" t="s">
        <v>754</v>
      </c>
      <c r="D11" s="202" t="s">
        <v>571</v>
      </c>
      <c r="E11" s="300">
        <v>469</v>
      </c>
      <c r="F11" s="210">
        <v>469</v>
      </c>
      <c r="G11" s="210">
        <v>469</v>
      </c>
      <c r="H11" s="210">
        <f t="shared" si="0"/>
        <v>0</v>
      </c>
      <c r="I11" s="203" t="s">
        <v>451</v>
      </c>
      <c r="J11" s="203" t="s">
        <v>452</v>
      </c>
      <c r="K11" s="203" t="s">
        <v>452</v>
      </c>
      <c r="L11" s="203" t="s">
        <v>451</v>
      </c>
      <c r="M11" s="203"/>
      <c r="N11" s="463"/>
      <c r="O11" s="203"/>
      <c r="P11" s="276"/>
      <c r="Q11" s="265"/>
      <c r="R11" s="265"/>
      <c r="S11" s="265"/>
      <c r="T11" s="267"/>
    </row>
    <row r="12" spans="1:20" ht="18" customHeight="1">
      <c r="A12" s="204">
        <v>8</v>
      </c>
      <c r="B12" s="202" t="s">
        <v>755</v>
      </c>
      <c r="C12" s="202" t="s">
        <v>755</v>
      </c>
      <c r="D12" s="202" t="s">
        <v>897</v>
      </c>
      <c r="E12" s="300">
        <v>436</v>
      </c>
      <c r="F12" s="210">
        <v>436</v>
      </c>
      <c r="G12" s="210">
        <v>436</v>
      </c>
      <c r="H12" s="210">
        <f t="shared" si="0"/>
        <v>0</v>
      </c>
      <c r="I12" s="203" t="s">
        <v>451</v>
      </c>
      <c r="J12" s="203" t="s">
        <v>452</v>
      </c>
      <c r="K12" s="203" t="s">
        <v>452</v>
      </c>
      <c r="L12" s="203" t="s">
        <v>451</v>
      </c>
      <c r="M12" s="203"/>
      <c r="N12" s="463"/>
      <c r="O12" s="203"/>
      <c r="P12" s="276"/>
      <c r="Q12" s="265"/>
      <c r="R12" s="265"/>
      <c r="S12" s="265"/>
      <c r="T12" s="267"/>
    </row>
    <row r="13" spans="1:20" ht="18" customHeight="1">
      <c r="A13" s="204">
        <v>9</v>
      </c>
      <c r="B13" s="202" t="s">
        <v>756</v>
      </c>
      <c r="C13" s="202" t="s">
        <v>756</v>
      </c>
      <c r="D13" s="202" t="s">
        <v>7</v>
      </c>
      <c r="E13" s="300">
        <v>264</v>
      </c>
      <c r="F13" s="210">
        <v>264</v>
      </c>
      <c r="G13" s="210">
        <v>264</v>
      </c>
      <c r="H13" s="210">
        <f t="shared" si="0"/>
        <v>0</v>
      </c>
      <c r="I13" s="203" t="s">
        <v>451</v>
      </c>
      <c r="J13" s="203" t="s">
        <v>452</v>
      </c>
      <c r="K13" s="203" t="s">
        <v>452</v>
      </c>
      <c r="L13" s="203" t="s">
        <v>451</v>
      </c>
      <c r="M13" s="203"/>
      <c r="N13" s="463"/>
      <c r="O13" s="203"/>
      <c r="P13" s="276"/>
      <c r="Q13" s="265"/>
      <c r="R13" s="265"/>
      <c r="S13" s="265"/>
      <c r="T13" s="267"/>
    </row>
    <row r="14" spans="1:20" ht="18" customHeight="1">
      <c r="A14" s="204">
        <v>10</v>
      </c>
      <c r="B14" s="202" t="s">
        <v>757</v>
      </c>
      <c r="C14" s="202" t="s">
        <v>757</v>
      </c>
      <c r="D14" s="202" t="s">
        <v>93</v>
      </c>
      <c r="E14" s="300">
        <v>190</v>
      </c>
      <c r="F14" s="210">
        <v>190</v>
      </c>
      <c r="G14" s="210">
        <v>190</v>
      </c>
      <c r="H14" s="210">
        <f t="shared" si="0"/>
        <v>0</v>
      </c>
      <c r="I14" s="203" t="s">
        <v>0</v>
      </c>
      <c r="J14" s="203" t="s">
        <v>1</v>
      </c>
      <c r="K14" s="203" t="s">
        <v>452</v>
      </c>
      <c r="L14" s="203" t="s">
        <v>451</v>
      </c>
      <c r="M14" s="203"/>
      <c r="N14" s="463"/>
      <c r="O14" s="203"/>
      <c r="P14" s="276"/>
      <c r="Q14" s="265"/>
      <c r="R14" s="265"/>
      <c r="S14" s="265"/>
      <c r="T14" s="267"/>
    </row>
    <row r="15" spans="1:20" ht="18" customHeight="1">
      <c r="A15" s="204">
        <v>11</v>
      </c>
      <c r="B15" s="202" t="s">
        <v>758</v>
      </c>
      <c r="C15" s="202" t="s">
        <v>758</v>
      </c>
      <c r="D15" s="202" t="s">
        <v>459</v>
      </c>
      <c r="E15" s="300">
        <v>144</v>
      </c>
      <c r="F15" s="210">
        <v>144</v>
      </c>
      <c r="G15" s="210">
        <v>144</v>
      </c>
      <c r="H15" s="210">
        <f t="shared" si="0"/>
        <v>0</v>
      </c>
      <c r="I15" s="203" t="s">
        <v>451</v>
      </c>
      <c r="J15" s="203" t="s">
        <v>452</v>
      </c>
      <c r="K15" s="203" t="s">
        <v>452</v>
      </c>
      <c r="L15" s="203" t="s">
        <v>451</v>
      </c>
      <c r="M15" s="203"/>
      <c r="N15" s="463"/>
      <c r="O15" s="203"/>
      <c r="P15" s="276"/>
      <c r="Q15" s="265"/>
      <c r="R15" s="265"/>
      <c r="S15" s="265"/>
      <c r="T15" s="267"/>
    </row>
    <row r="16" spans="1:20" ht="18" customHeight="1">
      <c r="A16" s="204">
        <v>12</v>
      </c>
      <c r="B16" s="202" t="s">
        <v>759</v>
      </c>
      <c r="C16" s="202" t="s">
        <v>759</v>
      </c>
      <c r="D16" s="202" t="s">
        <v>459</v>
      </c>
      <c r="E16" s="300">
        <v>95</v>
      </c>
      <c r="F16" s="210">
        <v>95</v>
      </c>
      <c r="G16" s="210">
        <v>95</v>
      </c>
      <c r="H16" s="210">
        <f t="shared" si="0"/>
        <v>0</v>
      </c>
      <c r="I16" s="203" t="s">
        <v>86</v>
      </c>
      <c r="J16" s="203" t="s">
        <v>88</v>
      </c>
      <c r="K16" s="203" t="s">
        <v>512</v>
      </c>
      <c r="L16" s="203" t="s">
        <v>511</v>
      </c>
      <c r="M16" s="203"/>
      <c r="N16" s="463"/>
      <c r="O16" s="203"/>
      <c r="P16" s="276"/>
      <c r="Q16" s="265"/>
      <c r="R16" s="265"/>
      <c r="S16" s="265"/>
      <c r="T16" s="267"/>
    </row>
    <row r="17" spans="1:20" ht="18" customHeight="1">
      <c r="A17" s="204">
        <v>13</v>
      </c>
      <c r="B17" s="202" t="s">
        <v>760</v>
      </c>
      <c r="C17" s="202" t="s">
        <v>760</v>
      </c>
      <c r="D17" s="202" t="s">
        <v>93</v>
      </c>
      <c r="E17" s="300">
        <v>17</v>
      </c>
      <c r="F17" s="210">
        <v>17</v>
      </c>
      <c r="G17" s="210">
        <v>17</v>
      </c>
      <c r="H17" s="210">
        <f t="shared" si="0"/>
        <v>0</v>
      </c>
      <c r="I17" s="203" t="s">
        <v>451</v>
      </c>
      <c r="J17" s="203" t="s">
        <v>537</v>
      </c>
      <c r="K17" s="203" t="s">
        <v>537</v>
      </c>
      <c r="L17" s="203" t="s">
        <v>451</v>
      </c>
      <c r="M17" s="203"/>
      <c r="N17" s="463"/>
      <c r="O17" s="203"/>
      <c r="P17" s="276"/>
      <c r="Q17" s="265"/>
      <c r="R17" s="265"/>
      <c r="S17" s="265"/>
      <c r="T17" s="267"/>
    </row>
    <row r="18" spans="1:20" ht="18" customHeight="1">
      <c r="A18" s="204">
        <v>14</v>
      </c>
      <c r="B18" s="202" t="s">
        <v>761</v>
      </c>
      <c r="C18" s="202" t="s">
        <v>761</v>
      </c>
      <c r="D18" s="202" t="s">
        <v>898</v>
      </c>
      <c r="E18" s="300"/>
      <c r="F18" s="210">
        <v>72</v>
      </c>
      <c r="G18" s="210">
        <v>72</v>
      </c>
      <c r="H18" s="210">
        <f t="shared" si="0"/>
        <v>0</v>
      </c>
      <c r="I18" s="203" t="s">
        <v>604</v>
      </c>
      <c r="J18" s="203"/>
      <c r="K18" s="203"/>
      <c r="L18" s="203" t="s">
        <v>511</v>
      </c>
      <c r="M18" s="203"/>
      <c r="N18" s="463"/>
      <c r="O18" s="203"/>
      <c r="P18" s="276"/>
      <c r="Q18" s="265"/>
      <c r="R18" s="265"/>
      <c r="S18" s="265"/>
      <c r="T18" s="267"/>
    </row>
    <row r="19" spans="1:20" ht="18" customHeight="1">
      <c r="A19" s="204">
        <v>15</v>
      </c>
      <c r="B19" s="202" t="s">
        <v>762</v>
      </c>
      <c r="C19" s="202" t="s">
        <v>762</v>
      </c>
      <c r="D19" s="202" t="s">
        <v>93</v>
      </c>
      <c r="E19" s="300">
        <v>307</v>
      </c>
      <c r="F19" s="210">
        <v>307</v>
      </c>
      <c r="G19" s="210">
        <v>307</v>
      </c>
      <c r="H19" s="210">
        <f t="shared" si="0"/>
        <v>0</v>
      </c>
      <c r="I19" s="203" t="s">
        <v>0</v>
      </c>
      <c r="J19" s="203" t="s">
        <v>1</v>
      </c>
      <c r="K19" s="203" t="s">
        <v>452</v>
      </c>
      <c r="L19" s="203" t="s">
        <v>451</v>
      </c>
      <c r="M19" s="203"/>
      <c r="N19" s="463"/>
      <c r="O19" s="203"/>
      <c r="P19" s="276"/>
      <c r="Q19" s="265"/>
      <c r="R19" s="265"/>
      <c r="S19" s="265"/>
      <c r="T19" s="267"/>
    </row>
    <row r="20" spans="1:20" ht="18" customHeight="1">
      <c r="A20" s="204">
        <v>16</v>
      </c>
      <c r="B20" s="202" t="s">
        <v>763</v>
      </c>
      <c r="C20" s="202" t="s">
        <v>763</v>
      </c>
      <c r="D20" s="202" t="s">
        <v>93</v>
      </c>
      <c r="E20" s="300">
        <v>14</v>
      </c>
      <c r="F20" s="210">
        <v>14</v>
      </c>
      <c r="G20" s="210">
        <v>14</v>
      </c>
      <c r="H20" s="210">
        <f t="shared" si="0"/>
        <v>0</v>
      </c>
      <c r="I20" s="203" t="s">
        <v>0</v>
      </c>
      <c r="J20" s="203" t="s">
        <v>1</v>
      </c>
      <c r="K20" s="203" t="s">
        <v>452</v>
      </c>
      <c r="L20" s="203" t="s">
        <v>451</v>
      </c>
      <c r="M20" s="203"/>
      <c r="N20" s="463"/>
      <c r="O20" s="203"/>
      <c r="P20" s="276"/>
      <c r="Q20" s="265"/>
      <c r="R20" s="265"/>
      <c r="S20" s="265"/>
      <c r="T20" s="267"/>
    </row>
    <row r="21" spans="1:20" ht="18" customHeight="1">
      <c r="A21" s="204">
        <v>17</v>
      </c>
      <c r="B21" s="202" t="s">
        <v>764</v>
      </c>
      <c r="C21" s="202" t="s">
        <v>764</v>
      </c>
      <c r="D21" s="202" t="s">
        <v>93</v>
      </c>
      <c r="E21" s="300">
        <v>1342</v>
      </c>
      <c r="F21" s="210">
        <v>1342</v>
      </c>
      <c r="G21" s="210">
        <v>1342</v>
      </c>
      <c r="H21" s="210">
        <f t="shared" si="0"/>
        <v>0</v>
      </c>
      <c r="I21" s="203" t="s">
        <v>451</v>
      </c>
      <c r="J21" s="203" t="s">
        <v>452</v>
      </c>
      <c r="K21" s="203" t="s">
        <v>452</v>
      </c>
      <c r="L21" s="203" t="s">
        <v>451</v>
      </c>
      <c r="M21" s="203"/>
      <c r="N21" s="463"/>
      <c r="O21" s="203"/>
      <c r="P21" s="276"/>
      <c r="Q21" s="265"/>
      <c r="R21" s="265"/>
      <c r="S21" s="265"/>
      <c r="T21" s="267"/>
    </row>
    <row r="22" spans="1:20" ht="18" customHeight="1">
      <c r="A22" s="204">
        <v>18</v>
      </c>
      <c r="B22" s="202" t="s">
        <v>765</v>
      </c>
      <c r="C22" s="202" t="s">
        <v>765</v>
      </c>
      <c r="D22" s="202" t="s">
        <v>93</v>
      </c>
      <c r="E22" s="300">
        <v>1359</v>
      </c>
      <c r="F22" s="210">
        <v>1359</v>
      </c>
      <c r="G22" s="210">
        <v>1359</v>
      </c>
      <c r="H22" s="210">
        <f t="shared" si="0"/>
        <v>0</v>
      </c>
      <c r="I22" s="203" t="s">
        <v>0</v>
      </c>
      <c r="J22" s="203" t="s">
        <v>87</v>
      </c>
      <c r="K22" s="203" t="s">
        <v>537</v>
      </c>
      <c r="L22" s="203" t="s">
        <v>451</v>
      </c>
      <c r="M22" s="203"/>
      <c r="N22" s="463"/>
      <c r="O22" s="203"/>
      <c r="P22" s="276"/>
      <c r="Q22" s="265"/>
      <c r="R22" s="265"/>
      <c r="S22" s="265"/>
      <c r="T22" s="267"/>
    </row>
    <row r="23" spans="1:20" ht="18" customHeight="1">
      <c r="A23" s="204">
        <v>19</v>
      </c>
      <c r="B23" s="202" t="s">
        <v>766</v>
      </c>
      <c r="C23" s="202" t="s">
        <v>766</v>
      </c>
      <c r="D23" s="202" t="s">
        <v>93</v>
      </c>
      <c r="E23" s="300">
        <v>2047</v>
      </c>
      <c r="F23" s="210">
        <v>2047</v>
      </c>
      <c r="G23" s="210">
        <v>2047</v>
      </c>
      <c r="H23" s="210">
        <f t="shared" si="0"/>
        <v>0</v>
      </c>
      <c r="I23" s="203" t="s">
        <v>451</v>
      </c>
      <c r="J23" s="203" t="s">
        <v>452</v>
      </c>
      <c r="K23" s="203" t="s">
        <v>452</v>
      </c>
      <c r="L23" s="203" t="s">
        <v>451</v>
      </c>
      <c r="M23" s="203"/>
      <c r="N23" s="463"/>
      <c r="O23" s="203"/>
      <c r="P23" s="276"/>
      <c r="Q23" s="265"/>
      <c r="R23" s="265"/>
      <c r="S23" s="265"/>
      <c r="T23" s="267"/>
    </row>
    <row r="24" spans="1:20" ht="18" customHeight="1">
      <c r="A24" s="204">
        <v>20</v>
      </c>
      <c r="B24" s="202" t="s">
        <v>767</v>
      </c>
      <c r="C24" s="202" t="s">
        <v>767</v>
      </c>
      <c r="D24" s="202" t="s">
        <v>7</v>
      </c>
      <c r="E24" s="300">
        <v>34</v>
      </c>
      <c r="F24" s="210">
        <v>34</v>
      </c>
      <c r="G24" s="210">
        <v>34</v>
      </c>
      <c r="H24" s="210">
        <f t="shared" si="0"/>
        <v>0</v>
      </c>
      <c r="I24" s="203" t="s">
        <v>451</v>
      </c>
      <c r="J24" s="203" t="s">
        <v>452</v>
      </c>
      <c r="K24" s="203" t="s">
        <v>452</v>
      </c>
      <c r="L24" s="203" t="s">
        <v>451</v>
      </c>
      <c r="M24" s="203"/>
      <c r="N24" s="463"/>
      <c r="O24" s="203"/>
      <c r="P24" s="276"/>
      <c r="Q24" s="265"/>
      <c r="R24" s="265"/>
      <c r="S24" s="265"/>
      <c r="T24" s="267"/>
    </row>
    <row r="25" spans="1:20" ht="18" customHeight="1">
      <c r="A25" s="204">
        <v>21</v>
      </c>
      <c r="B25" s="202" t="s">
        <v>768</v>
      </c>
      <c r="C25" s="202" t="s">
        <v>768</v>
      </c>
      <c r="D25" s="202" t="s">
        <v>93</v>
      </c>
      <c r="E25" s="300">
        <v>297</v>
      </c>
      <c r="F25" s="210">
        <v>297</v>
      </c>
      <c r="G25" s="210">
        <v>297</v>
      </c>
      <c r="H25" s="210">
        <f t="shared" si="0"/>
        <v>0</v>
      </c>
      <c r="I25" s="203" t="s">
        <v>451</v>
      </c>
      <c r="J25" s="203" t="s">
        <v>452</v>
      </c>
      <c r="K25" s="203" t="s">
        <v>452</v>
      </c>
      <c r="L25" s="203" t="s">
        <v>451</v>
      </c>
      <c r="M25" s="203"/>
      <c r="N25" s="463"/>
      <c r="O25" s="203"/>
      <c r="P25" s="276"/>
      <c r="Q25" s="265"/>
      <c r="R25" s="265"/>
      <c r="S25" s="265"/>
      <c r="T25" s="267"/>
    </row>
    <row r="26" spans="1:20" ht="18" customHeight="1">
      <c r="A26" s="204">
        <v>22</v>
      </c>
      <c r="B26" s="202" t="s">
        <v>769</v>
      </c>
      <c r="C26" s="202" t="s">
        <v>769</v>
      </c>
      <c r="D26" s="202" t="s">
        <v>7</v>
      </c>
      <c r="E26" s="300">
        <v>8</v>
      </c>
      <c r="F26" s="210">
        <v>8</v>
      </c>
      <c r="G26" s="210">
        <v>8</v>
      </c>
      <c r="H26" s="210">
        <f t="shared" si="0"/>
        <v>0</v>
      </c>
      <c r="I26" s="203" t="s">
        <v>148</v>
      </c>
      <c r="J26" s="203" t="s">
        <v>149</v>
      </c>
      <c r="K26" s="203" t="s">
        <v>452</v>
      </c>
      <c r="L26" s="203" t="s">
        <v>451</v>
      </c>
      <c r="M26" s="203"/>
      <c r="N26" s="463"/>
      <c r="O26" s="203"/>
      <c r="P26" s="276"/>
      <c r="Q26" s="265"/>
      <c r="R26" s="265"/>
      <c r="S26" s="265"/>
      <c r="T26" s="267"/>
    </row>
    <row r="27" spans="1:20" ht="18" customHeight="1">
      <c r="A27" s="204">
        <v>23</v>
      </c>
      <c r="B27" s="202" t="s">
        <v>770</v>
      </c>
      <c r="C27" s="202" t="s">
        <v>770</v>
      </c>
      <c r="D27" s="202" t="s">
        <v>7</v>
      </c>
      <c r="E27" s="300">
        <v>105</v>
      </c>
      <c r="F27" s="210">
        <v>105</v>
      </c>
      <c r="G27" s="210">
        <v>105</v>
      </c>
      <c r="H27" s="210">
        <f t="shared" si="0"/>
        <v>0</v>
      </c>
      <c r="I27" s="203" t="s">
        <v>451</v>
      </c>
      <c r="J27" s="203" t="s">
        <v>452</v>
      </c>
      <c r="K27" s="203" t="s">
        <v>452</v>
      </c>
      <c r="L27" s="203" t="s">
        <v>451</v>
      </c>
      <c r="M27" s="203"/>
      <c r="N27" s="463"/>
      <c r="O27" s="203"/>
      <c r="P27" s="276"/>
      <c r="Q27" s="265"/>
      <c r="R27" s="265"/>
      <c r="S27" s="265"/>
      <c r="T27" s="267"/>
    </row>
    <row r="28" spans="1:20" ht="18" customHeight="1">
      <c r="A28" s="204">
        <v>24</v>
      </c>
      <c r="B28" s="202" t="s">
        <v>771</v>
      </c>
      <c r="C28" s="202" t="s">
        <v>771</v>
      </c>
      <c r="D28" s="202" t="s">
        <v>7</v>
      </c>
      <c r="E28" s="300">
        <v>385</v>
      </c>
      <c r="F28" s="210">
        <v>385</v>
      </c>
      <c r="G28" s="210">
        <v>385</v>
      </c>
      <c r="H28" s="210">
        <f t="shared" si="0"/>
        <v>0</v>
      </c>
      <c r="I28" s="203" t="s">
        <v>451</v>
      </c>
      <c r="J28" s="203" t="s">
        <v>452</v>
      </c>
      <c r="K28" s="203" t="s">
        <v>452</v>
      </c>
      <c r="L28" s="463" t="s">
        <v>451</v>
      </c>
      <c r="M28" s="203"/>
      <c r="N28" s="463"/>
      <c r="O28" s="203"/>
      <c r="P28" s="276"/>
      <c r="Q28" s="265"/>
      <c r="R28" s="265"/>
      <c r="S28" s="265"/>
      <c r="T28" s="267"/>
    </row>
    <row r="29" spans="1:20" ht="18" customHeight="1">
      <c r="A29" s="204">
        <v>25</v>
      </c>
      <c r="B29" s="202" t="s">
        <v>772</v>
      </c>
      <c r="C29" s="202" t="s">
        <v>772</v>
      </c>
      <c r="D29" s="202" t="s">
        <v>571</v>
      </c>
      <c r="E29" s="300">
        <v>7</v>
      </c>
      <c r="F29" s="210">
        <v>7</v>
      </c>
      <c r="G29" s="210">
        <v>7</v>
      </c>
      <c r="H29" s="210">
        <f t="shared" si="0"/>
        <v>0</v>
      </c>
      <c r="I29" s="203" t="s">
        <v>451</v>
      </c>
      <c r="J29" s="203" t="s">
        <v>452</v>
      </c>
      <c r="K29" s="203" t="s">
        <v>1470</v>
      </c>
      <c r="L29" s="203" t="s">
        <v>422</v>
      </c>
      <c r="M29" s="203"/>
      <c r="N29" s="203"/>
      <c r="O29" s="203"/>
      <c r="P29" s="276"/>
      <c r="Q29" s="265"/>
      <c r="R29" s="265"/>
      <c r="S29" s="265"/>
      <c r="T29" s="267"/>
    </row>
    <row r="30" spans="1:20" ht="18" customHeight="1">
      <c r="A30" s="204">
        <v>26</v>
      </c>
      <c r="B30" s="202" t="s">
        <v>773</v>
      </c>
      <c r="C30" s="202" t="s">
        <v>773</v>
      </c>
      <c r="D30" s="202" t="s">
        <v>571</v>
      </c>
      <c r="E30" s="300">
        <v>7</v>
      </c>
      <c r="F30" s="210">
        <v>7</v>
      </c>
      <c r="G30" s="210">
        <v>7</v>
      </c>
      <c r="H30" s="210">
        <f t="shared" si="0"/>
        <v>0</v>
      </c>
      <c r="I30" s="203" t="s">
        <v>451</v>
      </c>
      <c r="J30" s="203" t="s">
        <v>452</v>
      </c>
      <c r="K30" s="463" t="s">
        <v>1470</v>
      </c>
      <c r="L30" s="203" t="s">
        <v>422</v>
      </c>
      <c r="M30" s="203"/>
      <c r="N30" s="203"/>
      <c r="O30" s="203"/>
      <c r="P30" s="276"/>
      <c r="Q30" s="265"/>
      <c r="R30" s="265"/>
      <c r="S30" s="265"/>
      <c r="T30" s="267"/>
    </row>
    <row r="31" spans="1:20" ht="18" customHeight="1">
      <c r="A31" s="204">
        <v>27</v>
      </c>
      <c r="B31" s="202" t="s">
        <v>774</v>
      </c>
      <c r="C31" s="202" t="s">
        <v>774</v>
      </c>
      <c r="D31" s="202" t="s">
        <v>7</v>
      </c>
      <c r="E31" s="300">
        <v>1220</v>
      </c>
      <c r="F31" s="210">
        <v>1220</v>
      </c>
      <c r="G31" s="210">
        <v>1220</v>
      </c>
      <c r="H31" s="210">
        <f t="shared" si="0"/>
        <v>0</v>
      </c>
      <c r="I31" s="203" t="s">
        <v>451</v>
      </c>
      <c r="J31" s="203" t="s">
        <v>452</v>
      </c>
      <c r="K31" s="203" t="s">
        <v>452</v>
      </c>
      <c r="L31" s="203" t="s">
        <v>451</v>
      </c>
      <c r="M31" s="203"/>
      <c r="N31" s="463"/>
      <c r="O31" s="203"/>
      <c r="P31" s="276"/>
      <c r="Q31" s="265"/>
      <c r="R31" s="265"/>
      <c r="S31" s="265"/>
      <c r="T31" s="267"/>
    </row>
    <row r="32" spans="1:20" ht="18" customHeight="1">
      <c r="A32" s="204">
        <v>28</v>
      </c>
      <c r="B32" s="202">
        <v>855</v>
      </c>
      <c r="C32" s="202">
        <v>855</v>
      </c>
      <c r="D32" s="202" t="s">
        <v>455</v>
      </c>
      <c r="E32" s="300">
        <v>3832</v>
      </c>
      <c r="F32" s="210">
        <v>84</v>
      </c>
      <c r="G32" s="210">
        <v>84</v>
      </c>
      <c r="H32" s="210">
        <f t="shared" si="0"/>
        <v>0</v>
      </c>
      <c r="I32" s="203" t="s">
        <v>86</v>
      </c>
      <c r="J32" s="203" t="s">
        <v>153</v>
      </c>
      <c r="K32" s="203" t="s">
        <v>514</v>
      </c>
      <c r="L32" s="203" t="s">
        <v>511</v>
      </c>
      <c r="M32" s="203"/>
      <c r="N32" s="463"/>
      <c r="O32" s="203"/>
      <c r="P32" s="276"/>
      <c r="Q32" s="265"/>
      <c r="R32" s="265"/>
      <c r="S32" s="265"/>
      <c r="T32" s="267"/>
    </row>
    <row r="33" spans="1:20" ht="18" customHeight="1">
      <c r="A33" s="204">
        <v>29</v>
      </c>
      <c r="B33" s="202" t="s">
        <v>775</v>
      </c>
      <c r="C33" s="202" t="s">
        <v>775</v>
      </c>
      <c r="D33" s="202" t="s">
        <v>7</v>
      </c>
      <c r="E33" s="300">
        <v>51</v>
      </c>
      <c r="F33" s="210">
        <v>51</v>
      </c>
      <c r="G33" s="210">
        <v>51</v>
      </c>
      <c r="H33" s="210">
        <f t="shared" si="0"/>
        <v>0</v>
      </c>
      <c r="I33" s="203" t="s">
        <v>451</v>
      </c>
      <c r="J33" s="203" t="s">
        <v>452</v>
      </c>
      <c r="K33" s="203" t="s">
        <v>452</v>
      </c>
      <c r="L33" s="203" t="s">
        <v>451</v>
      </c>
      <c r="M33" s="203"/>
      <c r="N33" s="463"/>
      <c r="O33" s="203"/>
      <c r="P33" s="276"/>
      <c r="Q33" s="265"/>
      <c r="R33" s="265"/>
      <c r="S33" s="265"/>
      <c r="T33" s="267"/>
    </row>
    <row r="34" spans="1:20" ht="18" customHeight="1">
      <c r="A34" s="204">
        <v>30</v>
      </c>
      <c r="B34" s="202" t="s">
        <v>776</v>
      </c>
      <c r="C34" s="202" t="s">
        <v>776</v>
      </c>
      <c r="D34" s="202" t="s">
        <v>7</v>
      </c>
      <c r="E34" s="300">
        <v>235</v>
      </c>
      <c r="F34" s="210">
        <v>235</v>
      </c>
      <c r="G34" s="210">
        <v>235</v>
      </c>
      <c r="H34" s="210">
        <f t="shared" si="0"/>
        <v>0</v>
      </c>
      <c r="I34" s="203" t="s">
        <v>451</v>
      </c>
      <c r="J34" s="203" t="s">
        <v>452</v>
      </c>
      <c r="K34" s="203" t="s">
        <v>452</v>
      </c>
      <c r="L34" s="203" t="s">
        <v>451</v>
      </c>
      <c r="M34" s="203"/>
      <c r="N34" s="463"/>
      <c r="O34" s="203"/>
      <c r="P34" s="276"/>
      <c r="Q34" s="265"/>
      <c r="R34" s="265"/>
      <c r="S34" s="265"/>
      <c r="T34" s="267"/>
    </row>
    <row r="35" spans="1:20" ht="18" customHeight="1">
      <c r="A35" s="204">
        <v>31</v>
      </c>
      <c r="B35" s="202" t="s">
        <v>777</v>
      </c>
      <c r="C35" s="202" t="s">
        <v>777</v>
      </c>
      <c r="D35" s="202" t="s">
        <v>459</v>
      </c>
      <c r="E35" s="300">
        <v>304</v>
      </c>
      <c r="F35" s="210">
        <v>304</v>
      </c>
      <c r="G35" s="210">
        <v>304</v>
      </c>
      <c r="H35" s="210">
        <f t="shared" si="0"/>
        <v>0</v>
      </c>
      <c r="I35" s="203" t="s">
        <v>0</v>
      </c>
      <c r="J35" s="203" t="s">
        <v>1</v>
      </c>
      <c r="K35" s="203" t="s">
        <v>452</v>
      </c>
      <c r="L35" s="203" t="s">
        <v>451</v>
      </c>
      <c r="M35" s="203"/>
      <c r="N35" s="463"/>
      <c r="O35" s="203"/>
      <c r="P35" s="276"/>
      <c r="Q35" s="265"/>
      <c r="R35" s="265"/>
      <c r="S35" s="265"/>
      <c r="T35" s="267"/>
    </row>
    <row r="36" spans="1:20" ht="18" customHeight="1">
      <c r="A36" s="204">
        <v>32</v>
      </c>
      <c r="B36" s="202" t="s">
        <v>778</v>
      </c>
      <c r="C36" s="202" t="s">
        <v>778</v>
      </c>
      <c r="D36" s="202" t="s">
        <v>7</v>
      </c>
      <c r="E36" s="300">
        <v>120</v>
      </c>
      <c r="F36" s="210">
        <v>120</v>
      </c>
      <c r="G36" s="210">
        <v>120</v>
      </c>
      <c r="H36" s="210">
        <f t="shared" si="0"/>
        <v>0</v>
      </c>
      <c r="I36" s="203" t="s">
        <v>0</v>
      </c>
      <c r="J36" s="203" t="s">
        <v>1</v>
      </c>
      <c r="K36" s="203" t="s">
        <v>452</v>
      </c>
      <c r="L36" s="203" t="s">
        <v>451</v>
      </c>
      <c r="M36" s="203"/>
      <c r="N36" s="463"/>
      <c r="O36" s="203"/>
      <c r="P36" s="276"/>
      <c r="Q36" s="265"/>
      <c r="R36" s="265"/>
      <c r="S36" s="265"/>
      <c r="T36" s="267"/>
    </row>
    <row r="37" spans="1:20" ht="18" customHeight="1">
      <c r="A37" s="204">
        <v>33</v>
      </c>
      <c r="B37" s="202" t="s">
        <v>779</v>
      </c>
      <c r="C37" s="202" t="s">
        <v>779</v>
      </c>
      <c r="D37" s="202" t="s">
        <v>7</v>
      </c>
      <c r="E37" s="300">
        <v>394</v>
      </c>
      <c r="F37" s="210">
        <v>394</v>
      </c>
      <c r="G37" s="210">
        <v>394</v>
      </c>
      <c r="H37" s="210">
        <f t="shared" si="0"/>
        <v>0</v>
      </c>
      <c r="I37" s="203" t="s">
        <v>0</v>
      </c>
      <c r="J37" s="203" t="s">
        <v>1</v>
      </c>
      <c r="K37" s="203" t="s">
        <v>452</v>
      </c>
      <c r="L37" s="203" t="s">
        <v>451</v>
      </c>
      <c r="M37" s="203"/>
      <c r="N37" s="463"/>
      <c r="O37" s="203"/>
      <c r="P37" s="276"/>
      <c r="Q37" s="265"/>
      <c r="R37" s="265"/>
      <c r="S37" s="265"/>
      <c r="T37" s="267"/>
    </row>
    <row r="38" spans="1:20" ht="18" customHeight="1">
      <c r="A38" s="204">
        <v>34</v>
      </c>
      <c r="B38" s="202" t="s">
        <v>780</v>
      </c>
      <c r="C38" s="202" t="s">
        <v>780</v>
      </c>
      <c r="D38" s="202" t="s">
        <v>7</v>
      </c>
      <c r="E38" s="300">
        <v>217</v>
      </c>
      <c r="F38" s="210">
        <v>217</v>
      </c>
      <c r="G38" s="210">
        <v>217</v>
      </c>
      <c r="H38" s="210">
        <f t="shared" si="0"/>
        <v>0</v>
      </c>
      <c r="I38" s="203" t="s">
        <v>0</v>
      </c>
      <c r="J38" s="203" t="s">
        <v>1</v>
      </c>
      <c r="K38" s="203" t="s">
        <v>452</v>
      </c>
      <c r="L38" s="203" t="s">
        <v>451</v>
      </c>
      <c r="M38" s="203"/>
      <c r="N38" s="463"/>
      <c r="O38" s="203"/>
      <c r="P38" s="276"/>
      <c r="Q38" s="265"/>
      <c r="R38" s="265"/>
      <c r="S38" s="265"/>
      <c r="T38" s="267"/>
    </row>
    <row r="39" spans="1:20" ht="18" customHeight="1">
      <c r="A39" s="204">
        <v>35</v>
      </c>
      <c r="B39" s="202" t="s">
        <v>781</v>
      </c>
      <c r="C39" s="202" t="s">
        <v>781</v>
      </c>
      <c r="D39" s="202" t="s">
        <v>7</v>
      </c>
      <c r="E39" s="300">
        <v>234</v>
      </c>
      <c r="F39" s="210">
        <v>234</v>
      </c>
      <c r="G39" s="210">
        <v>234</v>
      </c>
      <c r="H39" s="210">
        <f t="shared" si="0"/>
        <v>0</v>
      </c>
      <c r="I39" s="203" t="s">
        <v>0</v>
      </c>
      <c r="J39" s="203" t="s">
        <v>1</v>
      </c>
      <c r="K39" s="203" t="s">
        <v>452</v>
      </c>
      <c r="L39" s="203" t="s">
        <v>451</v>
      </c>
      <c r="M39" s="203"/>
      <c r="N39" s="463"/>
      <c r="O39" s="203"/>
      <c r="P39" s="276"/>
      <c r="Q39" s="265"/>
      <c r="R39" s="265"/>
      <c r="S39" s="265"/>
      <c r="T39" s="267"/>
    </row>
    <row r="40" spans="1:20" ht="18" customHeight="1">
      <c r="A40" s="204">
        <v>36</v>
      </c>
      <c r="B40" s="202" t="s">
        <v>782</v>
      </c>
      <c r="C40" s="202" t="s">
        <v>782</v>
      </c>
      <c r="D40" s="202" t="s">
        <v>462</v>
      </c>
      <c r="E40" s="300">
        <v>49.5</v>
      </c>
      <c r="F40" s="210">
        <v>49.5</v>
      </c>
      <c r="G40" s="210">
        <v>49.5</v>
      </c>
      <c r="H40" s="210">
        <f t="shared" si="0"/>
        <v>0</v>
      </c>
      <c r="I40" s="203" t="s">
        <v>86</v>
      </c>
      <c r="J40" s="203" t="s">
        <v>88</v>
      </c>
      <c r="K40" s="203" t="s">
        <v>512</v>
      </c>
      <c r="L40" s="203" t="s">
        <v>511</v>
      </c>
      <c r="M40" s="203"/>
      <c r="N40" s="463"/>
      <c r="O40" s="203"/>
      <c r="P40" s="276"/>
      <c r="Q40" s="265"/>
      <c r="R40" s="265"/>
      <c r="S40" s="265"/>
      <c r="T40" s="267"/>
    </row>
    <row r="41" spans="1:20" ht="18" customHeight="1">
      <c r="A41" s="204">
        <v>37</v>
      </c>
      <c r="B41" s="202" t="s">
        <v>783</v>
      </c>
      <c r="C41" s="202" t="s">
        <v>783</v>
      </c>
      <c r="D41" s="202" t="s">
        <v>8</v>
      </c>
      <c r="E41" s="300">
        <v>862.8</v>
      </c>
      <c r="F41" s="210">
        <v>862.8</v>
      </c>
      <c r="G41" s="210">
        <v>862.8</v>
      </c>
      <c r="H41" s="210">
        <f t="shared" si="0"/>
        <v>0</v>
      </c>
      <c r="I41" s="203" t="s">
        <v>451</v>
      </c>
      <c r="J41" s="203" t="s">
        <v>452</v>
      </c>
      <c r="K41" s="203" t="s">
        <v>452</v>
      </c>
      <c r="L41" s="203" t="s">
        <v>451</v>
      </c>
      <c r="M41" s="203"/>
      <c r="N41" s="463"/>
      <c r="O41" s="203"/>
      <c r="P41" s="276"/>
      <c r="Q41" s="265"/>
      <c r="R41" s="265"/>
      <c r="S41" s="265"/>
      <c r="T41" s="267"/>
    </row>
    <row r="42" spans="1:20" ht="18" customHeight="1">
      <c r="A42" s="204">
        <v>38</v>
      </c>
      <c r="B42" s="202" t="s">
        <v>784</v>
      </c>
      <c r="C42" s="202" t="s">
        <v>784</v>
      </c>
      <c r="D42" s="202" t="s">
        <v>455</v>
      </c>
      <c r="E42" s="300">
        <v>83.7</v>
      </c>
      <c r="F42" s="210">
        <v>83.7</v>
      </c>
      <c r="G42" s="210">
        <v>83.7</v>
      </c>
      <c r="H42" s="210">
        <f t="shared" si="0"/>
        <v>0</v>
      </c>
      <c r="I42" s="203" t="s">
        <v>86</v>
      </c>
      <c r="J42" s="203" t="s">
        <v>153</v>
      </c>
      <c r="K42" s="203" t="s">
        <v>514</v>
      </c>
      <c r="L42" s="203" t="s">
        <v>511</v>
      </c>
      <c r="M42" s="203"/>
      <c r="N42" s="463"/>
      <c r="O42" s="203"/>
      <c r="P42" s="276"/>
      <c r="Q42" s="265"/>
      <c r="R42" s="265"/>
      <c r="S42" s="265"/>
      <c r="T42" s="267"/>
    </row>
    <row r="43" spans="1:20" ht="18" customHeight="1">
      <c r="A43" s="204">
        <v>39</v>
      </c>
      <c r="B43" s="202" t="s">
        <v>785</v>
      </c>
      <c r="C43" s="202" t="s">
        <v>785</v>
      </c>
      <c r="D43" s="202" t="s">
        <v>462</v>
      </c>
      <c r="E43" s="300">
        <v>57.7</v>
      </c>
      <c r="F43" s="210">
        <v>57.7</v>
      </c>
      <c r="G43" s="210">
        <v>57.7</v>
      </c>
      <c r="H43" s="210">
        <f t="shared" si="0"/>
        <v>0</v>
      </c>
      <c r="I43" s="203" t="s">
        <v>86</v>
      </c>
      <c r="J43" s="203" t="s">
        <v>88</v>
      </c>
      <c r="K43" s="203" t="s">
        <v>512</v>
      </c>
      <c r="L43" s="203" t="s">
        <v>511</v>
      </c>
      <c r="M43" s="203"/>
      <c r="N43" s="463"/>
      <c r="O43" s="203"/>
      <c r="P43" s="276"/>
      <c r="Q43" s="265"/>
      <c r="R43" s="265"/>
      <c r="S43" s="265"/>
      <c r="T43" s="267"/>
    </row>
    <row r="44" spans="1:20" ht="18" customHeight="1">
      <c r="A44" s="204">
        <v>40</v>
      </c>
      <c r="B44" s="202" t="s">
        <v>786</v>
      </c>
      <c r="C44" s="202" t="s">
        <v>786</v>
      </c>
      <c r="D44" s="202" t="s">
        <v>7</v>
      </c>
      <c r="E44" s="300">
        <v>24</v>
      </c>
      <c r="F44" s="210">
        <v>24</v>
      </c>
      <c r="G44" s="210">
        <v>24</v>
      </c>
      <c r="H44" s="210">
        <f t="shared" si="0"/>
        <v>0</v>
      </c>
      <c r="I44" s="203" t="s">
        <v>451</v>
      </c>
      <c r="J44" s="203" t="s">
        <v>452</v>
      </c>
      <c r="K44" s="203" t="s">
        <v>452</v>
      </c>
      <c r="L44" s="203" t="s">
        <v>451</v>
      </c>
      <c r="M44" s="203"/>
      <c r="N44" s="463"/>
      <c r="O44" s="203"/>
      <c r="P44" s="276"/>
      <c r="Q44" s="265"/>
      <c r="R44" s="265"/>
      <c r="S44" s="265"/>
      <c r="T44" s="267"/>
    </row>
    <row r="45" spans="1:20" ht="18" customHeight="1">
      <c r="A45" s="204">
        <v>41</v>
      </c>
      <c r="B45" s="202" t="s">
        <v>787</v>
      </c>
      <c r="C45" s="202" t="s">
        <v>787</v>
      </c>
      <c r="D45" s="202" t="s">
        <v>7</v>
      </c>
      <c r="E45" s="300">
        <v>176</v>
      </c>
      <c r="F45" s="210">
        <v>176</v>
      </c>
      <c r="G45" s="210">
        <v>176</v>
      </c>
      <c r="H45" s="210">
        <f t="shared" si="0"/>
        <v>0</v>
      </c>
      <c r="I45" s="203" t="s">
        <v>156</v>
      </c>
      <c r="J45" s="203" t="s">
        <v>423</v>
      </c>
      <c r="K45" s="203" t="s">
        <v>452</v>
      </c>
      <c r="L45" s="203" t="s">
        <v>451</v>
      </c>
      <c r="M45" s="203"/>
      <c r="N45" s="463"/>
      <c r="O45" s="203"/>
      <c r="P45" s="276"/>
      <c r="Q45" s="265"/>
      <c r="R45" s="265"/>
      <c r="S45" s="265"/>
      <c r="T45" s="267"/>
    </row>
    <row r="46" spans="1:20" ht="18" customHeight="1">
      <c r="A46" s="204">
        <v>42</v>
      </c>
      <c r="B46" s="202" t="s">
        <v>788</v>
      </c>
      <c r="C46" s="202" t="s">
        <v>788</v>
      </c>
      <c r="D46" s="202" t="s">
        <v>7</v>
      </c>
      <c r="E46" s="300">
        <v>32</v>
      </c>
      <c r="F46" s="210">
        <v>32</v>
      </c>
      <c r="G46" s="210">
        <v>32</v>
      </c>
      <c r="H46" s="210">
        <f t="shared" si="0"/>
        <v>0</v>
      </c>
      <c r="I46" s="203" t="s">
        <v>451</v>
      </c>
      <c r="J46" s="203" t="s">
        <v>452</v>
      </c>
      <c r="K46" s="203" t="s">
        <v>452</v>
      </c>
      <c r="L46" s="203" t="s">
        <v>451</v>
      </c>
      <c r="M46" s="203"/>
      <c r="N46" s="463"/>
      <c r="O46" s="203"/>
      <c r="P46" s="276"/>
      <c r="Q46" s="265"/>
      <c r="R46" s="265"/>
      <c r="S46" s="265"/>
      <c r="T46" s="267"/>
    </row>
    <row r="47" spans="1:20" ht="18" customHeight="1">
      <c r="A47" s="204">
        <v>43</v>
      </c>
      <c r="B47" s="202" t="s">
        <v>789</v>
      </c>
      <c r="C47" s="202" t="s">
        <v>789</v>
      </c>
      <c r="D47" s="202" t="s">
        <v>459</v>
      </c>
      <c r="E47" s="300">
        <v>47</v>
      </c>
      <c r="F47" s="210">
        <v>47</v>
      </c>
      <c r="G47" s="210">
        <v>47</v>
      </c>
      <c r="H47" s="210">
        <f t="shared" si="0"/>
        <v>0</v>
      </c>
      <c r="I47" s="203" t="s">
        <v>451</v>
      </c>
      <c r="J47" s="203" t="s">
        <v>452</v>
      </c>
      <c r="K47" s="203" t="s">
        <v>452</v>
      </c>
      <c r="L47" s="203" t="s">
        <v>451</v>
      </c>
      <c r="M47" s="203"/>
      <c r="N47" s="463"/>
      <c r="O47" s="203"/>
      <c r="P47" s="276"/>
      <c r="Q47" s="265"/>
      <c r="R47" s="265"/>
      <c r="S47" s="265"/>
      <c r="T47" s="267"/>
    </row>
    <row r="48" spans="1:20" ht="18" customHeight="1">
      <c r="A48" s="204">
        <v>44</v>
      </c>
      <c r="B48" s="202" t="s">
        <v>790</v>
      </c>
      <c r="C48" s="202" t="s">
        <v>790</v>
      </c>
      <c r="D48" s="202" t="s">
        <v>7</v>
      </c>
      <c r="E48" s="300">
        <v>54</v>
      </c>
      <c r="F48" s="210">
        <v>54</v>
      </c>
      <c r="G48" s="210">
        <v>54</v>
      </c>
      <c r="H48" s="210">
        <f t="shared" si="0"/>
        <v>0</v>
      </c>
      <c r="I48" s="203" t="s">
        <v>451</v>
      </c>
      <c r="J48" s="203" t="s">
        <v>452</v>
      </c>
      <c r="K48" s="203" t="s">
        <v>452</v>
      </c>
      <c r="L48" s="203" t="s">
        <v>451</v>
      </c>
      <c r="M48" s="203"/>
      <c r="N48" s="463"/>
      <c r="O48" s="203"/>
      <c r="P48" s="276"/>
      <c r="Q48" s="265"/>
      <c r="R48" s="265"/>
      <c r="S48" s="265"/>
      <c r="T48" s="267"/>
    </row>
    <row r="49" spans="1:20" ht="18" customHeight="1">
      <c r="A49" s="204">
        <v>45</v>
      </c>
      <c r="B49" s="202" t="s">
        <v>791</v>
      </c>
      <c r="C49" s="202" t="s">
        <v>791</v>
      </c>
      <c r="D49" s="202" t="s">
        <v>459</v>
      </c>
      <c r="E49" s="300">
        <v>3</v>
      </c>
      <c r="F49" s="210">
        <v>3</v>
      </c>
      <c r="G49" s="210">
        <v>3</v>
      </c>
      <c r="H49" s="210">
        <f t="shared" si="0"/>
        <v>0</v>
      </c>
      <c r="I49" s="203" t="s">
        <v>451</v>
      </c>
      <c r="J49" s="203" t="s">
        <v>452</v>
      </c>
      <c r="K49" s="203" t="s">
        <v>452</v>
      </c>
      <c r="L49" s="203" t="s">
        <v>451</v>
      </c>
      <c r="M49" s="203"/>
      <c r="N49" s="463"/>
      <c r="O49" s="203"/>
      <c r="P49" s="276"/>
      <c r="Q49" s="265"/>
      <c r="R49" s="265"/>
      <c r="S49" s="265"/>
      <c r="T49" s="267"/>
    </row>
    <row r="50" spans="1:20" ht="18" customHeight="1">
      <c r="A50" s="204">
        <v>46</v>
      </c>
      <c r="B50" s="202" t="s">
        <v>792</v>
      </c>
      <c r="C50" s="202" t="s">
        <v>792</v>
      </c>
      <c r="D50" s="202" t="s">
        <v>7</v>
      </c>
      <c r="E50" s="300">
        <v>90</v>
      </c>
      <c r="F50" s="210">
        <v>90</v>
      </c>
      <c r="G50" s="210">
        <v>90</v>
      </c>
      <c r="H50" s="210">
        <f t="shared" si="0"/>
        <v>0</v>
      </c>
      <c r="I50" s="203" t="s">
        <v>451</v>
      </c>
      <c r="J50" s="203" t="s">
        <v>452</v>
      </c>
      <c r="K50" s="203" t="s">
        <v>452</v>
      </c>
      <c r="L50" s="203" t="s">
        <v>451</v>
      </c>
      <c r="M50" s="203"/>
      <c r="N50" s="463"/>
      <c r="O50" s="203"/>
      <c r="P50" s="276"/>
      <c r="Q50" s="265"/>
      <c r="R50" s="265"/>
      <c r="S50" s="265"/>
      <c r="T50" s="267"/>
    </row>
    <row r="51" spans="1:20" ht="18" customHeight="1">
      <c r="A51" s="204">
        <v>47</v>
      </c>
      <c r="B51" s="202" t="s">
        <v>793</v>
      </c>
      <c r="C51" s="202" t="s">
        <v>793</v>
      </c>
      <c r="D51" s="202" t="s">
        <v>8</v>
      </c>
      <c r="E51" s="300">
        <v>201</v>
      </c>
      <c r="F51" s="210">
        <v>16</v>
      </c>
      <c r="G51" s="210">
        <v>16</v>
      </c>
      <c r="H51" s="210">
        <f t="shared" si="0"/>
        <v>0</v>
      </c>
      <c r="I51" s="203" t="s">
        <v>0</v>
      </c>
      <c r="J51" s="203" t="s">
        <v>1</v>
      </c>
      <c r="K51" s="203" t="s">
        <v>452</v>
      </c>
      <c r="L51" s="203" t="s">
        <v>451</v>
      </c>
      <c r="M51" s="203"/>
      <c r="N51" s="463"/>
      <c r="O51" s="203"/>
      <c r="P51" s="276"/>
      <c r="Q51" s="265"/>
      <c r="R51" s="265"/>
      <c r="S51" s="265"/>
      <c r="T51" s="267"/>
    </row>
    <row r="52" spans="1:20" ht="18" customHeight="1">
      <c r="A52" s="204">
        <v>48</v>
      </c>
      <c r="B52" s="202" t="s">
        <v>794</v>
      </c>
      <c r="C52" s="202" t="s">
        <v>794</v>
      </c>
      <c r="D52" s="202" t="s">
        <v>462</v>
      </c>
      <c r="E52" s="300">
        <v>36.4</v>
      </c>
      <c r="F52" s="210">
        <v>36.4</v>
      </c>
      <c r="G52" s="210">
        <v>36.4</v>
      </c>
      <c r="H52" s="210">
        <f t="shared" si="0"/>
        <v>0</v>
      </c>
      <c r="I52" s="203" t="s">
        <v>86</v>
      </c>
      <c r="J52" s="203" t="s">
        <v>88</v>
      </c>
      <c r="K52" s="203" t="s">
        <v>512</v>
      </c>
      <c r="L52" s="203" t="s">
        <v>511</v>
      </c>
      <c r="M52" s="203"/>
      <c r="N52" s="463"/>
      <c r="O52" s="203"/>
      <c r="P52" s="276"/>
      <c r="Q52" s="265"/>
      <c r="R52" s="265"/>
      <c r="S52" s="265"/>
      <c r="T52" s="267"/>
    </row>
    <row r="53" spans="1:20" ht="18" customHeight="1">
      <c r="A53" s="204">
        <v>49</v>
      </c>
      <c r="B53" s="202" t="s">
        <v>795</v>
      </c>
      <c r="C53" s="202" t="s">
        <v>795</v>
      </c>
      <c r="D53" s="202" t="s">
        <v>455</v>
      </c>
      <c r="E53" s="300">
        <v>76</v>
      </c>
      <c r="F53" s="210">
        <v>76</v>
      </c>
      <c r="G53" s="210">
        <v>76</v>
      </c>
      <c r="H53" s="210">
        <f t="shared" si="0"/>
        <v>0</v>
      </c>
      <c r="I53" s="203" t="s">
        <v>157</v>
      </c>
      <c r="J53" s="203" t="s">
        <v>424</v>
      </c>
      <c r="K53" s="203" t="s">
        <v>1471</v>
      </c>
      <c r="L53" s="203" t="s">
        <v>424</v>
      </c>
      <c r="M53" s="203"/>
      <c r="N53" s="203"/>
      <c r="O53" s="203"/>
      <c r="P53" s="276"/>
      <c r="Q53" s="265"/>
      <c r="R53" s="265"/>
      <c r="S53" s="265"/>
      <c r="T53" s="267"/>
    </row>
    <row r="54" spans="1:20" ht="18" customHeight="1">
      <c r="A54" s="204">
        <v>50</v>
      </c>
      <c r="B54" s="202" t="s">
        <v>796</v>
      </c>
      <c r="C54" s="202" t="s">
        <v>796</v>
      </c>
      <c r="D54" s="202" t="s">
        <v>462</v>
      </c>
      <c r="E54" s="300">
        <v>120.2</v>
      </c>
      <c r="F54" s="210">
        <v>120.2</v>
      </c>
      <c r="G54" s="210">
        <v>120.2</v>
      </c>
      <c r="H54" s="210">
        <f t="shared" si="0"/>
        <v>0</v>
      </c>
      <c r="I54" s="203" t="s">
        <v>86</v>
      </c>
      <c r="J54" s="203" t="s">
        <v>88</v>
      </c>
      <c r="K54" s="203" t="s">
        <v>512</v>
      </c>
      <c r="L54" s="203" t="s">
        <v>511</v>
      </c>
      <c r="M54" s="203"/>
      <c r="N54" s="463"/>
      <c r="O54" s="203"/>
      <c r="P54" s="276"/>
      <c r="Q54" s="265"/>
      <c r="R54" s="265"/>
      <c r="S54" s="265"/>
      <c r="T54" s="267"/>
    </row>
    <row r="55" spans="1:20" ht="18" customHeight="1">
      <c r="A55" s="204">
        <v>51</v>
      </c>
      <c r="B55" s="202" t="s">
        <v>797</v>
      </c>
      <c r="C55" s="202" t="s">
        <v>797</v>
      </c>
      <c r="D55" s="202" t="s">
        <v>8</v>
      </c>
      <c r="E55" s="300">
        <v>2109.9</v>
      </c>
      <c r="F55" s="210">
        <v>2109.9</v>
      </c>
      <c r="G55" s="210">
        <v>2109.9</v>
      </c>
      <c r="H55" s="210">
        <f t="shared" si="0"/>
        <v>0</v>
      </c>
      <c r="I55" s="203" t="s">
        <v>158</v>
      </c>
      <c r="J55" s="203" t="s">
        <v>425</v>
      </c>
      <c r="K55" s="203" t="s">
        <v>452</v>
      </c>
      <c r="L55" s="203" t="s">
        <v>451</v>
      </c>
      <c r="M55" s="203"/>
      <c r="N55" s="463"/>
      <c r="O55" s="203"/>
      <c r="P55" s="276"/>
      <c r="Q55" s="265"/>
      <c r="R55" s="265"/>
      <c r="S55" s="265"/>
      <c r="T55" s="267"/>
    </row>
    <row r="56" spans="1:20" ht="18" customHeight="1">
      <c r="A56" s="204">
        <v>52</v>
      </c>
      <c r="B56" s="202" t="s">
        <v>798</v>
      </c>
      <c r="C56" s="202" t="s">
        <v>798</v>
      </c>
      <c r="D56" s="202" t="s">
        <v>8</v>
      </c>
      <c r="E56" s="300">
        <v>1704.2</v>
      </c>
      <c r="F56" s="210">
        <v>1704.2</v>
      </c>
      <c r="G56" s="210">
        <v>1704.2</v>
      </c>
      <c r="H56" s="210">
        <f t="shared" si="0"/>
        <v>0</v>
      </c>
      <c r="I56" s="203" t="s">
        <v>0</v>
      </c>
      <c r="J56" s="203" t="s">
        <v>1</v>
      </c>
      <c r="K56" s="203" t="s">
        <v>452</v>
      </c>
      <c r="L56" s="203" t="s">
        <v>451</v>
      </c>
      <c r="M56" s="203"/>
      <c r="N56" s="463"/>
      <c r="O56" s="203"/>
      <c r="P56" s="276"/>
      <c r="Q56" s="265"/>
      <c r="R56" s="265"/>
      <c r="S56" s="265"/>
      <c r="T56" s="267"/>
    </row>
    <row r="57" spans="1:20" ht="18" customHeight="1">
      <c r="A57" s="204">
        <v>53</v>
      </c>
      <c r="B57" s="202" t="s">
        <v>799</v>
      </c>
      <c r="C57" s="202" t="s">
        <v>799</v>
      </c>
      <c r="D57" s="202" t="s">
        <v>8</v>
      </c>
      <c r="E57" s="300">
        <v>1475</v>
      </c>
      <c r="F57" s="210">
        <v>1475</v>
      </c>
      <c r="G57" s="210">
        <v>1475</v>
      </c>
      <c r="H57" s="210">
        <f t="shared" si="0"/>
        <v>0</v>
      </c>
      <c r="I57" s="203" t="s">
        <v>0</v>
      </c>
      <c r="J57" s="203" t="s">
        <v>1</v>
      </c>
      <c r="K57" s="203" t="s">
        <v>452</v>
      </c>
      <c r="L57" s="203" t="s">
        <v>451</v>
      </c>
      <c r="M57" s="203"/>
      <c r="N57" s="463"/>
      <c r="O57" s="203"/>
      <c r="P57" s="276"/>
      <c r="Q57" s="265"/>
      <c r="R57" s="265"/>
      <c r="S57" s="265"/>
      <c r="T57" s="267"/>
    </row>
    <row r="58" spans="1:20" ht="18" customHeight="1">
      <c r="A58" s="204">
        <v>54</v>
      </c>
      <c r="B58" s="202" t="s">
        <v>800</v>
      </c>
      <c r="C58" s="202" t="s">
        <v>800</v>
      </c>
      <c r="D58" s="202" t="s">
        <v>8</v>
      </c>
      <c r="E58" s="300">
        <v>1524.2</v>
      </c>
      <c r="F58" s="210">
        <v>1524.2</v>
      </c>
      <c r="G58" s="210">
        <v>1524.2</v>
      </c>
      <c r="H58" s="210">
        <f t="shared" si="0"/>
        <v>0</v>
      </c>
      <c r="I58" s="203" t="s">
        <v>451</v>
      </c>
      <c r="J58" s="203" t="s">
        <v>452</v>
      </c>
      <c r="K58" s="203" t="s">
        <v>452</v>
      </c>
      <c r="L58" s="203" t="s">
        <v>451</v>
      </c>
      <c r="M58" s="203"/>
      <c r="N58" s="463"/>
      <c r="O58" s="203"/>
      <c r="P58" s="276"/>
      <c r="Q58" s="265"/>
      <c r="R58" s="265"/>
      <c r="S58" s="265"/>
      <c r="T58" s="267"/>
    </row>
    <row r="59" spans="1:20" ht="18" customHeight="1">
      <c r="A59" s="204">
        <v>55</v>
      </c>
      <c r="B59" s="202" t="s">
        <v>801</v>
      </c>
      <c r="C59" s="202" t="s">
        <v>801</v>
      </c>
      <c r="D59" s="202" t="s">
        <v>8</v>
      </c>
      <c r="E59" s="300">
        <v>532.6</v>
      </c>
      <c r="F59" s="210">
        <v>532.6</v>
      </c>
      <c r="G59" s="210">
        <v>532.6</v>
      </c>
      <c r="H59" s="210">
        <f t="shared" si="0"/>
        <v>0</v>
      </c>
      <c r="I59" s="203" t="s">
        <v>451</v>
      </c>
      <c r="J59" s="203" t="s">
        <v>452</v>
      </c>
      <c r="K59" s="203" t="s">
        <v>452</v>
      </c>
      <c r="L59" s="203" t="s">
        <v>451</v>
      </c>
      <c r="M59" s="203"/>
      <c r="N59" s="463"/>
      <c r="O59" s="203"/>
      <c r="P59" s="276"/>
      <c r="Q59" s="265"/>
      <c r="R59" s="265"/>
      <c r="S59" s="265"/>
      <c r="T59" s="267"/>
    </row>
    <row r="60" spans="1:20" ht="18" customHeight="1">
      <c r="A60" s="204">
        <v>56</v>
      </c>
      <c r="B60" s="202" t="s">
        <v>802</v>
      </c>
      <c r="C60" s="202" t="s">
        <v>802</v>
      </c>
      <c r="D60" s="202" t="s">
        <v>8</v>
      </c>
      <c r="E60" s="300">
        <v>59.8</v>
      </c>
      <c r="F60" s="210">
        <v>59.8</v>
      </c>
      <c r="G60" s="210">
        <v>59.8</v>
      </c>
      <c r="H60" s="210">
        <f t="shared" si="0"/>
        <v>0</v>
      </c>
      <c r="I60" s="203" t="s">
        <v>451</v>
      </c>
      <c r="J60" s="203" t="s">
        <v>452</v>
      </c>
      <c r="K60" s="203" t="s">
        <v>452</v>
      </c>
      <c r="L60" s="203" t="s">
        <v>451</v>
      </c>
      <c r="M60" s="203"/>
      <c r="N60" s="463"/>
      <c r="O60" s="203"/>
      <c r="P60" s="276"/>
      <c r="Q60" s="265"/>
      <c r="R60" s="265"/>
      <c r="S60" s="265"/>
      <c r="T60" s="267"/>
    </row>
    <row r="61" spans="1:20" ht="18" customHeight="1">
      <c r="A61" s="204">
        <v>57</v>
      </c>
      <c r="B61" s="202" t="s">
        <v>803</v>
      </c>
      <c r="C61" s="202" t="s">
        <v>803</v>
      </c>
      <c r="D61" s="202" t="s">
        <v>462</v>
      </c>
      <c r="E61" s="300">
        <v>591.9</v>
      </c>
      <c r="F61" s="210">
        <v>591.9</v>
      </c>
      <c r="G61" s="210">
        <v>591.9</v>
      </c>
      <c r="H61" s="210">
        <f t="shared" si="0"/>
        <v>0</v>
      </c>
      <c r="I61" s="203" t="s">
        <v>86</v>
      </c>
      <c r="J61" s="203" t="s">
        <v>88</v>
      </c>
      <c r="K61" s="203" t="s">
        <v>512</v>
      </c>
      <c r="L61" s="203" t="s">
        <v>511</v>
      </c>
      <c r="M61" s="203"/>
      <c r="N61" s="463"/>
      <c r="O61" s="203"/>
      <c r="P61" s="276"/>
      <c r="Q61" s="265"/>
      <c r="R61" s="265"/>
      <c r="S61" s="265"/>
      <c r="T61" s="267"/>
    </row>
    <row r="62" spans="1:20" ht="18" customHeight="1">
      <c r="A62" s="204">
        <v>58</v>
      </c>
      <c r="B62" s="202" t="s">
        <v>804</v>
      </c>
      <c r="C62" s="202" t="s">
        <v>804</v>
      </c>
      <c r="D62" s="202" t="s">
        <v>462</v>
      </c>
      <c r="E62" s="300">
        <v>43</v>
      </c>
      <c r="F62" s="210">
        <v>43</v>
      </c>
      <c r="G62" s="210">
        <v>43</v>
      </c>
      <c r="H62" s="210">
        <f t="shared" si="0"/>
        <v>0</v>
      </c>
      <c r="I62" s="203" t="s">
        <v>86</v>
      </c>
      <c r="J62" s="203" t="s">
        <v>88</v>
      </c>
      <c r="K62" s="203" t="s">
        <v>512</v>
      </c>
      <c r="L62" s="203" t="s">
        <v>511</v>
      </c>
      <c r="M62" s="203"/>
      <c r="N62" s="463"/>
      <c r="O62" s="203"/>
      <c r="P62" s="276"/>
      <c r="Q62" s="265"/>
      <c r="R62" s="265"/>
      <c r="S62" s="265"/>
      <c r="T62" s="267"/>
    </row>
    <row r="63" spans="1:20" ht="18" customHeight="1">
      <c r="A63" s="204">
        <v>59</v>
      </c>
      <c r="B63" s="202" t="s">
        <v>805</v>
      </c>
      <c r="C63" s="202" t="s">
        <v>805</v>
      </c>
      <c r="D63" s="202" t="s">
        <v>7</v>
      </c>
      <c r="E63" s="300">
        <v>584</v>
      </c>
      <c r="F63" s="210">
        <v>584</v>
      </c>
      <c r="G63" s="210">
        <v>584</v>
      </c>
      <c r="H63" s="210">
        <f t="shared" si="0"/>
        <v>0</v>
      </c>
      <c r="I63" s="203" t="s">
        <v>451</v>
      </c>
      <c r="J63" s="203" t="s">
        <v>452</v>
      </c>
      <c r="K63" s="203" t="s">
        <v>452</v>
      </c>
      <c r="L63" s="203" t="s">
        <v>451</v>
      </c>
      <c r="M63" s="203"/>
      <c r="N63" s="463"/>
      <c r="O63" s="203"/>
      <c r="P63" s="276"/>
      <c r="Q63" s="265"/>
      <c r="R63" s="265"/>
      <c r="S63" s="265"/>
      <c r="T63" s="267"/>
    </row>
    <row r="64" spans="1:20" ht="18" customHeight="1">
      <c r="A64" s="204">
        <v>60</v>
      </c>
      <c r="B64" s="202" t="s">
        <v>806</v>
      </c>
      <c r="C64" s="202" t="s">
        <v>806</v>
      </c>
      <c r="D64" s="202" t="s">
        <v>7</v>
      </c>
      <c r="E64" s="300">
        <v>3</v>
      </c>
      <c r="F64" s="210">
        <v>3</v>
      </c>
      <c r="G64" s="210">
        <v>3</v>
      </c>
      <c r="H64" s="210">
        <f t="shared" si="0"/>
        <v>0</v>
      </c>
      <c r="I64" s="203" t="s">
        <v>159</v>
      </c>
      <c r="J64" s="203" t="s">
        <v>426</v>
      </c>
      <c r="K64" s="203" t="s">
        <v>452</v>
      </c>
      <c r="L64" s="203" t="s">
        <v>451</v>
      </c>
      <c r="M64" s="203"/>
      <c r="N64" s="463"/>
      <c r="O64" s="203"/>
      <c r="P64" s="276"/>
      <c r="Q64" s="265"/>
      <c r="R64" s="265"/>
      <c r="S64" s="265"/>
      <c r="T64" s="267"/>
    </row>
    <row r="65" spans="1:20" ht="18" customHeight="1">
      <c r="A65" s="204">
        <v>61</v>
      </c>
      <c r="B65" s="202" t="s">
        <v>807</v>
      </c>
      <c r="C65" s="202" t="s">
        <v>807</v>
      </c>
      <c r="D65" s="202" t="s">
        <v>8</v>
      </c>
      <c r="E65" s="300">
        <v>1034</v>
      </c>
      <c r="F65" s="210">
        <v>1034</v>
      </c>
      <c r="G65" s="210">
        <v>1034</v>
      </c>
      <c r="H65" s="210">
        <f t="shared" si="0"/>
        <v>0</v>
      </c>
      <c r="I65" s="203" t="s">
        <v>451</v>
      </c>
      <c r="J65" s="203" t="s">
        <v>452</v>
      </c>
      <c r="K65" s="203" t="s">
        <v>452</v>
      </c>
      <c r="L65" s="203" t="s">
        <v>451</v>
      </c>
      <c r="M65" s="203"/>
      <c r="N65" s="463"/>
      <c r="O65" s="203"/>
      <c r="P65" s="276"/>
      <c r="Q65" s="265"/>
      <c r="R65" s="265"/>
      <c r="S65" s="265"/>
      <c r="T65" s="267"/>
    </row>
    <row r="66" spans="1:20" ht="18" customHeight="1">
      <c r="A66" s="204">
        <v>62</v>
      </c>
      <c r="B66" s="202" t="s">
        <v>808</v>
      </c>
      <c r="C66" s="202" t="s">
        <v>808</v>
      </c>
      <c r="D66" s="202" t="s">
        <v>8</v>
      </c>
      <c r="E66" s="300">
        <v>1240.5999999999999</v>
      </c>
      <c r="F66" s="210">
        <v>1240.5999999999999</v>
      </c>
      <c r="G66" s="210">
        <v>1240.5999999999999</v>
      </c>
      <c r="H66" s="210">
        <f t="shared" si="0"/>
        <v>0</v>
      </c>
      <c r="I66" s="203" t="s">
        <v>451</v>
      </c>
      <c r="J66" s="203" t="s">
        <v>452</v>
      </c>
      <c r="K66" s="203" t="s">
        <v>452</v>
      </c>
      <c r="L66" s="203" t="s">
        <v>451</v>
      </c>
      <c r="M66" s="203"/>
      <c r="N66" s="463"/>
      <c r="O66" s="203"/>
      <c r="P66" s="276"/>
      <c r="Q66" s="265"/>
      <c r="R66" s="265"/>
      <c r="S66" s="265"/>
      <c r="T66" s="267"/>
    </row>
    <row r="67" spans="1:20" ht="18" customHeight="1">
      <c r="A67" s="204">
        <v>63</v>
      </c>
      <c r="B67" s="202" t="s">
        <v>809</v>
      </c>
      <c r="C67" s="202" t="s">
        <v>809</v>
      </c>
      <c r="D67" s="202" t="s">
        <v>8</v>
      </c>
      <c r="E67" s="300">
        <v>939.9</v>
      </c>
      <c r="F67" s="210">
        <v>939.9</v>
      </c>
      <c r="G67" s="210">
        <v>939.9</v>
      </c>
      <c r="H67" s="210">
        <f t="shared" si="0"/>
        <v>0</v>
      </c>
      <c r="I67" s="203" t="s">
        <v>451</v>
      </c>
      <c r="J67" s="203" t="s">
        <v>452</v>
      </c>
      <c r="K67" s="203" t="s">
        <v>452</v>
      </c>
      <c r="L67" s="203" t="s">
        <v>451</v>
      </c>
      <c r="M67" s="203"/>
      <c r="N67" s="463"/>
      <c r="O67" s="203"/>
      <c r="P67" s="276"/>
      <c r="Q67" s="265"/>
      <c r="R67" s="265"/>
      <c r="S67" s="265"/>
      <c r="T67" s="267"/>
    </row>
    <row r="68" spans="1:20" ht="18" customHeight="1">
      <c r="A68" s="204">
        <v>64</v>
      </c>
      <c r="B68" s="202" t="s">
        <v>810</v>
      </c>
      <c r="C68" s="202" t="s">
        <v>810</v>
      </c>
      <c r="D68" s="202" t="s">
        <v>8</v>
      </c>
      <c r="E68" s="300">
        <v>1357</v>
      </c>
      <c r="F68" s="210">
        <v>1357</v>
      </c>
      <c r="G68" s="210">
        <v>1357</v>
      </c>
      <c r="H68" s="210">
        <f t="shared" si="0"/>
        <v>0</v>
      </c>
      <c r="I68" s="203" t="s">
        <v>451</v>
      </c>
      <c r="J68" s="203" t="s">
        <v>452</v>
      </c>
      <c r="K68" s="203" t="s">
        <v>452</v>
      </c>
      <c r="L68" s="203" t="s">
        <v>451</v>
      </c>
      <c r="M68" s="203"/>
      <c r="N68" s="463"/>
      <c r="O68" s="203"/>
      <c r="P68" s="276"/>
      <c r="Q68" s="265"/>
      <c r="R68" s="265"/>
      <c r="S68" s="265"/>
      <c r="T68" s="267"/>
    </row>
    <row r="69" spans="1:20" ht="18" customHeight="1">
      <c r="A69" s="204">
        <v>65</v>
      </c>
      <c r="B69" s="202" t="s">
        <v>811</v>
      </c>
      <c r="C69" s="202" t="s">
        <v>811</v>
      </c>
      <c r="D69" s="202" t="s">
        <v>8</v>
      </c>
      <c r="E69" s="300">
        <v>37</v>
      </c>
      <c r="F69" s="210">
        <v>37</v>
      </c>
      <c r="G69" s="210">
        <v>37</v>
      </c>
      <c r="H69" s="210">
        <f t="shared" si="0"/>
        <v>0</v>
      </c>
      <c r="I69" s="203" t="s">
        <v>451</v>
      </c>
      <c r="J69" s="203" t="s">
        <v>452</v>
      </c>
      <c r="K69" s="203" t="s">
        <v>452</v>
      </c>
      <c r="L69" s="203" t="s">
        <v>451</v>
      </c>
      <c r="M69" s="203"/>
      <c r="N69" s="463"/>
      <c r="O69" s="203"/>
      <c r="P69" s="276"/>
      <c r="Q69" s="265"/>
      <c r="R69" s="265"/>
      <c r="S69" s="265"/>
      <c r="T69" s="267"/>
    </row>
    <row r="70" spans="1:20" ht="18" customHeight="1">
      <c r="A70" s="204">
        <v>66</v>
      </c>
      <c r="B70" s="202" t="s">
        <v>812</v>
      </c>
      <c r="C70" s="202" t="s">
        <v>812</v>
      </c>
      <c r="D70" s="202" t="s">
        <v>462</v>
      </c>
      <c r="E70" s="300">
        <v>171.2</v>
      </c>
      <c r="F70" s="210">
        <v>171.2</v>
      </c>
      <c r="G70" s="210">
        <v>171.2</v>
      </c>
      <c r="H70" s="210">
        <f t="shared" ref="H70:H133" si="1">G70-F70</f>
        <v>0</v>
      </c>
      <c r="I70" s="203" t="s">
        <v>86</v>
      </c>
      <c r="J70" s="203" t="s">
        <v>88</v>
      </c>
      <c r="K70" s="203" t="s">
        <v>512</v>
      </c>
      <c r="L70" s="203" t="s">
        <v>511</v>
      </c>
      <c r="M70" s="203"/>
      <c r="N70" s="463"/>
      <c r="O70" s="203"/>
      <c r="P70" s="276"/>
      <c r="Q70" s="265"/>
      <c r="R70" s="265"/>
      <c r="S70" s="265"/>
      <c r="T70" s="267"/>
    </row>
    <row r="71" spans="1:20" ht="18" customHeight="1">
      <c r="A71" s="204">
        <v>67</v>
      </c>
      <c r="B71" s="202" t="s">
        <v>813</v>
      </c>
      <c r="C71" s="202" t="s">
        <v>813</v>
      </c>
      <c r="D71" s="202" t="s">
        <v>7</v>
      </c>
      <c r="E71" s="300">
        <v>44</v>
      </c>
      <c r="F71" s="210">
        <v>44</v>
      </c>
      <c r="G71" s="210">
        <v>44</v>
      </c>
      <c r="H71" s="210">
        <f t="shared" si="1"/>
        <v>0</v>
      </c>
      <c r="I71" s="203" t="s">
        <v>451</v>
      </c>
      <c r="J71" s="203" t="s">
        <v>452</v>
      </c>
      <c r="K71" s="203" t="s">
        <v>452</v>
      </c>
      <c r="L71" s="203" t="s">
        <v>451</v>
      </c>
      <c r="M71" s="203"/>
      <c r="N71" s="463"/>
      <c r="O71" s="203"/>
      <c r="P71" s="276"/>
      <c r="Q71" s="265"/>
      <c r="R71" s="265"/>
      <c r="S71" s="265"/>
      <c r="T71" s="267"/>
    </row>
    <row r="72" spans="1:20" ht="18" customHeight="1">
      <c r="A72" s="204">
        <v>68</v>
      </c>
      <c r="B72" s="202" t="s">
        <v>814</v>
      </c>
      <c r="C72" s="202" t="s">
        <v>814</v>
      </c>
      <c r="D72" s="202" t="s">
        <v>462</v>
      </c>
      <c r="E72" s="300">
        <v>356</v>
      </c>
      <c r="F72" s="210">
        <v>356</v>
      </c>
      <c r="G72" s="210">
        <v>356</v>
      </c>
      <c r="H72" s="210">
        <f t="shared" si="1"/>
        <v>0</v>
      </c>
      <c r="I72" s="203" t="s">
        <v>86</v>
      </c>
      <c r="J72" s="203" t="s">
        <v>88</v>
      </c>
      <c r="K72" s="203" t="s">
        <v>512</v>
      </c>
      <c r="L72" s="203" t="s">
        <v>511</v>
      </c>
      <c r="M72" s="203"/>
      <c r="N72" s="463"/>
      <c r="O72" s="203"/>
      <c r="P72" s="276"/>
      <c r="Q72" s="265"/>
      <c r="R72" s="265"/>
      <c r="S72" s="265"/>
      <c r="T72" s="267"/>
    </row>
    <row r="73" spans="1:20" ht="18" customHeight="1">
      <c r="A73" s="204">
        <v>69</v>
      </c>
      <c r="B73" s="202" t="s">
        <v>815</v>
      </c>
      <c r="C73" s="202" t="s">
        <v>815</v>
      </c>
      <c r="D73" s="202" t="s">
        <v>8</v>
      </c>
      <c r="E73" s="300">
        <v>691</v>
      </c>
      <c r="F73" s="210">
        <v>691</v>
      </c>
      <c r="G73" s="210">
        <v>691</v>
      </c>
      <c r="H73" s="210">
        <f t="shared" si="1"/>
        <v>0</v>
      </c>
      <c r="I73" s="203" t="s">
        <v>451</v>
      </c>
      <c r="J73" s="203" t="s">
        <v>452</v>
      </c>
      <c r="K73" s="203" t="s">
        <v>452</v>
      </c>
      <c r="L73" s="203" t="s">
        <v>451</v>
      </c>
      <c r="M73" s="203"/>
      <c r="N73" s="463"/>
      <c r="O73" s="203"/>
      <c r="P73" s="276"/>
      <c r="Q73" s="265"/>
      <c r="R73" s="265"/>
      <c r="S73" s="265"/>
      <c r="T73" s="267"/>
    </row>
    <row r="74" spans="1:20" ht="18" customHeight="1">
      <c r="A74" s="204">
        <v>70</v>
      </c>
      <c r="B74" s="202" t="s">
        <v>816</v>
      </c>
      <c r="C74" s="202" t="s">
        <v>816</v>
      </c>
      <c r="D74" s="202" t="s">
        <v>7</v>
      </c>
      <c r="E74" s="300">
        <v>173</v>
      </c>
      <c r="F74" s="210">
        <v>173</v>
      </c>
      <c r="G74" s="210">
        <v>173</v>
      </c>
      <c r="H74" s="210">
        <f t="shared" si="1"/>
        <v>0</v>
      </c>
      <c r="I74" s="203" t="s">
        <v>451</v>
      </c>
      <c r="J74" s="203" t="s">
        <v>452</v>
      </c>
      <c r="K74" s="203" t="s">
        <v>452</v>
      </c>
      <c r="L74" s="203" t="s">
        <v>451</v>
      </c>
      <c r="M74" s="203"/>
      <c r="N74" s="463"/>
      <c r="O74" s="203"/>
      <c r="P74" s="276"/>
      <c r="Q74" s="265"/>
      <c r="R74" s="265"/>
      <c r="S74" s="265"/>
      <c r="T74" s="267"/>
    </row>
    <row r="75" spans="1:20" ht="18" customHeight="1">
      <c r="A75" s="204">
        <v>71</v>
      </c>
      <c r="B75" s="202" t="s">
        <v>817</v>
      </c>
      <c r="C75" s="202" t="s">
        <v>817</v>
      </c>
      <c r="D75" s="202" t="s">
        <v>7</v>
      </c>
      <c r="E75" s="300">
        <v>197</v>
      </c>
      <c r="F75" s="210">
        <v>197</v>
      </c>
      <c r="G75" s="210">
        <v>197</v>
      </c>
      <c r="H75" s="210">
        <f t="shared" si="1"/>
        <v>0</v>
      </c>
      <c r="I75" s="203" t="s">
        <v>451</v>
      </c>
      <c r="J75" s="203" t="s">
        <v>452</v>
      </c>
      <c r="K75" s="203" t="s">
        <v>452</v>
      </c>
      <c r="L75" s="203" t="s">
        <v>451</v>
      </c>
      <c r="M75" s="203"/>
      <c r="N75" s="463"/>
      <c r="O75" s="203"/>
      <c r="P75" s="276"/>
      <c r="Q75" s="265"/>
      <c r="R75" s="265"/>
      <c r="S75" s="265"/>
      <c r="T75" s="267"/>
    </row>
    <row r="76" spans="1:20" ht="18" customHeight="1">
      <c r="A76" s="204">
        <v>72</v>
      </c>
      <c r="B76" s="202" t="s">
        <v>818</v>
      </c>
      <c r="C76" s="202" t="s">
        <v>818</v>
      </c>
      <c r="D76" s="202" t="s">
        <v>459</v>
      </c>
      <c r="E76" s="300">
        <v>39</v>
      </c>
      <c r="F76" s="210">
        <v>39</v>
      </c>
      <c r="G76" s="210">
        <v>39</v>
      </c>
      <c r="H76" s="210">
        <f t="shared" si="1"/>
        <v>0</v>
      </c>
      <c r="I76" s="203" t="s">
        <v>451</v>
      </c>
      <c r="J76" s="203" t="s">
        <v>452</v>
      </c>
      <c r="K76" s="203" t="s">
        <v>452</v>
      </c>
      <c r="L76" s="203" t="s">
        <v>451</v>
      </c>
      <c r="M76" s="203"/>
      <c r="N76" s="463"/>
      <c r="O76" s="203"/>
      <c r="P76" s="276"/>
      <c r="Q76" s="265"/>
      <c r="R76" s="265"/>
      <c r="S76" s="265"/>
      <c r="T76" s="267"/>
    </row>
    <row r="77" spans="1:20" ht="18" customHeight="1">
      <c r="A77" s="204">
        <v>73</v>
      </c>
      <c r="B77" s="202" t="s">
        <v>819</v>
      </c>
      <c r="C77" s="202" t="s">
        <v>819</v>
      </c>
      <c r="D77" s="202" t="s">
        <v>459</v>
      </c>
      <c r="E77" s="300">
        <v>22</v>
      </c>
      <c r="F77" s="210">
        <v>22</v>
      </c>
      <c r="G77" s="210">
        <v>22</v>
      </c>
      <c r="H77" s="210">
        <f t="shared" si="1"/>
        <v>0</v>
      </c>
      <c r="I77" s="203" t="s">
        <v>451</v>
      </c>
      <c r="J77" s="203" t="s">
        <v>452</v>
      </c>
      <c r="K77" s="203" t="s">
        <v>452</v>
      </c>
      <c r="L77" s="203" t="s">
        <v>451</v>
      </c>
      <c r="M77" s="203"/>
      <c r="N77" s="463"/>
      <c r="O77" s="203"/>
      <c r="P77" s="276"/>
      <c r="Q77" s="265"/>
      <c r="R77" s="265"/>
      <c r="S77" s="265"/>
      <c r="T77" s="267"/>
    </row>
    <row r="78" spans="1:20" ht="18" customHeight="1">
      <c r="A78" s="204">
        <v>74</v>
      </c>
      <c r="B78" s="202" t="s">
        <v>820</v>
      </c>
      <c r="C78" s="202" t="s">
        <v>820</v>
      </c>
      <c r="D78" s="202" t="s">
        <v>455</v>
      </c>
      <c r="E78" s="300">
        <v>1567</v>
      </c>
      <c r="F78" s="210">
        <v>120</v>
      </c>
      <c r="G78" s="210">
        <v>120</v>
      </c>
      <c r="H78" s="210">
        <f t="shared" si="1"/>
        <v>0</v>
      </c>
      <c r="I78" s="203" t="s">
        <v>86</v>
      </c>
      <c r="J78" s="203" t="s">
        <v>153</v>
      </c>
      <c r="K78" s="203" t="s">
        <v>514</v>
      </c>
      <c r="L78" s="203" t="s">
        <v>511</v>
      </c>
      <c r="M78" s="203"/>
      <c r="N78" s="463"/>
      <c r="O78" s="203"/>
      <c r="P78" s="276"/>
      <c r="Q78" s="265"/>
      <c r="R78" s="265"/>
      <c r="S78" s="265"/>
      <c r="T78" s="267"/>
    </row>
    <row r="79" spans="1:20" ht="18" customHeight="1">
      <c r="A79" s="204">
        <v>75</v>
      </c>
      <c r="B79" s="202" t="s">
        <v>821</v>
      </c>
      <c r="C79" s="202" t="s">
        <v>821</v>
      </c>
      <c r="D79" s="202" t="s">
        <v>7</v>
      </c>
      <c r="E79" s="300">
        <v>1184</v>
      </c>
      <c r="F79" s="210">
        <v>1184</v>
      </c>
      <c r="G79" s="210">
        <v>1184</v>
      </c>
      <c r="H79" s="210">
        <f t="shared" si="1"/>
        <v>0</v>
      </c>
      <c r="I79" s="203" t="s">
        <v>451</v>
      </c>
      <c r="J79" s="203" t="s">
        <v>452</v>
      </c>
      <c r="K79" s="203" t="s">
        <v>452</v>
      </c>
      <c r="L79" s="203" t="s">
        <v>451</v>
      </c>
      <c r="M79" s="203"/>
      <c r="N79" s="463"/>
      <c r="O79" s="203"/>
      <c r="P79" s="276"/>
      <c r="Q79" s="265"/>
      <c r="R79" s="265"/>
      <c r="S79" s="265"/>
      <c r="T79" s="267"/>
    </row>
    <row r="80" spans="1:20" ht="18" customHeight="1">
      <c r="A80" s="204">
        <v>76</v>
      </c>
      <c r="B80" s="202" t="s">
        <v>822</v>
      </c>
      <c r="C80" s="202" t="s">
        <v>822</v>
      </c>
      <c r="D80" s="202" t="s">
        <v>459</v>
      </c>
      <c r="E80" s="300">
        <v>10</v>
      </c>
      <c r="F80" s="210">
        <v>10</v>
      </c>
      <c r="G80" s="210">
        <v>10</v>
      </c>
      <c r="H80" s="210">
        <f t="shared" si="1"/>
        <v>0</v>
      </c>
      <c r="I80" s="203" t="s">
        <v>451</v>
      </c>
      <c r="J80" s="203" t="s">
        <v>452</v>
      </c>
      <c r="K80" s="203" t="s">
        <v>452</v>
      </c>
      <c r="L80" s="203" t="s">
        <v>451</v>
      </c>
      <c r="M80" s="203"/>
      <c r="N80" s="463"/>
      <c r="O80" s="203"/>
      <c r="P80" s="276"/>
      <c r="Q80" s="265"/>
      <c r="R80" s="265"/>
      <c r="S80" s="265"/>
      <c r="T80" s="267"/>
    </row>
    <row r="81" spans="1:20" ht="18" customHeight="1">
      <c r="A81" s="204">
        <v>77</v>
      </c>
      <c r="B81" s="202" t="s">
        <v>823</v>
      </c>
      <c r="C81" s="202" t="s">
        <v>823</v>
      </c>
      <c r="D81" s="202" t="s">
        <v>7</v>
      </c>
      <c r="E81" s="300">
        <v>489</v>
      </c>
      <c r="F81" s="210">
        <v>489</v>
      </c>
      <c r="G81" s="210">
        <v>489</v>
      </c>
      <c r="H81" s="210">
        <f t="shared" si="1"/>
        <v>0</v>
      </c>
      <c r="I81" s="203" t="s">
        <v>451</v>
      </c>
      <c r="J81" s="203" t="s">
        <v>452</v>
      </c>
      <c r="K81" s="203" t="s">
        <v>452</v>
      </c>
      <c r="L81" s="203" t="s">
        <v>451</v>
      </c>
      <c r="M81" s="203"/>
      <c r="N81" s="463"/>
      <c r="O81" s="203"/>
      <c r="P81" s="276"/>
      <c r="Q81" s="265"/>
      <c r="R81" s="265"/>
      <c r="S81" s="265"/>
      <c r="T81" s="267"/>
    </row>
    <row r="82" spans="1:20" ht="18" customHeight="1">
      <c r="A82" s="204">
        <v>78</v>
      </c>
      <c r="B82" s="202" t="s">
        <v>824</v>
      </c>
      <c r="C82" s="202" t="s">
        <v>824</v>
      </c>
      <c r="D82" s="202" t="s">
        <v>7</v>
      </c>
      <c r="E82" s="300">
        <v>196</v>
      </c>
      <c r="F82" s="210">
        <v>196</v>
      </c>
      <c r="G82" s="210">
        <v>196</v>
      </c>
      <c r="H82" s="210">
        <f t="shared" si="1"/>
        <v>0</v>
      </c>
      <c r="I82" s="203" t="s">
        <v>451</v>
      </c>
      <c r="J82" s="203" t="s">
        <v>452</v>
      </c>
      <c r="K82" s="203" t="s">
        <v>452</v>
      </c>
      <c r="L82" s="203" t="s">
        <v>451</v>
      </c>
      <c r="M82" s="203"/>
      <c r="N82" s="463"/>
      <c r="O82" s="203"/>
      <c r="P82" s="276"/>
      <c r="Q82" s="265"/>
      <c r="R82" s="265"/>
      <c r="S82" s="265"/>
      <c r="T82" s="267"/>
    </row>
    <row r="83" spans="1:20" ht="18" customHeight="1">
      <c r="A83" s="204">
        <v>79</v>
      </c>
      <c r="B83" s="202" t="s">
        <v>825</v>
      </c>
      <c r="C83" s="202" t="s">
        <v>825</v>
      </c>
      <c r="D83" s="202" t="s">
        <v>7</v>
      </c>
      <c r="E83" s="300">
        <v>1301</v>
      </c>
      <c r="F83" s="210">
        <v>1301</v>
      </c>
      <c r="G83" s="210">
        <v>1301</v>
      </c>
      <c r="H83" s="210">
        <f t="shared" si="1"/>
        <v>0</v>
      </c>
      <c r="I83" s="203" t="s">
        <v>451</v>
      </c>
      <c r="J83" s="203" t="s">
        <v>452</v>
      </c>
      <c r="K83" s="203" t="s">
        <v>452</v>
      </c>
      <c r="L83" s="203" t="s">
        <v>451</v>
      </c>
      <c r="M83" s="203"/>
      <c r="N83" s="463"/>
      <c r="O83" s="203"/>
      <c r="P83" s="276"/>
      <c r="Q83" s="265"/>
      <c r="R83" s="265"/>
      <c r="S83" s="265"/>
      <c r="T83" s="267"/>
    </row>
    <row r="84" spans="1:20" ht="18" customHeight="1">
      <c r="A84" s="204">
        <v>80</v>
      </c>
      <c r="B84" s="202" t="s">
        <v>826</v>
      </c>
      <c r="C84" s="202" t="s">
        <v>826</v>
      </c>
      <c r="D84" s="202" t="s">
        <v>7</v>
      </c>
      <c r="E84" s="300">
        <v>974</v>
      </c>
      <c r="F84" s="210">
        <v>974</v>
      </c>
      <c r="G84" s="210">
        <v>974</v>
      </c>
      <c r="H84" s="210">
        <f t="shared" si="1"/>
        <v>0</v>
      </c>
      <c r="I84" s="203" t="s">
        <v>451</v>
      </c>
      <c r="J84" s="203" t="s">
        <v>452</v>
      </c>
      <c r="K84" s="203" t="s">
        <v>452</v>
      </c>
      <c r="L84" s="203" t="s">
        <v>451</v>
      </c>
      <c r="M84" s="203"/>
      <c r="N84" s="463"/>
      <c r="O84" s="203"/>
      <c r="P84" s="276"/>
      <c r="Q84" s="265"/>
      <c r="R84" s="265"/>
      <c r="S84" s="265"/>
      <c r="T84" s="267"/>
    </row>
    <row r="85" spans="1:20" ht="18" customHeight="1">
      <c r="A85" s="204">
        <v>81</v>
      </c>
      <c r="B85" s="202" t="s">
        <v>827</v>
      </c>
      <c r="C85" s="202" t="s">
        <v>827</v>
      </c>
      <c r="D85" s="202" t="s">
        <v>93</v>
      </c>
      <c r="E85" s="300">
        <v>549</v>
      </c>
      <c r="F85" s="210">
        <v>549</v>
      </c>
      <c r="G85" s="210">
        <v>549</v>
      </c>
      <c r="H85" s="210">
        <f t="shared" si="1"/>
        <v>0</v>
      </c>
      <c r="I85" s="203" t="s">
        <v>451</v>
      </c>
      <c r="J85" s="203" t="s">
        <v>452</v>
      </c>
      <c r="K85" s="203" t="s">
        <v>452</v>
      </c>
      <c r="L85" s="203" t="s">
        <v>451</v>
      </c>
      <c r="M85" s="203"/>
      <c r="N85" s="463"/>
      <c r="O85" s="203"/>
      <c r="P85" s="276"/>
      <c r="Q85" s="265"/>
      <c r="R85" s="265"/>
      <c r="S85" s="265"/>
      <c r="T85" s="267"/>
    </row>
    <row r="86" spans="1:20" ht="18" customHeight="1">
      <c r="A86" s="204">
        <v>82</v>
      </c>
      <c r="B86" s="202" t="s">
        <v>828</v>
      </c>
      <c r="C86" s="202" t="s">
        <v>828</v>
      </c>
      <c r="D86" s="202" t="s">
        <v>7</v>
      </c>
      <c r="E86" s="300">
        <v>1180</v>
      </c>
      <c r="F86" s="210">
        <v>1180</v>
      </c>
      <c r="G86" s="210">
        <v>1180</v>
      </c>
      <c r="H86" s="210">
        <f t="shared" si="1"/>
        <v>0</v>
      </c>
      <c r="I86" s="203" t="s">
        <v>451</v>
      </c>
      <c r="J86" s="203" t="s">
        <v>452</v>
      </c>
      <c r="K86" s="203" t="s">
        <v>452</v>
      </c>
      <c r="L86" s="203" t="s">
        <v>451</v>
      </c>
      <c r="M86" s="203"/>
      <c r="N86" s="463"/>
      <c r="O86" s="203"/>
      <c r="P86" s="276"/>
      <c r="Q86" s="265"/>
      <c r="R86" s="265"/>
      <c r="S86" s="265"/>
      <c r="T86" s="267"/>
    </row>
    <row r="87" spans="1:20" ht="18" customHeight="1">
      <c r="A87" s="204">
        <v>83</v>
      </c>
      <c r="B87" s="202" t="s">
        <v>829</v>
      </c>
      <c r="C87" s="202" t="s">
        <v>829</v>
      </c>
      <c r="D87" s="202" t="s">
        <v>93</v>
      </c>
      <c r="E87" s="300">
        <v>815</v>
      </c>
      <c r="F87" s="210">
        <v>815</v>
      </c>
      <c r="G87" s="210">
        <v>815</v>
      </c>
      <c r="H87" s="210">
        <f t="shared" si="1"/>
        <v>0</v>
      </c>
      <c r="I87" s="203" t="s">
        <v>451</v>
      </c>
      <c r="J87" s="203" t="s">
        <v>452</v>
      </c>
      <c r="K87" s="203" t="s">
        <v>452</v>
      </c>
      <c r="L87" s="203" t="s">
        <v>451</v>
      </c>
      <c r="M87" s="203"/>
      <c r="N87" s="463"/>
      <c r="O87" s="203"/>
      <c r="P87" s="276"/>
      <c r="Q87" s="265"/>
      <c r="R87" s="265"/>
      <c r="S87" s="265"/>
      <c r="T87" s="267"/>
    </row>
    <row r="88" spans="1:20" ht="18" customHeight="1">
      <c r="A88" s="204">
        <v>84</v>
      </c>
      <c r="B88" s="202" t="s">
        <v>830</v>
      </c>
      <c r="C88" s="202" t="s">
        <v>830</v>
      </c>
      <c r="D88" s="202" t="s">
        <v>8</v>
      </c>
      <c r="E88" s="300">
        <v>89.2</v>
      </c>
      <c r="F88" s="210">
        <v>89.2</v>
      </c>
      <c r="G88" s="210">
        <v>89.2</v>
      </c>
      <c r="H88" s="210">
        <f t="shared" si="1"/>
        <v>0</v>
      </c>
      <c r="I88" s="203" t="s">
        <v>451</v>
      </c>
      <c r="J88" s="203" t="s">
        <v>452</v>
      </c>
      <c r="K88" s="203" t="s">
        <v>452</v>
      </c>
      <c r="L88" s="203" t="s">
        <v>451</v>
      </c>
      <c r="M88" s="203"/>
      <c r="N88" s="463"/>
      <c r="O88" s="203"/>
      <c r="P88" s="276"/>
      <c r="Q88" s="265"/>
      <c r="R88" s="265"/>
      <c r="S88" s="265"/>
      <c r="T88" s="267"/>
    </row>
    <row r="89" spans="1:20" ht="18" customHeight="1">
      <c r="A89" s="204">
        <v>85</v>
      </c>
      <c r="B89" s="202" t="s">
        <v>831</v>
      </c>
      <c r="C89" s="202" t="s">
        <v>831</v>
      </c>
      <c r="D89" s="202" t="s">
        <v>8</v>
      </c>
      <c r="E89" s="300">
        <v>2297.6999999999998</v>
      </c>
      <c r="F89" s="210">
        <v>2297.6999999999998</v>
      </c>
      <c r="G89" s="210">
        <v>2297.6999999999998</v>
      </c>
      <c r="H89" s="210">
        <f t="shared" si="1"/>
        <v>0</v>
      </c>
      <c r="I89" s="203" t="s">
        <v>451</v>
      </c>
      <c r="J89" s="203" t="s">
        <v>452</v>
      </c>
      <c r="K89" s="203" t="s">
        <v>452</v>
      </c>
      <c r="L89" s="203" t="s">
        <v>451</v>
      </c>
      <c r="M89" s="203"/>
      <c r="N89" s="463"/>
      <c r="O89" s="203"/>
      <c r="P89" s="276"/>
      <c r="Q89" s="265"/>
      <c r="R89" s="265"/>
      <c r="S89" s="265"/>
      <c r="T89" s="267"/>
    </row>
    <row r="90" spans="1:20" ht="18" customHeight="1">
      <c r="A90" s="204">
        <v>87</v>
      </c>
      <c r="B90" s="202" t="s">
        <v>832</v>
      </c>
      <c r="C90" s="202" t="s">
        <v>832</v>
      </c>
      <c r="D90" s="202" t="s">
        <v>462</v>
      </c>
      <c r="E90" s="300">
        <v>241</v>
      </c>
      <c r="F90" s="210">
        <v>241</v>
      </c>
      <c r="G90" s="210">
        <v>241</v>
      </c>
      <c r="H90" s="210">
        <f t="shared" si="1"/>
        <v>0</v>
      </c>
      <c r="I90" s="203" t="s">
        <v>86</v>
      </c>
      <c r="J90" s="203" t="s">
        <v>88</v>
      </c>
      <c r="K90" s="203" t="s">
        <v>512</v>
      </c>
      <c r="L90" s="203" t="s">
        <v>511</v>
      </c>
      <c r="M90" s="203"/>
      <c r="N90" s="463"/>
      <c r="O90" s="203"/>
      <c r="P90" s="276"/>
      <c r="Q90" s="265"/>
      <c r="R90" s="265"/>
      <c r="S90" s="265"/>
      <c r="T90" s="267"/>
    </row>
    <row r="91" spans="1:20" ht="18" customHeight="1">
      <c r="A91" s="204">
        <v>88</v>
      </c>
      <c r="B91" s="202" t="s">
        <v>833</v>
      </c>
      <c r="C91" s="202" t="s">
        <v>833</v>
      </c>
      <c r="D91" s="202" t="s">
        <v>462</v>
      </c>
      <c r="E91" s="300">
        <v>346.9</v>
      </c>
      <c r="F91" s="210">
        <v>346.9</v>
      </c>
      <c r="G91" s="210">
        <v>346.9</v>
      </c>
      <c r="H91" s="210">
        <f t="shared" si="1"/>
        <v>0</v>
      </c>
      <c r="I91" s="203" t="s">
        <v>86</v>
      </c>
      <c r="J91" s="203" t="s">
        <v>88</v>
      </c>
      <c r="K91" s="203" t="s">
        <v>512</v>
      </c>
      <c r="L91" s="203" t="s">
        <v>511</v>
      </c>
      <c r="M91" s="203"/>
      <c r="N91" s="463"/>
      <c r="O91" s="203"/>
      <c r="P91" s="276"/>
      <c r="Q91" s="265"/>
      <c r="R91" s="265"/>
      <c r="S91" s="265"/>
      <c r="T91" s="267"/>
    </row>
    <row r="92" spans="1:20" ht="18" customHeight="1">
      <c r="A92" s="204">
        <v>89</v>
      </c>
      <c r="B92" s="202" t="s">
        <v>834</v>
      </c>
      <c r="C92" s="202" t="s">
        <v>834</v>
      </c>
      <c r="D92" s="202" t="s">
        <v>93</v>
      </c>
      <c r="E92" s="300">
        <v>2573</v>
      </c>
      <c r="F92" s="210">
        <v>2573</v>
      </c>
      <c r="G92" s="210">
        <v>2573</v>
      </c>
      <c r="H92" s="210">
        <f t="shared" si="1"/>
        <v>0</v>
      </c>
      <c r="I92" s="203" t="s">
        <v>0</v>
      </c>
      <c r="J92" s="203" t="s">
        <v>1</v>
      </c>
      <c r="K92" s="203" t="s">
        <v>452</v>
      </c>
      <c r="L92" s="203" t="s">
        <v>451</v>
      </c>
      <c r="M92" s="203"/>
      <c r="N92" s="463"/>
      <c r="O92" s="203"/>
      <c r="P92" s="276"/>
      <c r="Q92" s="265"/>
      <c r="R92" s="265"/>
      <c r="S92" s="265"/>
      <c r="T92" s="267"/>
    </row>
    <row r="93" spans="1:20" ht="18" customHeight="1">
      <c r="A93" s="204">
        <v>90</v>
      </c>
      <c r="B93" s="202" t="s">
        <v>835</v>
      </c>
      <c r="C93" s="202" t="s">
        <v>835</v>
      </c>
      <c r="D93" s="202" t="s">
        <v>455</v>
      </c>
      <c r="E93" s="300">
        <v>115</v>
      </c>
      <c r="F93" s="210">
        <v>115</v>
      </c>
      <c r="G93" s="210">
        <v>115</v>
      </c>
      <c r="H93" s="210">
        <f t="shared" si="1"/>
        <v>0</v>
      </c>
      <c r="I93" s="203" t="s">
        <v>0</v>
      </c>
      <c r="J93" s="203" t="s">
        <v>1</v>
      </c>
      <c r="K93" s="203" t="s">
        <v>452</v>
      </c>
      <c r="L93" s="203" t="s">
        <v>451</v>
      </c>
      <c r="M93" s="203"/>
      <c r="N93" s="463"/>
      <c r="O93" s="203"/>
      <c r="P93" s="276"/>
      <c r="Q93" s="265"/>
      <c r="R93" s="265"/>
      <c r="S93" s="265"/>
      <c r="T93" s="267"/>
    </row>
    <row r="94" spans="1:20" ht="18" customHeight="1">
      <c r="A94" s="204">
        <v>91</v>
      </c>
      <c r="B94" s="202" t="s">
        <v>836</v>
      </c>
      <c r="C94" s="202" t="s">
        <v>836</v>
      </c>
      <c r="D94" s="202" t="s">
        <v>7</v>
      </c>
      <c r="E94" s="300">
        <v>115</v>
      </c>
      <c r="F94" s="210">
        <v>115</v>
      </c>
      <c r="G94" s="210">
        <v>115</v>
      </c>
      <c r="H94" s="210">
        <f t="shared" si="1"/>
        <v>0</v>
      </c>
      <c r="I94" s="203" t="s">
        <v>0</v>
      </c>
      <c r="J94" s="203" t="s">
        <v>1</v>
      </c>
      <c r="K94" s="203" t="s">
        <v>452</v>
      </c>
      <c r="L94" s="203" t="s">
        <v>451</v>
      </c>
      <c r="M94" s="203"/>
      <c r="N94" s="463"/>
      <c r="O94" s="203"/>
      <c r="P94" s="276"/>
      <c r="Q94" s="265"/>
      <c r="R94" s="265"/>
      <c r="S94" s="265"/>
      <c r="T94" s="267"/>
    </row>
    <row r="95" spans="1:20" ht="18" customHeight="1">
      <c r="A95" s="204">
        <v>92</v>
      </c>
      <c r="B95" s="202" t="s">
        <v>837</v>
      </c>
      <c r="C95" s="202" t="s">
        <v>837</v>
      </c>
      <c r="D95" s="202" t="s">
        <v>455</v>
      </c>
      <c r="E95" s="300">
        <v>331</v>
      </c>
      <c r="F95" s="210">
        <v>331</v>
      </c>
      <c r="G95" s="210">
        <v>331</v>
      </c>
      <c r="H95" s="210">
        <f t="shared" si="1"/>
        <v>0</v>
      </c>
      <c r="I95" s="203" t="s">
        <v>0</v>
      </c>
      <c r="J95" s="203" t="s">
        <v>1</v>
      </c>
      <c r="K95" s="203" t="s">
        <v>452</v>
      </c>
      <c r="L95" s="203" t="s">
        <v>451</v>
      </c>
      <c r="M95" s="203"/>
      <c r="N95" s="463"/>
      <c r="O95" s="203"/>
      <c r="P95" s="276"/>
      <c r="Q95" s="265"/>
      <c r="R95" s="265"/>
      <c r="S95" s="265"/>
      <c r="T95" s="267"/>
    </row>
    <row r="96" spans="1:20" ht="18" customHeight="1">
      <c r="A96" s="204">
        <v>93</v>
      </c>
      <c r="B96" s="202" t="s">
        <v>838</v>
      </c>
      <c r="C96" s="202" t="s">
        <v>838</v>
      </c>
      <c r="D96" s="202" t="s">
        <v>93</v>
      </c>
      <c r="E96" s="300">
        <v>25</v>
      </c>
      <c r="F96" s="210">
        <v>25</v>
      </c>
      <c r="G96" s="210">
        <v>25</v>
      </c>
      <c r="H96" s="210">
        <f t="shared" si="1"/>
        <v>0</v>
      </c>
      <c r="I96" s="203" t="s">
        <v>0</v>
      </c>
      <c r="J96" s="203" t="s">
        <v>1</v>
      </c>
      <c r="K96" s="203" t="s">
        <v>452</v>
      </c>
      <c r="L96" s="203" t="s">
        <v>451</v>
      </c>
      <c r="M96" s="203"/>
      <c r="N96" s="463"/>
      <c r="O96" s="203"/>
      <c r="P96" s="276"/>
      <c r="Q96" s="265"/>
      <c r="R96" s="265"/>
      <c r="S96" s="265"/>
      <c r="T96" s="267"/>
    </row>
    <row r="97" spans="1:20" ht="18" customHeight="1">
      <c r="A97" s="204">
        <v>94</v>
      </c>
      <c r="B97" s="202" t="s">
        <v>839</v>
      </c>
      <c r="C97" s="202" t="s">
        <v>839</v>
      </c>
      <c r="D97" s="202" t="s">
        <v>455</v>
      </c>
      <c r="E97" s="300">
        <v>1004</v>
      </c>
      <c r="F97" s="210">
        <v>1004</v>
      </c>
      <c r="G97" s="210">
        <v>1004</v>
      </c>
      <c r="H97" s="210">
        <f t="shared" si="1"/>
        <v>0</v>
      </c>
      <c r="I97" s="203" t="s">
        <v>0</v>
      </c>
      <c r="J97" s="203" t="s">
        <v>1</v>
      </c>
      <c r="K97" s="203" t="s">
        <v>452</v>
      </c>
      <c r="L97" s="203" t="s">
        <v>451</v>
      </c>
      <c r="M97" s="203"/>
      <c r="N97" s="463"/>
      <c r="O97" s="203"/>
      <c r="P97" s="276"/>
      <c r="Q97" s="265"/>
      <c r="R97" s="265"/>
      <c r="S97" s="265"/>
      <c r="T97" s="267"/>
    </row>
    <row r="98" spans="1:20" ht="18" customHeight="1">
      <c r="A98" s="204">
        <v>95</v>
      </c>
      <c r="B98" s="202" t="s">
        <v>840</v>
      </c>
      <c r="C98" s="202" t="s">
        <v>840</v>
      </c>
      <c r="D98" s="202" t="s">
        <v>455</v>
      </c>
      <c r="E98" s="300">
        <v>60</v>
      </c>
      <c r="F98" s="210">
        <v>60</v>
      </c>
      <c r="G98" s="210">
        <v>60</v>
      </c>
      <c r="H98" s="210">
        <f t="shared" si="1"/>
        <v>0</v>
      </c>
      <c r="I98" s="203" t="s">
        <v>86</v>
      </c>
      <c r="J98" s="203" t="s">
        <v>153</v>
      </c>
      <c r="K98" s="203" t="s">
        <v>514</v>
      </c>
      <c r="L98" s="203" t="s">
        <v>511</v>
      </c>
      <c r="M98" s="203"/>
      <c r="N98" s="463"/>
      <c r="O98" s="203"/>
      <c r="P98" s="276"/>
      <c r="Q98" s="265"/>
      <c r="R98" s="265"/>
      <c r="S98" s="265"/>
      <c r="T98" s="267"/>
    </row>
    <row r="99" spans="1:20" ht="18" customHeight="1">
      <c r="A99" s="204">
        <v>96</v>
      </c>
      <c r="B99" s="202" t="s">
        <v>841</v>
      </c>
      <c r="C99" s="202" t="s">
        <v>841</v>
      </c>
      <c r="D99" s="202" t="s">
        <v>455</v>
      </c>
      <c r="E99" s="300">
        <v>36</v>
      </c>
      <c r="F99" s="210">
        <v>36</v>
      </c>
      <c r="G99" s="210">
        <v>36</v>
      </c>
      <c r="H99" s="210">
        <f t="shared" si="1"/>
        <v>0</v>
      </c>
      <c r="I99" s="203" t="s">
        <v>0</v>
      </c>
      <c r="J99" s="203" t="s">
        <v>1</v>
      </c>
      <c r="K99" s="203" t="s">
        <v>452</v>
      </c>
      <c r="L99" s="203" t="s">
        <v>451</v>
      </c>
      <c r="M99" s="203"/>
      <c r="N99" s="463"/>
      <c r="O99" s="203"/>
      <c r="P99" s="276"/>
      <c r="Q99" s="265"/>
      <c r="R99" s="265"/>
      <c r="S99" s="265"/>
      <c r="T99" s="267"/>
    </row>
    <row r="100" spans="1:20" ht="18" customHeight="1">
      <c r="A100" s="204">
        <v>97</v>
      </c>
      <c r="B100" s="202" t="s">
        <v>842</v>
      </c>
      <c r="C100" s="202" t="s">
        <v>842</v>
      </c>
      <c r="D100" s="202" t="s">
        <v>455</v>
      </c>
      <c r="E100" s="300">
        <v>92</v>
      </c>
      <c r="F100" s="210">
        <v>92</v>
      </c>
      <c r="G100" s="210">
        <v>92</v>
      </c>
      <c r="H100" s="210">
        <f t="shared" si="1"/>
        <v>0</v>
      </c>
      <c r="I100" s="203" t="s">
        <v>0</v>
      </c>
      <c r="J100" s="203" t="s">
        <v>1</v>
      </c>
      <c r="K100" s="203" t="s">
        <v>452</v>
      </c>
      <c r="L100" s="203" t="s">
        <v>451</v>
      </c>
      <c r="M100" s="203"/>
      <c r="N100" s="463"/>
      <c r="O100" s="203"/>
      <c r="P100" s="276"/>
      <c r="Q100" s="265"/>
      <c r="R100" s="265"/>
      <c r="S100" s="265"/>
      <c r="T100" s="267"/>
    </row>
    <row r="101" spans="1:20" ht="18" customHeight="1">
      <c r="A101" s="204">
        <v>98</v>
      </c>
      <c r="B101" s="202" t="s">
        <v>843</v>
      </c>
      <c r="C101" s="202" t="s">
        <v>843</v>
      </c>
      <c r="D101" s="202" t="s">
        <v>455</v>
      </c>
      <c r="E101" s="300">
        <v>60</v>
      </c>
      <c r="F101" s="210">
        <v>60</v>
      </c>
      <c r="G101" s="210">
        <v>60</v>
      </c>
      <c r="H101" s="210">
        <f t="shared" si="1"/>
        <v>0</v>
      </c>
      <c r="I101" s="203" t="s">
        <v>0</v>
      </c>
      <c r="J101" s="203" t="s">
        <v>87</v>
      </c>
      <c r="K101" s="203" t="s">
        <v>537</v>
      </c>
      <c r="L101" s="203" t="s">
        <v>451</v>
      </c>
      <c r="M101" s="203"/>
      <c r="N101" s="463"/>
      <c r="O101" s="203"/>
      <c r="P101" s="276"/>
      <c r="Q101" s="265"/>
      <c r="R101" s="265"/>
      <c r="S101" s="265"/>
      <c r="T101" s="267"/>
    </row>
    <row r="102" spans="1:20" ht="18" customHeight="1">
      <c r="A102" s="204">
        <v>99</v>
      </c>
      <c r="B102" s="202" t="s">
        <v>844</v>
      </c>
      <c r="C102" s="202" t="s">
        <v>844</v>
      </c>
      <c r="D102" s="202" t="s">
        <v>455</v>
      </c>
      <c r="E102" s="300">
        <v>30</v>
      </c>
      <c r="F102" s="210">
        <v>30</v>
      </c>
      <c r="G102" s="210">
        <v>30</v>
      </c>
      <c r="H102" s="210">
        <f t="shared" si="1"/>
        <v>0</v>
      </c>
      <c r="I102" s="203" t="s">
        <v>451</v>
      </c>
      <c r="J102" s="203" t="s">
        <v>452</v>
      </c>
      <c r="K102" s="203" t="s">
        <v>452</v>
      </c>
      <c r="L102" s="203" t="s">
        <v>451</v>
      </c>
      <c r="M102" s="203"/>
      <c r="N102" s="463"/>
      <c r="O102" s="203"/>
      <c r="P102" s="276"/>
      <c r="Q102" s="265"/>
      <c r="R102" s="265"/>
      <c r="S102" s="265"/>
      <c r="T102" s="267"/>
    </row>
    <row r="103" spans="1:20" ht="18" customHeight="1">
      <c r="A103" s="204">
        <v>100</v>
      </c>
      <c r="B103" s="202" t="s">
        <v>845</v>
      </c>
      <c r="C103" s="202" t="s">
        <v>845</v>
      </c>
      <c r="D103" s="202" t="s">
        <v>455</v>
      </c>
      <c r="E103" s="300">
        <v>23</v>
      </c>
      <c r="F103" s="210">
        <v>23</v>
      </c>
      <c r="G103" s="210">
        <v>23</v>
      </c>
      <c r="H103" s="210">
        <f t="shared" si="1"/>
        <v>0</v>
      </c>
      <c r="I103" s="203" t="s">
        <v>114</v>
      </c>
      <c r="J103" s="203" t="s">
        <v>115</v>
      </c>
      <c r="K103" s="203" t="s">
        <v>452</v>
      </c>
      <c r="L103" s="203" t="s">
        <v>451</v>
      </c>
      <c r="M103" s="203"/>
      <c r="N103" s="463"/>
      <c r="O103" s="203"/>
      <c r="P103" s="276"/>
      <c r="Q103" s="265"/>
      <c r="R103" s="265"/>
      <c r="S103" s="265"/>
      <c r="T103" s="267"/>
    </row>
    <row r="104" spans="1:20" ht="18" customHeight="1">
      <c r="A104" s="204">
        <v>101</v>
      </c>
      <c r="B104" s="202" t="s">
        <v>846</v>
      </c>
      <c r="C104" s="202" t="s">
        <v>846</v>
      </c>
      <c r="D104" s="202" t="s">
        <v>455</v>
      </c>
      <c r="E104" s="300">
        <v>36</v>
      </c>
      <c r="F104" s="210">
        <v>36</v>
      </c>
      <c r="G104" s="210">
        <v>36</v>
      </c>
      <c r="H104" s="210">
        <f t="shared" si="1"/>
        <v>0</v>
      </c>
      <c r="I104" s="203" t="s">
        <v>116</v>
      </c>
      <c r="J104" s="203" t="s">
        <v>115</v>
      </c>
      <c r="K104" s="203" t="s">
        <v>452</v>
      </c>
      <c r="L104" s="203" t="s">
        <v>451</v>
      </c>
      <c r="M104" s="203"/>
      <c r="N104" s="463"/>
      <c r="O104" s="203"/>
      <c r="P104" s="276"/>
      <c r="Q104" s="265"/>
      <c r="R104" s="265"/>
      <c r="S104" s="265"/>
      <c r="T104" s="267"/>
    </row>
    <row r="105" spans="1:20" ht="18" customHeight="1">
      <c r="A105" s="204">
        <v>102</v>
      </c>
      <c r="B105" s="202" t="s">
        <v>847</v>
      </c>
      <c r="C105" s="202" t="s">
        <v>847</v>
      </c>
      <c r="D105" s="202" t="s">
        <v>455</v>
      </c>
      <c r="E105" s="300">
        <v>41</v>
      </c>
      <c r="F105" s="210">
        <v>41</v>
      </c>
      <c r="G105" s="210">
        <v>41</v>
      </c>
      <c r="H105" s="210">
        <f t="shared" si="1"/>
        <v>0</v>
      </c>
      <c r="I105" s="203" t="s">
        <v>0</v>
      </c>
      <c r="J105" s="203" t="s">
        <v>1</v>
      </c>
      <c r="K105" s="203" t="s">
        <v>452</v>
      </c>
      <c r="L105" s="203" t="s">
        <v>451</v>
      </c>
      <c r="M105" s="203"/>
      <c r="N105" s="463"/>
      <c r="O105" s="203"/>
      <c r="P105" s="276"/>
      <c r="Q105" s="265"/>
      <c r="R105" s="265"/>
      <c r="S105" s="265"/>
      <c r="T105" s="265"/>
    </row>
    <row r="106" spans="1:20" ht="18" customHeight="1">
      <c r="A106" s="204">
        <v>103</v>
      </c>
      <c r="B106" s="202" t="s">
        <v>848</v>
      </c>
      <c r="C106" s="202" t="s">
        <v>848</v>
      </c>
      <c r="D106" s="202" t="s">
        <v>455</v>
      </c>
      <c r="E106" s="300">
        <v>103</v>
      </c>
      <c r="F106" s="210">
        <v>103</v>
      </c>
      <c r="G106" s="210">
        <v>103</v>
      </c>
      <c r="H106" s="210">
        <f t="shared" si="1"/>
        <v>0</v>
      </c>
      <c r="I106" s="203" t="s">
        <v>451</v>
      </c>
      <c r="J106" s="203" t="s">
        <v>452</v>
      </c>
      <c r="K106" s="203" t="s">
        <v>452</v>
      </c>
      <c r="L106" s="203" t="s">
        <v>451</v>
      </c>
      <c r="M106" s="203"/>
      <c r="N106" s="463"/>
      <c r="O106" s="203"/>
      <c r="P106" s="276"/>
      <c r="Q106" s="265"/>
      <c r="R106" s="265"/>
      <c r="S106" s="265"/>
      <c r="T106" s="265"/>
    </row>
    <row r="107" spans="1:20" ht="18" customHeight="1">
      <c r="A107" s="204">
        <v>104</v>
      </c>
      <c r="B107" s="202" t="s">
        <v>849</v>
      </c>
      <c r="C107" s="202" t="s">
        <v>849</v>
      </c>
      <c r="D107" s="202" t="s">
        <v>455</v>
      </c>
      <c r="E107" s="300">
        <v>360</v>
      </c>
      <c r="F107" s="210">
        <v>360</v>
      </c>
      <c r="G107" s="210">
        <v>360</v>
      </c>
      <c r="H107" s="210">
        <f t="shared" si="1"/>
        <v>0</v>
      </c>
      <c r="I107" s="203" t="s">
        <v>117</v>
      </c>
      <c r="J107" s="203" t="s">
        <v>115</v>
      </c>
      <c r="K107" s="203" t="s">
        <v>452</v>
      </c>
      <c r="L107" s="203" t="s">
        <v>451</v>
      </c>
      <c r="M107" s="203"/>
      <c r="N107" s="463"/>
      <c r="O107" s="203"/>
      <c r="P107" s="276"/>
      <c r="Q107" s="265"/>
      <c r="R107" s="265"/>
      <c r="S107" s="265"/>
      <c r="T107" s="265"/>
    </row>
    <row r="108" spans="1:20" ht="18" customHeight="1">
      <c r="A108" s="204">
        <v>105</v>
      </c>
      <c r="B108" s="202" t="s">
        <v>850</v>
      </c>
      <c r="C108" s="202" t="s">
        <v>850</v>
      </c>
      <c r="D108" s="202" t="s">
        <v>455</v>
      </c>
      <c r="E108" s="300">
        <v>7</v>
      </c>
      <c r="F108" s="210">
        <v>7</v>
      </c>
      <c r="G108" s="210">
        <v>7</v>
      </c>
      <c r="H108" s="210">
        <f t="shared" si="1"/>
        <v>0</v>
      </c>
      <c r="I108" s="203" t="s">
        <v>86</v>
      </c>
      <c r="J108" s="203" t="s">
        <v>153</v>
      </c>
      <c r="K108" s="203" t="s">
        <v>514</v>
      </c>
      <c r="L108" s="203" t="s">
        <v>511</v>
      </c>
      <c r="M108" s="203"/>
      <c r="N108" s="463"/>
      <c r="O108" s="203"/>
      <c r="P108" s="276"/>
      <c r="Q108" s="265"/>
      <c r="R108" s="265"/>
      <c r="S108" s="265"/>
      <c r="T108" s="265"/>
    </row>
    <row r="109" spans="1:20" ht="18" customHeight="1">
      <c r="A109" s="204">
        <v>106</v>
      </c>
      <c r="B109" s="202" t="s">
        <v>851</v>
      </c>
      <c r="C109" s="202" t="s">
        <v>851</v>
      </c>
      <c r="D109" s="202" t="s">
        <v>455</v>
      </c>
      <c r="E109" s="300">
        <v>196</v>
      </c>
      <c r="F109" s="210">
        <v>196</v>
      </c>
      <c r="G109" s="210">
        <v>196</v>
      </c>
      <c r="H109" s="210">
        <f t="shared" si="1"/>
        <v>0</v>
      </c>
      <c r="I109" s="203" t="s">
        <v>0</v>
      </c>
      <c r="J109" s="203" t="s">
        <v>1</v>
      </c>
      <c r="K109" s="203" t="s">
        <v>452</v>
      </c>
      <c r="L109" s="203" t="s">
        <v>451</v>
      </c>
      <c r="M109" s="203"/>
      <c r="N109" s="463"/>
      <c r="O109" s="203"/>
      <c r="P109" s="276"/>
      <c r="Q109" s="265"/>
      <c r="R109" s="265"/>
      <c r="S109" s="265"/>
      <c r="T109" s="265"/>
    </row>
    <row r="110" spans="1:20" ht="18" customHeight="1">
      <c r="A110" s="204">
        <v>107</v>
      </c>
      <c r="B110" s="202" t="s">
        <v>852</v>
      </c>
      <c r="C110" s="202" t="s">
        <v>852</v>
      </c>
      <c r="D110" s="202" t="s">
        <v>455</v>
      </c>
      <c r="E110" s="300">
        <v>1322</v>
      </c>
      <c r="F110" s="210">
        <v>716</v>
      </c>
      <c r="G110" s="210">
        <v>716</v>
      </c>
      <c r="H110" s="210">
        <f t="shared" si="1"/>
        <v>0</v>
      </c>
      <c r="I110" s="203" t="s">
        <v>86</v>
      </c>
      <c r="J110" s="203" t="s">
        <v>153</v>
      </c>
      <c r="K110" s="203" t="s">
        <v>514</v>
      </c>
      <c r="L110" s="203" t="s">
        <v>511</v>
      </c>
      <c r="M110" s="203"/>
      <c r="N110" s="463"/>
      <c r="O110" s="203"/>
      <c r="P110" s="276"/>
      <c r="Q110" s="265"/>
      <c r="R110" s="265"/>
      <c r="S110" s="265"/>
      <c r="T110" s="265"/>
    </row>
    <row r="111" spans="1:20" ht="18" customHeight="1">
      <c r="A111" s="204">
        <v>108</v>
      </c>
      <c r="B111" s="202" t="s">
        <v>853</v>
      </c>
      <c r="C111" s="202" t="s">
        <v>853</v>
      </c>
      <c r="D111" s="202" t="s">
        <v>455</v>
      </c>
      <c r="E111" s="300">
        <v>1094</v>
      </c>
      <c r="F111" s="210">
        <v>876</v>
      </c>
      <c r="G111" s="210">
        <v>876</v>
      </c>
      <c r="H111" s="210">
        <f t="shared" si="1"/>
        <v>0</v>
      </c>
      <c r="I111" s="203" t="s">
        <v>86</v>
      </c>
      <c r="J111" s="203" t="s">
        <v>153</v>
      </c>
      <c r="K111" s="203" t="s">
        <v>514</v>
      </c>
      <c r="L111" s="203" t="s">
        <v>511</v>
      </c>
      <c r="M111" s="203"/>
      <c r="N111" s="463"/>
      <c r="O111" s="203"/>
      <c r="P111" s="276"/>
      <c r="Q111" s="265"/>
      <c r="R111" s="265"/>
      <c r="S111" s="265"/>
      <c r="T111" s="265"/>
    </row>
    <row r="112" spans="1:20" ht="18" customHeight="1">
      <c r="A112" s="204">
        <v>109</v>
      </c>
      <c r="B112" s="202" t="s">
        <v>854</v>
      </c>
      <c r="C112" s="202" t="s">
        <v>854</v>
      </c>
      <c r="D112" s="202" t="s">
        <v>455</v>
      </c>
      <c r="E112" s="300">
        <v>258</v>
      </c>
      <c r="F112" s="210">
        <v>258</v>
      </c>
      <c r="G112" s="210">
        <v>258</v>
      </c>
      <c r="H112" s="210">
        <f t="shared" si="1"/>
        <v>0</v>
      </c>
      <c r="I112" s="203" t="s">
        <v>86</v>
      </c>
      <c r="J112" s="203" t="s">
        <v>153</v>
      </c>
      <c r="K112" s="203" t="s">
        <v>514</v>
      </c>
      <c r="L112" s="203" t="s">
        <v>511</v>
      </c>
      <c r="M112" s="203"/>
      <c r="N112" s="463"/>
      <c r="O112" s="203"/>
      <c r="P112" s="276"/>
      <c r="Q112" s="265"/>
      <c r="R112" s="265"/>
      <c r="S112" s="265"/>
      <c r="T112" s="265"/>
    </row>
    <row r="113" spans="1:23" ht="18" customHeight="1">
      <c r="A113" s="204">
        <v>110</v>
      </c>
      <c r="B113" s="202" t="s">
        <v>855</v>
      </c>
      <c r="C113" s="202" t="s">
        <v>855</v>
      </c>
      <c r="D113" s="202" t="s">
        <v>455</v>
      </c>
      <c r="E113" s="300">
        <v>43</v>
      </c>
      <c r="F113" s="210">
        <v>5</v>
      </c>
      <c r="G113" s="210">
        <v>5</v>
      </c>
      <c r="H113" s="210">
        <f t="shared" si="1"/>
        <v>0</v>
      </c>
      <c r="I113" s="203" t="s">
        <v>0</v>
      </c>
      <c r="J113" s="203" t="s">
        <v>1</v>
      </c>
      <c r="K113" s="203" t="s">
        <v>452</v>
      </c>
      <c r="L113" s="203" t="s">
        <v>451</v>
      </c>
      <c r="M113" s="203"/>
      <c r="N113" s="463"/>
      <c r="O113" s="203"/>
      <c r="P113" s="276"/>
      <c r="Q113" s="265"/>
      <c r="R113" s="265"/>
      <c r="S113" s="265"/>
      <c r="T113" s="265"/>
    </row>
    <row r="114" spans="1:23" ht="18" customHeight="1">
      <c r="A114" s="204">
        <v>111</v>
      </c>
      <c r="B114" s="202" t="s">
        <v>856</v>
      </c>
      <c r="C114" s="202" t="s">
        <v>856</v>
      </c>
      <c r="D114" s="202" t="s">
        <v>455</v>
      </c>
      <c r="E114" s="300">
        <v>440</v>
      </c>
      <c r="F114" s="210">
        <v>288</v>
      </c>
      <c r="G114" s="210">
        <v>288</v>
      </c>
      <c r="H114" s="210">
        <f t="shared" si="1"/>
        <v>0</v>
      </c>
      <c r="I114" s="203" t="s">
        <v>0</v>
      </c>
      <c r="J114" s="203" t="s">
        <v>1</v>
      </c>
      <c r="K114" s="203" t="s">
        <v>452</v>
      </c>
      <c r="L114" s="203" t="s">
        <v>451</v>
      </c>
      <c r="M114" s="203"/>
      <c r="N114" s="463"/>
      <c r="O114" s="203"/>
      <c r="P114" s="276"/>
      <c r="Q114" s="265"/>
      <c r="R114" s="265"/>
      <c r="S114" s="265"/>
      <c r="T114" s="265"/>
    </row>
    <row r="115" spans="1:23" ht="18" customHeight="1">
      <c r="A115" s="204">
        <v>112</v>
      </c>
      <c r="B115" s="202" t="s">
        <v>857</v>
      </c>
      <c r="C115" s="202" t="s">
        <v>857</v>
      </c>
      <c r="D115" s="202" t="s">
        <v>455</v>
      </c>
      <c r="E115" s="300">
        <v>562</v>
      </c>
      <c r="F115" s="210">
        <v>503</v>
      </c>
      <c r="G115" s="210">
        <v>503</v>
      </c>
      <c r="H115" s="210">
        <f t="shared" si="1"/>
        <v>0</v>
      </c>
      <c r="I115" s="203" t="s">
        <v>86</v>
      </c>
      <c r="J115" s="203" t="s">
        <v>153</v>
      </c>
      <c r="K115" s="203" t="s">
        <v>514</v>
      </c>
      <c r="L115" s="203" t="s">
        <v>511</v>
      </c>
      <c r="M115" s="203"/>
      <c r="N115" s="463"/>
      <c r="O115" s="203"/>
      <c r="P115" s="276"/>
      <c r="Q115" s="265"/>
      <c r="R115" s="265"/>
      <c r="S115" s="265"/>
      <c r="T115" s="265"/>
    </row>
    <row r="116" spans="1:23" ht="18" customHeight="1">
      <c r="A116" s="204">
        <v>113</v>
      </c>
      <c r="B116" s="202" t="s">
        <v>858</v>
      </c>
      <c r="C116" s="202" t="s">
        <v>858</v>
      </c>
      <c r="D116" s="202" t="s">
        <v>455</v>
      </c>
      <c r="E116" s="300">
        <v>35</v>
      </c>
      <c r="F116" s="210">
        <v>19</v>
      </c>
      <c r="G116" s="210">
        <v>19</v>
      </c>
      <c r="H116" s="210">
        <f t="shared" si="1"/>
        <v>0</v>
      </c>
      <c r="I116" s="203" t="s">
        <v>0</v>
      </c>
      <c r="J116" s="203" t="s">
        <v>1</v>
      </c>
      <c r="K116" s="203" t="s">
        <v>452</v>
      </c>
      <c r="L116" s="203" t="s">
        <v>451</v>
      </c>
      <c r="M116" s="203"/>
      <c r="N116" s="463"/>
      <c r="O116" s="203"/>
      <c r="P116" s="276"/>
      <c r="Q116" s="265"/>
      <c r="R116" s="265"/>
      <c r="S116" s="265"/>
      <c r="T116" s="265"/>
    </row>
    <row r="117" spans="1:23" ht="18" customHeight="1">
      <c r="A117" s="204">
        <v>114</v>
      </c>
      <c r="B117" s="202" t="s">
        <v>859</v>
      </c>
      <c r="C117" s="202" t="s">
        <v>859</v>
      </c>
      <c r="D117" s="202" t="s">
        <v>455</v>
      </c>
      <c r="E117" s="300">
        <v>93</v>
      </c>
      <c r="F117" s="210">
        <v>93</v>
      </c>
      <c r="G117" s="210">
        <v>93</v>
      </c>
      <c r="H117" s="210">
        <f t="shared" si="1"/>
        <v>0</v>
      </c>
      <c r="I117" s="203" t="s">
        <v>118</v>
      </c>
      <c r="J117" s="203" t="s">
        <v>119</v>
      </c>
      <c r="K117" s="203" t="s">
        <v>452</v>
      </c>
      <c r="L117" s="203" t="s">
        <v>451</v>
      </c>
      <c r="M117" s="203"/>
      <c r="N117" s="463"/>
      <c r="O117" s="203"/>
      <c r="P117" s="276"/>
      <c r="Q117" s="265"/>
      <c r="R117" s="265"/>
      <c r="S117" s="265"/>
      <c r="T117" s="265"/>
    </row>
    <row r="118" spans="1:23" ht="18" customHeight="1">
      <c r="A118" s="204">
        <v>115</v>
      </c>
      <c r="B118" s="202" t="s">
        <v>860</v>
      </c>
      <c r="C118" s="202" t="s">
        <v>860</v>
      </c>
      <c r="D118" s="202" t="s">
        <v>455</v>
      </c>
      <c r="E118" s="300">
        <v>123</v>
      </c>
      <c r="F118" s="210">
        <v>123</v>
      </c>
      <c r="G118" s="210">
        <v>123</v>
      </c>
      <c r="H118" s="210">
        <f t="shared" si="1"/>
        <v>0</v>
      </c>
      <c r="I118" s="203" t="s">
        <v>0</v>
      </c>
      <c r="J118" s="203" t="s">
        <v>1</v>
      </c>
      <c r="K118" s="203" t="s">
        <v>452</v>
      </c>
      <c r="L118" s="203" t="s">
        <v>451</v>
      </c>
      <c r="M118" s="203"/>
      <c r="N118" s="463"/>
      <c r="O118" s="203"/>
      <c r="P118" s="276"/>
      <c r="Q118" s="265"/>
      <c r="R118" s="265"/>
      <c r="S118" s="265"/>
      <c r="T118" s="265"/>
    </row>
    <row r="119" spans="1:23" ht="18" customHeight="1">
      <c r="A119" s="204">
        <v>116</v>
      </c>
      <c r="B119" s="202" t="s">
        <v>861</v>
      </c>
      <c r="C119" s="202" t="s">
        <v>861</v>
      </c>
      <c r="D119" s="202" t="s">
        <v>462</v>
      </c>
      <c r="E119" s="300">
        <v>7643</v>
      </c>
      <c r="F119" s="210">
        <v>118</v>
      </c>
      <c r="G119" s="210">
        <v>118</v>
      </c>
      <c r="H119" s="210">
        <f t="shared" si="1"/>
        <v>0</v>
      </c>
      <c r="I119" s="203" t="s">
        <v>86</v>
      </c>
      <c r="J119" s="203" t="s">
        <v>88</v>
      </c>
      <c r="K119" s="203" t="s">
        <v>512</v>
      </c>
      <c r="L119" s="203" t="s">
        <v>511</v>
      </c>
      <c r="M119" s="203"/>
      <c r="N119" s="463"/>
      <c r="O119" s="203"/>
      <c r="P119" s="276"/>
      <c r="Q119" s="265"/>
      <c r="R119" s="265"/>
      <c r="S119" s="265"/>
      <c r="T119" s="265"/>
    </row>
    <row r="120" spans="1:23" ht="18" customHeight="1">
      <c r="A120" s="204">
        <v>117</v>
      </c>
      <c r="B120" s="202" t="s">
        <v>862</v>
      </c>
      <c r="C120" s="202" t="s">
        <v>862</v>
      </c>
      <c r="D120" s="202" t="s">
        <v>455</v>
      </c>
      <c r="E120" s="300">
        <v>281</v>
      </c>
      <c r="F120" s="210">
        <v>281</v>
      </c>
      <c r="G120" s="210">
        <v>281</v>
      </c>
      <c r="H120" s="210">
        <f t="shared" si="1"/>
        <v>0</v>
      </c>
      <c r="I120" s="203" t="s">
        <v>86</v>
      </c>
      <c r="J120" s="203" t="s">
        <v>153</v>
      </c>
      <c r="K120" s="203" t="s">
        <v>514</v>
      </c>
      <c r="L120" s="203" t="s">
        <v>511</v>
      </c>
      <c r="M120" s="203"/>
      <c r="N120" s="463"/>
      <c r="O120" s="203"/>
      <c r="P120" s="276"/>
      <c r="Q120" s="265"/>
      <c r="R120" s="265"/>
      <c r="S120" s="265"/>
      <c r="T120" s="267"/>
    </row>
    <row r="121" spans="1:23" ht="18" customHeight="1">
      <c r="A121" s="204">
        <v>118</v>
      </c>
      <c r="B121" s="202" t="s">
        <v>863</v>
      </c>
      <c r="C121" s="202" t="s">
        <v>863</v>
      </c>
      <c r="D121" s="202" t="s">
        <v>455</v>
      </c>
      <c r="E121" s="300">
        <v>198</v>
      </c>
      <c r="F121" s="210">
        <v>198</v>
      </c>
      <c r="G121" s="210">
        <v>198</v>
      </c>
      <c r="H121" s="210">
        <f t="shared" si="1"/>
        <v>0</v>
      </c>
      <c r="I121" s="203" t="s">
        <v>120</v>
      </c>
      <c r="J121" s="203" t="s">
        <v>121</v>
      </c>
      <c r="K121" s="203" t="s">
        <v>452</v>
      </c>
      <c r="L121" s="203" t="s">
        <v>451</v>
      </c>
      <c r="M121" s="203"/>
      <c r="N121" s="463"/>
      <c r="O121" s="203"/>
      <c r="P121" s="276"/>
      <c r="Q121" s="265"/>
      <c r="R121" s="265"/>
      <c r="S121" s="265"/>
      <c r="T121" s="267"/>
    </row>
    <row r="122" spans="1:23" ht="18" customHeight="1">
      <c r="A122" s="204">
        <v>119</v>
      </c>
      <c r="B122" s="202" t="s">
        <v>864</v>
      </c>
      <c r="C122" s="202" t="s">
        <v>864</v>
      </c>
      <c r="D122" s="202" t="s">
        <v>455</v>
      </c>
      <c r="E122" s="300">
        <v>484</v>
      </c>
      <c r="F122" s="210">
        <v>404</v>
      </c>
      <c r="G122" s="210">
        <v>404</v>
      </c>
      <c r="H122" s="210">
        <f t="shared" si="1"/>
        <v>0</v>
      </c>
      <c r="I122" s="203" t="s">
        <v>0</v>
      </c>
      <c r="J122" s="203" t="s">
        <v>1</v>
      </c>
      <c r="K122" s="203" t="s">
        <v>452</v>
      </c>
      <c r="L122" s="203" t="s">
        <v>451</v>
      </c>
      <c r="M122" s="203"/>
      <c r="N122" s="463"/>
      <c r="O122" s="203"/>
      <c r="P122" s="276"/>
      <c r="Q122" s="265"/>
      <c r="R122" s="265"/>
      <c r="S122" s="265"/>
      <c r="T122" s="267"/>
    </row>
    <row r="123" spans="1:23" ht="18" customHeight="1">
      <c r="A123" s="204">
        <v>120</v>
      </c>
      <c r="B123" s="202" t="s">
        <v>865</v>
      </c>
      <c r="C123" s="202" t="s">
        <v>865</v>
      </c>
      <c r="D123" s="202" t="s">
        <v>455</v>
      </c>
      <c r="E123" s="300">
        <v>273</v>
      </c>
      <c r="F123" s="210">
        <v>125</v>
      </c>
      <c r="G123" s="210">
        <v>125</v>
      </c>
      <c r="H123" s="210">
        <f t="shared" si="1"/>
        <v>0</v>
      </c>
      <c r="I123" s="203" t="s">
        <v>0</v>
      </c>
      <c r="J123" s="203" t="s">
        <v>1</v>
      </c>
      <c r="K123" s="203" t="s">
        <v>452</v>
      </c>
      <c r="L123" s="203" t="s">
        <v>451</v>
      </c>
      <c r="M123" s="203"/>
      <c r="N123" s="463"/>
      <c r="O123" s="203"/>
      <c r="P123" s="276"/>
      <c r="Q123" s="265"/>
      <c r="R123" s="265"/>
      <c r="S123" s="265"/>
      <c r="T123" s="267"/>
    </row>
    <row r="124" spans="1:23" ht="18" customHeight="1">
      <c r="A124" s="204">
        <v>121</v>
      </c>
      <c r="B124" s="202" t="s">
        <v>866</v>
      </c>
      <c r="C124" s="202" t="s">
        <v>866</v>
      </c>
      <c r="D124" s="202" t="s">
        <v>455</v>
      </c>
      <c r="E124" s="300">
        <v>654</v>
      </c>
      <c r="F124" s="210">
        <v>151</v>
      </c>
      <c r="G124" s="210">
        <v>151</v>
      </c>
      <c r="H124" s="210">
        <f t="shared" si="1"/>
        <v>0</v>
      </c>
      <c r="I124" s="203" t="s">
        <v>0</v>
      </c>
      <c r="J124" s="203" t="s">
        <v>1</v>
      </c>
      <c r="K124" s="203" t="s">
        <v>452</v>
      </c>
      <c r="L124" s="203" t="s">
        <v>451</v>
      </c>
      <c r="M124" s="203"/>
      <c r="N124" s="463"/>
      <c r="O124" s="203"/>
      <c r="P124" s="276"/>
      <c r="Q124" s="265"/>
      <c r="R124" s="265"/>
      <c r="S124" s="265"/>
      <c r="T124" s="284"/>
      <c r="U124" s="265"/>
      <c r="V124" s="265"/>
      <c r="W124" s="265"/>
    </row>
    <row r="125" spans="1:23" ht="18" customHeight="1">
      <c r="A125" s="204">
        <v>122</v>
      </c>
      <c r="B125" s="202" t="s">
        <v>867</v>
      </c>
      <c r="C125" s="202" t="s">
        <v>867</v>
      </c>
      <c r="D125" s="202" t="s">
        <v>455</v>
      </c>
      <c r="E125" s="300">
        <v>524</v>
      </c>
      <c r="F125" s="210">
        <v>212</v>
      </c>
      <c r="G125" s="210">
        <v>212</v>
      </c>
      <c r="H125" s="210">
        <f t="shared" si="1"/>
        <v>0</v>
      </c>
      <c r="I125" s="203" t="s">
        <v>0</v>
      </c>
      <c r="J125" s="203" t="s">
        <v>1</v>
      </c>
      <c r="K125" s="203" t="s">
        <v>452</v>
      </c>
      <c r="L125" s="203" t="s">
        <v>451</v>
      </c>
      <c r="M125" s="203"/>
      <c r="N125" s="463"/>
      <c r="O125" s="203"/>
      <c r="P125" s="276"/>
      <c r="Q125" s="265"/>
      <c r="R125" s="265"/>
      <c r="S125" s="265"/>
      <c r="T125" s="265"/>
    </row>
    <row r="126" spans="1:23" ht="18" customHeight="1">
      <c r="A126" s="204">
        <v>123</v>
      </c>
      <c r="B126" s="202" t="s">
        <v>868</v>
      </c>
      <c r="C126" s="202" t="s">
        <v>868</v>
      </c>
      <c r="D126" s="202" t="s">
        <v>898</v>
      </c>
      <c r="E126" s="300"/>
      <c r="F126" s="210">
        <v>916</v>
      </c>
      <c r="G126" s="210">
        <v>916</v>
      </c>
      <c r="H126" s="210">
        <f t="shared" si="1"/>
        <v>0</v>
      </c>
      <c r="I126" s="203" t="s">
        <v>604</v>
      </c>
      <c r="J126" s="203"/>
      <c r="K126" s="203" t="s">
        <v>1462</v>
      </c>
      <c r="L126" s="203" t="s">
        <v>511</v>
      </c>
      <c r="M126" s="203"/>
      <c r="N126" s="463"/>
      <c r="O126" s="203"/>
      <c r="P126" s="276"/>
      <c r="Q126" s="265"/>
      <c r="R126" s="265"/>
      <c r="S126" s="265"/>
      <c r="T126" s="265"/>
    </row>
    <row r="127" spans="1:23" ht="18" customHeight="1">
      <c r="A127" s="204">
        <v>124</v>
      </c>
      <c r="B127" s="202" t="s">
        <v>869</v>
      </c>
      <c r="C127" s="202" t="s">
        <v>869</v>
      </c>
      <c r="D127" s="202" t="s">
        <v>898</v>
      </c>
      <c r="E127" s="300"/>
      <c r="F127" s="210">
        <v>420</v>
      </c>
      <c r="G127" s="210">
        <v>420</v>
      </c>
      <c r="H127" s="210">
        <f t="shared" si="1"/>
        <v>0</v>
      </c>
      <c r="I127" s="203" t="s">
        <v>604</v>
      </c>
      <c r="J127" s="203"/>
      <c r="K127" s="203" t="s">
        <v>1462</v>
      </c>
      <c r="L127" s="203" t="s">
        <v>511</v>
      </c>
      <c r="M127" s="203"/>
      <c r="N127" s="463"/>
      <c r="O127" s="203"/>
      <c r="P127" s="276"/>
      <c r="Q127" s="265"/>
      <c r="R127" s="265"/>
      <c r="S127" s="265"/>
      <c r="T127" s="265"/>
    </row>
    <row r="128" spans="1:23" ht="18" customHeight="1">
      <c r="A128" s="204">
        <v>125</v>
      </c>
      <c r="B128" s="202" t="s">
        <v>870</v>
      </c>
      <c r="C128" s="202" t="s">
        <v>870</v>
      </c>
      <c r="D128" s="202" t="s">
        <v>455</v>
      </c>
      <c r="E128" s="300">
        <v>42</v>
      </c>
      <c r="F128" s="210">
        <v>4</v>
      </c>
      <c r="G128" s="210">
        <v>4</v>
      </c>
      <c r="H128" s="210">
        <f t="shared" si="1"/>
        <v>0</v>
      </c>
      <c r="I128" s="203" t="s">
        <v>0</v>
      </c>
      <c r="J128" s="203" t="s">
        <v>1</v>
      </c>
      <c r="K128" s="203" t="s">
        <v>452</v>
      </c>
      <c r="L128" s="203" t="s">
        <v>451</v>
      </c>
      <c r="M128" s="203"/>
      <c r="N128" s="463"/>
      <c r="O128" s="203"/>
      <c r="P128" s="276"/>
      <c r="Q128" s="265"/>
      <c r="R128" s="265"/>
      <c r="S128" s="265"/>
      <c r="T128" s="265"/>
    </row>
    <row r="129" spans="1:23" ht="18" customHeight="1">
      <c r="A129" s="204">
        <v>126</v>
      </c>
      <c r="B129" s="202" t="s">
        <v>871</v>
      </c>
      <c r="C129" s="202" t="s">
        <v>871</v>
      </c>
      <c r="D129" s="202" t="s">
        <v>455</v>
      </c>
      <c r="E129" s="300">
        <v>362</v>
      </c>
      <c r="F129" s="210">
        <v>362</v>
      </c>
      <c r="G129" s="210">
        <v>362</v>
      </c>
      <c r="H129" s="210">
        <f t="shared" si="1"/>
        <v>0</v>
      </c>
      <c r="I129" s="203" t="s">
        <v>0</v>
      </c>
      <c r="J129" s="203" t="s">
        <v>1</v>
      </c>
      <c r="K129" s="203" t="s">
        <v>452</v>
      </c>
      <c r="L129" s="203" t="s">
        <v>451</v>
      </c>
      <c r="M129" s="203"/>
      <c r="N129" s="463"/>
      <c r="O129" s="203"/>
      <c r="P129" s="276"/>
      <c r="Q129" s="265"/>
      <c r="R129" s="265"/>
      <c r="S129" s="265"/>
      <c r="T129" s="265"/>
    </row>
    <row r="130" spans="1:23" ht="18" customHeight="1">
      <c r="A130" s="204">
        <v>127</v>
      </c>
      <c r="B130" s="202" t="s">
        <v>872</v>
      </c>
      <c r="C130" s="202" t="s">
        <v>872</v>
      </c>
      <c r="D130" s="202" t="s">
        <v>455</v>
      </c>
      <c r="E130" s="300">
        <v>453</v>
      </c>
      <c r="F130" s="210">
        <v>453</v>
      </c>
      <c r="G130" s="210">
        <v>453</v>
      </c>
      <c r="H130" s="210">
        <f t="shared" si="1"/>
        <v>0</v>
      </c>
      <c r="I130" s="203" t="s">
        <v>86</v>
      </c>
      <c r="J130" s="203" t="s">
        <v>153</v>
      </c>
      <c r="K130" s="203" t="s">
        <v>514</v>
      </c>
      <c r="L130" s="203" t="s">
        <v>511</v>
      </c>
      <c r="M130" s="203"/>
      <c r="N130" s="463"/>
      <c r="O130" s="203"/>
      <c r="P130" s="276"/>
      <c r="Q130" s="265"/>
      <c r="R130" s="265"/>
      <c r="S130" s="265"/>
      <c r="T130" s="265"/>
    </row>
    <row r="131" spans="1:23" ht="18" customHeight="1">
      <c r="A131" s="204">
        <v>128</v>
      </c>
      <c r="B131" s="202" t="s">
        <v>873</v>
      </c>
      <c r="C131" s="202" t="s">
        <v>873</v>
      </c>
      <c r="D131" s="202" t="s">
        <v>455</v>
      </c>
      <c r="E131" s="300">
        <v>132</v>
      </c>
      <c r="F131" s="210">
        <v>132</v>
      </c>
      <c r="G131" s="210">
        <v>132</v>
      </c>
      <c r="H131" s="210">
        <f t="shared" si="1"/>
        <v>0</v>
      </c>
      <c r="I131" s="203" t="s">
        <v>86</v>
      </c>
      <c r="J131" s="203" t="s">
        <v>153</v>
      </c>
      <c r="K131" s="203" t="s">
        <v>514</v>
      </c>
      <c r="L131" s="203" t="s">
        <v>511</v>
      </c>
      <c r="M131" s="203"/>
      <c r="N131" s="463"/>
      <c r="O131" s="203"/>
      <c r="P131" s="276"/>
      <c r="Q131" s="265"/>
      <c r="R131" s="265"/>
      <c r="S131" s="265"/>
      <c r="T131" s="265"/>
    </row>
    <row r="132" spans="1:23" ht="18" customHeight="1">
      <c r="A132" s="204">
        <v>129</v>
      </c>
      <c r="B132" s="202" t="s">
        <v>874</v>
      </c>
      <c r="C132" s="202" t="s">
        <v>874</v>
      </c>
      <c r="D132" s="202" t="s">
        <v>455</v>
      </c>
      <c r="E132" s="300">
        <v>102</v>
      </c>
      <c r="F132" s="210">
        <v>102</v>
      </c>
      <c r="G132" s="210">
        <v>102</v>
      </c>
      <c r="H132" s="210">
        <f t="shared" si="1"/>
        <v>0</v>
      </c>
      <c r="I132" s="203" t="s">
        <v>0</v>
      </c>
      <c r="J132" s="203" t="s">
        <v>87</v>
      </c>
      <c r="K132" s="203" t="s">
        <v>537</v>
      </c>
      <c r="L132" s="203" t="s">
        <v>451</v>
      </c>
      <c r="M132" s="203"/>
      <c r="N132" s="463"/>
      <c r="O132" s="203"/>
      <c r="P132" s="276"/>
      <c r="Q132" s="265"/>
      <c r="R132" s="265"/>
      <c r="S132" s="265"/>
      <c r="T132" s="265"/>
    </row>
    <row r="133" spans="1:23" ht="18" customHeight="1">
      <c r="A133" s="204">
        <v>130</v>
      </c>
      <c r="B133" s="202" t="s">
        <v>875</v>
      </c>
      <c r="C133" s="202" t="s">
        <v>875</v>
      </c>
      <c r="D133" s="202" t="s">
        <v>455</v>
      </c>
      <c r="E133" s="300">
        <v>571</v>
      </c>
      <c r="F133" s="210">
        <v>571</v>
      </c>
      <c r="G133" s="210">
        <v>571</v>
      </c>
      <c r="H133" s="210">
        <f t="shared" si="1"/>
        <v>0</v>
      </c>
      <c r="I133" s="203" t="s">
        <v>0</v>
      </c>
      <c r="J133" s="203" t="s">
        <v>1</v>
      </c>
      <c r="K133" s="203" t="s">
        <v>452</v>
      </c>
      <c r="L133" s="203" t="s">
        <v>451</v>
      </c>
      <c r="M133" s="203"/>
      <c r="N133" s="463"/>
      <c r="O133" s="203"/>
      <c r="P133" s="276"/>
      <c r="Q133" s="265"/>
      <c r="R133" s="265"/>
      <c r="S133" s="265"/>
      <c r="T133" s="265"/>
    </row>
    <row r="134" spans="1:23" ht="18" customHeight="1">
      <c r="A134" s="204">
        <v>131</v>
      </c>
      <c r="B134" s="202" t="s">
        <v>876</v>
      </c>
      <c r="C134" s="202" t="s">
        <v>876</v>
      </c>
      <c r="D134" s="202" t="s">
        <v>455</v>
      </c>
      <c r="E134" s="300">
        <v>271</v>
      </c>
      <c r="F134" s="210">
        <v>271</v>
      </c>
      <c r="G134" s="210">
        <v>271</v>
      </c>
      <c r="H134" s="210">
        <f t="shared" ref="H134:H154" si="2">G134-F134</f>
        <v>0</v>
      </c>
      <c r="I134" s="203" t="s">
        <v>86</v>
      </c>
      <c r="J134" s="203" t="s">
        <v>153</v>
      </c>
      <c r="K134" s="203" t="s">
        <v>514</v>
      </c>
      <c r="L134" s="203" t="s">
        <v>511</v>
      </c>
      <c r="M134" s="203"/>
      <c r="N134" s="463"/>
      <c r="O134" s="203"/>
      <c r="P134" s="276"/>
      <c r="Q134" s="265"/>
      <c r="R134" s="265"/>
      <c r="S134" s="265"/>
      <c r="T134" s="265"/>
    </row>
    <row r="135" spans="1:23" ht="18" customHeight="1">
      <c r="A135" s="204">
        <v>132</v>
      </c>
      <c r="B135" s="202" t="s">
        <v>877</v>
      </c>
      <c r="C135" s="202" t="s">
        <v>877</v>
      </c>
      <c r="D135" s="202" t="s">
        <v>455</v>
      </c>
      <c r="E135" s="300">
        <v>261</v>
      </c>
      <c r="F135" s="210">
        <v>261</v>
      </c>
      <c r="G135" s="210">
        <v>261</v>
      </c>
      <c r="H135" s="210">
        <f t="shared" si="2"/>
        <v>0</v>
      </c>
      <c r="I135" s="203" t="s">
        <v>427</v>
      </c>
      <c r="J135" s="203" t="s">
        <v>122</v>
      </c>
      <c r="K135" s="203" t="s">
        <v>452</v>
      </c>
      <c r="L135" s="203" t="s">
        <v>451</v>
      </c>
      <c r="M135" s="203"/>
      <c r="N135" s="463"/>
      <c r="O135" s="203"/>
      <c r="P135" s="276"/>
      <c r="Q135" s="265"/>
      <c r="R135" s="265"/>
      <c r="S135" s="265"/>
      <c r="T135" s="265"/>
    </row>
    <row r="136" spans="1:23" ht="18" customHeight="1">
      <c r="A136" s="204">
        <v>133</v>
      </c>
      <c r="B136" s="202" t="s">
        <v>878</v>
      </c>
      <c r="C136" s="202" t="s">
        <v>878</v>
      </c>
      <c r="D136" s="202" t="s">
        <v>455</v>
      </c>
      <c r="E136" s="300">
        <v>81</v>
      </c>
      <c r="F136" s="210">
        <v>81</v>
      </c>
      <c r="G136" s="210">
        <v>81</v>
      </c>
      <c r="H136" s="210">
        <f t="shared" si="2"/>
        <v>0</v>
      </c>
      <c r="I136" s="203" t="s">
        <v>0</v>
      </c>
      <c r="J136" s="203" t="s">
        <v>1</v>
      </c>
      <c r="K136" s="203" t="s">
        <v>452</v>
      </c>
      <c r="L136" s="203" t="s">
        <v>451</v>
      </c>
      <c r="M136" s="203"/>
      <c r="N136" s="463"/>
      <c r="O136" s="203"/>
      <c r="P136" s="276"/>
      <c r="Q136" s="265"/>
      <c r="R136" s="265"/>
      <c r="S136" s="265"/>
      <c r="T136" s="265"/>
    </row>
    <row r="137" spans="1:23" ht="18" customHeight="1">
      <c r="A137" s="204">
        <v>134</v>
      </c>
      <c r="B137" s="202" t="s">
        <v>879</v>
      </c>
      <c r="C137" s="202" t="s">
        <v>879</v>
      </c>
      <c r="D137" s="202" t="s">
        <v>455</v>
      </c>
      <c r="E137" s="300">
        <v>23</v>
      </c>
      <c r="F137" s="210">
        <v>23</v>
      </c>
      <c r="G137" s="210">
        <v>23</v>
      </c>
      <c r="H137" s="210">
        <f t="shared" si="2"/>
        <v>0</v>
      </c>
      <c r="I137" s="203" t="s">
        <v>0</v>
      </c>
      <c r="J137" s="203" t="s">
        <v>87</v>
      </c>
      <c r="K137" s="203" t="s">
        <v>537</v>
      </c>
      <c r="L137" s="203" t="s">
        <v>451</v>
      </c>
      <c r="M137" s="203"/>
      <c r="N137" s="463"/>
      <c r="O137" s="203"/>
      <c r="P137" s="276"/>
      <c r="Q137" s="265"/>
      <c r="R137" s="265"/>
      <c r="S137" s="265"/>
      <c r="T137" s="265"/>
    </row>
    <row r="138" spans="1:23" ht="18" customHeight="1">
      <c r="A138" s="204">
        <v>135</v>
      </c>
      <c r="B138" s="202" t="s">
        <v>880</v>
      </c>
      <c r="C138" s="202" t="s">
        <v>880</v>
      </c>
      <c r="D138" s="202" t="s">
        <v>455</v>
      </c>
      <c r="E138" s="300">
        <v>76</v>
      </c>
      <c r="F138" s="210">
        <v>76</v>
      </c>
      <c r="G138" s="210">
        <v>76</v>
      </c>
      <c r="H138" s="210">
        <f t="shared" si="2"/>
        <v>0</v>
      </c>
      <c r="I138" s="203" t="s">
        <v>0</v>
      </c>
      <c r="J138" s="203" t="s">
        <v>1</v>
      </c>
      <c r="K138" s="203" t="s">
        <v>452</v>
      </c>
      <c r="L138" s="203" t="s">
        <v>451</v>
      </c>
      <c r="M138" s="203"/>
      <c r="N138" s="463"/>
      <c r="O138" s="203"/>
      <c r="P138" s="276"/>
      <c r="Q138" s="265"/>
      <c r="R138" s="265"/>
      <c r="S138" s="265"/>
      <c r="T138" s="265"/>
    </row>
    <row r="139" spans="1:23" ht="18" customHeight="1">
      <c r="A139" s="204">
        <v>136</v>
      </c>
      <c r="B139" s="202" t="s">
        <v>881</v>
      </c>
      <c r="C139" s="202" t="s">
        <v>881</v>
      </c>
      <c r="D139" s="202" t="s">
        <v>455</v>
      </c>
      <c r="E139" s="300">
        <v>415</v>
      </c>
      <c r="F139" s="210">
        <v>415</v>
      </c>
      <c r="G139" s="210">
        <v>415</v>
      </c>
      <c r="H139" s="210">
        <f t="shared" si="2"/>
        <v>0</v>
      </c>
      <c r="I139" s="203" t="s">
        <v>0</v>
      </c>
      <c r="J139" s="203" t="s">
        <v>1</v>
      </c>
      <c r="K139" s="203" t="s">
        <v>452</v>
      </c>
      <c r="L139" s="203" t="s">
        <v>451</v>
      </c>
      <c r="M139" s="203"/>
      <c r="N139" s="463"/>
      <c r="O139" s="203"/>
      <c r="P139" s="276"/>
      <c r="Q139" s="265"/>
      <c r="R139" s="265"/>
      <c r="S139" s="265"/>
      <c r="T139" s="265"/>
    </row>
    <row r="140" spans="1:23" ht="18" customHeight="1">
      <c r="A140" s="204">
        <v>137</v>
      </c>
      <c r="B140" s="202" t="s">
        <v>882</v>
      </c>
      <c r="C140" s="202" t="s">
        <v>882</v>
      </c>
      <c r="D140" s="202" t="s">
        <v>455</v>
      </c>
      <c r="E140" s="300">
        <v>274</v>
      </c>
      <c r="F140" s="210">
        <v>274</v>
      </c>
      <c r="G140" s="210">
        <v>274</v>
      </c>
      <c r="H140" s="210">
        <f t="shared" si="2"/>
        <v>0</v>
      </c>
      <c r="I140" s="203" t="s">
        <v>116</v>
      </c>
      <c r="J140" s="203" t="s">
        <v>115</v>
      </c>
      <c r="K140" s="203" t="s">
        <v>452</v>
      </c>
      <c r="L140" s="203" t="s">
        <v>451</v>
      </c>
      <c r="M140" s="203"/>
      <c r="N140" s="463"/>
      <c r="O140" s="203"/>
      <c r="P140" s="276"/>
      <c r="Q140" s="265"/>
      <c r="R140" s="265"/>
      <c r="S140" s="265"/>
      <c r="T140" s="267"/>
    </row>
    <row r="141" spans="1:23" ht="18" customHeight="1">
      <c r="A141" s="204">
        <v>138</v>
      </c>
      <c r="B141" s="202" t="s">
        <v>883</v>
      </c>
      <c r="C141" s="202" t="s">
        <v>883</v>
      </c>
      <c r="D141" s="202" t="s">
        <v>462</v>
      </c>
      <c r="E141" s="300">
        <v>220</v>
      </c>
      <c r="F141" s="210">
        <v>120</v>
      </c>
      <c r="G141" s="210">
        <v>120</v>
      </c>
      <c r="H141" s="210">
        <f t="shared" si="2"/>
        <v>0</v>
      </c>
      <c r="I141" s="203" t="s">
        <v>86</v>
      </c>
      <c r="J141" s="203" t="s">
        <v>88</v>
      </c>
      <c r="K141" s="203" t="s">
        <v>512</v>
      </c>
      <c r="L141" s="203" t="s">
        <v>511</v>
      </c>
      <c r="M141" s="203"/>
      <c r="N141" s="463"/>
      <c r="O141" s="203"/>
      <c r="P141" s="276"/>
      <c r="Q141" s="265"/>
      <c r="R141" s="265"/>
      <c r="S141" s="265"/>
      <c r="T141" s="267"/>
    </row>
    <row r="142" spans="1:23" ht="18" customHeight="1">
      <c r="A142" s="204">
        <v>139</v>
      </c>
      <c r="B142" s="202" t="s">
        <v>884</v>
      </c>
      <c r="C142" s="202" t="s">
        <v>884</v>
      </c>
      <c r="D142" s="202" t="s">
        <v>455</v>
      </c>
      <c r="E142" s="300">
        <v>430</v>
      </c>
      <c r="F142" s="210">
        <v>430</v>
      </c>
      <c r="G142" s="210">
        <v>430</v>
      </c>
      <c r="H142" s="210">
        <f t="shared" si="2"/>
        <v>0</v>
      </c>
      <c r="I142" s="203" t="s">
        <v>86</v>
      </c>
      <c r="J142" s="203" t="s">
        <v>89</v>
      </c>
      <c r="K142" s="203" t="s">
        <v>514</v>
      </c>
      <c r="L142" s="203" t="s">
        <v>511</v>
      </c>
      <c r="M142" s="203"/>
      <c r="N142" s="463"/>
      <c r="O142" s="203"/>
      <c r="P142" s="276"/>
      <c r="Q142" s="265"/>
      <c r="R142" s="265"/>
      <c r="S142" s="265"/>
      <c r="T142" s="267"/>
    </row>
    <row r="143" spans="1:23" ht="18" customHeight="1">
      <c r="A143" s="204">
        <v>140</v>
      </c>
      <c r="B143" s="202" t="s">
        <v>885</v>
      </c>
      <c r="C143" s="202" t="s">
        <v>885</v>
      </c>
      <c r="D143" s="202" t="s">
        <v>455</v>
      </c>
      <c r="E143" s="300">
        <v>3</v>
      </c>
      <c r="F143" s="210">
        <v>3</v>
      </c>
      <c r="G143" s="210">
        <v>3</v>
      </c>
      <c r="H143" s="210">
        <f t="shared" si="2"/>
        <v>0</v>
      </c>
      <c r="I143" s="203" t="s">
        <v>86</v>
      </c>
      <c r="J143" s="203" t="s">
        <v>153</v>
      </c>
      <c r="K143" s="203" t="s">
        <v>514</v>
      </c>
      <c r="L143" s="203" t="s">
        <v>511</v>
      </c>
      <c r="M143" s="203"/>
      <c r="N143" s="463"/>
      <c r="O143" s="203"/>
      <c r="P143" s="276"/>
      <c r="Q143" s="265"/>
      <c r="R143" s="265"/>
      <c r="S143" s="265"/>
      <c r="T143" s="267"/>
    </row>
    <row r="144" spans="1:23" ht="18" customHeight="1">
      <c r="A144" s="204">
        <v>141</v>
      </c>
      <c r="B144" s="202" t="s">
        <v>886</v>
      </c>
      <c r="C144" s="202" t="s">
        <v>886</v>
      </c>
      <c r="D144" s="202" t="s">
        <v>455</v>
      </c>
      <c r="E144" s="300">
        <v>56</v>
      </c>
      <c r="F144" s="210">
        <v>56</v>
      </c>
      <c r="G144" s="210">
        <v>56</v>
      </c>
      <c r="H144" s="210">
        <f t="shared" si="2"/>
        <v>0</v>
      </c>
      <c r="I144" s="203" t="s">
        <v>86</v>
      </c>
      <c r="J144" s="203" t="s">
        <v>153</v>
      </c>
      <c r="K144" s="203" t="s">
        <v>514</v>
      </c>
      <c r="L144" s="203" t="s">
        <v>511</v>
      </c>
      <c r="M144" s="203"/>
      <c r="N144" s="463"/>
      <c r="O144" s="203"/>
      <c r="P144" s="276"/>
      <c r="Q144" s="265"/>
      <c r="R144" s="265"/>
      <c r="S144" s="265"/>
      <c r="T144" s="284"/>
      <c r="U144" s="265"/>
      <c r="V144" s="265"/>
      <c r="W144" s="265"/>
    </row>
    <row r="145" spans="1:23" ht="18" customHeight="1">
      <c r="A145" s="204">
        <v>142</v>
      </c>
      <c r="B145" s="202" t="s">
        <v>887</v>
      </c>
      <c r="C145" s="202" t="s">
        <v>887</v>
      </c>
      <c r="D145" s="202" t="s">
        <v>455</v>
      </c>
      <c r="E145" s="300">
        <v>66</v>
      </c>
      <c r="F145" s="210">
        <v>66</v>
      </c>
      <c r="G145" s="210">
        <v>66</v>
      </c>
      <c r="H145" s="210">
        <f t="shared" si="2"/>
        <v>0</v>
      </c>
      <c r="I145" s="203" t="s">
        <v>123</v>
      </c>
      <c r="J145" s="203" t="s">
        <v>124</v>
      </c>
      <c r="K145" s="203" t="s">
        <v>452</v>
      </c>
      <c r="L145" s="203" t="s">
        <v>451</v>
      </c>
      <c r="M145" s="203"/>
      <c r="N145" s="463"/>
      <c r="O145" s="203"/>
      <c r="P145" s="276"/>
      <c r="Q145" s="265"/>
      <c r="R145" s="265"/>
      <c r="S145" s="265"/>
      <c r="T145" s="265"/>
    </row>
    <row r="146" spans="1:23" ht="18" customHeight="1">
      <c r="A146" s="204">
        <v>143</v>
      </c>
      <c r="B146" s="202" t="s">
        <v>888</v>
      </c>
      <c r="C146" s="202" t="s">
        <v>888</v>
      </c>
      <c r="D146" s="202" t="s">
        <v>455</v>
      </c>
      <c r="E146" s="300">
        <v>109</v>
      </c>
      <c r="F146" s="210">
        <v>109</v>
      </c>
      <c r="G146" s="210">
        <v>109</v>
      </c>
      <c r="H146" s="210">
        <f t="shared" si="2"/>
        <v>0</v>
      </c>
      <c r="I146" s="203" t="s">
        <v>0</v>
      </c>
      <c r="J146" s="203" t="s">
        <v>1</v>
      </c>
      <c r="K146" s="203" t="s">
        <v>452</v>
      </c>
      <c r="L146" s="203" t="s">
        <v>451</v>
      </c>
      <c r="M146" s="203"/>
      <c r="N146" s="463"/>
      <c r="O146" s="203"/>
      <c r="P146" s="276"/>
      <c r="Q146" s="265"/>
      <c r="R146" s="265"/>
      <c r="S146" s="265"/>
      <c r="T146" s="265"/>
    </row>
    <row r="147" spans="1:23" ht="18" customHeight="1">
      <c r="A147" s="204">
        <v>144</v>
      </c>
      <c r="B147" s="202" t="s">
        <v>889</v>
      </c>
      <c r="C147" s="202" t="s">
        <v>889</v>
      </c>
      <c r="D147" s="202" t="s">
        <v>455</v>
      </c>
      <c r="E147" s="300">
        <v>306</v>
      </c>
      <c r="F147" s="210">
        <v>306</v>
      </c>
      <c r="G147" s="210">
        <v>306</v>
      </c>
      <c r="H147" s="210">
        <f t="shared" si="2"/>
        <v>0</v>
      </c>
      <c r="I147" s="203" t="s">
        <v>0</v>
      </c>
      <c r="J147" s="203" t="s">
        <v>1</v>
      </c>
      <c r="K147" s="203" t="s">
        <v>452</v>
      </c>
      <c r="L147" s="203" t="s">
        <v>451</v>
      </c>
      <c r="M147" s="203"/>
      <c r="N147" s="463"/>
      <c r="O147" s="203"/>
      <c r="P147" s="276"/>
      <c r="Q147" s="265"/>
      <c r="R147" s="265"/>
      <c r="S147" s="265"/>
      <c r="T147" s="265"/>
    </row>
    <row r="148" spans="1:23" ht="18" customHeight="1">
      <c r="A148" s="204">
        <v>145</v>
      </c>
      <c r="B148" s="202" t="s">
        <v>890</v>
      </c>
      <c r="C148" s="202" t="s">
        <v>890</v>
      </c>
      <c r="D148" s="202" t="s">
        <v>455</v>
      </c>
      <c r="E148" s="300">
        <v>149</v>
      </c>
      <c r="F148" s="210">
        <v>149</v>
      </c>
      <c r="G148" s="210">
        <v>149</v>
      </c>
      <c r="H148" s="210">
        <f t="shared" si="2"/>
        <v>0</v>
      </c>
      <c r="I148" s="203" t="s">
        <v>0</v>
      </c>
      <c r="J148" s="203" t="s">
        <v>1</v>
      </c>
      <c r="K148" s="203" t="s">
        <v>452</v>
      </c>
      <c r="L148" s="203" t="s">
        <v>451</v>
      </c>
      <c r="M148" s="203"/>
      <c r="N148" s="463"/>
      <c r="O148" s="203"/>
      <c r="P148" s="276"/>
      <c r="Q148" s="265"/>
      <c r="R148" s="265"/>
      <c r="S148" s="265"/>
      <c r="T148" s="265"/>
    </row>
    <row r="149" spans="1:23" ht="18" customHeight="1">
      <c r="A149" s="204">
        <v>146</v>
      </c>
      <c r="B149" s="202" t="s">
        <v>891</v>
      </c>
      <c r="C149" s="202" t="s">
        <v>891</v>
      </c>
      <c r="D149" s="202" t="s">
        <v>455</v>
      </c>
      <c r="E149" s="300">
        <v>144</v>
      </c>
      <c r="F149" s="210">
        <v>97</v>
      </c>
      <c r="G149" s="210">
        <v>97</v>
      </c>
      <c r="H149" s="210">
        <f t="shared" si="2"/>
        <v>0</v>
      </c>
      <c r="I149" s="203" t="s">
        <v>0</v>
      </c>
      <c r="J149" s="203" t="s">
        <v>1</v>
      </c>
      <c r="K149" s="203" t="s">
        <v>452</v>
      </c>
      <c r="L149" s="203" t="s">
        <v>451</v>
      </c>
      <c r="M149" s="203"/>
      <c r="N149" s="463"/>
      <c r="O149" s="203"/>
      <c r="P149" s="276"/>
      <c r="Q149" s="265"/>
      <c r="R149" s="265"/>
      <c r="S149" s="265"/>
      <c r="T149" s="265"/>
    </row>
    <row r="150" spans="1:23" ht="18" customHeight="1">
      <c r="A150" s="204">
        <v>147</v>
      </c>
      <c r="B150" s="202" t="s">
        <v>892</v>
      </c>
      <c r="C150" s="202" t="s">
        <v>892</v>
      </c>
      <c r="D150" s="202" t="s">
        <v>455</v>
      </c>
      <c r="E150" s="300">
        <v>3832</v>
      </c>
      <c r="F150" s="210">
        <v>966</v>
      </c>
      <c r="G150" s="210">
        <v>966</v>
      </c>
      <c r="H150" s="210">
        <f t="shared" si="2"/>
        <v>0</v>
      </c>
      <c r="I150" s="203" t="s">
        <v>86</v>
      </c>
      <c r="J150" s="203" t="s">
        <v>153</v>
      </c>
      <c r="K150" s="203" t="s">
        <v>514</v>
      </c>
      <c r="L150" s="203" t="s">
        <v>511</v>
      </c>
      <c r="M150" s="203"/>
      <c r="N150" s="463"/>
      <c r="O150" s="203"/>
      <c r="P150" s="276"/>
      <c r="Q150" s="265"/>
      <c r="R150" s="265"/>
      <c r="S150" s="265"/>
      <c r="T150" s="265"/>
    </row>
    <row r="151" spans="1:23" ht="18" customHeight="1">
      <c r="A151" s="204">
        <v>148</v>
      </c>
      <c r="B151" s="202" t="s">
        <v>893</v>
      </c>
      <c r="C151" s="202" t="s">
        <v>893</v>
      </c>
      <c r="D151" s="202" t="s">
        <v>455</v>
      </c>
      <c r="E151" s="300">
        <v>2</v>
      </c>
      <c r="F151" s="210">
        <v>2</v>
      </c>
      <c r="G151" s="210">
        <v>2</v>
      </c>
      <c r="H151" s="210">
        <f t="shared" si="2"/>
        <v>0</v>
      </c>
      <c r="I151" s="203" t="s">
        <v>428</v>
      </c>
      <c r="J151" s="203" t="s">
        <v>429</v>
      </c>
      <c r="K151" s="203" t="s">
        <v>452</v>
      </c>
      <c r="L151" s="203" t="s">
        <v>451</v>
      </c>
      <c r="M151" s="203"/>
      <c r="N151" s="463"/>
      <c r="O151" s="203"/>
      <c r="P151" s="276"/>
      <c r="Q151" s="265"/>
      <c r="R151" s="265"/>
      <c r="S151" s="265"/>
      <c r="T151" s="265"/>
    </row>
    <row r="152" spans="1:23" ht="18" customHeight="1">
      <c r="A152" s="204">
        <v>149</v>
      </c>
      <c r="B152" s="202" t="s">
        <v>894</v>
      </c>
      <c r="C152" s="202" t="s">
        <v>894</v>
      </c>
      <c r="D152" s="202" t="s">
        <v>93</v>
      </c>
      <c r="E152" s="300">
        <v>984</v>
      </c>
      <c r="F152" s="210">
        <v>984</v>
      </c>
      <c r="G152" s="210">
        <v>984</v>
      </c>
      <c r="H152" s="210">
        <f t="shared" si="2"/>
        <v>0</v>
      </c>
      <c r="I152" s="203" t="s">
        <v>531</v>
      </c>
      <c r="J152" s="203" t="s">
        <v>538</v>
      </c>
      <c r="K152" s="203" t="s">
        <v>531</v>
      </c>
      <c r="L152" s="203" t="s">
        <v>532</v>
      </c>
      <c r="M152" s="203"/>
      <c r="N152" s="203"/>
      <c r="O152" s="203"/>
      <c r="P152" s="276"/>
      <c r="Q152" s="265"/>
      <c r="R152" s="265"/>
      <c r="S152" s="265"/>
      <c r="T152" s="265"/>
    </row>
    <row r="153" spans="1:23" ht="18" customHeight="1">
      <c r="A153" s="204">
        <v>150</v>
      </c>
      <c r="B153" s="202" t="s">
        <v>895</v>
      </c>
      <c r="C153" s="202" t="s">
        <v>895</v>
      </c>
      <c r="D153" s="202" t="s">
        <v>455</v>
      </c>
      <c r="E153" s="300">
        <v>3</v>
      </c>
      <c r="F153" s="210">
        <v>3</v>
      </c>
      <c r="G153" s="210">
        <v>3</v>
      </c>
      <c r="H153" s="210">
        <f t="shared" si="2"/>
        <v>0</v>
      </c>
      <c r="I153" s="203" t="s">
        <v>451</v>
      </c>
      <c r="J153" s="203" t="s">
        <v>452</v>
      </c>
      <c r="K153" s="203" t="s">
        <v>452</v>
      </c>
      <c r="L153" s="203" t="s">
        <v>451</v>
      </c>
      <c r="M153" s="203"/>
      <c r="N153" s="203"/>
      <c r="O153" s="203"/>
      <c r="P153" s="276"/>
      <c r="Q153" s="265"/>
      <c r="R153" s="265"/>
      <c r="S153" s="265"/>
      <c r="T153" s="265"/>
    </row>
    <row r="154" spans="1:23" ht="18" customHeight="1">
      <c r="A154" s="204">
        <v>151</v>
      </c>
      <c r="B154" s="202" t="s">
        <v>896</v>
      </c>
      <c r="C154" s="202" t="s">
        <v>896</v>
      </c>
      <c r="D154" s="202" t="s">
        <v>93</v>
      </c>
      <c r="E154" s="300">
        <v>1661</v>
      </c>
      <c r="F154" s="210">
        <v>187</v>
      </c>
      <c r="G154" s="210">
        <v>187</v>
      </c>
      <c r="H154" s="210">
        <f t="shared" si="2"/>
        <v>0</v>
      </c>
      <c r="I154" s="203" t="s">
        <v>451</v>
      </c>
      <c r="J154" s="203" t="s">
        <v>452</v>
      </c>
      <c r="K154" s="203" t="s">
        <v>452</v>
      </c>
      <c r="L154" s="203" t="s">
        <v>451</v>
      </c>
      <c r="M154" s="203"/>
      <c r="N154" s="203"/>
      <c r="O154" s="203"/>
      <c r="P154" s="276"/>
      <c r="Q154" s="265"/>
      <c r="R154" s="265"/>
      <c r="S154" s="265"/>
      <c r="T154" s="265"/>
    </row>
    <row r="155" spans="1:23" ht="18" customHeight="1">
      <c r="A155" s="270" t="s">
        <v>430</v>
      </c>
      <c r="B155" s="271"/>
      <c r="C155" s="271"/>
      <c r="D155" s="271"/>
      <c r="E155" s="272"/>
      <c r="F155" s="272">
        <f>SUM(F5:F154)</f>
        <v>57534.400000000001</v>
      </c>
      <c r="G155" s="272">
        <f>SUM(G5:G154)</f>
        <v>57534.400000000001</v>
      </c>
      <c r="H155" s="272">
        <f>G155-F155</f>
        <v>0</v>
      </c>
      <c r="I155" s="282"/>
      <c r="J155" s="282"/>
      <c r="K155" s="282"/>
      <c r="L155" s="282"/>
      <c r="M155" s="282"/>
      <c r="N155" s="282"/>
      <c r="O155" s="282"/>
      <c r="P155" s="283"/>
      <c r="Q155" s="265"/>
      <c r="R155" s="265"/>
      <c r="S155" s="265"/>
      <c r="T155" s="284"/>
      <c r="U155" s="265"/>
      <c r="V155" s="265"/>
      <c r="W155" s="265"/>
    </row>
    <row r="156" spans="1:23" ht="30" customHeight="1">
      <c r="A156" s="204"/>
      <c r="B156" s="202"/>
      <c r="C156" s="202"/>
      <c r="D156" s="202"/>
      <c r="E156" s="300"/>
      <c r="F156" s="210"/>
      <c r="G156" s="210"/>
      <c r="H156" s="210"/>
      <c r="I156" s="203"/>
      <c r="J156" s="203"/>
      <c r="K156" s="203"/>
      <c r="L156" s="203"/>
      <c r="M156" s="203"/>
      <c r="N156" s="203"/>
      <c r="O156" s="205"/>
      <c r="P156" s="291"/>
      <c r="Q156" s="265"/>
      <c r="R156" s="265"/>
      <c r="S156" s="265"/>
      <c r="T156" s="265"/>
    </row>
    <row r="157" spans="1:23" ht="30" customHeight="1">
      <c r="A157" s="204"/>
      <c r="B157" s="202"/>
      <c r="C157" s="202"/>
      <c r="D157" s="202"/>
      <c r="E157" s="300"/>
      <c r="F157" s="210"/>
      <c r="G157" s="210"/>
      <c r="H157" s="210"/>
      <c r="I157" s="203"/>
      <c r="J157" s="203"/>
      <c r="K157" s="203"/>
      <c r="L157" s="203"/>
      <c r="M157" s="203"/>
      <c r="N157" s="203"/>
      <c r="O157" s="205"/>
      <c r="P157" s="291"/>
      <c r="Q157" s="265"/>
      <c r="R157" s="265"/>
      <c r="S157" s="265"/>
      <c r="T157" s="265"/>
    </row>
    <row r="158" spans="1:23" ht="30" customHeight="1">
      <c r="A158" s="204"/>
      <c r="B158" s="202"/>
      <c r="C158" s="202"/>
      <c r="D158" s="202"/>
      <c r="E158" s="300"/>
      <c r="F158" s="210"/>
      <c r="G158" s="210"/>
      <c r="H158" s="210"/>
      <c r="I158" s="203"/>
      <c r="J158" s="203"/>
      <c r="K158" s="203"/>
      <c r="L158" s="203"/>
      <c r="M158" s="203"/>
      <c r="N158" s="203"/>
      <c r="O158" s="205"/>
      <c r="P158" s="291"/>
      <c r="Q158" s="265"/>
      <c r="R158" s="265"/>
      <c r="S158" s="265"/>
      <c r="T158" s="265"/>
    </row>
    <row r="159" spans="1:23" ht="30" customHeight="1">
      <c r="A159" s="204"/>
      <c r="B159" s="202"/>
      <c r="C159" s="202"/>
      <c r="D159" s="202"/>
      <c r="E159" s="300"/>
      <c r="F159" s="210"/>
      <c r="G159" s="210"/>
      <c r="H159" s="210"/>
      <c r="I159" s="203"/>
      <c r="J159" s="203"/>
      <c r="K159" s="203"/>
      <c r="L159" s="203"/>
      <c r="M159" s="203"/>
      <c r="N159" s="203"/>
      <c r="O159" s="205"/>
      <c r="P159" s="291"/>
      <c r="Q159" s="265"/>
      <c r="R159" s="265"/>
      <c r="S159" s="265"/>
      <c r="T159" s="265"/>
    </row>
    <row r="160" spans="1:23" ht="30" customHeight="1">
      <c r="A160" s="204"/>
      <c r="B160" s="202"/>
      <c r="C160" s="202"/>
      <c r="D160" s="202"/>
      <c r="E160" s="300"/>
      <c r="F160" s="210"/>
      <c r="G160" s="210"/>
      <c r="H160" s="210"/>
      <c r="I160" s="203"/>
      <c r="J160" s="203"/>
      <c r="K160" s="203"/>
      <c r="L160" s="203"/>
      <c r="M160" s="203"/>
      <c r="N160" s="203"/>
      <c r="O160" s="205"/>
      <c r="P160" s="291"/>
      <c r="Q160" s="265"/>
      <c r="R160" s="265"/>
      <c r="S160" s="265"/>
      <c r="T160" s="265"/>
    </row>
    <row r="161" spans="1:23" ht="30" customHeight="1">
      <c r="A161" s="204"/>
      <c r="B161" s="202"/>
      <c r="C161" s="202"/>
      <c r="D161" s="202"/>
      <c r="E161" s="300"/>
      <c r="F161" s="210"/>
      <c r="G161" s="210"/>
      <c r="H161" s="210"/>
      <c r="I161" s="203"/>
      <c r="J161" s="203"/>
      <c r="K161" s="203"/>
      <c r="L161" s="203"/>
      <c r="M161" s="203"/>
      <c r="N161" s="203"/>
      <c r="O161" s="205"/>
      <c r="P161" s="291"/>
      <c r="Q161" s="265"/>
      <c r="R161" s="265"/>
      <c r="S161" s="265"/>
      <c r="T161" s="265"/>
    </row>
    <row r="162" spans="1:23" ht="30" customHeight="1">
      <c r="A162" s="204"/>
      <c r="B162" s="202"/>
      <c r="C162" s="202"/>
      <c r="D162" s="202"/>
      <c r="E162" s="300"/>
      <c r="F162" s="210"/>
      <c r="G162" s="210"/>
      <c r="H162" s="210"/>
      <c r="I162" s="203"/>
      <c r="J162" s="203"/>
      <c r="K162" s="203"/>
      <c r="L162" s="203"/>
      <c r="M162" s="203"/>
      <c r="N162" s="203"/>
      <c r="O162" s="205"/>
      <c r="P162" s="291"/>
      <c r="Q162" s="265"/>
      <c r="R162" s="265"/>
      <c r="S162" s="265"/>
      <c r="T162" s="265"/>
    </row>
    <row r="163" spans="1:23" ht="30" customHeight="1">
      <c r="A163" s="204"/>
      <c r="B163" s="202"/>
      <c r="C163" s="202"/>
      <c r="D163" s="202"/>
      <c r="E163" s="300"/>
      <c r="F163" s="210"/>
      <c r="G163" s="210"/>
      <c r="H163" s="210"/>
      <c r="I163" s="203"/>
      <c r="J163" s="203"/>
      <c r="K163" s="203"/>
      <c r="L163" s="203"/>
      <c r="M163" s="203"/>
      <c r="N163" s="203"/>
      <c r="O163" s="205"/>
      <c r="P163" s="291"/>
      <c r="Q163" s="265"/>
      <c r="R163" s="265"/>
      <c r="S163" s="265"/>
      <c r="T163" s="265"/>
    </row>
    <row r="164" spans="1:23" ht="30" customHeight="1">
      <c r="A164" s="204"/>
      <c r="B164" s="202"/>
      <c r="C164" s="202"/>
      <c r="D164" s="202"/>
      <c r="E164" s="300"/>
      <c r="F164" s="210"/>
      <c r="G164" s="210"/>
      <c r="H164" s="210"/>
      <c r="I164" s="203"/>
      <c r="J164" s="203"/>
      <c r="K164" s="203"/>
      <c r="L164" s="203"/>
      <c r="M164" s="203"/>
      <c r="N164" s="203"/>
      <c r="O164" s="205"/>
      <c r="P164" s="291"/>
      <c r="Q164" s="265"/>
      <c r="R164" s="265"/>
      <c r="S164" s="265"/>
      <c r="T164" s="265"/>
    </row>
    <row r="165" spans="1:23" ht="30" customHeight="1">
      <c r="A165" s="204"/>
      <c r="B165" s="202"/>
      <c r="C165" s="202"/>
      <c r="D165" s="202"/>
      <c r="E165" s="300"/>
      <c r="F165" s="210"/>
      <c r="G165" s="210"/>
      <c r="H165" s="210"/>
      <c r="I165" s="203"/>
      <c r="J165" s="203"/>
      <c r="K165" s="203"/>
      <c r="L165" s="203"/>
      <c r="M165" s="203"/>
      <c r="N165" s="203"/>
      <c r="O165" s="205"/>
      <c r="P165" s="291"/>
      <c r="Q165" s="265"/>
      <c r="R165" s="265"/>
      <c r="S165" s="265"/>
      <c r="T165" s="265"/>
    </row>
    <row r="166" spans="1:23" ht="30" customHeight="1">
      <c r="A166" s="204" t="s">
        <v>52</v>
      </c>
      <c r="B166" s="202"/>
      <c r="C166" s="202"/>
      <c r="D166" s="202"/>
      <c r="E166" s="300"/>
      <c r="F166" s="210"/>
      <c r="G166" s="210"/>
      <c r="H166" s="210"/>
      <c r="I166" s="203"/>
      <c r="J166" s="203"/>
      <c r="K166" s="203"/>
      <c r="L166" s="203"/>
      <c r="M166" s="203"/>
      <c r="N166" s="203"/>
      <c r="O166" s="205"/>
      <c r="P166" s="291"/>
      <c r="Q166" s="265"/>
      <c r="R166" s="265"/>
      <c r="S166" s="265"/>
      <c r="T166" s="265"/>
    </row>
    <row r="167" spans="1:23" ht="30" customHeight="1">
      <c r="A167" s="204"/>
      <c r="B167" s="202"/>
      <c r="C167" s="202"/>
      <c r="D167" s="202"/>
      <c r="E167" s="300"/>
      <c r="F167" s="210"/>
      <c r="G167" s="210"/>
      <c r="H167" s="210"/>
      <c r="I167" s="203"/>
      <c r="J167" s="203"/>
      <c r="K167" s="203"/>
      <c r="L167" s="203"/>
      <c r="M167" s="203"/>
      <c r="N167" s="203"/>
      <c r="O167" s="205"/>
      <c r="P167" s="291"/>
      <c r="Q167" s="265"/>
      <c r="R167" s="265"/>
      <c r="S167" s="265"/>
      <c r="T167" s="265"/>
    </row>
    <row r="168" spans="1:23" ht="30" customHeight="1">
      <c r="A168" s="204"/>
      <c r="B168" s="202"/>
      <c r="C168" s="202"/>
      <c r="D168" s="202"/>
      <c r="E168" s="300"/>
      <c r="F168" s="210"/>
      <c r="G168" s="210"/>
      <c r="H168" s="210"/>
      <c r="I168" s="203"/>
      <c r="J168" s="203"/>
      <c r="K168" s="203"/>
      <c r="L168" s="203"/>
      <c r="M168" s="203"/>
      <c r="N168" s="203"/>
      <c r="O168" s="205"/>
      <c r="P168" s="291"/>
      <c r="Q168" s="265"/>
      <c r="R168" s="265"/>
      <c r="S168" s="265"/>
      <c r="T168" s="265"/>
    </row>
    <row r="169" spans="1:23" ht="30" customHeight="1">
      <c r="A169" s="204"/>
      <c r="B169" s="202"/>
      <c r="C169" s="202"/>
      <c r="D169" s="202"/>
      <c r="E169" s="300"/>
      <c r="F169" s="210"/>
      <c r="G169" s="210"/>
      <c r="H169" s="210"/>
      <c r="I169" s="203"/>
      <c r="J169" s="203"/>
      <c r="K169" s="203"/>
      <c r="L169" s="203"/>
      <c r="M169" s="203"/>
      <c r="N169" s="203"/>
      <c r="O169" s="205"/>
      <c r="P169" s="291"/>
      <c r="Q169" s="265"/>
      <c r="R169" s="265"/>
      <c r="S169" s="265"/>
      <c r="T169" s="265"/>
    </row>
    <row r="170" spans="1:23" ht="30" customHeight="1">
      <c r="A170" s="204"/>
      <c r="B170" s="202"/>
      <c r="C170" s="202"/>
      <c r="D170" s="202"/>
      <c r="E170" s="300"/>
      <c r="F170" s="210"/>
      <c r="G170" s="210"/>
      <c r="H170" s="210"/>
      <c r="I170" s="203"/>
      <c r="J170" s="203"/>
      <c r="K170" s="203"/>
      <c r="L170" s="203"/>
      <c r="M170" s="203"/>
      <c r="N170" s="203"/>
      <c r="O170" s="205"/>
      <c r="P170" s="291"/>
      <c r="Q170" s="265"/>
      <c r="R170" s="265"/>
      <c r="S170" s="265"/>
      <c r="T170" s="265"/>
    </row>
    <row r="171" spans="1:23" ht="30" customHeight="1">
      <c r="A171" s="204"/>
      <c r="B171" s="202"/>
      <c r="C171" s="202"/>
      <c r="D171" s="202"/>
      <c r="E171" s="300"/>
      <c r="F171" s="210"/>
      <c r="G171" s="210"/>
      <c r="H171" s="210"/>
      <c r="I171" s="203"/>
      <c r="J171" s="203"/>
      <c r="K171" s="203"/>
      <c r="L171" s="203"/>
      <c r="M171" s="203"/>
      <c r="N171" s="203"/>
      <c r="O171" s="205"/>
      <c r="P171" s="291"/>
      <c r="Q171" s="265"/>
      <c r="R171" s="265"/>
      <c r="S171" s="265"/>
      <c r="T171" s="267"/>
    </row>
    <row r="172" spans="1:23" ht="30" customHeight="1">
      <c r="A172" s="204"/>
      <c r="B172" s="202"/>
      <c r="C172" s="202"/>
      <c r="D172" s="202"/>
      <c r="E172" s="300"/>
      <c r="F172" s="210"/>
      <c r="G172" s="210"/>
      <c r="H172" s="210"/>
      <c r="I172" s="203"/>
      <c r="J172" s="203"/>
      <c r="K172" s="203"/>
      <c r="L172" s="203"/>
      <c r="M172" s="203"/>
      <c r="N172" s="203"/>
      <c r="O172" s="205"/>
      <c r="P172" s="291"/>
      <c r="Q172" s="265"/>
      <c r="R172" s="265"/>
      <c r="S172" s="265"/>
      <c r="T172" s="267"/>
    </row>
    <row r="173" spans="1:23" ht="30" customHeight="1">
      <c r="A173" s="204"/>
      <c r="B173" s="202"/>
      <c r="C173" s="202"/>
      <c r="D173" s="202"/>
      <c r="E173" s="300"/>
      <c r="F173" s="210"/>
      <c r="G173" s="210"/>
      <c r="H173" s="210"/>
      <c r="I173" s="203"/>
      <c r="J173" s="203"/>
      <c r="K173" s="203"/>
      <c r="L173" s="203"/>
      <c r="M173" s="203"/>
      <c r="N173" s="203"/>
      <c r="O173" s="205"/>
      <c r="P173" s="291"/>
      <c r="Q173" s="265"/>
      <c r="R173" s="265"/>
      <c r="S173" s="265"/>
      <c r="T173" s="267"/>
    </row>
    <row r="174" spans="1:23" ht="30" customHeight="1">
      <c r="A174" s="204"/>
      <c r="B174" s="202"/>
      <c r="C174" s="202"/>
      <c r="D174" s="202"/>
      <c r="E174" s="300"/>
      <c r="F174" s="210"/>
      <c r="G174" s="210"/>
      <c r="H174" s="210"/>
      <c r="I174" s="203"/>
      <c r="J174" s="203"/>
      <c r="K174" s="203"/>
      <c r="L174" s="203"/>
      <c r="M174" s="203"/>
      <c r="N174" s="203"/>
      <c r="O174" s="205"/>
      <c r="P174" s="291"/>
      <c r="Q174" s="265"/>
      <c r="R174" s="265"/>
      <c r="S174" s="265"/>
      <c r="T174" s="267"/>
    </row>
    <row r="175" spans="1:23" ht="30" customHeight="1">
      <c r="A175" s="304"/>
      <c r="B175" s="296"/>
      <c r="C175" s="305"/>
      <c r="D175" s="306"/>
      <c r="E175" s="297"/>
      <c r="F175" s="298"/>
      <c r="G175" s="298"/>
      <c r="H175" s="298"/>
      <c r="I175" s="282"/>
      <c r="J175" s="282"/>
      <c r="K175" s="282"/>
      <c r="L175" s="282"/>
      <c r="M175" s="282"/>
      <c r="N175" s="282"/>
      <c r="O175" s="283"/>
      <c r="P175" s="303"/>
      <c r="Q175" s="265"/>
      <c r="R175" s="265"/>
      <c r="S175" s="265"/>
      <c r="T175" s="284"/>
      <c r="U175" s="265"/>
      <c r="V175" s="265"/>
      <c r="W175" s="265"/>
    </row>
    <row r="176" spans="1:23" ht="30" customHeight="1">
      <c r="A176" s="260"/>
      <c r="B176" s="200"/>
      <c r="C176" s="200"/>
      <c r="D176" s="200"/>
      <c r="E176" s="299"/>
      <c r="F176" s="209"/>
      <c r="G176" s="209"/>
      <c r="H176" s="209"/>
      <c r="I176" s="201"/>
      <c r="J176" s="201"/>
      <c r="K176" s="201"/>
      <c r="L176" s="201"/>
      <c r="M176" s="201"/>
      <c r="N176" s="201"/>
      <c r="O176" s="262"/>
      <c r="P176" s="291"/>
      <c r="Q176" s="265"/>
      <c r="R176" s="265"/>
      <c r="S176" s="265"/>
      <c r="T176" s="284"/>
      <c r="U176" s="265"/>
      <c r="V176" s="265"/>
      <c r="W176" s="265"/>
    </row>
    <row r="177" spans="1:20" ht="30" customHeight="1">
      <c r="A177" s="204"/>
      <c r="B177" s="202"/>
      <c r="C177" s="202"/>
      <c r="D177" s="202"/>
      <c r="E177" s="300"/>
      <c r="F177" s="210"/>
      <c r="G177" s="210"/>
      <c r="H177" s="210"/>
      <c r="I177" s="203"/>
      <c r="J177" s="203"/>
      <c r="K177" s="203"/>
      <c r="L177" s="203"/>
      <c r="M177" s="203"/>
      <c r="N177" s="203"/>
      <c r="O177" s="205"/>
      <c r="P177" s="291"/>
      <c r="Q177" s="265"/>
      <c r="R177" s="265"/>
      <c r="S177" s="265"/>
      <c r="T177" s="265"/>
    </row>
    <row r="178" spans="1:20" ht="30" customHeight="1">
      <c r="A178" s="204"/>
      <c r="B178" s="202"/>
      <c r="C178" s="202"/>
      <c r="D178" s="202"/>
      <c r="E178" s="300"/>
      <c r="F178" s="210"/>
      <c r="G178" s="210"/>
      <c r="H178" s="210"/>
      <c r="I178" s="203"/>
      <c r="J178" s="203"/>
      <c r="K178" s="203"/>
      <c r="L178" s="203"/>
      <c r="M178" s="203"/>
      <c r="N178" s="203"/>
      <c r="O178" s="205"/>
      <c r="P178" s="291"/>
      <c r="Q178" s="265"/>
      <c r="R178" s="265"/>
      <c r="S178" s="265"/>
      <c r="T178" s="265"/>
    </row>
    <row r="179" spans="1:20" ht="30" customHeight="1">
      <c r="A179" s="204"/>
      <c r="B179" s="202"/>
      <c r="C179" s="202"/>
      <c r="D179" s="202"/>
      <c r="E179" s="300"/>
      <c r="F179" s="210"/>
      <c r="G179" s="210"/>
      <c r="H179" s="210"/>
      <c r="I179" s="203"/>
      <c r="J179" s="203"/>
      <c r="K179" s="203"/>
      <c r="L179" s="203"/>
      <c r="M179" s="203"/>
      <c r="N179" s="203"/>
      <c r="O179" s="205"/>
      <c r="P179" s="291"/>
      <c r="Q179" s="265"/>
      <c r="R179" s="265"/>
      <c r="S179" s="265"/>
      <c r="T179" s="265"/>
    </row>
    <row r="180" spans="1:20" ht="30" customHeight="1">
      <c r="A180" s="204"/>
      <c r="B180" s="202"/>
      <c r="C180" s="202"/>
      <c r="D180" s="202"/>
      <c r="E180" s="300"/>
      <c r="F180" s="210"/>
      <c r="G180" s="210"/>
      <c r="H180" s="210"/>
      <c r="I180" s="203"/>
      <c r="J180" s="203"/>
      <c r="K180" s="203"/>
      <c r="L180" s="203"/>
      <c r="M180" s="203"/>
      <c r="N180" s="203"/>
      <c r="O180" s="205"/>
      <c r="P180" s="291"/>
      <c r="Q180" s="265"/>
      <c r="R180" s="265"/>
      <c r="S180" s="265"/>
      <c r="T180" s="265"/>
    </row>
    <row r="181" spans="1:20" ht="30" customHeight="1">
      <c r="A181" s="204"/>
      <c r="B181" s="202"/>
      <c r="C181" s="202"/>
      <c r="D181" s="202"/>
      <c r="E181" s="300"/>
      <c r="F181" s="210"/>
      <c r="G181" s="210"/>
      <c r="H181" s="210"/>
      <c r="I181" s="203"/>
      <c r="J181" s="203"/>
      <c r="K181" s="203"/>
      <c r="L181" s="203"/>
      <c r="M181" s="203"/>
      <c r="N181" s="203"/>
      <c r="O181" s="205"/>
      <c r="P181" s="291"/>
      <c r="Q181" s="265"/>
      <c r="R181" s="265"/>
      <c r="S181" s="265"/>
      <c r="T181" s="265"/>
    </row>
    <row r="182" spans="1:20" ht="30" customHeight="1">
      <c r="A182" s="204"/>
      <c r="B182" s="202"/>
      <c r="C182" s="202"/>
      <c r="D182" s="202"/>
      <c r="E182" s="300"/>
      <c r="F182" s="210"/>
      <c r="G182" s="210"/>
      <c r="H182" s="210"/>
      <c r="I182" s="203"/>
      <c r="J182" s="203"/>
      <c r="K182" s="203"/>
      <c r="L182" s="203"/>
      <c r="M182" s="203"/>
      <c r="N182" s="203"/>
      <c r="O182" s="205"/>
      <c r="P182" s="291"/>
      <c r="Q182" s="265"/>
      <c r="R182" s="265"/>
      <c r="S182" s="265"/>
      <c r="T182" s="265"/>
    </row>
    <row r="183" spans="1:20" ht="30" customHeight="1">
      <c r="A183" s="204"/>
      <c r="B183" s="202"/>
      <c r="C183" s="202"/>
      <c r="D183" s="202"/>
      <c r="E183" s="300"/>
      <c r="F183" s="210"/>
      <c r="G183" s="210"/>
      <c r="H183" s="210"/>
      <c r="I183" s="203"/>
      <c r="J183" s="203"/>
      <c r="K183" s="203"/>
      <c r="L183" s="203"/>
      <c r="M183" s="203"/>
      <c r="N183" s="203"/>
      <c r="O183" s="205"/>
      <c r="P183" s="291"/>
      <c r="Q183" s="265"/>
      <c r="R183" s="265"/>
      <c r="S183" s="265"/>
      <c r="T183" s="265"/>
    </row>
    <row r="184" spans="1:20" ht="30" customHeight="1">
      <c r="A184" s="204"/>
      <c r="B184" s="202"/>
      <c r="C184" s="202"/>
      <c r="D184" s="202"/>
      <c r="E184" s="300"/>
      <c r="F184" s="210"/>
      <c r="G184" s="210"/>
      <c r="H184" s="210"/>
      <c r="I184" s="203"/>
      <c r="J184" s="203"/>
      <c r="K184" s="203"/>
      <c r="L184" s="203"/>
      <c r="M184" s="203"/>
      <c r="N184" s="203"/>
      <c r="O184" s="205"/>
      <c r="P184" s="291"/>
      <c r="Q184" s="265"/>
      <c r="R184" s="265"/>
      <c r="S184" s="265"/>
      <c r="T184" s="265"/>
    </row>
    <row r="185" spans="1:20" ht="30" customHeight="1">
      <c r="A185" s="204"/>
      <c r="B185" s="202"/>
      <c r="C185" s="202"/>
      <c r="D185" s="202"/>
      <c r="E185" s="300"/>
      <c r="F185" s="210"/>
      <c r="G185" s="210"/>
      <c r="H185" s="210"/>
      <c r="I185" s="203"/>
      <c r="J185" s="203"/>
      <c r="K185" s="203"/>
      <c r="L185" s="203"/>
      <c r="M185" s="203"/>
      <c r="N185" s="203"/>
      <c r="O185" s="205"/>
      <c r="P185" s="291"/>
      <c r="Q185" s="265"/>
      <c r="R185" s="265"/>
      <c r="S185" s="265"/>
      <c r="T185" s="265"/>
    </row>
    <row r="186" spans="1:20" ht="30" customHeight="1">
      <c r="A186" s="204"/>
      <c r="B186" s="202"/>
      <c r="C186" s="202"/>
      <c r="D186" s="202"/>
      <c r="E186" s="300"/>
      <c r="F186" s="210"/>
      <c r="G186" s="210"/>
      <c r="H186" s="210"/>
      <c r="I186" s="203"/>
      <c r="J186" s="203"/>
      <c r="K186" s="203"/>
      <c r="L186" s="203"/>
      <c r="M186" s="203"/>
      <c r="N186" s="203"/>
      <c r="O186" s="205"/>
      <c r="P186" s="291"/>
      <c r="Q186" s="265"/>
      <c r="R186" s="265"/>
      <c r="S186" s="265"/>
      <c r="T186" s="265"/>
    </row>
    <row r="187" spans="1:20" ht="30" customHeight="1">
      <c r="A187" s="204"/>
      <c r="B187" s="202"/>
      <c r="C187" s="202"/>
      <c r="D187" s="202"/>
      <c r="E187" s="300"/>
      <c r="F187" s="210"/>
      <c r="G187" s="210"/>
      <c r="H187" s="210"/>
      <c r="I187" s="203"/>
      <c r="J187" s="203"/>
      <c r="K187" s="203"/>
      <c r="L187" s="203"/>
      <c r="M187" s="203"/>
      <c r="N187" s="203"/>
      <c r="O187" s="205"/>
      <c r="P187" s="291"/>
      <c r="Q187" s="265"/>
      <c r="R187" s="265"/>
      <c r="S187" s="265"/>
      <c r="T187" s="265"/>
    </row>
    <row r="188" spans="1:20" ht="30" customHeight="1">
      <c r="A188" s="204"/>
      <c r="B188" s="202"/>
      <c r="C188" s="202"/>
      <c r="D188" s="202"/>
      <c r="E188" s="300"/>
      <c r="F188" s="210"/>
      <c r="G188" s="210"/>
      <c r="H188" s="210"/>
      <c r="I188" s="203"/>
      <c r="J188" s="203"/>
      <c r="K188" s="203"/>
      <c r="L188" s="203"/>
      <c r="M188" s="203"/>
      <c r="N188" s="203"/>
      <c r="O188" s="205"/>
      <c r="P188" s="291"/>
      <c r="Q188" s="265"/>
      <c r="R188" s="265"/>
      <c r="S188" s="265"/>
      <c r="T188" s="265"/>
    </row>
    <row r="189" spans="1:20" ht="30" customHeight="1">
      <c r="A189" s="204"/>
      <c r="B189" s="202"/>
      <c r="C189" s="202"/>
      <c r="D189" s="202"/>
      <c r="E189" s="300"/>
      <c r="F189" s="210"/>
      <c r="G189" s="210"/>
      <c r="H189" s="210"/>
      <c r="I189" s="203"/>
      <c r="J189" s="203"/>
      <c r="K189" s="203"/>
      <c r="L189" s="203"/>
      <c r="M189" s="203"/>
      <c r="N189" s="203"/>
      <c r="O189" s="205"/>
      <c r="P189" s="291"/>
      <c r="Q189" s="265"/>
      <c r="R189" s="265"/>
      <c r="S189" s="265"/>
      <c r="T189" s="265"/>
    </row>
    <row r="190" spans="1:20" ht="30" customHeight="1">
      <c r="A190" s="204"/>
      <c r="B190" s="202"/>
      <c r="C190" s="202"/>
      <c r="D190" s="202"/>
      <c r="E190" s="300"/>
      <c r="F190" s="210"/>
      <c r="G190" s="210"/>
      <c r="H190" s="210"/>
      <c r="I190" s="203"/>
      <c r="J190" s="203"/>
      <c r="K190" s="203"/>
      <c r="L190" s="203"/>
      <c r="M190" s="203"/>
      <c r="N190" s="203"/>
      <c r="O190" s="205"/>
      <c r="P190" s="291"/>
      <c r="Q190" s="265"/>
      <c r="R190" s="265"/>
      <c r="S190" s="265"/>
      <c r="T190" s="265"/>
    </row>
    <row r="191" spans="1:20" ht="30" customHeight="1">
      <c r="A191" s="204"/>
      <c r="B191" s="202"/>
      <c r="C191" s="202"/>
      <c r="D191" s="202"/>
      <c r="E191" s="300"/>
      <c r="F191" s="210"/>
      <c r="G191" s="210"/>
      <c r="H191" s="210"/>
      <c r="I191" s="203"/>
      <c r="J191" s="203"/>
      <c r="K191" s="203"/>
      <c r="L191" s="203"/>
      <c r="M191" s="203"/>
      <c r="N191" s="203"/>
      <c r="O191" s="205"/>
      <c r="P191" s="291"/>
      <c r="Q191" s="265"/>
      <c r="R191" s="265"/>
      <c r="S191" s="265"/>
      <c r="T191" s="265"/>
    </row>
    <row r="192" spans="1:20" ht="30" customHeight="1">
      <c r="A192" s="204"/>
      <c r="B192" s="202"/>
      <c r="C192" s="202"/>
      <c r="D192" s="202"/>
      <c r="E192" s="300"/>
      <c r="F192" s="210"/>
      <c r="G192" s="210"/>
      <c r="H192" s="210"/>
      <c r="I192" s="203"/>
      <c r="J192" s="203"/>
      <c r="K192" s="203"/>
      <c r="L192" s="203"/>
      <c r="M192" s="203"/>
      <c r="N192" s="203"/>
      <c r="O192" s="205"/>
      <c r="P192" s="291"/>
      <c r="Q192" s="265"/>
      <c r="R192" s="265"/>
      <c r="S192" s="265"/>
      <c r="T192" s="267"/>
    </row>
    <row r="193" spans="1:23" ht="30" customHeight="1">
      <c r="A193" s="204"/>
      <c r="B193" s="202"/>
      <c r="C193" s="202"/>
      <c r="D193" s="202"/>
      <c r="E193" s="300"/>
      <c r="F193" s="210"/>
      <c r="G193" s="210"/>
      <c r="H193" s="210"/>
      <c r="I193" s="203"/>
      <c r="J193" s="203"/>
      <c r="K193" s="203"/>
      <c r="L193" s="203"/>
      <c r="M193" s="203"/>
      <c r="N193" s="203"/>
      <c r="O193" s="205"/>
      <c r="P193" s="291"/>
      <c r="Q193" s="265"/>
      <c r="R193" s="265"/>
      <c r="S193" s="265"/>
      <c r="T193" s="267"/>
    </row>
    <row r="194" spans="1:23" ht="30" customHeight="1">
      <c r="A194" s="204"/>
      <c r="B194" s="202"/>
      <c r="C194" s="202"/>
      <c r="D194" s="202"/>
      <c r="E194" s="300"/>
      <c r="F194" s="210"/>
      <c r="G194" s="210"/>
      <c r="H194" s="210"/>
      <c r="I194" s="203"/>
      <c r="J194" s="203"/>
      <c r="K194" s="203"/>
      <c r="L194" s="203"/>
      <c r="M194" s="203"/>
      <c r="N194" s="203"/>
      <c r="O194" s="205"/>
      <c r="P194" s="291"/>
      <c r="Q194" s="265"/>
      <c r="R194" s="265"/>
      <c r="S194" s="265"/>
      <c r="T194" s="267"/>
    </row>
    <row r="195" spans="1:23" ht="30" customHeight="1">
      <c r="A195" s="204"/>
      <c r="B195" s="202"/>
      <c r="C195" s="202"/>
      <c r="D195" s="202"/>
      <c r="E195" s="300"/>
      <c r="F195" s="210"/>
      <c r="G195" s="210"/>
      <c r="H195" s="210"/>
      <c r="I195" s="203"/>
      <c r="J195" s="203"/>
      <c r="K195" s="203"/>
      <c r="L195" s="203"/>
      <c r="M195" s="203"/>
      <c r="N195" s="203"/>
      <c r="O195" s="205"/>
      <c r="P195" s="291"/>
      <c r="Q195" s="265"/>
      <c r="R195" s="265"/>
      <c r="S195" s="265"/>
      <c r="T195" s="267"/>
    </row>
    <row r="196" spans="1:23" ht="30" customHeight="1">
      <c r="A196" s="304"/>
      <c r="B196" s="296"/>
      <c r="C196" s="305"/>
      <c r="D196" s="306"/>
      <c r="E196" s="297"/>
      <c r="F196" s="298"/>
      <c r="G196" s="298"/>
      <c r="H196" s="298"/>
      <c r="I196" s="282"/>
      <c r="J196" s="282"/>
      <c r="K196" s="282"/>
      <c r="L196" s="282"/>
      <c r="M196" s="282"/>
      <c r="N196" s="282"/>
      <c r="O196" s="283"/>
      <c r="P196" s="303"/>
      <c r="Q196" s="265"/>
      <c r="R196" s="265"/>
      <c r="S196" s="265"/>
      <c r="T196" s="284"/>
      <c r="U196" s="265"/>
      <c r="V196" s="265"/>
      <c r="W196" s="265"/>
    </row>
    <row r="197" spans="1:23" ht="30" customHeight="1">
      <c r="A197" s="260"/>
      <c r="B197" s="200"/>
      <c r="C197" s="200"/>
      <c r="D197" s="200"/>
      <c r="E197" s="299"/>
      <c r="F197" s="209"/>
      <c r="G197" s="209"/>
      <c r="H197" s="209"/>
      <c r="I197" s="201"/>
      <c r="J197" s="201"/>
      <c r="K197" s="201"/>
      <c r="L197" s="201"/>
      <c r="M197" s="201"/>
      <c r="N197" s="201"/>
      <c r="O197" s="262"/>
      <c r="P197" s="291"/>
      <c r="Q197" s="265"/>
      <c r="R197" s="265"/>
      <c r="S197" s="265"/>
      <c r="T197" s="284"/>
      <c r="U197" s="265"/>
      <c r="V197" s="265"/>
      <c r="W197" s="265"/>
    </row>
    <row r="198" spans="1:23" ht="30" customHeight="1">
      <c r="A198" s="204"/>
      <c r="B198" s="202"/>
      <c r="C198" s="202"/>
      <c r="D198" s="202"/>
      <c r="E198" s="300"/>
      <c r="F198" s="210"/>
      <c r="G198" s="210"/>
      <c r="H198" s="210"/>
      <c r="I198" s="203"/>
      <c r="J198" s="203"/>
      <c r="K198" s="203"/>
      <c r="L198" s="203"/>
      <c r="M198" s="203"/>
      <c r="N198" s="203"/>
      <c r="O198" s="205"/>
      <c r="P198" s="291"/>
      <c r="Q198" s="265"/>
      <c r="R198" s="265"/>
      <c r="S198" s="265"/>
      <c r="T198" s="265"/>
    </row>
    <row r="199" spans="1:23" ht="30" customHeight="1">
      <c r="A199" s="204"/>
      <c r="B199" s="202"/>
      <c r="C199" s="202"/>
      <c r="D199" s="202"/>
      <c r="E199" s="300"/>
      <c r="F199" s="210"/>
      <c r="G199" s="210"/>
      <c r="H199" s="210"/>
      <c r="I199" s="203"/>
      <c r="J199" s="203"/>
      <c r="K199" s="203"/>
      <c r="L199" s="203"/>
      <c r="M199" s="203"/>
      <c r="N199" s="203"/>
      <c r="O199" s="205"/>
      <c r="P199" s="291"/>
      <c r="Q199" s="265"/>
      <c r="R199" s="265"/>
      <c r="S199" s="265"/>
      <c r="T199" s="265"/>
    </row>
    <row r="200" spans="1:23" ht="30" customHeight="1">
      <c r="A200" s="204"/>
      <c r="B200" s="202"/>
      <c r="C200" s="202"/>
      <c r="D200" s="202"/>
      <c r="E200" s="300"/>
      <c r="F200" s="210"/>
      <c r="G200" s="210"/>
      <c r="H200" s="210"/>
      <c r="I200" s="203"/>
      <c r="J200" s="203"/>
      <c r="K200" s="203"/>
      <c r="L200" s="203"/>
      <c r="M200" s="203"/>
      <c r="N200" s="203"/>
      <c r="O200" s="205"/>
      <c r="P200" s="291"/>
      <c r="Q200" s="265"/>
      <c r="R200" s="265"/>
      <c r="S200" s="265"/>
      <c r="T200" s="265"/>
    </row>
    <row r="201" spans="1:23" ht="30" customHeight="1">
      <c r="A201" s="204"/>
      <c r="B201" s="202"/>
      <c r="C201" s="202"/>
      <c r="D201" s="202"/>
      <c r="E201" s="300"/>
      <c r="F201" s="210"/>
      <c r="G201" s="210"/>
      <c r="H201" s="210"/>
      <c r="I201" s="203"/>
      <c r="J201" s="203"/>
      <c r="K201" s="203"/>
      <c r="L201" s="203"/>
      <c r="M201" s="203"/>
      <c r="N201" s="203"/>
      <c r="O201" s="205"/>
      <c r="P201" s="291"/>
      <c r="Q201" s="265"/>
      <c r="R201" s="265"/>
      <c r="S201" s="265"/>
      <c r="T201" s="265"/>
    </row>
    <row r="202" spans="1:23" ht="30" customHeight="1">
      <c r="A202" s="204"/>
      <c r="B202" s="202"/>
      <c r="C202" s="202"/>
      <c r="D202" s="202"/>
      <c r="E202" s="300"/>
      <c r="F202" s="210"/>
      <c r="G202" s="210"/>
      <c r="H202" s="210"/>
      <c r="I202" s="203"/>
      <c r="J202" s="203"/>
      <c r="K202" s="203"/>
      <c r="L202" s="203"/>
      <c r="M202" s="203"/>
      <c r="N202" s="203"/>
      <c r="O202" s="205"/>
      <c r="P202" s="291"/>
      <c r="Q202" s="265"/>
      <c r="R202" s="265"/>
      <c r="S202" s="265"/>
      <c r="T202" s="265"/>
    </row>
    <row r="203" spans="1:23" ht="30" customHeight="1">
      <c r="A203" s="204"/>
      <c r="B203" s="202"/>
      <c r="C203" s="202"/>
      <c r="D203" s="202"/>
      <c r="E203" s="300"/>
      <c r="F203" s="210"/>
      <c r="G203" s="210"/>
      <c r="H203" s="210"/>
      <c r="I203" s="203"/>
      <c r="J203" s="203"/>
      <c r="K203" s="203"/>
      <c r="L203" s="203"/>
      <c r="M203" s="203"/>
      <c r="N203" s="203"/>
      <c r="O203" s="205"/>
      <c r="P203" s="291"/>
      <c r="Q203" s="265"/>
      <c r="R203" s="265"/>
      <c r="S203" s="265"/>
      <c r="T203" s="265"/>
    </row>
    <row r="204" spans="1:23" ht="30" customHeight="1">
      <c r="A204" s="204"/>
      <c r="B204" s="202"/>
      <c r="C204" s="202"/>
      <c r="D204" s="202"/>
      <c r="E204" s="300"/>
      <c r="F204" s="210"/>
      <c r="G204" s="210"/>
      <c r="H204" s="210"/>
      <c r="I204" s="203"/>
      <c r="J204" s="203"/>
      <c r="K204" s="203"/>
      <c r="L204" s="203"/>
      <c r="M204" s="203"/>
      <c r="N204" s="203"/>
      <c r="O204" s="205"/>
      <c r="P204" s="291"/>
      <c r="Q204" s="265"/>
      <c r="R204" s="265"/>
      <c r="S204" s="265"/>
      <c r="T204" s="265"/>
    </row>
    <row r="205" spans="1:23" ht="30" customHeight="1">
      <c r="A205" s="204"/>
      <c r="B205" s="202"/>
      <c r="C205" s="202"/>
      <c r="D205" s="202"/>
      <c r="E205" s="300"/>
      <c r="F205" s="210"/>
      <c r="G205" s="210"/>
      <c r="H205" s="210"/>
      <c r="I205" s="203"/>
      <c r="J205" s="203"/>
      <c r="K205" s="203"/>
      <c r="L205" s="203"/>
      <c r="M205" s="203"/>
      <c r="N205" s="203"/>
      <c r="O205" s="205"/>
      <c r="P205" s="291"/>
      <c r="Q205" s="265"/>
      <c r="R205" s="265"/>
      <c r="S205" s="265"/>
      <c r="T205" s="265"/>
    </row>
    <row r="206" spans="1:23" ht="30" customHeight="1">
      <c r="A206" s="204"/>
      <c r="B206" s="202"/>
      <c r="C206" s="202"/>
      <c r="D206" s="202"/>
      <c r="E206" s="300"/>
      <c r="F206" s="210"/>
      <c r="G206" s="210"/>
      <c r="H206" s="210"/>
      <c r="I206" s="203"/>
      <c r="J206" s="203"/>
      <c r="K206" s="203"/>
      <c r="L206" s="203"/>
      <c r="M206" s="203"/>
      <c r="N206" s="203"/>
      <c r="O206" s="205"/>
      <c r="P206" s="291"/>
      <c r="Q206" s="265"/>
      <c r="R206" s="265"/>
      <c r="S206" s="265"/>
      <c r="T206" s="265"/>
    </row>
    <row r="207" spans="1:23" ht="30" customHeight="1">
      <c r="A207" s="204"/>
      <c r="B207" s="202"/>
      <c r="C207" s="202"/>
      <c r="D207" s="202"/>
      <c r="E207" s="300"/>
      <c r="F207" s="210"/>
      <c r="G207" s="210"/>
      <c r="H207" s="210"/>
      <c r="I207" s="203"/>
      <c r="J207" s="203"/>
      <c r="K207" s="203"/>
      <c r="L207" s="203"/>
      <c r="M207" s="203"/>
      <c r="N207" s="203"/>
      <c r="O207" s="205"/>
      <c r="P207" s="291"/>
      <c r="Q207" s="265"/>
      <c r="R207" s="265"/>
      <c r="S207" s="265"/>
      <c r="T207" s="265"/>
    </row>
    <row r="208" spans="1:23" ht="30" customHeight="1">
      <c r="A208" s="204"/>
      <c r="B208" s="202"/>
      <c r="C208" s="202"/>
      <c r="D208" s="202"/>
      <c r="E208" s="300"/>
      <c r="F208" s="210"/>
      <c r="G208" s="210"/>
      <c r="H208" s="210"/>
      <c r="I208" s="203"/>
      <c r="J208" s="203"/>
      <c r="K208" s="203"/>
      <c r="L208" s="203"/>
      <c r="M208" s="203"/>
      <c r="N208" s="203"/>
      <c r="O208" s="205"/>
      <c r="P208" s="291"/>
      <c r="Q208" s="265"/>
      <c r="R208" s="265"/>
      <c r="S208" s="265"/>
      <c r="T208" s="265"/>
    </row>
    <row r="209" spans="1:23" ht="30" customHeight="1">
      <c r="A209" s="204"/>
      <c r="B209" s="202"/>
      <c r="C209" s="202"/>
      <c r="D209" s="202"/>
      <c r="E209" s="300"/>
      <c r="F209" s="210"/>
      <c r="G209" s="210"/>
      <c r="H209" s="210"/>
      <c r="I209" s="203"/>
      <c r="J209" s="203"/>
      <c r="K209" s="203"/>
      <c r="L209" s="203"/>
      <c r="M209" s="203"/>
      <c r="N209" s="203"/>
      <c r="O209" s="205"/>
      <c r="P209" s="291"/>
      <c r="Q209" s="265"/>
      <c r="R209" s="265"/>
      <c r="S209" s="265"/>
      <c r="T209" s="265"/>
    </row>
    <row r="210" spans="1:23" ht="30" customHeight="1">
      <c r="A210" s="204"/>
      <c r="B210" s="202"/>
      <c r="C210" s="202"/>
      <c r="D210" s="202"/>
      <c r="E210" s="300"/>
      <c r="F210" s="210"/>
      <c r="G210" s="210"/>
      <c r="H210" s="210"/>
      <c r="I210" s="203"/>
      <c r="J210" s="203"/>
      <c r="K210" s="203"/>
      <c r="L210" s="203"/>
      <c r="M210" s="203"/>
      <c r="N210" s="203"/>
      <c r="O210" s="205"/>
      <c r="P210" s="291"/>
      <c r="Q210" s="265"/>
      <c r="R210" s="265"/>
      <c r="S210" s="265"/>
      <c r="T210" s="265"/>
    </row>
    <row r="211" spans="1:23" ht="30" customHeight="1">
      <c r="A211" s="204"/>
      <c r="B211" s="202"/>
      <c r="C211" s="202"/>
      <c r="D211" s="202"/>
      <c r="E211" s="300"/>
      <c r="F211" s="210"/>
      <c r="G211" s="210"/>
      <c r="H211" s="210"/>
      <c r="I211" s="203"/>
      <c r="J211" s="203"/>
      <c r="K211" s="203"/>
      <c r="L211" s="203"/>
      <c r="M211" s="203"/>
      <c r="N211" s="203"/>
      <c r="O211" s="205"/>
      <c r="P211" s="291"/>
      <c r="Q211" s="265"/>
      <c r="R211" s="265"/>
      <c r="S211" s="265"/>
      <c r="T211" s="265"/>
    </row>
    <row r="212" spans="1:23" ht="30" customHeight="1">
      <c r="A212" s="204"/>
      <c r="B212" s="202"/>
      <c r="C212" s="202"/>
      <c r="D212" s="202"/>
      <c r="E212" s="300"/>
      <c r="F212" s="210"/>
      <c r="G212" s="210"/>
      <c r="H212" s="210"/>
      <c r="I212" s="203"/>
      <c r="J212" s="203"/>
      <c r="K212" s="203"/>
      <c r="L212" s="203"/>
      <c r="M212" s="203"/>
      <c r="N212" s="203"/>
      <c r="O212" s="205"/>
      <c r="P212" s="291"/>
      <c r="Q212" s="265"/>
      <c r="R212" s="265"/>
      <c r="S212" s="265"/>
      <c r="T212" s="265"/>
    </row>
    <row r="213" spans="1:23" ht="30" customHeight="1">
      <c r="A213" s="204"/>
      <c r="B213" s="202"/>
      <c r="C213" s="202"/>
      <c r="D213" s="202"/>
      <c r="E213" s="300"/>
      <c r="F213" s="210"/>
      <c r="G213" s="210"/>
      <c r="H213" s="210"/>
      <c r="I213" s="203"/>
      <c r="J213" s="203"/>
      <c r="K213" s="203"/>
      <c r="L213" s="203"/>
      <c r="M213" s="203"/>
      <c r="N213" s="203"/>
      <c r="O213" s="205"/>
      <c r="P213" s="291"/>
      <c r="Q213" s="265"/>
      <c r="R213" s="265"/>
      <c r="S213" s="265"/>
      <c r="T213" s="267"/>
    </row>
    <row r="214" spans="1:23" ht="30" customHeight="1">
      <c r="A214" s="204"/>
      <c r="B214" s="202"/>
      <c r="C214" s="202"/>
      <c r="D214" s="202"/>
      <c r="E214" s="300"/>
      <c r="F214" s="210"/>
      <c r="G214" s="210"/>
      <c r="H214" s="210"/>
      <c r="I214" s="203"/>
      <c r="J214" s="203"/>
      <c r="K214" s="203"/>
      <c r="L214" s="203"/>
      <c r="M214" s="203"/>
      <c r="N214" s="203"/>
      <c r="O214" s="205"/>
      <c r="P214" s="291"/>
      <c r="Q214" s="265"/>
      <c r="R214" s="265"/>
      <c r="S214" s="265"/>
      <c r="T214" s="267"/>
    </row>
    <row r="215" spans="1:23" ht="30" customHeight="1">
      <c r="A215" s="204"/>
      <c r="B215" s="202"/>
      <c r="C215" s="202"/>
      <c r="D215" s="202"/>
      <c r="E215" s="300"/>
      <c r="F215" s="210"/>
      <c r="G215" s="210"/>
      <c r="H215" s="210"/>
      <c r="I215" s="203"/>
      <c r="J215" s="203"/>
      <c r="K215" s="203"/>
      <c r="L215" s="203"/>
      <c r="M215" s="203"/>
      <c r="N215" s="203"/>
      <c r="O215" s="205"/>
      <c r="P215" s="291"/>
      <c r="Q215" s="265"/>
      <c r="R215" s="265"/>
      <c r="S215" s="265"/>
      <c r="T215" s="267"/>
    </row>
    <row r="216" spans="1:23" ht="30" customHeight="1">
      <c r="A216" s="204"/>
      <c r="B216" s="202"/>
      <c r="C216" s="202"/>
      <c r="D216" s="202"/>
      <c r="E216" s="300"/>
      <c r="F216" s="210"/>
      <c r="G216" s="210"/>
      <c r="H216" s="210"/>
      <c r="I216" s="203"/>
      <c r="J216" s="203"/>
      <c r="K216" s="203"/>
      <c r="L216" s="203"/>
      <c r="M216" s="203"/>
      <c r="N216" s="203"/>
      <c r="O216" s="205"/>
      <c r="P216" s="291"/>
      <c r="Q216" s="265"/>
      <c r="R216" s="265"/>
      <c r="S216" s="265"/>
      <c r="T216" s="267"/>
    </row>
    <row r="217" spans="1:23" ht="30" customHeight="1">
      <c r="A217" s="304"/>
      <c r="B217" s="296"/>
      <c r="C217" s="305"/>
      <c r="D217" s="306"/>
      <c r="E217" s="297"/>
      <c r="F217" s="298"/>
      <c r="G217" s="298"/>
      <c r="H217" s="298"/>
      <c r="I217" s="282"/>
      <c r="J217" s="282"/>
      <c r="K217" s="282"/>
      <c r="L217" s="282"/>
      <c r="M217" s="282"/>
      <c r="N217" s="282"/>
      <c r="O217" s="283"/>
      <c r="P217" s="303"/>
      <c r="Q217" s="265"/>
      <c r="R217" s="265"/>
      <c r="S217" s="265"/>
      <c r="T217" s="284"/>
      <c r="U217" s="265"/>
      <c r="V217" s="265"/>
      <c r="W217" s="265"/>
    </row>
    <row r="218" spans="1:23" ht="30" customHeight="1">
      <c r="A218" s="260"/>
      <c r="B218" s="200"/>
      <c r="C218" s="200"/>
      <c r="D218" s="200"/>
      <c r="E218" s="299"/>
      <c r="F218" s="209"/>
      <c r="G218" s="209"/>
      <c r="H218" s="209"/>
      <c r="I218" s="201"/>
      <c r="J218" s="201"/>
      <c r="K218" s="201"/>
      <c r="L218" s="201"/>
      <c r="M218" s="201"/>
      <c r="N218" s="201"/>
      <c r="O218" s="262"/>
      <c r="P218" s="291"/>
      <c r="Q218" s="265"/>
      <c r="R218" s="265"/>
      <c r="S218" s="265"/>
      <c r="T218" s="284"/>
      <c r="U218" s="265"/>
      <c r="V218" s="265"/>
      <c r="W218" s="265"/>
    </row>
    <row r="219" spans="1:23" ht="30" customHeight="1">
      <c r="A219" s="204"/>
      <c r="B219" s="202"/>
      <c r="C219" s="202"/>
      <c r="D219" s="202"/>
      <c r="E219" s="300"/>
      <c r="F219" s="210"/>
      <c r="G219" s="210"/>
      <c r="H219" s="210"/>
      <c r="I219" s="203"/>
      <c r="J219" s="203"/>
      <c r="K219" s="203"/>
      <c r="L219" s="203"/>
      <c r="M219" s="203"/>
      <c r="N219" s="203"/>
      <c r="O219" s="205"/>
      <c r="P219" s="291"/>
      <c r="Q219" s="265"/>
      <c r="R219" s="265"/>
      <c r="S219" s="265"/>
      <c r="T219" s="265"/>
    </row>
    <row r="220" spans="1:23" ht="30" customHeight="1">
      <c r="A220" s="204"/>
      <c r="B220" s="202"/>
      <c r="C220" s="202"/>
      <c r="D220" s="202"/>
      <c r="E220" s="300"/>
      <c r="F220" s="210"/>
      <c r="G220" s="210"/>
      <c r="H220" s="210"/>
      <c r="I220" s="203"/>
      <c r="J220" s="203"/>
      <c r="K220" s="203"/>
      <c r="L220" s="203"/>
      <c r="M220" s="203"/>
      <c r="N220" s="203"/>
      <c r="O220" s="205"/>
      <c r="P220" s="291"/>
      <c r="Q220" s="265"/>
      <c r="R220" s="265"/>
      <c r="S220" s="265"/>
      <c r="T220" s="265"/>
    </row>
    <row r="221" spans="1:23" ht="30" customHeight="1">
      <c r="A221" s="204"/>
      <c r="B221" s="202"/>
      <c r="C221" s="202"/>
      <c r="D221" s="202"/>
      <c r="E221" s="300"/>
      <c r="F221" s="210"/>
      <c r="G221" s="210"/>
      <c r="H221" s="210"/>
      <c r="I221" s="203"/>
      <c r="J221" s="203"/>
      <c r="K221" s="203"/>
      <c r="L221" s="203"/>
      <c r="M221" s="203"/>
      <c r="N221" s="203"/>
      <c r="O221" s="205"/>
      <c r="P221" s="291"/>
      <c r="Q221" s="265"/>
      <c r="R221" s="265"/>
      <c r="S221" s="265"/>
      <c r="T221" s="265"/>
    </row>
    <row r="222" spans="1:23" ht="30" customHeight="1">
      <c r="A222" s="204"/>
      <c r="B222" s="202"/>
      <c r="C222" s="202"/>
      <c r="D222" s="202"/>
      <c r="E222" s="300"/>
      <c r="F222" s="210"/>
      <c r="G222" s="210"/>
      <c r="H222" s="210"/>
      <c r="I222" s="203"/>
      <c r="J222" s="203"/>
      <c r="K222" s="203"/>
      <c r="L222" s="203"/>
      <c r="M222" s="203"/>
      <c r="N222" s="203"/>
      <c r="O222" s="205"/>
      <c r="P222" s="291"/>
      <c r="Q222" s="265"/>
      <c r="R222" s="265"/>
      <c r="S222" s="265"/>
      <c r="T222" s="265"/>
    </row>
    <row r="223" spans="1:23" ht="30" customHeight="1">
      <c r="A223" s="204"/>
      <c r="B223" s="202"/>
      <c r="C223" s="202"/>
      <c r="D223" s="202"/>
      <c r="E223" s="300"/>
      <c r="F223" s="210"/>
      <c r="G223" s="210"/>
      <c r="H223" s="210"/>
      <c r="I223" s="203"/>
      <c r="J223" s="203"/>
      <c r="K223" s="203"/>
      <c r="L223" s="203"/>
      <c r="M223" s="203"/>
      <c r="N223" s="203"/>
      <c r="O223" s="205"/>
      <c r="P223" s="291"/>
      <c r="Q223" s="265"/>
      <c r="R223" s="265"/>
      <c r="S223" s="265"/>
      <c r="T223" s="265"/>
    </row>
    <row r="224" spans="1:23" ht="30" customHeight="1">
      <c r="A224" s="204"/>
      <c r="B224" s="202"/>
      <c r="C224" s="202"/>
      <c r="D224" s="202"/>
      <c r="E224" s="300"/>
      <c r="F224" s="210"/>
      <c r="G224" s="210"/>
      <c r="H224" s="210"/>
      <c r="I224" s="203"/>
      <c r="J224" s="203"/>
      <c r="K224" s="203"/>
      <c r="L224" s="203"/>
      <c r="M224" s="203"/>
      <c r="N224" s="203"/>
      <c r="O224" s="205"/>
      <c r="P224" s="291"/>
      <c r="Q224" s="265"/>
      <c r="R224" s="265"/>
      <c r="S224" s="265"/>
      <c r="T224" s="265"/>
    </row>
    <row r="225" spans="1:23" ht="30" customHeight="1">
      <c r="A225" s="204"/>
      <c r="B225" s="202"/>
      <c r="C225" s="202"/>
      <c r="D225" s="202"/>
      <c r="E225" s="300"/>
      <c r="F225" s="210"/>
      <c r="G225" s="210"/>
      <c r="H225" s="210"/>
      <c r="I225" s="203"/>
      <c r="J225" s="203"/>
      <c r="K225" s="203"/>
      <c r="L225" s="203"/>
      <c r="M225" s="203"/>
      <c r="N225" s="203"/>
      <c r="O225" s="205"/>
      <c r="P225" s="291"/>
      <c r="Q225" s="265"/>
      <c r="R225" s="265"/>
      <c r="S225" s="265"/>
      <c r="T225" s="265"/>
    </row>
    <row r="226" spans="1:23" ht="30" customHeight="1">
      <c r="A226" s="204"/>
      <c r="B226" s="202"/>
      <c r="C226" s="202"/>
      <c r="D226" s="202"/>
      <c r="E226" s="300"/>
      <c r="F226" s="210"/>
      <c r="G226" s="210"/>
      <c r="H226" s="210"/>
      <c r="I226" s="203"/>
      <c r="J226" s="203"/>
      <c r="K226" s="203"/>
      <c r="L226" s="203"/>
      <c r="M226" s="203"/>
      <c r="N226" s="203"/>
      <c r="O226" s="205"/>
      <c r="P226" s="291"/>
      <c r="Q226" s="265"/>
      <c r="R226" s="265"/>
      <c r="S226" s="265"/>
      <c r="T226" s="265"/>
    </row>
    <row r="227" spans="1:23" ht="30" customHeight="1">
      <c r="A227" s="204"/>
      <c r="B227" s="202"/>
      <c r="C227" s="202"/>
      <c r="D227" s="202"/>
      <c r="E227" s="300"/>
      <c r="F227" s="210"/>
      <c r="G227" s="210"/>
      <c r="H227" s="210"/>
      <c r="I227" s="203"/>
      <c r="J227" s="203"/>
      <c r="K227" s="203"/>
      <c r="L227" s="203"/>
      <c r="M227" s="203"/>
      <c r="N227" s="203"/>
      <c r="O227" s="205"/>
      <c r="P227" s="291"/>
      <c r="Q227" s="265"/>
      <c r="R227" s="265"/>
      <c r="S227" s="265"/>
      <c r="T227" s="265"/>
    </row>
    <row r="228" spans="1:23" ht="30" customHeight="1">
      <c r="A228" s="204"/>
      <c r="B228" s="202"/>
      <c r="C228" s="202"/>
      <c r="D228" s="202"/>
      <c r="E228" s="300"/>
      <c r="F228" s="210"/>
      <c r="G228" s="210"/>
      <c r="H228" s="210"/>
      <c r="I228" s="203"/>
      <c r="J228" s="203"/>
      <c r="K228" s="203"/>
      <c r="L228" s="203"/>
      <c r="M228" s="203"/>
      <c r="N228" s="203"/>
      <c r="O228" s="205"/>
      <c r="P228" s="291"/>
      <c r="Q228" s="265"/>
      <c r="R228" s="265"/>
      <c r="S228" s="265"/>
      <c r="T228" s="265"/>
    </row>
    <row r="229" spans="1:23" ht="30" customHeight="1">
      <c r="A229" s="204"/>
      <c r="B229" s="202"/>
      <c r="C229" s="202"/>
      <c r="D229" s="202"/>
      <c r="E229" s="300"/>
      <c r="F229" s="210"/>
      <c r="G229" s="210"/>
      <c r="H229" s="210"/>
      <c r="I229" s="203"/>
      <c r="J229" s="203"/>
      <c r="K229" s="203"/>
      <c r="L229" s="203"/>
      <c r="M229" s="203"/>
      <c r="N229" s="203"/>
      <c r="O229" s="205"/>
      <c r="P229" s="291"/>
      <c r="Q229" s="265"/>
      <c r="R229" s="265"/>
      <c r="S229" s="265"/>
      <c r="T229" s="265"/>
    </row>
    <row r="230" spans="1:23" ht="30" customHeight="1">
      <c r="A230" s="204"/>
      <c r="B230" s="202"/>
      <c r="C230" s="202"/>
      <c r="D230" s="202"/>
      <c r="E230" s="300"/>
      <c r="F230" s="210"/>
      <c r="G230" s="210"/>
      <c r="H230" s="210"/>
      <c r="I230" s="203"/>
      <c r="J230" s="203"/>
      <c r="K230" s="203"/>
      <c r="L230" s="203"/>
      <c r="M230" s="203"/>
      <c r="N230" s="203"/>
      <c r="O230" s="205"/>
      <c r="P230" s="291"/>
      <c r="Q230" s="265"/>
      <c r="R230" s="265"/>
      <c r="S230" s="265"/>
      <c r="T230" s="265"/>
    </row>
    <row r="231" spans="1:23" ht="30" customHeight="1">
      <c r="A231" s="204"/>
      <c r="B231" s="202"/>
      <c r="C231" s="202"/>
      <c r="D231" s="202"/>
      <c r="E231" s="300"/>
      <c r="F231" s="210"/>
      <c r="G231" s="210"/>
      <c r="H231" s="210"/>
      <c r="I231" s="203"/>
      <c r="J231" s="203"/>
      <c r="K231" s="203"/>
      <c r="L231" s="203"/>
      <c r="M231" s="203"/>
      <c r="N231" s="203"/>
      <c r="O231" s="205"/>
      <c r="P231" s="291"/>
      <c r="Q231" s="265"/>
      <c r="R231" s="265"/>
      <c r="S231" s="265"/>
      <c r="T231" s="265"/>
    </row>
    <row r="232" spans="1:23" ht="30" customHeight="1">
      <c r="A232" s="204"/>
      <c r="B232" s="202"/>
      <c r="C232" s="202"/>
      <c r="D232" s="202"/>
      <c r="E232" s="300"/>
      <c r="F232" s="210"/>
      <c r="G232" s="210"/>
      <c r="H232" s="210"/>
      <c r="I232" s="203"/>
      <c r="J232" s="203"/>
      <c r="K232" s="203"/>
      <c r="L232" s="203"/>
      <c r="M232" s="203"/>
      <c r="N232" s="203"/>
      <c r="O232" s="205"/>
      <c r="P232" s="291"/>
      <c r="Q232" s="265"/>
      <c r="R232" s="265"/>
      <c r="S232" s="265"/>
      <c r="T232" s="265"/>
    </row>
    <row r="233" spans="1:23" ht="30" customHeight="1">
      <c r="A233" s="204"/>
      <c r="B233" s="202"/>
      <c r="C233" s="202"/>
      <c r="D233" s="202"/>
      <c r="E233" s="300"/>
      <c r="F233" s="210"/>
      <c r="G233" s="210"/>
      <c r="H233" s="210"/>
      <c r="I233" s="203"/>
      <c r="J233" s="203"/>
      <c r="K233" s="203"/>
      <c r="L233" s="203"/>
      <c r="M233" s="203"/>
      <c r="N233" s="203"/>
      <c r="O233" s="205"/>
      <c r="P233" s="291"/>
      <c r="Q233" s="265"/>
      <c r="R233" s="265"/>
      <c r="S233" s="265"/>
      <c r="T233" s="265"/>
    </row>
    <row r="234" spans="1:23" ht="30" customHeight="1">
      <c r="A234" s="204"/>
      <c r="B234" s="202"/>
      <c r="C234" s="202"/>
      <c r="D234" s="202"/>
      <c r="E234" s="300"/>
      <c r="F234" s="210"/>
      <c r="G234" s="210"/>
      <c r="H234" s="210"/>
      <c r="I234" s="203"/>
      <c r="J234" s="203"/>
      <c r="K234" s="203"/>
      <c r="L234" s="203"/>
      <c r="M234" s="203"/>
      <c r="N234" s="203"/>
      <c r="O234" s="205"/>
      <c r="P234" s="291"/>
      <c r="Q234" s="265"/>
      <c r="R234" s="265"/>
      <c r="S234" s="265"/>
      <c r="T234" s="267"/>
    </row>
    <row r="235" spans="1:23" ht="30" customHeight="1">
      <c r="A235" s="204"/>
      <c r="B235" s="202"/>
      <c r="C235" s="202"/>
      <c r="D235" s="202"/>
      <c r="E235" s="300"/>
      <c r="F235" s="210"/>
      <c r="G235" s="210"/>
      <c r="H235" s="203"/>
      <c r="I235" s="203"/>
      <c r="J235" s="203"/>
      <c r="K235" s="203"/>
      <c r="L235" s="203"/>
      <c r="M235" s="203"/>
      <c r="N235" s="203"/>
      <c r="O235" s="205"/>
      <c r="P235" s="291"/>
      <c r="Q235" s="265"/>
      <c r="R235" s="265"/>
      <c r="S235" s="265"/>
      <c r="T235" s="267"/>
    </row>
    <row r="236" spans="1:23" ht="30" customHeight="1">
      <c r="A236" s="204"/>
      <c r="B236" s="202"/>
      <c r="C236" s="202"/>
      <c r="D236" s="202"/>
      <c r="E236" s="300"/>
      <c r="F236" s="210"/>
      <c r="G236" s="210"/>
      <c r="H236" s="203"/>
      <c r="I236" s="203"/>
      <c r="J236" s="203"/>
      <c r="K236" s="203"/>
      <c r="L236" s="203"/>
      <c r="M236" s="203"/>
      <c r="N236" s="203"/>
      <c r="O236" s="205"/>
      <c r="P236" s="291"/>
      <c r="Q236" s="265"/>
      <c r="R236" s="265"/>
      <c r="S236" s="265"/>
      <c r="T236" s="267"/>
    </row>
    <row r="237" spans="1:23" ht="30" customHeight="1">
      <c r="A237" s="204"/>
      <c r="B237" s="202"/>
      <c r="C237" s="202"/>
      <c r="D237" s="202"/>
      <c r="E237" s="300"/>
      <c r="F237" s="210"/>
      <c r="G237" s="210"/>
      <c r="H237" s="203"/>
      <c r="I237" s="203"/>
      <c r="J237" s="203"/>
      <c r="K237" s="203"/>
      <c r="L237" s="203"/>
      <c r="M237" s="203"/>
      <c r="N237" s="203"/>
      <c r="O237" s="205"/>
      <c r="P237" s="291"/>
      <c r="Q237" s="265"/>
      <c r="R237" s="265"/>
      <c r="S237" s="265"/>
      <c r="T237" s="267"/>
    </row>
    <row r="238" spans="1:23" ht="30" customHeight="1">
      <c r="A238" s="304"/>
      <c r="B238" s="296"/>
      <c r="C238" s="305"/>
      <c r="D238" s="306"/>
      <c r="E238" s="297"/>
      <c r="F238" s="298"/>
      <c r="G238" s="298"/>
      <c r="H238" s="282"/>
      <c r="I238" s="282"/>
      <c r="J238" s="282"/>
      <c r="K238" s="282"/>
      <c r="L238" s="282"/>
      <c r="M238" s="282"/>
      <c r="N238" s="282"/>
      <c r="O238" s="283"/>
      <c r="P238" s="303"/>
      <c r="Q238" s="265"/>
      <c r="R238" s="265"/>
      <c r="S238" s="265"/>
      <c r="T238" s="284"/>
      <c r="U238" s="265"/>
      <c r="V238" s="265"/>
      <c r="W238" s="265"/>
    </row>
    <row r="239" spans="1:23" ht="30" customHeight="1">
      <c r="A239" s="260"/>
      <c r="B239" s="200"/>
      <c r="C239" s="200"/>
      <c r="D239" s="200"/>
      <c r="E239" s="299"/>
      <c r="F239" s="209"/>
      <c r="G239" s="209"/>
      <c r="H239" s="201"/>
      <c r="I239" s="201"/>
      <c r="J239" s="201"/>
      <c r="K239" s="201"/>
      <c r="L239" s="201"/>
      <c r="M239" s="201"/>
      <c r="N239" s="201"/>
      <c r="O239" s="262"/>
      <c r="P239" s="291"/>
      <c r="Q239" s="265"/>
      <c r="R239" s="265"/>
      <c r="S239" s="265"/>
      <c r="T239" s="284"/>
      <c r="U239" s="265"/>
      <c r="V239" s="265"/>
      <c r="W239" s="265"/>
    </row>
    <row r="240" spans="1:23" ht="30" customHeight="1">
      <c r="A240" s="204"/>
      <c r="B240" s="202"/>
      <c r="C240" s="202"/>
      <c r="D240" s="202"/>
      <c r="E240" s="300"/>
      <c r="F240" s="210"/>
      <c r="G240" s="210"/>
      <c r="H240" s="203"/>
      <c r="I240" s="203"/>
      <c r="J240" s="203"/>
      <c r="K240" s="203"/>
      <c r="L240" s="203"/>
      <c r="M240" s="203"/>
      <c r="N240" s="203"/>
      <c r="O240" s="205"/>
      <c r="P240" s="291"/>
      <c r="Q240" s="265"/>
      <c r="R240" s="265"/>
      <c r="S240" s="265"/>
      <c r="T240" s="265"/>
    </row>
    <row r="241" spans="1:20" ht="30" customHeight="1">
      <c r="A241" s="204"/>
      <c r="B241" s="202"/>
      <c r="C241" s="202"/>
      <c r="D241" s="202"/>
      <c r="E241" s="300"/>
      <c r="F241" s="210"/>
      <c r="G241" s="210"/>
      <c r="H241" s="203"/>
      <c r="I241" s="203"/>
      <c r="J241" s="203"/>
      <c r="K241" s="203"/>
      <c r="L241" s="203"/>
      <c r="M241" s="203"/>
      <c r="N241" s="203"/>
      <c r="O241" s="205"/>
      <c r="P241" s="291"/>
      <c r="Q241" s="265"/>
      <c r="R241" s="265"/>
      <c r="S241" s="265"/>
      <c r="T241" s="265"/>
    </row>
    <row r="242" spans="1:20" ht="30" customHeight="1">
      <c r="A242" s="204"/>
      <c r="B242" s="202"/>
      <c r="C242" s="202"/>
      <c r="D242" s="202"/>
      <c r="E242" s="300"/>
      <c r="F242" s="210"/>
      <c r="G242" s="210"/>
      <c r="H242" s="203"/>
      <c r="I242" s="203"/>
      <c r="J242" s="203"/>
      <c r="K242" s="203"/>
      <c r="L242" s="203"/>
      <c r="M242" s="203"/>
      <c r="N242" s="203"/>
      <c r="O242" s="205"/>
      <c r="P242" s="291"/>
      <c r="Q242" s="265"/>
      <c r="R242" s="265"/>
      <c r="S242" s="265"/>
      <c r="T242" s="265"/>
    </row>
    <row r="243" spans="1:20" ht="30" customHeight="1">
      <c r="A243" s="204"/>
      <c r="B243" s="202"/>
      <c r="C243" s="202"/>
      <c r="D243" s="202"/>
      <c r="E243" s="300"/>
      <c r="F243" s="210"/>
      <c r="G243" s="210"/>
      <c r="H243" s="203"/>
      <c r="I243" s="203"/>
      <c r="J243" s="203"/>
      <c r="K243" s="203"/>
      <c r="L243" s="203"/>
      <c r="M243" s="203"/>
      <c r="N243" s="203"/>
      <c r="O243" s="205"/>
      <c r="P243" s="291"/>
      <c r="Q243" s="265"/>
      <c r="R243" s="265"/>
      <c r="S243" s="265"/>
      <c r="T243" s="265"/>
    </row>
    <row r="244" spans="1:20" ht="30" customHeight="1">
      <c r="A244" s="204"/>
      <c r="B244" s="202"/>
      <c r="C244" s="202"/>
      <c r="D244" s="202"/>
      <c r="E244" s="300"/>
      <c r="F244" s="210"/>
      <c r="G244" s="210"/>
      <c r="H244" s="203"/>
      <c r="I244" s="203"/>
      <c r="J244" s="203"/>
      <c r="K244" s="203"/>
      <c r="L244" s="203"/>
      <c r="M244" s="203"/>
      <c r="N244" s="203"/>
      <c r="O244" s="205"/>
      <c r="P244" s="291"/>
      <c r="Q244" s="265"/>
      <c r="R244" s="265"/>
      <c r="S244" s="265"/>
      <c r="T244" s="265"/>
    </row>
    <row r="245" spans="1:20" ht="30" customHeight="1">
      <c r="A245" s="204"/>
      <c r="B245" s="202"/>
      <c r="C245" s="202"/>
      <c r="D245" s="202"/>
      <c r="E245" s="300"/>
      <c r="F245" s="210"/>
      <c r="G245" s="210"/>
      <c r="H245" s="203"/>
      <c r="I245" s="203"/>
      <c r="J245" s="203"/>
      <c r="K245" s="203"/>
      <c r="L245" s="203"/>
      <c r="M245" s="203"/>
      <c r="N245" s="203"/>
      <c r="O245" s="205"/>
      <c r="P245" s="291"/>
      <c r="Q245" s="265"/>
      <c r="R245" s="265"/>
      <c r="S245" s="265"/>
      <c r="T245" s="265"/>
    </row>
    <row r="246" spans="1:20" ht="30" customHeight="1">
      <c r="A246" s="204"/>
      <c r="B246" s="202"/>
      <c r="C246" s="202"/>
      <c r="D246" s="202"/>
      <c r="E246" s="300"/>
      <c r="F246" s="210"/>
      <c r="G246" s="210"/>
      <c r="H246" s="203"/>
      <c r="I246" s="203"/>
      <c r="J246" s="203"/>
      <c r="K246" s="203"/>
      <c r="L246" s="203"/>
      <c r="M246" s="203"/>
      <c r="N246" s="203"/>
      <c r="O246" s="205"/>
      <c r="P246" s="291"/>
      <c r="Q246" s="265"/>
      <c r="R246" s="265"/>
      <c r="S246" s="265"/>
      <c r="T246" s="265"/>
    </row>
    <row r="247" spans="1:20" ht="30" customHeight="1">
      <c r="A247" s="204"/>
      <c r="B247" s="202"/>
      <c r="C247" s="202"/>
      <c r="D247" s="202"/>
      <c r="E247" s="300"/>
      <c r="F247" s="210"/>
      <c r="G247" s="210"/>
      <c r="H247" s="203"/>
      <c r="I247" s="203"/>
      <c r="J247" s="203"/>
      <c r="K247" s="203"/>
      <c r="L247" s="203"/>
      <c r="M247" s="203"/>
      <c r="N247" s="203"/>
      <c r="O247" s="205"/>
      <c r="P247" s="291"/>
      <c r="Q247" s="265"/>
      <c r="R247" s="265"/>
      <c r="S247" s="265"/>
      <c r="T247" s="265"/>
    </row>
    <row r="248" spans="1:20" ht="30" customHeight="1">
      <c r="A248" s="204"/>
      <c r="B248" s="202"/>
      <c r="C248" s="202"/>
      <c r="D248" s="202"/>
      <c r="E248" s="300"/>
      <c r="F248" s="210"/>
      <c r="G248" s="210"/>
      <c r="H248" s="203"/>
      <c r="I248" s="203"/>
      <c r="J248" s="203"/>
      <c r="K248" s="203"/>
      <c r="L248" s="203"/>
      <c r="M248" s="203"/>
      <c r="N248" s="203"/>
      <c r="O248" s="205"/>
      <c r="P248" s="291"/>
      <c r="Q248" s="265"/>
      <c r="R248" s="265"/>
      <c r="S248" s="265"/>
      <c r="T248" s="265"/>
    </row>
    <row r="249" spans="1:20" ht="30" customHeight="1">
      <c r="A249" s="204"/>
      <c r="B249" s="202"/>
      <c r="C249" s="202"/>
      <c r="D249" s="202"/>
      <c r="E249" s="300"/>
      <c r="F249" s="210"/>
      <c r="G249" s="210"/>
      <c r="H249" s="203"/>
      <c r="I249" s="203"/>
      <c r="J249" s="203"/>
      <c r="K249" s="203"/>
      <c r="L249" s="203"/>
      <c r="M249" s="203"/>
      <c r="N249" s="203"/>
      <c r="O249" s="205"/>
      <c r="P249" s="291"/>
      <c r="Q249" s="265"/>
      <c r="R249" s="265"/>
      <c r="S249" s="265"/>
      <c r="T249" s="265"/>
    </row>
    <row r="250" spans="1:20" ht="30" customHeight="1">
      <c r="A250" s="204"/>
      <c r="B250" s="202"/>
      <c r="C250" s="202"/>
      <c r="D250" s="202"/>
      <c r="E250" s="300"/>
      <c r="F250" s="210"/>
      <c r="G250" s="210"/>
      <c r="H250" s="203"/>
      <c r="I250" s="203"/>
      <c r="J250" s="203"/>
      <c r="K250" s="203"/>
      <c r="L250" s="203"/>
      <c r="M250" s="203"/>
      <c r="N250" s="203"/>
      <c r="O250" s="205"/>
      <c r="P250" s="291"/>
      <c r="Q250" s="265"/>
      <c r="R250" s="265"/>
      <c r="S250" s="265"/>
      <c r="T250" s="265"/>
    </row>
    <row r="251" spans="1:20" ht="30" customHeight="1">
      <c r="A251" s="204"/>
      <c r="B251" s="202"/>
      <c r="C251" s="202"/>
      <c r="D251" s="202"/>
      <c r="E251" s="300"/>
      <c r="F251" s="210"/>
      <c r="G251" s="210"/>
      <c r="H251" s="203"/>
      <c r="I251" s="203"/>
      <c r="J251" s="203"/>
      <c r="K251" s="203"/>
      <c r="L251" s="203"/>
      <c r="M251" s="203"/>
      <c r="N251" s="203"/>
      <c r="O251" s="205"/>
      <c r="P251" s="291"/>
      <c r="Q251" s="265"/>
      <c r="R251" s="265"/>
      <c r="S251" s="265"/>
      <c r="T251" s="265"/>
    </row>
    <row r="252" spans="1:20" ht="30" customHeight="1">
      <c r="A252" s="204"/>
      <c r="B252" s="202"/>
      <c r="C252" s="202"/>
      <c r="D252" s="202"/>
      <c r="E252" s="300"/>
      <c r="F252" s="210"/>
      <c r="G252" s="210"/>
      <c r="H252" s="203"/>
      <c r="I252" s="203"/>
      <c r="J252" s="203"/>
      <c r="K252" s="203"/>
      <c r="L252" s="203"/>
      <c r="M252" s="203"/>
      <c r="N252" s="203"/>
      <c r="O252" s="205"/>
      <c r="P252" s="291"/>
      <c r="Q252" s="265"/>
      <c r="R252" s="265"/>
      <c r="S252" s="265"/>
      <c r="T252" s="265"/>
    </row>
    <row r="253" spans="1:20" ht="30" customHeight="1">
      <c r="A253" s="204"/>
      <c r="B253" s="202"/>
      <c r="C253" s="202"/>
      <c r="D253" s="202"/>
      <c r="E253" s="300"/>
      <c r="F253" s="210"/>
      <c r="G253" s="210"/>
      <c r="H253" s="203"/>
      <c r="I253" s="203"/>
      <c r="J253" s="203"/>
      <c r="K253" s="203"/>
      <c r="L253" s="203"/>
      <c r="M253" s="203"/>
      <c r="N253" s="203"/>
      <c r="O253" s="205"/>
      <c r="P253" s="291"/>
      <c r="Q253" s="265"/>
      <c r="R253" s="265"/>
      <c r="S253" s="265"/>
      <c r="T253" s="265"/>
    </row>
    <row r="254" spans="1:20" ht="30" customHeight="1">
      <c r="A254" s="204"/>
      <c r="B254" s="202"/>
      <c r="C254" s="202"/>
      <c r="D254" s="202"/>
      <c r="E254" s="300"/>
      <c r="F254" s="210"/>
      <c r="G254" s="210"/>
      <c r="H254" s="203"/>
      <c r="I254" s="203"/>
      <c r="J254" s="203"/>
      <c r="K254" s="203"/>
      <c r="L254" s="203"/>
      <c r="M254" s="203"/>
      <c r="N254" s="203"/>
      <c r="O254" s="205"/>
      <c r="P254" s="291"/>
      <c r="Q254" s="265"/>
      <c r="R254" s="265"/>
      <c r="S254" s="265"/>
      <c r="T254" s="265"/>
    </row>
    <row r="255" spans="1:20" ht="30" customHeight="1">
      <c r="A255" s="204"/>
      <c r="B255" s="202"/>
      <c r="C255" s="202"/>
      <c r="D255" s="202"/>
      <c r="E255" s="300"/>
      <c r="F255" s="210"/>
      <c r="G255" s="210"/>
      <c r="H255" s="203"/>
      <c r="I255" s="203"/>
      <c r="J255" s="203"/>
      <c r="K255" s="203"/>
      <c r="L255" s="203"/>
      <c r="M255" s="203"/>
      <c r="N255" s="203"/>
      <c r="O255" s="205"/>
      <c r="P255" s="291"/>
      <c r="Q255" s="265"/>
      <c r="R255" s="265"/>
      <c r="S255" s="265"/>
      <c r="T255" s="267"/>
    </row>
    <row r="256" spans="1:20" ht="30" customHeight="1">
      <c r="A256" s="204"/>
      <c r="B256" s="202"/>
      <c r="C256" s="202"/>
      <c r="D256" s="202"/>
      <c r="E256" s="300"/>
      <c r="F256" s="210"/>
      <c r="G256" s="210"/>
      <c r="H256" s="203"/>
      <c r="I256" s="203"/>
      <c r="J256" s="203"/>
      <c r="K256" s="203"/>
      <c r="L256" s="203"/>
      <c r="M256" s="203"/>
      <c r="N256" s="203"/>
      <c r="O256" s="205"/>
      <c r="P256" s="291"/>
      <c r="Q256" s="265"/>
      <c r="R256" s="265"/>
      <c r="S256" s="265"/>
      <c r="T256" s="267"/>
    </row>
    <row r="257" spans="1:23" ht="30" customHeight="1">
      <c r="A257" s="204"/>
      <c r="B257" s="202"/>
      <c r="C257" s="202"/>
      <c r="D257" s="202"/>
      <c r="E257" s="300"/>
      <c r="F257" s="210"/>
      <c r="G257" s="210"/>
      <c r="H257" s="203"/>
      <c r="I257" s="203"/>
      <c r="J257" s="203"/>
      <c r="K257" s="203"/>
      <c r="L257" s="203"/>
      <c r="M257" s="203"/>
      <c r="N257" s="203"/>
      <c r="O257" s="205"/>
      <c r="P257" s="291"/>
      <c r="Q257" s="265"/>
      <c r="R257" s="265"/>
      <c r="S257" s="265"/>
      <c r="T257" s="267"/>
    </row>
    <row r="258" spans="1:23" ht="30" customHeight="1">
      <c r="A258" s="204"/>
      <c r="B258" s="202"/>
      <c r="C258" s="202"/>
      <c r="D258" s="202"/>
      <c r="E258" s="300"/>
      <c r="F258" s="210"/>
      <c r="G258" s="210"/>
      <c r="H258" s="203"/>
      <c r="I258" s="203"/>
      <c r="J258" s="203"/>
      <c r="K258" s="203"/>
      <c r="L258" s="203"/>
      <c r="M258" s="203"/>
      <c r="N258" s="203"/>
      <c r="O258" s="205"/>
      <c r="P258" s="291"/>
      <c r="Q258" s="265"/>
      <c r="R258" s="265"/>
      <c r="S258" s="265"/>
      <c r="T258" s="267"/>
    </row>
    <row r="259" spans="1:23" ht="30" customHeight="1">
      <c r="A259" s="304"/>
      <c r="B259" s="296"/>
      <c r="C259" s="305"/>
      <c r="D259" s="306"/>
      <c r="E259" s="297"/>
      <c r="F259" s="298"/>
      <c r="G259" s="298"/>
      <c r="H259" s="282"/>
      <c r="I259" s="282"/>
      <c r="J259" s="282"/>
      <c r="K259" s="282"/>
      <c r="L259" s="282"/>
      <c r="M259" s="282"/>
      <c r="N259" s="282"/>
      <c r="O259" s="283"/>
      <c r="P259" s="303"/>
      <c r="Q259" s="265"/>
      <c r="R259" s="265"/>
      <c r="S259" s="265"/>
      <c r="T259" s="284"/>
      <c r="U259" s="265"/>
      <c r="V259" s="265"/>
      <c r="W259" s="265"/>
    </row>
    <row r="260" spans="1:23" ht="30" customHeight="1">
      <c r="A260" s="260"/>
      <c r="B260" s="200"/>
      <c r="C260" s="200"/>
      <c r="D260" s="200"/>
      <c r="E260" s="299"/>
      <c r="F260" s="209"/>
      <c r="G260" s="209"/>
      <c r="H260" s="201"/>
      <c r="I260" s="201"/>
      <c r="J260" s="201"/>
      <c r="K260" s="201"/>
      <c r="L260" s="201"/>
      <c r="M260" s="201"/>
      <c r="N260" s="201"/>
      <c r="O260" s="262"/>
      <c r="P260" s="291"/>
      <c r="Q260" s="265"/>
      <c r="R260" s="265"/>
      <c r="S260" s="265"/>
      <c r="T260" s="284"/>
      <c r="U260" s="265"/>
      <c r="V260" s="265"/>
      <c r="W260" s="265"/>
    </row>
    <row r="261" spans="1:23" ht="30" customHeight="1">
      <c r="A261" s="204"/>
      <c r="B261" s="202"/>
      <c r="C261" s="202"/>
      <c r="D261" s="202"/>
      <c r="E261" s="300"/>
      <c r="F261" s="210"/>
      <c r="G261" s="210"/>
      <c r="H261" s="203"/>
      <c r="I261" s="203"/>
      <c r="J261" s="203"/>
      <c r="K261" s="203"/>
      <c r="L261" s="203"/>
      <c r="M261" s="203"/>
      <c r="N261" s="203"/>
      <c r="O261" s="205"/>
      <c r="P261" s="291"/>
      <c r="Q261" s="265"/>
      <c r="R261" s="265"/>
      <c r="S261" s="265"/>
      <c r="T261" s="265"/>
    </row>
    <row r="262" spans="1:23" ht="30" customHeight="1">
      <c r="A262" s="204"/>
      <c r="B262" s="202"/>
      <c r="C262" s="202"/>
      <c r="D262" s="202"/>
      <c r="E262" s="300"/>
      <c r="F262" s="210"/>
      <c r="G262" s="210"/>
      <c r="H262" s="203"/>
      <c r="I262" s="203"/>
      <c r="J262" s="203"/>
      <c r="K262" s="203"/>
      <c r="L262" s="203"/>
      <c r="M262" s="203"/>
      <c r="N262" s="203"/>
      <c r="O262" s="205"/>
      <c r="P262" s="291"/>
      <c r="Q262" s="265"/>
      <c r="R262" s="265"/>
      <c r="S262" s="265"/>
      <c r="T262" s="265"/>
    </row>
    <row r="263" spans="1:23" ht="30" customHeight="1">
      <c r="A263" s="204"/>
      <c r="B263" s="202"/>
      <c r="C263" s="202"/>
      <c r="D263" s="202"/>
      <c r="E263" s="300"/>
      <c r="F263" s="210"/>
      <c r="G263" s="210"/>
      <c r="H263" s="203"/>
      <c r="I263" s="203"/>
      <c r="J263" s="203"/>
      <c r="K263" s="203"/>
      <c r="L263" s="203"/>
      <c r="M263" s="203"/>
      <c r="N263" s="203"/>
      <c r="O263" s="205"/>
      <c r="P263" s="291"/>
      <c r="Q263" s="265"/>
      <c r="R263" s="265"/>
      <c r="S263" s="265"/>
      <c r="T263" s="265"/>
    </row>
    <row r="264" spans="1:23" ht="30" customHeight="1">
      <c r="A264" s="204"/>
      <c r="B264" s="202"/>
      <c r="C264" s="202"/>
      <c r="D264" s="202"/>
      <c r="E264" s="300"/>
      <c r="F264" s="210"/>
      <c r="G264" s="210"/>
      <c r="H264" s="203"/>
      <c r="I264" s="203"/>
      <c r="J264" s="203"/>
      <c r="K264" s="203"/>
      <c r="L264" s="203"/>
      <c r="M264" s="203"/>
      <c r="N264" s="203"/>
      <c r="O264" s="205"/>
      <c r="P264" s="291"/>
      <c r="Q264" s="265"/>
      <c r="R264" s="265"/>
      <c r="S264" s="265"/>
      <c r="T264" s="265"/>
    </row>
    <row r="265" spans="1:23" ht="30" customHeight="1">
      <c r="A265" s="204"/>
      <c r="B265" s="202"/>
      <c r="C265" s="202"/>
      <c r="D265" s="202"/>
      <c r="E265" s="300"/>
      <c r="F265" s="210"/>
      <c r="G265" s="210"/>
      <c r="H265" s="203"/>
      <c r="I265" s="203"/>
      <c r="J265" s="203"/>
      <c r="K265" s="203"/>
      <c r="L265" s="203"/>
      <c r="M265" s="203"/>
      <c r="N265" s="203"/>
      <c r="O265" s="205"/>
      <c r="P265" s="291"/>
      <c r="Q265" s="265"/>
      <c r="R265" s="265"/>
      <c r="S265" s="265"/>
      <c r="T265" s="265"/>
    </row>
    <row r="266" spans="1:23" ht="30" customHeight="1">
      <c r="A266" s="204"/>
      <c r="B266" s="202"/>
      <c r="C266" s="202"/>
      <c r="D266" s="202"/>
      <c r="E266" s="300"/>
      <c r="F266" s="210"/>
      <c r="G266" s="210"/>
      <c r="H266" s="203"/>
      <c r="I266" s="203"/>
      <c r="J266" s="203"/>
      <c r="K266" s="203"/>
      <c r="L266" s="203"/>
      <c r="M266" s="203"/>
      <c r="N266" s="203"/>
      <c r="O266" s="205"/>
      <c r="P266" s="291"/>
      <c r="Q266" s="265"/>
      <c r="R266" s="265"/>
      <c r="S266" s="265"/>
      <c r="T266" s="265"/>
    </row>
    <row r="267" spans="1:23" ht="30" customHeight="1">
      <c r="A267" s="204"/>
      <c r="B267" s="202"/>
      <c r="C267" s="202"/>
      <c r="D267" s="202"/>
      <c r="E267" s="300"/>
      <c r="F267" s="210"/>
      <c r="G267" s="210"/>
      <c r="H267" s="203"/>
      <c r="I267" s="203"/>
      <c r="J267" s="203"/>
      <c r="K267" s="203"/>
      <c r="L267" s="203"/>
      <c r="M267" s="203"/>
      <c r="N267" s="203"/>
      <c r="O267" s="205"/>
      <c r="P267" s="291"/>
      <c r="Q267" s="265"/>
      <c r="R267" s="265"/>
      <c r="S267" s="265"/>
      <c r="T267" s="265"/>
    </row>
    <row r="268" spans="1:23" ht="30" customHeight="1">
      <c r="A268" s="204"/>
      <c r="B268" s="202"/>
      <c r="C268" s="202"/>
      <c r="D268" s="202"/>
      <c r="E268" s="300"/>
      <c r="F268" s="210"/>
      <c r="G268" s="210"/>
      <c r="H268" s="203"/>
      <c r="I268" s="203"/>
      <c r="J268" s="203"/>
      <c r="K268" s="203"/>
      <c r="L268" s="203"/>
      <c r="M268" s="203"/>
      <c r="N268" s="203"/>
      <c r="O268" s="205"/>
      <c r="P268" s="291"/>
      <c r="Q268" s="265"/>
      <c r="R268" s="265"/>
      <c r="S268" s="265"/>
      <c r="T268" s="265"/>
    </row>
    <row r="269" spans="1:23" ht="30" customHeight="1">
      <c r="A269" s="204"/>
      <c r="B269" s="202"/>
      <c r="C269" s="202"/>
      <c r="D269" s="202"/>
      <c r="E269" s="300"/>
      <c r="F269" s="210"/>
      <c r="G269" s="210"/>
      <c r="H269" s="203"/>
      <c r="I269" s="203"/>
      <c r="J269" s="203"/>
      <c r="K269" s="203"/>
      <c r="L269" s="203"/>
      <c r="M269" s="203"/>
      <c r="N269" s="203"/>
      <c r="O269" s="205"/>
      <c r="P269" s="291"/>
      <c r="Q269" s="265"/>
      <c r="R269" s="265"/>
      <c r="S269" s="265"/>
      <c r="T269" s="265"/>
    </row>
    <row r="270" spans="1:23" ht="30" customHeight="1">
      <c r="A270" s="204"/>
      <c r="B270" s="202"/>
      <c r="C270" s="202"/>
      <c r="D270" s="202"/>
      <c r="E270" s="300"/>
      <c r="F270" s="210"/>
      <c r="G270" s="210"/>
      <c r="H270" s="203"/>
      <c r="I270" s="203"/>
      <c r="J270" s="203"/>
      <c r="K270" s="203"/>
      <c r="L270" s="203"/>
      <c r="M270" s="203"/>
      <c r="N270" s="203"/>
      <c r="O270" s="205"/>
      <c r="P270" s="291"/>
      <c r="Q270" s="265"/>
      <c r="R270" s="265"/>
      <c r="S270" s="265"/>
      <c r="T270" s="265"/>
    </row>
    <row r="271" spans="1:23" ht="30" customHeight="1">
      <c r="A271" s="204"/>
      <c r="B271" s="202"/>
      <c r="C271" s="202"/>
      <c r="D271" s="202"/>
      <c r="E271" s="300"/>
      <c r="F271" s="210"/>
      <c r="G271" s="210"/>
      <c r="H271" s="203"/>
      <c r="I271" s="203"/>
      <c r="J271" s="203"/>
      <c r="K271" s="203"/>
      <c r="L271" s="203"/>
      <c r="M271" s="203"/>
      <c r="N271" s="203"/>
      <c r="O271" s="205"/>
      <c r="P271" s="291"/>
      <c r="Q271" s="265"/>
      <c r="R271" s="265"/>
      <c r="S271" s="265"/>
      <c r="T271" s="265"/>
    </row>
    <row r="272" spans="1:23" ht="30" customHeight="1">
      <c r="A272" s="204"/>
      <c r="B272" s="202"/>
      <c r="C272" s="202"/>
      <c r="D272" s="202"/>
      <c r="E272" s="300"/>
      <c r="F272" s="210"/>
      <c r="G272" s="210"/>
      <c r="H272" s="203"/>
      <c r="I272" s="203"/>
      <c r="J272" s="203"/>
      <c r="K272" s="203"/>
      <c r="L272" s="203"/>
      <c r="M272" s="203"/>
      <c r="N272" s="203"/>
      <c r="O272" s="205"/>
      <c r="P272" s="291"/>
      <c r="Q272" s="265"/>
      <c r="R272" s="265"/>
      <c r="S272" s="265"/>
      <c r="T272" s="265"/>
    </row>
    <row r="273" spans="1:23" ht="30" customHeight="1">
      <c r="A273" s="204"/>
      <c r="B273" s="202"/>
      <c r="C273" s="202"/>
      <c r="D273" s="202"/>
      <c r="E273" s="300"/>
      <c r="F273" s="210"/>
      <c r="G273" s="210"/>
      <c r="H273" s="203"/>
      <c r="I273" s="203"/>
      <c r="J273" s="203"/>
      <c r="K273" s="203"/>
      <c r="L273" s="203"/>
      <c r="M273" s="203"/>
      <c r="N273" s="203"/>
      <c r="O273" s="205"/>
      <c r="P273" s="291"/>
      <c r="Q273" s="265"/>
      <c r="R273" s="265"/>
      <c r="S273" s="265"/>
      <c r="T273" s="265"/>
    </row>
    <row r="274" spans="1:23" ht="30" customHeight="1">
      <c r="A274" s="204"/>
      <c r="B274" s="202"/>
      <c r="C274" s="202"/>
      <c r="D274" s="202"/>
      <c r="E274" s="300"/>
      <c r="F274" s="210"/>
      <c r="G274" s="210"/>
      <c r="H274" s="203"/>
      <c r="I274" s="203"/>
      <c r="J274" s="203"/>
      <c r="K274" s="203"/>
      <c r="L274" s="203"/>
      <c r="M274" s="203"/>
      <c r="N274" s="203"/>
      <c r="O274" s="205"/>
      <c r="P274" s="291"/>
      <c r="Q274" s="265"/>
      <c r="R274" s="265"/>
      <c r="S274" s="265"/>
      <c r="T274" s="265"/>
    </row>
    <row r="275" spans="1:23" ht="30" customHeight="1">
      <c r="A275" s="204"/>
      <c r="B275" s="202"/>
      <c r="C275" s="202"/>
      <c r="D275" s="202"/>
      <c r="E275" s="300"/>
      <c r="F275" s="210"/>
      <c r="G275" s="210"/>
      <c r="H275" s="203"/>
      <c r="I275" s="203"/>
      <c r="J275" s="203"/>
      <c r="K275" s="203"/>
      <c r="L275" s="203"/>
      <c r="M275" s="203"/>
      <c r="N275" s="203"/>
      <c r="O275" s="205"/>
      <c r="P275" s="291"/>
      <c r="Q275" s="265"/>
      <c r="R275" s="265"/>
      <c r="S275" s="265"/>
      <c r="T275" s="265"/>
    </row>
    <row r="276" spans="1:23" ht="30" customHeight="1">
      <c r="A276" s="204"/>
      <c r="B276" s="202"/>
      <c r="C276" s="202"/>
      <c r="D276" s="202"/>
      <c r="E276" s="300"/>
      <c r="F276" s="210"/>
      <c r="G276" s="210"/>
      <c r="H276" s="203"/>
      <c r="I276" s="203"/>
      <c r="J276" s="203"/>
      <c r="K276" s="203"/>
      <c r="L276" s="203"/>
      <c r="M276" s="203"/>
      <c r="N276" s="203"/>
      <c r="O276" s="205"/>
      <c r="P276" s="291"/>
      <c r="Q276" s="265"/>
      <c r="R276" s="265"/>
      <c r="S276" s="265"/>
      <c r="T276" s="267"/>
    </row>
    <row r="277" spans="1:23" ht="30" customHeight="1">
      <c r="A277" s="204"/>
      <c r="B277" s="202"/>
      <c r="C277" s="202"/>
      <c r="D277" s="202"/>
      <c r="E277" s="300"/>
      <c r="F277" s="210"/>
      <c r="G277" s="210"/>
      <c r="H277" s="203"/>
      <c r="I277" s="203"/>
      <c r="J277" s="203"/>
      <c r="K277" s="203"/>
      <c r="L277" s="203"/>
      <c r="M277" s="203"/>
      <c r="N277" s="203"/>
      <c r="O277" s="205"/>
      <c r="P277" s="291"/>
      <c r="Q277" s="265"/>
      <c r="R277" s="265"/>
      <c r="S277" s="265"/>
      <c r="T277" s="267"/>
    </row>
    <row r="278" spans="1:23" ht="30" customHeight="1">
      <c r="A278" s="204"/>
      <c r="B278" s="202"/>
      <c r="C278" s="202"/>
      <c r="D278" s="202"/>
      <c r="E278" s="300"/>
      <c r="F278" s="210"/>
      <c r="G278" s="210"/>
      <c r="H278" s="203"/>
      <c r="I278" s="203"/>
      <c r="J278" s="203"/>
      <c r="K278" s="203"/>
      <c r="L278" s="203"/>
      <c r="M278" s="203"/>
      <c r="N278" s="203"/>
      <c r="O278" s="205"/>
      <c r="P278" s="291"/>
      <c r="Q278" s="265"/>
      <c r="R278" s="265"/>
      <c r="S278" s="265"/>
      <c r="T278" s="267"/>
    </row>
    <row r="279" spans="1:23" ht="30" customHeight="1">
      <c r="A279" s="204"/>
      <c r="B279" s="202"/>
      <c r="C279" s="202"/>
      <c r="D279" s="202"/>
      <c r="E279" s="300"/>
      <c r="F279" s="210"/>
      <c r="G279" s="210"/>
      <c r="H279" s="203"/>
      <c r="I279" s="203"/>
      <c r="J279" s="203"/>
      <c r="K279" s="203"/>
      <c r="L279" s="203"/>
      <c r="M279" s="203"/>
      <c r="N279" s="203"/>
      <c r="O279" s="205"/>
      <c r="P279" s="291"/>
      <c r="Q279" s="265"/>
      <c r="R279" s="265"/>
      <c r="S279" s="265"/>
      <c r="T279" s="267"/>
    </row>
    <row r="280" spans="1:23" ht="30" customHeight="1">
      <c r="A280" s="304"/>
      <c r="B280" s="296"/>
      <c r="C280" s="305"/>
      <c r="D280" s="306"/>
      <c r="E280" s="297"/>
      <c r="F280" s="298"/>
      <c r="G280" s="298"/>
      <c r="H280" s="282"/>
      <c r="I280" s="282"/>
      <c r="J280" s="282"/>
      <c r="K280" s="282"/>
      <c r="L280" s="282"/>
      <c r="M280" s="282"/>
      <c r="N280" s="282"/>
      <c r="O280" s="283"/>
      <c r="P280" s="303"/>
      <c r="Q280" s="265"/>
      <c r="R280" s="265"/>
      <c r="S280" s="265"/>
      <c r="T280" s="284"/>
      <c r="U280" s="265"/>
      <c r="V280" s="265"/>
      <c r="W280" s="265"/>
    </row>
    <row r="281" spans="1:23" ht="30" customHeight="1">
      <c r="A281" s="260"/>
      <c r="B281" s="200"/>
      <c r="C281" s="200"/>
      <c r="D281" s="200"/>
      <c r="E281" s="299"/>
      <c r="F281" s="209"/>
      <c r="G281" s="209"/>
      <c r="H281" s="201"/>
      <c r="I281" s="201"/>
      <c r="J281" s="201"/>
      <c r="K281" s="201"/>
      <c r="L281" s="201"/>
      <c r="M281" s="201"/>
      <c r="N281" s="201"/>
      <c r="O281" s="262"/>
      <c r="P281" s="291"/>
      <c r="Q281" s="265"/>
      <c r="R281" s="265"/>
      <c r="S281" s="265"/>
      <c r="T281" s="284"/>
      <c r="U281" s="265"/>
      <c r="V281" s="265"/>
      <c r="W281" s="265"/>
    </row>
    <row r="282" spans="1:23" ht="30" customHeight="1">
      <c r="A282" s="204"/>
      <c r="B282" s="202"/>
      <c r="C282" s="202"/>
      <c r="D282" s="202"/>
      <c r="E282" s="300"/>
      <c r="F282" s="210"/>
      <c r="G282" s="210"/>
      <c r="H282" s="203"/>
      <c r="I282" s="203"/>
      <c r="J282" s="203"/>
      <c r="K282" s="203"/>
      <c r="L282" s="203"/>
      <c r="M282" s="203"/>
      <c r="N282" s="203"/>
      <c r="O282" s="205"/>
      <c r="P282" s="291"/>
      <c r="Q282" s="265"/>
      <c r="R282" s="265"/>
      <c r="S282" s="265"/>
      <c r="T282" s="265"/>
    </row>
    <row r="283" spans="1:23" ht="30" customHeight="1">
      <c r="A283" s="204"/>
      <c r="B283" s="202"/>
      <c r="C283" s="202"/>
      <c r="D283" s="202"/>
      <c r="E283" s="300"/>
      <c r="F283" s="210"/>
      <c r="G283" s="210"/>
      <c r="H283" s="203"/>
      <c r="I283" s="203"/>
      <c r="J283" s="203"/>
      <c r="K283" s="203"/>
      <c r="L283" s="203"/>
      <c r="M283" s="203"/>
      <c r="N283" s="203"/>
      <c r="O283" s="205"/>
      <c r="P283" s="291"/>
      <c r="Q283" s="265"/>
      <c r="R283" s="265"/>
      <c r="S283" s="265"/>
      <c r="T283" s="265"/>
    </row>
    <row r="284" spans="1:23" ht="30" customHeight="1">
      <c r="A284" s="204"/>
      <c r="B284" s="202"/>
      <c r="C284" s="202"/>
      <c r="D284" s="202"/>
      <c r="E284" s="300"/>
      <c r="F284" s="210"/>
      <c r="G284" s="210"/>
      <c r="H284" s="203"/>
      <c r="I284" s="203"/>
      <c r="J284" s="203"/>
      <c r="K284" s="203"/>
      <c r="L284" s="203"/>
      <c r="M284" s="203"/>
      <c r="N284" s="203"/>
      <c r="O284" s="205"/>
      <c r="P284" s="291"/>
      <c r="Q284" s="265"/>
      <c r="R284" s="265"/>
      <c r="S284" s="265"/>
      <c r="T284" s="265"/>
    </row>
    <row r="285" spans="1:23" ht="30" customHeight="1">
      <c r="A285" s="204"/>
      <c r="B285" s="202"/>
      <c r="C285" s="202"/>
      <c r="D285" s="202"/>
      <c r="E285" s="300"/>
      <c r="F285" s="210"/>
      <c r="G285" s="210"/>
      <c r="H285" s="203"/>
      <c r="I285" s="203"/>
      <c r="J285" s="203"/>
      <c r="K285" s="203"/>
      <c r="L285" s="203"/>
      <c r="M285" s="203"/>
      <c r="N285" s="203"/>
      <c r="O285" s="205"/>
      <c r="P285" s="291"/>
      <c r="Q285" s="265"/>
      <c r="R285" s="265"/>
      <c r="S285" s="265"/>
      <c r="T285" s="265"/>
    </row>
    <row r="286" spans="1:23" ht="30" customHeight="1">
      <c r="A286" s="204"/>
      <c r="B286" s="202"/>
      <c r="C286" s="202"/>
      <c r="D286" s="202"/>
      <c r="E286" s="300"/>
      <c r="F286" s="210"/>
      <c r="G286" s="210"/>
      <c r="H286" s="203"/>
      <c r="I286" s="203"/>
      <c r="J286" s="203"/>
      <c r="K286" s="203"/>
      <c r="L286" s="203"/>
      <c r="M286" s="203"/>
      <c r="N286" s="203"/>
      <c r="O286" s="205"/>
      <c r="P286" s="291"/>
      <c r="Q286" s="265"/>
      <c r="R286" s="265"/>
      <c r="S286" s="265"/>
      <c r="T286" s="265"/>
    </row>
    <row r="287" spans="1:23" ht="30" customHeight="1">
      <c r="A287" s="204"/>
      <c r="B287" s="202"/>
      <c r="C287" s="202"/>
      <c r="D287" s="202"/>
      <c r="E287" s="300"/>
      <c r="F287" s="210"/>
      <c r="G287" s="210"/>
      <c r="H287" s="203"/>
      <c r="I287" s="203"/>
      <c r="J287" s="203"/>
      <c r="K287" s="203"/>
      <c r="L287" s="203"/>
      <c r="M287" s="203"/>
      <c r="N287" s="203"/>
      <c r="O287" s="205"/>
      <c r="P287" s="291"/>
      <c r="Q287" s="265"/>
      <c r="R287" s="265"/>
      <c r="S287" s="265"/>
      <c r="T287" s="265"/>
    </row>
    <row r="288" spans="1:23" ht="30" customHeight="1">
      <c r="A288" s="204"/>
      <c r="B288" s="202"/>
      <c r="C288" s="202"/>
      <c r="D288" s="202"/>
      <c r="E288" s="300"/>
      <c r="F288" s="210"/>
      <c r="G288" s="210"/>
      <c r="H288" s="203"/>
      <c r="I288" s="203"/>
      <c r="J288" s="203"/>
      <c r="K288" s="203"/>
      <c r="L288" s="203"/>
      <c r="M288" s="203"/>
      <c r="N288" s="203"/>
      <c r="O288" s="205"/>
      <c r="P288" s="291"/>
      <c r="Q288" s="265"/>
      <c r="R288" s="265"/>
      <c r="S288" s="265"/>
      <c r="T288" s="265"/>
    </row>
    <row r="289" spans="1:23" ht="30" customHeight="1">
      <c r="A289" s="204"/>
      <c r="B289" s="202"/>
      <c r="C289" s="202"/>
      <c r="D289" s="202"/>
      <c r="E289" s="300"/>
      <c r="F289" s="210"/>
      <c r="G289" s="210"/>
      <c r="H289" s="203"/>
      <c r="I289" s="203"/>
      <c r="J289" s="203"/>
      <c r="K289" s="203"/>
      <c r="L289" s="203"/>
      <c r="M289" s="203"/>
      <c r="N289" s="203"/>
      <c r="O289" s="205"/>
      <c r="P289" s="291"/>
      <c r="Q289" s="265"/>
      <c r="R289" s="265"/>
      <c r="S289" s="265"/>
      <c r="T289" s="265"/>
    </row>
    <row r="290" spans="1:23" ht="30" customHeight="1">
      <c r="A290" s="204"/>
      <c r="B290" s="202"/>
      <c r="C290" s="202"/>
      <c r="D290" s="202"/>
      <c r="E290" s="300"/>
      <c r="F290" s="210"/>
      <c r="G290" s="210"/>
      <c r="H290" s="203"/>
      <c r="I290" s="203"/>
      <c r="J290" s="203"/>
      <c r="K290" s="203"/>
      <c r="L290" s="203"/>
      <c r="M290" s="203"/>
      <c r="N290" s="203"/>
      <c r="O290" s="205"/>
      <c r="P290" s="291"/>
      <c r="Q290" s="265"/>
      <c r="R290" s="265"/>
      <c r="S290" s="265"/>
      <c r="T290" s="265"/>
    </row>
    <row r="291" spans="1:23" ht="30" customHeight="1">
      <c r="A291" s="204"/>
      <c r="B291" s="202"/>
      <c r="C291" s="202"/>
      <c r="D291" s="202"/>
      <c r="E291" s="300"/>
      <c r="F291" s="210"/>
      <c r="G291" s="210"/>
      <c r="H291" s="203"/>
      <c r="I291" s="203"/>
      <c r="J291" s="203"/>
      <c r="K291" s="203"/>
      <c r="L291" s="203"/>
      <c r="M291" s="203"/>
      <c r="N291" s="203"/>
      <c r="O291" s="205"/>
      <c r="P291" s="291"/>
      <c r="Q291" s="265"/>
      <c r="R291" s="265"/>
      <c r="S291" s="265"/>
      <c r="T291" s="265"/>
    </row>
    <row r="292" spans="1:23" ht="30" customHeight="1">
      <c r="A292" s="204"/>
      <c r="B292" s="202"/>
      <c r="C292" s="202"/>
      <c r="D292" s="202"/>
      <c r="E292" s="300"/>
      <c r="F292" s="210"/>
      <c r="G292" s="210"/>
      <c r="H292" s="203"/>
      <c r="I292" s="203"/>
      <c r="J292" s="203"/>
      <c r="K292" s="203"/>
      <c r="L292" s="203"/>
      <c r="M292" s="203"/>
      <c r="N292" s="203"/>
      <c r="O292" s="205"/>
      <c r="P292" s="291"/>
      <c r="Q292" s="265"/>
      <c r="R292" s="265"/>
      <c r="S292" s="265"/>
      <c r="T292" s="265"/>
    </row>
    <row r="293" spans="1:23" ht="30" customHeight="1">
      <c r="A293" s="204"/>
      <c r="B293" s="202"/>
      <c r="C293" s="202"/>
      <c r="D293" s="202"/>
      <c r="E293" s="300"/>
      <c r="F293" s="210"/>
      <c r="G293" s="210"/>
      <c r="H293" s="203"/>
      <c r="I293" s="203"/>
      <c r="J293" s="203"/>
      <c r="K293" s="203"/>
      <c r="L293" s="203"/>
      <c r="M293" s="203"/>
      <c r="N293" s="203"/>
      <c r="O293" s="205"/>
      <c r="P293" s="291"/>
      <c r="Q293" s="265"/>
      <c r="R293" s="265"/>
      <c r="S293" s="265"/>
      <c r="T293" s="265"/>
    </row>
    <row r="294" spans="1:23" ht="30" customHeight="1">
      <c r="A294" s="204"/>
      <c r="B294" s="202"/>
      <c r="C294" s="202"/>
      <c r="D294" s="202"/>
      <c r="E294" s="300"/>
      <c r="F294" s="210"/>
      <c r="G294" s="210"/>
      <c r="H294" s="203"/>
      <c r="I294" s="203"/>
      <c r="J294" s="203"/>
      <c r="K294" s="203"/>
      <c r="L294" s="203"/>
      <c r="M294" s="203"/>
      <c r="N294" s="203"/>
      <c r="O294" s="205"/>
      <c r="P294" s="291"/>
      <c r="Q294" s="265"/>
      <c r="R294" s="265"/>
      <c r="S294" s="265"/>
      <c r="T294" s="265"/>
    </row>
    <row r="295" spans="1:23" ht="30" customHeight="1">
      <c r="A295" s="204"/>
      <c r="B295" s="202"/>
      <c r="C295" s="202"/>
      <c r="D295" s="202"/>
      <c r="E295" s="300"/>
      <c r="F295" s="210"/>
      <c r="G295" s="210"/>
      <c r="H295" s="203"/>
      <c r="I295" s="203"/>
      <c r="J295" s="203"/>
      <c r="K295" s="203"/>
      <c r="L295" s="203"/>
      <c r="M295" s="203"/>
      <c r="N295" s="203"/>
      <c r="O295" s="205"/>
      <c r="P295" s="291"/>
      <c r="Q295" s="265"/>
      <c r="R295" s="265"/>
      <c r="S295" s="265"/>
      <c r="T295" s="265"/>
    </row>
    <row r="296" spans="1:23" ht="30" customHeight="1">
      <c r="A296" s="204" t="str">
        <f>IF(ISBLANK(D296)," ",186-COUNTBLANK($D$5:D296))</f>
        <v xml:space="preserve"> </v>
      </c>
      <c r="B296" s="202"/>
      <c r="C296" s="202"/>
      <c r="D296" s="202"/>
      <c r="E296" s="300"/>
      <c r="F296" s="210"/>
      <c r="G296" s="210"/>
      <c r="H296" s="203"/>
      <c r="I296" s="203"/>
      <c r="J296" s="203"/>
      <c r="K296" s="203"/>
      <c r="L296" s="203"/>
      <c r="M296" s="203"/>
      <c r="N296" s="203"/>
      <c r="O296" s="205"/>
      <c r="P296" s="291"/>
      <c r="Q296" s="265"/>
      <c r="R296" s="265"/>
      <c r="S296" s="265"/>
      <c r="T296" s="265"/>
    </row>
    <row r="297" spans="1:23" ht="30" customHeight="1">
      <c r="A297" s="204" t="str">
        <f>IF(ISBLANK(D297)," ",187-COUNTBLANK($D$5:D297))</f>
        <v xml:space="preserve"> </v>
      </c>
      <c r="B297" s="202"/>
      <c r="C297" s="202"/>
      <c r="D297" s="202"/>
      <c r="E297" s="300"/>
      <c r="F297" s="210"/>
      <c r="G297" s="210"/>
      <c r="H297" s="203"/>
      <c r="I297" s="203"/>
      <c r="J297" s="203"/>
      <c r="K297" s="203"/>
      <c r="L297" s="203"/>
      <c r="M297" s="203"/>
      <c r="N297" s="203"/>
      <c r="O297" s="205"/>
      <c r="P297" s="291"/>
      <c r="Q297" s="265"/>
      <c r="R297" s="265"/>
      <c r="S297" s="265"/>
      <c r="T297" s="267"/>
    </row>
    <row r="298" spans="1:23" ht="30" customHeight="1">
      <c r="A298" s="204" t="str">
        <f>IF(ISBLANK(D298)," ",188-COUNTBLANK($D$5:D298))</f>
        <v xml:space="preserve"> </v>
      </c>
      <c r="B298" s="202"/>
      <c r="C298" s="202"/>
      <c r="D298" s="202"/>
      <c r="E298" s="300"/>
      <c r="F298" s="210"/>
      <c r="G298" s="210"/>
      <c r="H298" s="203"/>
      <c r="I298" s="203"/>
      <c r="J298" s="203"/>
      <c r="K298" s="203"/>
      <c r="L298" s="203"/>
      <c r="M298" s="203"/>
      <c r="N298" s="203"/>
      <c r="O298" s="205"/>
      <c r="P298" s="291"/>
      <c r="Q298" s="265"/>
      <c r="R298" s="265"/>
      <c r="S298" s="265"/>
      <c r="T298" s="267"/>
    </row>
    <row r="299" spans="1:23" ht="30" customHeight="1">
      <c r="A299" s="204" t="s">
        <v>52</v>
      </c>
      <c r="B299" s="202"/>
      <c r="C299" s="202"/>
      <c r="D299" s="202"/>
      <c r="E299" s="300"/>
      <c r="F299" s="210">
        <f>SUM(F279:F298)</f>
        <v>0</v>
      </c>
      <c r="G299" s="210"/>
      <c r="H299" s="203"/>
      <c r="I299" s="203"/>
      <c r="J299" s="203"/>
      <c r="K299" s="203"/>
      <c r="L299" s="203"/>
      <c r="M299" s="203"/>
      <c r="N299" s="203"/>
      <c r="O299" s="205"/>
      <c r="P299" s="291"/>
      <c r="Q299" s="265"/>
      <c r="R299" s="265"/>
      <c r="S299" s="265"/>
      <c r="T299" s="267"/>
    </row>
    <row r="300" spans="1:23" ht="30" customHeight="1">
      <c r="A300" s="204" t="str">
        <f>IF(ISBLANK(D300)," ",190-COUNTBLANK($D$5:D300))</f>
        <v xml:space="preserve"> </v>
      </c>
      <c r="B300" s="202"/>
      <c r="C300" s="202"/>
      <c r="D300" s="202"/>
      <c r="E300" s="300"/>
      <c r="F300" s="210"/>
      <c r="G300" s="210"/>
      <c r="H300" s="203"/>
      <c r="I300" s="203"/>
      <c r="J300" s="203"/>
      <c r="K300" s="203"/>
      <c r="L300" s="203"/>
      <c r="M300" s="203"/>
      <c r="N300" s="203"/>
      <c r="O300" s="205"/>
      <c r="P300" s="291"/>
      <c r="Q300" s="265"/>
      <c r="R300" s="265"/>
      <c r="S300" s="265"/>
      <c r="T300" s="267"/>
    </row>
    <row r="301" spans="1:23" ht="30" customHeight="1">
      <c r="A301" s="304" t="str">
        <f>IF(ISBLANK(D301)," ",191-COUNTBLANK($D$5:D301))</f>
        <v xml:space="preserve"> </v>
      </c>
      <c r="B301" s="296"/>
      <c r="C301" s="305"/>
      <c r="D301" s="306"/>
      <c r="E301" s="297"/>
      <c r="F301" s="298"/>
      <c r="G301" s="298"/>
      <c r="H301" s="282"/>
      <c r="I301" s="282"/>
      <c r="J301" s="282"/>
      <c r="K301" s="282"/>
      <c r="L301" s="282"/>
      <c r="M301" s="282"/>
      <c r="N301" s="282"/>
      <c r="O301" s="283"/>
      <c r="P301" s="303"/>
      <c r="Q301" s="265"/>
      <c r="R301" s="265"/>
      <c r="S301" s="265"/>
      <c r="T301" s="284"/>
      <c r="U301" s="265"/>
      <c r="V301" s="265"/>
      <c r="W301" s="265"/>
    </row>
    <row r="302" spans="1:23" ht="30" customHeight="1">
      <c r="A302" s="260" t="str">
        <f>IF(ISBLANK(D302)," ",192-COUNTBLANK($D$5:D302))</f>
        <v xml:space="preserve"> </v>
      </c>
      <c r="B302" s="200"/>
      <c r="C302" s="200"/>
      <c r="D302" s="200"/>
      <c r="E302" s="299"/>
      <c r="F302" s="209"/>
      <c r="G302" s="209"/>
      <c r="H302" s="201"/>
      <c r="I302" s="201"/>
      <c r="J302" s="201"/>
      <c r="K302" s="201"/>
      <c r="L302" s="201"/>
      <c r="M302" s="201"/>
      <c r="N302" s="201"/>
      <c r="O302" s="262"/>
      <c r="P302" s="291"/>
      <c r="Q302" s="265"/>
      <c r="R302" s="265"/>
      <c r="S302" s="265"/>
      <c r="T302" s="284"/>
      <c r="U302" s="265"/>
      <c r="V302" s="265"/>
      <c r="W302" s="265"/>
    </row>
    <row r="303" spans="1:23" ht="30" customHeight="1">
      <c r="A303" s="204" t="str">
        <f>IF(ISBLANK(D303)," ",193-COUNTBLANK($D$5:D303))</f>
        <v xml:space="preserve"> </v>
      </c>
      <c r="B303" s="202"/>
      <c r="C303" s="202"/>
      <c r="D303" s="202"/>
      <c r="E303" s="300"/>
      <c r="F303" s="210"/>
      <c r="G303" s="210"/>
      <c r="H303" s="203"/>
      <c r="I303" s="203"/>
      <c r="J303" s="203"/>
      <c r="K303" s="203"/>
      <c r="L303" s="203"/>
      <c r="M303" s="203"/>
      <c r="N303" s="203"/>
      <c r="O303" s="205"/>
      <c r="P303" s="291"/>
      <c r="Q303" s="265"/>
      <c r="R303" s="265"/>
      <c r="S303" s="265"/>
      <c r="T303" s="265"/>
    </row>
    <row r="304" spans="1:23" ht="30" customHeight="1">
      <c r="A304" s="204" t="str">
        <f>IF(ISBLANK(D304)," ",194-COUNTBLANK($D$5:D304))</f>
        <v xml:space="preserve"> </v>
      </c>
      <c r="B304" s="202"/>
      <c r="C304" s="202"/>
      <c r="D304" s="202"/>
      <c r="E304" s="300"/>
      <c r="F304" s="210"/>
      <c r="G304" s="210"/>
      <c r="H304" s="203"/>
      <c r="I304" s="203"/>
      <c r="J304" s="203"/>
      <c r="K304" s="203"/>
      <c r="L304" s="203"/>
      <c r="M304" s="203"/>
      <c r="N304" s="203"/>
      <c r="O304" s="205"/>
      <c r="P304" s="291"/>
      <c r="Q304" s="265"/>
      <c r="R304" s="265"/>
      <c r="S304" s="265"/>
      <c r="T304" s="265"/>
    </row>
    <row r="305" spans="1:20" ht="30" customHeight="1">
      <c r="A305" s="204" t="str">
        <f>IF(ISBLANK(D305)," ",195-COUNTBLANK($D$5:D305))</f>
        <v xml:space="preserve"> </v>
      </c>
      <c r="B305" s="202"/>
      <c r="C305" s="202"/>
      <c r="D305" s="202"/>
      <c r="E305" s="300"/>
      <c r="F305" s="210"/>
      <c r="G305" s="210"/>
      <c r="H305" s="203"/>
      <c r="I305" s="203"/>
      <c r="J305" s="203"/>
      <c r="K305" s="203"/>
      <c r="L305" s="203"/>
      <c r="M305" s="203"/>
      <c r="N305" s="203"/>
      <c r="O305" s="205"/>
      <c r="P305" s="291"/>
      <c r="Q305" s="265"/>
      <c r="R305" s="265"/>
      <c r="S305" s="265"/>
      <c r="T305" s="265"/>
    </row>
    <row r="306" spans="1:20" ht="30" customHeight="1">
      <c r="A306" s="204" t="str">
        <f>IF(ISBLANK(D306)," ",196-COUNTBLANK($D$5:D306))</f>
        <v xml:space="preserve"> </v>
      </c>
      <c r="B306" s="202"/>
      <c r="C306" s="202"/>
      <c r="D306" s="202"/>
      <c r="E306" s="300"/>
      <c r="F306" s="210"/>
      <c r="G306" s="210"/>
      <c r="H306" s="203"/>
      <c r="I306" s="203"/>
      <c r="J306" s="203"/>
      <c r="K306" s="203"/>
      <c r="L306" s="203"/>
      <c r="M306" s="203"/>
      <c r="N306" s="203"/>
      <c r="O306" s="205"/>
      <c r="P306" s="291"/>
      <c r="Q306" s="265"/>
      <c r="R306" s="265"/>
      <c r="S306" s="265"/>
      <c r="T306" s="265"/>
    </row>
    <row r="307" spans="1:20" ht="30" customHeight="1">
      <c r="A307" s="204" t="str">
        <f>IF(ISBLANK(D307)," ",197-COUNTBLANK($D$5:D307))</f>
        <v xml:space="preserve"> </v>
      </c>
      <c r="B307" s="202"/>
      <c r="C307" s="202"/>
      <c r="D307" s="202"/>
      <c r="E307" s="300"/>
      <c r="F307" s="210"/>
      <c r="G307" s="210"/>
      <c r="H307" s="203"/>
      <c r="I307" s="203"/>
      <c r="J307" s="203"/>
      <c r="K307" s="203"/>
      <c r="L307" s="203"/>
      <c r="M307" s="203"/>
      <c r="N307" s="203"/>
      <c r="O307" s="205"/>
      <c r="P307" s="291"/>
      <c r="Q307" s="265"/>
      <c r="R307" s="265"/>
      <c r="S307" s="265"/>
      <c r="T307" s="265"/>
    </row>
    <row r="308" spans="1:20" ht="30" customHeight="1">
      <c r="A308" s="204" t="str">
        <f>IF(ISBLANK(D308)," ",198-COUNTBLANK($D$5:D308))</f>
        <v xml:space="preserve"> </v>
      </c>
      <c r="B308" s="202"/>
      <c r="C308" s="202"/>
      <c r="D308" s="202"/>
      <c r="E308" s="300"/>
      <c r="F308" s="210"/>
      <c r="G308" s="210"/>
      <c r="H308" s="203"/>
      <c r="I308" s="203"/>
      <c r="J308" s="203"/>
      <c r="K308" s="203"/>
      <c r="L308" s="203"/>
      <c r="M308" s="203"/>
      <c r="N308" s="203"/>
      <c r="O308" s="205"/>
      <c r="P308" s="291"/>
      <c r="Q308" s="265"/>
      <c r="R308" s="265"/>
      <c r="S308" s="265"/>
      <c r="T308" s="265"/>
    </row>
    <row r="309" spans="1:20" ht="30" customHeight="1">
      <c r="A309" s="204" t="str">
        <f>IF(ISBLANK(D309)," ",199-COUNTBLANK($D$5:D309))</f>
        <v xml:space="preserve"> </v>
      </c>
      <c r="B309" s="202"/>
      <c r="C309" s="202"/>
      <c r="D309" s="202"/>
      <c r="E309" s="300"/>
      <c r="F309" s="210"/>
      <c r="G309" s="210"/>
      <c r="H309" s="203"/>
      <c r="I309" s="203"/>
      <c r="J309" s="203"/>
      <c r="K309" s="203"/>
      <c r="L309" s="203"/>
      <c r="M309" s="203"/>
      <c r="N309" s="203"/>
      <c r="O309" s="205"/>
      <c r="P309" s="291"/>
      <c r="Q309" s="265"/>
      <c r="R309" s="265"/>
      <c r="S309" s="265"/>
      <c r="T309" s="265"/>
    </row>
    <row r="310" spans="1:20" ht="30" customHeight="1">
      <c r="A310" s="204" t="str">
        <f>IF(ISBLANK(D310)," ",200-COUNTBLANK($D$5:D310))</f>
        <v xml:space="preserve"> </v>
      </c>
      <c r="B310" s="202"/>
      <c r="C310" s="202"/>
      <c r="D310" s="202"/>
      <c r="E310" s="300"/>
      <c r="F310" s="210"/>
      <c r="G310" s="210"/>
      <c r="H310" s="203"/>
      <c r="I310" s="203"/>
      <c r="J310" s="203"/>
      <c r="K310" s="203"/>
      <c r="L310" s="203"/>
      <c r="M310" s="203"/>
      <c r="N310" s="203"/>
      <c r="O310" s="205"/>
      <c r="P310" s="291"/>
      <c r="Q310" s="265"/>
      <c r="R310" s="265"/>
      <c r="S310" s="265"/>
      <c r="T310" s="265"/>
    </row>
    <row r="311" spans="1:20" ht="30" customHeight="1">
      <c r="A311" s="204" t="str">
        <f>IF(ISBLANK(D311)," ",201-COUNTBLANK($D$5:D311))</f>
        <v xml:space="preserve"> </v>
      </c>
      <c r="B311" s="202"/>
      <c r="C311" s="202"/>
      <c r="D311" s="202"/>
      <c r="E311" s="300"/>
      <c r="F311" s="210"/>
      <c r="G311" s="210"/>
      <c r="H311" s="203"/>
      <c r="I311" s="203"/>
      <c r="J311" s="203"/>
      <c r="K311" s="203"/>
      <c r="L311" s="203"/>
      <c r="M311" s="203"/>
      <c r="N311" s="203"/>
      <c r="O311" s="205"/>
      <c r="P311" s="291"/>
      <c r="Q311" s="265"/>
      <c r="R311" s="265"/>
      <c r="S311" s="265"/>
      <c r="T311" s="265"/>
    </row>
    <row r="312" spans="1:20" ht="30" customHeight="1">
      <c r="A312" s="204" t="str">
        <f>IF(ISBLANK(D312)," ",202-COUNTBLANK($D$5:D312))</f>
        <v xml:space="preserve"> </v>
      </c>
      <c r="B312" s="202"/>
      <c r="C312" s="202"/>
      <c r="D312" s="202"/>
      <c r="E312" s="300"/>
      <c r="F312" s="210"/>
      <c r="G312" s="210"/>
      <c r="H312" s="203"/>
      <c r="I312" s="203"/>
      <c r="J312" s="203"/>
      <c r="K312" s="203"/>
      <c r="L312" s="203"/>
      <c r="M312" s="203"/>
      <c r="N312" s="203"/>
      <c r="O312" s="205"/>
      <c r="P312" s="291"/>
      <c r="Q312" s="265"/>
      <c r="R312" s="265"/>
      <c r="S312" s="265"/>
      <c r="T312" s="265"/>
    </row>
    <row r="313" spans="1:20" ht="30" customHeight="1">
      <c r="A313" s="204" t="str">
        <f>IF(ISBLANK(D313)," ",203-COUNTBLANK($D$5:D313))</f>
        <v xml:space="preserve"> </v>
      </c>
      <c r="B313" s="202"/>
      <c r="C313" s="202"/>
      <c r="D313" s="202"/>
      <c r="E313" s="300"/>
      <c r="F313" s="210"/>
      <c r="G313" s="210"/>
      <c r="H313" s="203"/>
      <c r="I313" s="203"/>
      <c r="J313" s="203"/>
      <c r="K313" s="203"/>
      <c r="L313" s="203"/>
      <c r="M313" s="203"/>
      <c r="N313" s="203"/>
      <c r="O313" s="205"/>
      <c r="P313" s="291"/>
      <c r="Q313" s="265"/>
      <c r="R313" s="265"/>
      <c r="S313" s="265"/>
      <c r="T313" s="265"/>
    </row>
    <row r="314" spans="1:20" ht="30" customHeight="1">
      <c r="A314" s="204" t="str">
        <f>IF(ISBLANK(D314)," ",204-COUNTBLANK($D$5:D314))</f>
        <v xml:space="preserve"> </v>
      </c>
      <c r="B314" s="202"/>
      <c r="C314" s="202"/>
      <c r="D314" s="202"/>
      <c r="E314" s="300"/>
      <c r="F314" s="210"/>
      <c r="G314" s="210"/>
      <c r="H314" s="203"/>
      <c r="I314" s="203"/>
      <c r="J314" s="203"/>
      <c r="K314" s="203"/>
      <c r="L314" s="203"/>
      <c r="M314" s="203"/>
      <c r="N314" s="203"/>
      <c r="O314" s="205"/>
      <c r="P314" s="291"/>
      <c r="Q314" s="265"/>
      <c r="R314" s="265"/>
      <c r="S314" s="265"/>
      <c r="T314" s="265"/>
    </row>
    <row r="315" spans="1:20" ht="30" customHeight="1">
      <c r="A315" s="204" t="str">
        <f>IF(ISBLANK(D315)," ",205-COUNTBLANK($D$5:D315))</f>
        <v xml:space="preserve"> </v>
      </c>
      <c r="B315" s="202"/>
      <c r="C315" s="202"/>
      <c r="D315" s="202"/>
      <c r="E315" s="300"/>
      <c r="F315" s="210"/>
      <c r="G315" s="210"/>
      <c r="H315" s="203"/>
      <c r="I315" s="203"/>
      <c r="J315" s="203"/>
      <c r="K315" s="203"/>
      <c r="L315" s="203"/>
      <c r="M315" s="203"/>
      <c r="N315" s="203"/>
      <c r="O315" s="205"/>
      <c r="P315" s="291"/>
      <c r="Q315" s="265"/>
      <c r="R315" s="265"/>
      <c r="S315" s="265"/>
      <c r="T315" s="265"/>
    </row>
    <row r="316" spans="1:20" ht="30" customHeight="1">
      <c r="A316" s="204" t="str">
        <f>IF(ISBLANK(D316)," ",206-COUNTBLANK($D$5:D316))</f>
        <v xml:space="preserve"> </v>
      </c>
      <c r="B316" s="202"/>
      <c r="C316" s="202"/>
      <c r="D316" s="202"/>
      <c r="E316" s="300"/>
      <c r="F316" s="210"/>
      <c r="G316" s="210"/>
      <c r="H316" s="203"/>
      <c r="I316" s="203"/>
      <c r="J316" s="203"/>
      <c r="K316" s="203"/>
      <c r="L316" s="203"/>
      <c r="M316" s="203"/>
      <c r="N316" s="203"/>
      <c r="O316" s="205"/>
      <c r="P316" s="291"/>
      <c r="Q316" s="265"/>
      <c r="R316" s="265"/>
      <c r="S316" s="265"/>
      <c r="T316" s="265"/>
    </row>
    <row r="317" spans="1:20" ht="30" customHeight="1">
      <c r="A317" s="204" t="str">
        <f>IF(ISBLANK(D317)," ",207-COUNTBLANK($D$5:D317))</f>
        <v xml:space="preserve"> </v>
      </c>
      <c r="B317" s="202"/>
      <c r="C317" s="202"/>
      <c r="D317" s="202"/>
      <c r="E317" s="300"/>
      <c r="F317" s="210"/>
      <c r="G317" s="210"/>
      <c r="H317" s="203"/>
      <c r="I317" s="203"/>
      <c r="J317" s="203"/>
      <c r="K317" s="203"/>
      <c r="L317" s="203"/>
      <c r="M317" s="203"/>
      <c r="N317" s="203"/>
      <c r="O317" s="205"/>
      <c r="P317" s="291"/>
      <c r="Q317" s="265"/>
      <c r="R317" s="265"/>
      <c r="S317" s="265"/>
      <c r="T317" s="265"/>
    </row>
    <row r="318" spans="1:20" ht="30" customHeight="1">
      <c r="A318" s="204" t="str">
        <f>IF(ISBLANK(D318)," ",208-COUNTBLANK($D$5:D318))</f>
        <v xml:space="preserve"> </v>
      </c>
      <c r="B318" s="202"/>
      <c r="C318" s="202"/>
      <c r="D318" s="202"/>
      <c r="E318" s="300"/>
      <c r="F318" s="210"/>
      <c r="G318" s="210"/>
      <c r="H318" s="203"/>
      <c r="I318" s="203"/>
      <c r="J318" s="203"/>
      <c r="K318" s="203"/>
      <c r="L318" s="203"/>
      <c r="M318" s="203"/>
      <c r="N318" s="203"/>
      <c r="O318" s="205"/>
      <c r="P318" s="291"/>
      <c r="Q318" s="265"/>
      <c r="R318" s="265"/>
      <c r="S318" s="265"/>
      <c r="T318" s="267"/>
    </row>
    <row r="319" spans="1:20" ht="30" customHeight="1">
      <c r="A319" s="204" t="str">
        <f>IF(ISBLANK(D319)," ",209-COUNTBLANK($D$5:D319))</f>
        <v xml:space="preserve"> </v>
      </c>
      <c r="B319" s="202"/>
      <c r="C319" s="202"/>
      <c r="D319" s="202"/>
      <c r="E319" s="300"/>
      <c r="F319" s="210"/>
      <c r="G319" s="210"/>
      <c r="H319" s="203"/>
      <c r="I319" s="203"/>
      <c r="J319" s="203"/>
      <c r="K319" s="203"/>
      <c r="L319" s="203"/>
      <c r="M319" s="203"/>
      <c r="N319" s="203"/>
      <c r="O319" s="205"/>
      <c r="P319" s="291"/>
      <c r="Q319" s="265"/>
      <c r="R319" s="265"/>
      <c r="S319" s="265"/>
      <c r="T319" s="267"/>
    </row>
    <row r="320" spans="1:20" ht="30" customHeight="1">
      <c r="A320" s="204" t="s">
        <v>52</v>
      </c>
      <c r="B320" s="202"/>
      <c r="C320" s="202"/>
      <c r="D320" s="202"/>
      <c r="E320" s="300"/>
      <c r="F320" s="210">
        <f>SUM(F300:F319)</f>
        <v>0</v>
      </c>
      <c r="G320" s="210"/>
      <c r="H320" s="203"/>
      <c r="I320" s="203"/>
      <c r="J320" s="203"/>
      <c r="K320" s="203"/>
      <c r="L320" s="203"/>
      <c r="M320" s="203"/>
      <c r="N320" s="203"/>
      <c r="O320" s="205"/>
      <c r="P320" s="291"/>
      <c r="Q320" s="265"/>
      <c r="R320" s="265"/>
      <c r="S320" s="265"/>
      <c r="T320" s="267"/>
    </row>
    <row r="321" spans="1:23" ht="30" customHeight="1">
      <c r="A321" s="204" t="str">
        <f>IF(ISBLANK(D321)," ",211-COUNTBLANK($D$5:D321))</f>
        <v xml:space="preserve"> </v>
      </c>
      <c r="B321" s="202"/>
      <c r="C321" s="202"/>
      <c r="D321" s="202"/>
      <c r="E321" s="300"/>
      <c r="F321" s="210"/>
      <c r="G321" s="210"/>
      <c r="H321" s="203"/>
      <c r="I321" s="203"/>
      <c r="J321" s="203"/>
      <c r="K321" s="203"/>
      <c r="L321" s="203"/>
      <c r="M321" s="203"/>
      <c r="N321" s="203"/>
      <c r="O321" s="205"/>
      <c r="P321" s="291"/>
      <c r="Q321" s="265"/>
      <c r="R321" s="265"/>
      <c r="S321" s="265"/>
      <c r="T321" s="267"/>
    </row>
    <row r="322" spans="1:23" ht="30" customHeight="1">
      <c r="A322" s="304" t="str">
        <f>IF(ISBLANK(D322)," ",212-COUNTBLANK($D$5:D322))</f>
        <v xml:space="preserve"> </v>
      </c>
      <c r="B322" s="296"/>
      <c r="C322" s="305"/>
      <c r="D322" s="306"/>
      <c r="E322" s="297"/>
      <c r="F322" s="298"/>
      <c r="G322" s="298"/>
      <c r="H322" s="282"/>
      <c r="I322" s="282"/>
      <c r="J322" s="282"/>
      <c r="K322" s="282"/>
      <c r="L322" s="282"/>
      <c r="M322" s="282"/>
      <c r="N322" s="282"/>
      <c r="O322" s="283"/>
      <c r="P322" s="303"/>
      <c r="Q322" s="265"/>
      <c r="R322" s="265"/>
      <c r="S322" s="265"/>
      <c r="T322" s="284"/>
      <c r="U322" s="265"/>
      <c r="V322" s="265"/>
      <c r="W322" s="265"/>
    </row>
    <row r="323" spans="1:23" ht="30" customHeight="1">
      <c r="A323" s="260" t="str">
        <f>IF(ISBLANK(D323)," ",213-COUNTBLANK($D$5:D323))</f>
        <v xml:space="preserve"> </v>
      </c>
      <c r="B323" s="200"/>
      <c r="C323" s="200"/>
      <c r="D323" s="200"/>
      <c r="E323" s="299"/>
      <c r="F323" s="209"/>
      <c r="G323" s="209"/>
      <c r="H323" s="201"/>
      <c r="I323" s="201"/>
      <c r="J323" s="201"/>
      <c r="K323" s="201"/>
      <c r="L323" s="201"/>
      <c r="M323" s="201"/>
      <c r="N323" s="201"/>
      <c r="O323" s="262"/>
      <c r="P323" s="291"/>
      <c r="Q323" s="265"/>
      <c r="R323" s="265"/>
      <c r="S323" s="265"/>
      <c r="T323" s="284"/>
      <c r="U323" s="265"/>
      <c r="V323" s="265"/>
      <c r="W323" s="265"/>
    </row>
    <row r="324" spans="1:23" ht="30" customHeight="1">
      <c r="A324" s="204" t="str">
        <f>IF(ISBLANK(D324)," ",214-COUNTBLANK($D$5:D324))</f>
        <v xml:space="preserve"> </v>
      </c>
      <c r="B324" s="202"/>
      <c r="C324" s="202"/>
      <c r="D324" s="202"/>
      <c r="E324" s="300"/>
      <c r="F324" s="210"/>
      <c r="G324" s="210"/>
      <c r="H324" s="203"/>
      <c r="I324" s="203"/>
      <c r="J324" s="203"/>
      <c r="K324" s="203"/>
      <c r="L324" s="203"/>
      <c r="M324" s="203"/>
      <c r="N324" s="203"/>
      <c r="O324" s="205"/>
      <c r="P324" s="291"/>
      <c r="Q324" s="265"/>
      <c r="R324" s="265"/>
      <c r="S324" s="265"/>
      <c r="T324" s="265"/>
    </row>
    <row r="325" spans="1:23" ht="30" customHeight="1">
      <c r="A325" s="204" t="str">
        <f>IF(ISBLANK(D325)," ",215-COUNTBLANK($D$5:D325))</f>
        <v xml:space="preserve"> </v>
      </c>
      <c r="B325" s="202"/>
      <c r="C325" s="202"/>
      <c r="D325" s="202"/>
      <c r="E325" s="300"/>
      <c r="F325" s="210"/>
      <c r="G325" s="210"/>
      <c r="H325" s="203"/>
      <c r="I325" s="203"/>
      <c r="J325" s="203"/>
      <c r="K325" s="203"/>
      <c r="L325" s="203"/>
      <c r="M325" s="203"/>
      <c r="N325" s="203"/>
      <c r="O325" s="205"/>
      <c r="P325" s="291"/>
      <c r="Q325" s="265"/>
      <c r="R325" s="265"/>
      <c r="S325" s="265"/>
      <c r="T325" s="265"/>
    </row>
    <row r="326" spans="1:23" ht="30" customHeight="1">
      <c r="A326" s="204" t="str">
        <f>IF(ISBLANK(D326)," ",216-COUNTBLANK($D$5:D326))</f>
        <v xml:space="preserve"> </v>
      </c>
      <c r="B326" s="202"/>
      <c r="C326" s="202"/>
      <c r="D326" s="202"/>
      <c r="E326" s="300"/>
      <c r="F326" s="210"/>
      <c r="G326" s="210"/>
      <c r="H326" s="203"/>
      <c r="I326" s="203"/>
      <c r="J326" s="203"/>
      <c r="K326" s="203"/>
      <c r="L326" s="203"/>
      <c r="M326" s="203"/>
      <c r="N326" s="203"/>
      <c r="O326" s="205"/>
      <c r="P326" s="291"/>
      <c r="Q326" s="265"/>
      <c r="R326" s="265"/>
      <c r="S326" s="265"/>
      <c r="T326" s="265"/>
    </row>
    <row r="327" spans="1:23" ht="30" customHeight="1">
      <c r="A327" s="204" t="str">
        <f>IF(ISBLANK(D327)," ",217-COUNTBLANK($D$5:D327))</f>
        <v xml:space="preserve"> </v>
      </c>
      <c r="B327" s="202"/>
      <c r="C327" s="202"/>
      <c r="D327" s="202"/>
      <c r="E327" s="300"/>
      <c r="F327" s="210"/>
      <c r="G327" s="210"/>
      <c r="H327" s="203"/>
      <c r="I327" s="203"/>
      <c r="J327" s="203"/>
      <c r="K327" s="203"/>
      <c r="L327" s="203"/>
      <c r="M327" s="203"/>
      <c r="N327" s="203"/>
      <c r="O327" s="205"/>
      <c r="P327" s="291"/>
      <c r="Q327" s="265"/>
      <c r="R327" s="265"/>
      <c r="S327" s="265"/>
      <c r="T327" s="265"/>
    </row>
    <row r="328" spans="1:23" ht="30" customHeight="1">
      <c r="A328" s="204" t="str">
        <f>IF(ISBLANK(D328)," ",218-COUNTBLANK($D$5:D328))</f>
        <v xml:space="preserve"> </v>
      </c>
      <c r="B328" s="202"/>
      <c r="C328" s="202"/>
      <c r="D328" s="202"/>
      <c r="E328" s="300"/>
      <c r="F328" s="210"/>
      <c r="G328" s="210"/>
      <c r="H328" s="203"/>
      <c r="I328" s="203"/>
      <c r="J328" s="203"/>
      <c r="K328" s="203"/>
      <c r="L328" s="203"/>
      <c r="M328" s="203"/>
      <c r="N328" s="203"/>
      <c r="O328" s="205"/>
      <c r="P328" s="291"/>
      <c r="Q328" s="265"/>
      <c r="R328" s="265"/>
      <c r="S328" s="265"/>
      <c r="T328" s="265"/>
    </row>
    <row r="329" spans="1:23" ht="30" customHeight="1">
      <c r="A329" s="204" t="str">
        <f>IF(ISBLANK(D329)," ",219-COUNTBLANK($D$5:D329))</f>
        <v xml:space="preserve"> </v>
      </c>
      <c r="B329" s="202"/>
      <c r="C329" s="202"/>
      <c r="D329" s="202"/>
      <c r="E329" s="300"/>
      <c r="F329" s="210"/>
      <c r="G329" s="210"/>
      <c r="H329" s="203"/>
      <c r="I329" s="203"/>
      <c r="J329" s="203"/>
      <c r="K329" s="203"/>
      <c r="L329" s="203"/>
      <c r="M329" s="203"/>
      <c r="N329" s="203"/>
      <c r="O329" s="205"/>
      <c r="P329" s="291"/>
      <c r="Q329" s="265"/>
      <c r="R329" s="265"/>
      <c r="S329" s="265"/>
      <c r="T329" s="265"/>
    </row>
    <row r="330" spans="1:23" ht="30" customHeight="1">
      <c r="A330" s="204" t="str">
        <f>IF(ISBLANK(D330)," ",220-COUNTBLANK($D$5:D330))</f>
        <v xml:space="preserve"> </v>
      </c>
      <c r="B330" s="202"/>
      <c r="C330" s="202"/>
      <c r="D330" s="202"/>
      <c r="E330" s="300"/>
      <c r="F330" s="210"/>
      <c r="G330" s="210"/>
      <c r="H330" s="203"/>
      <c r="I330" s="203"/>
      <c r="J330" s="203"/>
      <c r="K330" s="203"/>
      <c r="L330" s="203"/>
      <c r="M330" s="203"/>
      <c r="N330" s="203"/>
      <c r="O330" s="205"/>
      <c r="P330" s="291"/>
      <c r="Q330" s="265"/>
      <c r="R330" s="265"/>
      <c r="S330" s="265"/>
      <c r="T330" s="265"/>
    </row>
    <row r="331" spans="1:23" ht="30" customHeight="1">
      <c r="A331" s="204" t="str">
        <f>IF(ISBLANK(D331)," ",221-COUNTBLANK($D$5:D331))</f>
        <v xml:space="preserve"> </v>
      </c>
      <c r="B331" s="202"/>
      <c r="C331" s="202"/>
      <c r="D331" s="202"/>
      <c r="E331" s="300"/>
      <c r="F331" s="210"/>
      <c r="G331" s="210"/>
      <c r="H331" s="203"/>
      <c r="I331" s="203"/>
      <c r="J331" s="203"/>
      <c r="K331" s="203"/>
      <c r="L331" s="203"/>
      <c r="M331" s="203"/>
      <c r="N331" s="203"/>
      <c r="O331" s="205"/>
      <c r="P331" s="291"/>
      <c r="Q331" s="265"/>
      <c r="R331" s="265"/>
      <c r="S331" s="265"/>
      <c r="T331" s="265"/>
    </row>
    <row r="332" spans="1:23" ht="30" customHeight="1">
      <c r="A332" s="204" t="str">
        <f>IF(ISBLANK(D332)," ",222-COUNTBLANK($D$5:D332))</f>
        <v xml:space="preserve"> </v>
      </c>
      <c r="B332" s="202"/>
      <c r="C332" s="202"/>
      <c r="D332" s="202"/>
      <c r="E332" s="300"/>
      <c r="F332" s="210"/>
      <c r="G332" s="210"/>
      <c r="H332" s="203"/>
      <c r="I332" s="203"/>
      <c r="J332" s="203"/>
      <c r="K332" s="203"/>
      <c r="L332" s="203"/>
      <c r="M332" s="203"/>
      <c r="N332" s="203"/>
      <c r="O332" s="205"/>
      <c r="P332" s="291"/>
      <c r="Q332" s="265"/>
      <c r="R332" s="265"/>
      <c r="S332" s="265"/>
      <c r="T332" s="265"/>
    </row>
    <row r="333" spans="1:23" ht="30" customHeight="1">
      <c r="A333" s="204" t="str">
        <f>IF(ISBLANK(D333)," ",223-COUNTBLANK($D$5:D333))</f>
        <v xml:space="preserve"> </v>
      </c>
      <c r="B333" s="202"/>
      <c r="C333" s="202"/>
      <c r="D333" s="202"/>
      <c r="E333" s="300"/>
      <c r="F333" s="210"/>
      <c r="G333" s="210"/>
      <c r="H333" s="203"/>
      <c r="I333" s="203"/>
      <c r="J333" s="203"/>
      <c r="K333" s="203"/>
      <c r="L333" s="203"/>
      <c r="M333" s="203"/>
      <c r="N333" s="203"/>
      <c r="O333" s="205"/>
      <c r="P333" s="291"/>
      <c r="Q333" s="265"/>
      <c r="R333" s="265"/>
      <c r="S333" s="265"/>
      <c r="T333" s="265"/>
    </row>
    <row r="334" spans="1:23" ht="30" customHeight="1">
      <c r="A334" s="204" t="str">
        <f>IF(ISBLANK(D334)," ",224-COUNTBLANK($D$5:D334))</f>
        <v xml:space="preserve"> </v>
      </c>
      <c r="B334" s="202"/>
      <c r="C334" s="202"/>
      <c r="D334" s="202"/>
      <c r="E334" s="300"/>
      <c r="F334" s="210"/>
      <c r="G334" s="210"/>
      <c r="H334" s="203"/>
      <c r="I334" s="203"/>
      <c r="J334" s="203"/>
      <c r="K334" s="203"/>
      <c r="L334" s="203"/>
      <c r="M334" s="203"/>
      <c r="N334" s="203"/>
      <c r="O334" s="205"/>
      <c r="P334" s="291"/>
      <c r="Q334" s="265"/>
      <c r="R334" s="265"/>
      <c r="S334" s="265"/>
      <c r="T334" s="265"/>
    </row>
    <row r="335" spans="1:23" ht="30" customHeight="1">
      <c r="A335" s="204" t="str">
        <f>IF(ISBLANK(D335)," ",225-COUNTBLANK($D$5:D335))</f>
        <v xml:space="preserve"> </v>
      </c>
      <c r="B335" s="202"/>
      <c r="C335" s="202"/>
      <c r="D335" s="202"/>
      <c r="E335" s="300"/>
      <c r="F335" s="210"/>
      <c r="G335" s="210"/>
      <c r="H335" s="203"/>
      <c r="I335" s="203"/>
      <c r="J335" s="203"/>
      <c r="K335" s="203"/>
      <c r="L335" s="203"/>
      <c r="M335" s="203"/>
      <c r="N335" s="203"/>
      <c r="O335" s="205"/>
      <c r="P335" s="291"/>
      <c r="Q335" s="265"/>
      <c r="R335" s="265"/>
      <c r="S335" s="265"/>
      <c r="T335" s="265"/>
    </row>
    <row r="336" spans="1:23" ht="30" customHeight="1">
      <c r="A336" s="204" t="str">
        <f>IF(ISBLANK(D336)," ",226-COUNTBLANK($D$5:D336))</f>
        <v xml:space="preserve"> </v>
      </c>
      <c r="B336" s="202"/>
      <c r="C336" s="202"/>
      <c r="D336" s="202"/>
      <c r="E336" s="300"/>
      <c r="F336" s="210"/>
      <c r="G336" s="210"/>
      <c r="H336" s="203"/>
      <c r="I336" s="203"/>
      <c r="J336" s="203"/>
      <c r="K336" s="203"/>
      <c r="L336" s="203"/>
      <c r="M336" s="203"/>
      <c r="N336" s="203"/>
      <c r="O336" s="205"/>
      <c r="P336" s="291"/>
      <c r="Q336" s="265"/>
      <c r="R336" s="265"/>
      <c r="S336" s="265"/>
      <c r="T336" s="265"/>
    </row>
    <row r="337" spans="1:23" ht="30" customHeight="1">
      <c r="A337" s="204" t="str">
        <f>IF(ISBLANK(D337)," ",227-COUNTBLANK($D$5:D337))</f>
        <v xml:space="preserve"> </v>
      </c>
      <c r="B337" s="202"/>
      <c r="C337" s="202"/>
      <c r="D337" s="202"/>
      <c r="E337" s="300"/>
      <c r="F337" s="210"/>
      <c r="G337" s="210"/>
      <c r="H337" s="203"/>
      <c r="I337" s="203"/>
      <c r="J337" s="203"/>
      <c r="K337" s="203"/>
      <c r="L337" s="203"/>
      <c r="M337" s="203"/>
      <c r="N337" s="203"/>
      <c r="O337" s="205"/>
      <c r="P337" s="291"/>
      <c r="Q337" s="265"/>
      <c r="R337" s="265"/>
      <c r="S337" s="265"/>
      <c r="T337" s="265"/>
    </row>
    <row r="338" spans="1:23" ht="30" customHeight="1">
      <c r="A338" s="204" t="str">
        <f>IF(ISBLANK(D338)," ",228-COUNTBLANK($D$5:D338))</f>
        <v xml:space="preserve"> </v>
      </c>
      <c r="B338" s="202"/>
      <c r="C338" s="202"/>
      <c r="D338" s="202"/>
      <c r="E338" s="300"/>
      <c r="F338" s="210"/>
      <c r="G338" s="210"/>
      <c r="H338" s="203"/>
      <c r="I338" s="203"/>
      <c r="J338" s="203"/>
      <c r="K338" s="203"/>
      <c r="L338" s="203"/>
      <c r="M338" s="203"/>
      <c r="N338" s="203"/>
      <c r="O338" s="205"/>
      <c r="P338" s="291"/>
      <c r="Q338" s="265"/>
      <c r="R338" s="265"/>
      <c r="S338" s="265"/>
      <c r="T338" s="265"/>
    </row>
    <row r="339" spans="1:23" ht="30" customHeight="1">
      <c r="A339" s="204" t="str">
        <f>IF(ISBLANK(D339)," ",229-COUNTBLANK($D$5:D339))</f>
        <v xml:space="preserve"> </v>
      </c>
      <c r="B339" s="202"/>
      <c r="C339" s="202"/>
      <c r="D339" s="202"/>
      <c r="E339" s="300"/>
      <c r="F339" s="210"/>
      <c r="G339" s="210"/>
      <c r="H339" s="203"/>
      <c r="I339" s="203"/>
      <c r="J339" s="203"/>
      <c r="K339" s="203"/>
      <c r="L339" s="203"/>
      <c r="M339" s="203"/>
      <c r="N339" s="203"/>
      <c r="O339" s="205"/>
      <c r="P339" s="291"/>
      <c r="Q339" s="265"/>
      <c r="R339" s="265"/>
      <c r="S339" s="265"/>
      <c r="T339" s="267"/>
    </row>
    <row r="340" spans="1:23" ht="30" customHeight="1">
      <c r="A340" s="204" t="str">
        <f>IF(ISBLANK(D340)," ",230-COUNTBLANK($D$5:D340))</f>
        <v xml:space="preserve"> </v>
      </c>
      <c r="B340" s="202"/>
      <c r="C340" s="202"/>
      <c r="D340" s="202"/>
      <c r="E340" s="300"/>
      <c r="F340" s="210"/>
      <c r="G340" s="210"/>
      <c r="H340" s="203"/>
      <c r="I340" s="203"/>
      <c r="J340" s="203"/>
      <c r="K340" s="203"/>
      <c r="L340" s="203"/>
      <c r="M340" s="203"/>
      <c r="N340" s="203"/>
      <c r="O340" s="205"/>
      <c r="P340" s="291"/>
      <c r="Q340" s="265"/>
      <c r="R340" s="265"/>
      <c r="S340" s="265"/>
      <c r="T340" s="267"/>
    </row>
    <row r="341" spans="1:23" ht="30" customHeight="1">
      <c r="A341" s="204" t="s">
        <v>52</v>
      </c>
      <c r="B341" s="202"/>
      <c r="C341" s="202"/>
      <c r="D341" s="202"/>
      <c r="E341" s="300"/>
      <c r="F341" s="210">
        <f>SUM(F321:F340)</f>
        <v>0</v>
      </c>
      <c r="G341" s="210"/>
      <c r="H341" s="203"/>
      <c r="I341" s="203"/>
      <c r="J341" s="203"/>
      <c r="K341" s="203"/>
      <c r="L341" s="203"/>
      <c r="M341" s="203"/>
      <c r="N341" s="203"/>
      <c r="O341" s="205"/>
      <c r="P341" s="291"/>
      <c r="Q341" s="265"/>
      <c r="R341" s="265"/>
      <c r="S341" s="265"/>
      <c r="T341" s="267"/>
    </row>
    <row r="342" spans="1:23" ht="30" customHeight="1">
      <c r="A342" s="204" t="str">
        <f>IF(ISBLANK(D342)," ",232-COUNTBLANK($D$5:D342))</f>
        <v xml:space="preserve"> </v>
      </c>
      <c r="B342" s="202"/>
      <c r="C342" s="202"/>
      <c r="D342" s="202"/>
      <c r="E342" s="300"/>
      <c r="F342" s="210"/>
      <c r="G342" s="210"/>
      <c r="H342" s="203"/>
      <c r="I342" s="203"/>
      <c r="J342" s="203"/>
      <c r="K342" s="203"/>
      <c r="L342" s="203"/>
      <c r="M342" s="203"/>
      <c r="N342" s="203"/>
      <c r="O342" s="205"/>
      <c r="P342" s="291"/>
      <c r="Q342" s="265"/>
      <c r="R342" s="265"/>
      <c r="S342" s="265"/>
      <c r="T342" s="267"/>
    </row>
    <row r="343" spans="1:23" ht="30" customHeight="1">
      <c r="A343" s="304" t="str">
        <f>IF(ISBLANK(D343)," ",233-COUNTBLANK($D$5:D343))</f>
        <v xml:space="preserve"> </v>
      </c>
      <c r="B343" s="296"/>
      <c r="C343" s="305"/>
      <c r="D343" s="306"/>
      <c r="E343" s="297"/>
      <c r="F343" s="298"/>
      <c r="G343" s="298"/>
      <c r="H343" s="282"/>
      <c r="I343" s="282"/>
      <c r="J343" s="282"/>
      <c r="K343" s="282"/>
      <c r="L343" s="282"/>
      <c r="M343" s="282"/>
      <c r="N343" s="282"/>
      <c r="O343" s="283"/>
      <c r="P343" s="303"/>
      <c r="Q343" s="265"/>
      <c r="R343" s="265"/>
      <c r="S343" s="265"/>
      <c r="T343" s="284"/>
      <c r="U343" s="265"/>
      <c r="V343" s="265"/>
      <c r="W343" s="265"/>
    </row>
    <row r="344" spans="1:23" ht="30" customHeight="1">
      <c r="A344" s="260" t="str">
        <f>IF(ISBLANK(D344)," ",234-COUNTBLANK($D$5:D344))</f>
        <v xml:space="preserve"> </v>
      </c>
      <c r="B344" s="200"/>
      <c r="C344" s="200"/>
      <c r="D344" s="200"/>
      <c r="E344" s="299"/>
      <c r="F344" s="209"/>
      <c r="G344" s="209"/>
      <c r="H344" s="201"/>
      <c r="I344" s="201"/>
      <c r="J344" s="201"/>
      <c r="K344" s="201"/>
      <c r="L344" s="201"/>
      <c r="M344" s="201"/>
      <c r="N344" s="201"/>
      <c r="O344" s="262"/>
      <c r="P344" s="291"/>
      <c r="Q344" s="265"/>
      <c r="R344" s="265"/>
      <c r="S344" s="265"/>
      <c r="T344" s="284"/>
      <c r="U344" s="265"/>
      <c r="V344" s="265"/>
      <c r="W344" s="265"/>
    </row>
    <row r="345" spans="1:23" ht="30" customHeight="1">
      <c r="A345" s="204" t="str">
        <f>IF(ISBLANK(D345)," ",235-COUNTBLANK($D$5:D345))</f>
        <v xml:space="preserve"> </v>
      </c>
      <c r="B345" s="202"/>
      <c r="C345" s="202"/>
      <c r="D345" s="202"/>
      <c r="E345" s="300"/>
      <c r="F345" s="210"/>
      <c r="G345" s="210"/>
      <c r="H345" s="203"/>
      <c r="I345" s="203"/>
      <c r="J345" s="203"/>
      <c r="K345" s="203"/>
      <c r="L345" s="203"/>
      <c r="M345" s="203"/>
      <c r="N345" s="203"/>
      <c r="O345" s="205"/>
      <c r="P345" s="291"/>
      <c r="Q345" s="265"/>
      <c r="R345" s="265"/>
      <c r="S345" s="265"/>
      <c r="T345" s="265"/>
    </row>
    <row r="346" spans="1:23" ht="30" customHeight="1">
      <c r="A346" s="204" t="str">
        <f>IF(ISBLANK(D346)," ",236-COUNTBLANK($D$5:D346))</f>
        <v xml:space="preserve"> </v>
      </c>
      <c r="B346" s="202"/>
      <c r="C346" s="202"/>
      <c r="D346" s="202"/>
      <c r="E346" s="300"/>
      <c r="F346" s="210"/>
      <c r="G346" s="210"/>
      <c r="H346" s="203"/>
      <c r="I346" s="203"/>
      <c r="J346" s="203"/>
      <c r="K346" s="203"/>
      <c r="L346" s="203"/>
      <c r="M346" s="203"/>
      <c r="N346" s="203"/>
      <c r="O346" s="205"/>
      <c r="P346" s="291"/>
      <c r="Q346" s="265"/>
      <c r="R346" s="265"/>
      <c r="S346" s="265"/>
      <c r="T346" s="265"/>
    </row>
    <row r="347" spans="1:23" ht="30" customHeight="1">
      <c r="A347" s="204" t="str">
        <f>IF(ISBLANK(D347)," ",237-COUNTBLANK($D$5:D347))</f>
        <v xml:space="preserve"> </v>
      </c>
      <c r="B347" s="202"/>
      <c r="C347" s="202"/>
      <c r="D347" s="202"/>
      <c r="E347" s="300"/>
      <c r="F347" s="210"/>
      <c r="G347" s="210"/>
      <c r="H347" s="203"/>
      <c r="I347" s="203"/>
      <c r="J347" s="203"/>
      <c r="K347" s="203"/>
      <c r="L347" s="203"/>
      <c r="M347" s="203"/>
      <c r="N347" s="203"/>
      <c r="O347" s="205"/>
      <c r="P347" s="291"/>
      <c r="Q347" s="265"/>
      <c r="R347" s="265"/>
      <c r="S347" s="265"/>
      <c r="T347" s="265"/>
    </row>
    <row r="348" spans="1:23" ht="30" customHeight="1">
      <c r="A348" s="204" t="str">
        <f>IF(ISBLANK(D348)," ",238-COUNTBLANK($D$5:D348))</f>
        <v xml:space="preserve"> </v>
      </c>
      <c r="B348" s="202"/>
      <c r="C348" s="202"/>
      <c r="D348" s="202"/>
      <c r="E348" s="300"/>
      <c r="F348" s="210"/>
      <c r="G348" s="210"/>
      <c r="H348" s="203"/>
      <c r="I348" s="203"/>
      <c r="J348" s="203"/>
      <c r="K348" s="203"/>
      <c r="L348" s="203"/>
      <c r="M348" s="203"/>
      <c r="N348" s="203"/>
      <c r="O348" s="205"/>
      <c r="P348" s="291"/>
      <c r="Q348" s="265"/>
      <c r="R348" s="265"/>
      <c r="S348" s="265"/>
      <c r="T348" s="265"/>
    </row>
    <row r="349" spans="1:23" ht="30" customHeight="1">
      <c r="A349" s="204" t="str">
        <f>IF(ISBLANK(D349)," ",239-COUNTBLANK($D$5:D349))</f>
        <v xml:space="preserve"> </v>
      </c>
      <c r="B349" s="202"/>
      <c r="C349" s="202"/>
      <c r="D349" s="202"/>
      <c r="E349" s="300"/>
      <c r="F349" s="210"/>
      <c r="G349" s="210"/>
      <c r="H349" s="203"/>
      <c r="I349" s="203"/>
      <c r="J349" s="203"/>
      <c r="K349" s="203"/>
      <c r="L349" s="203"/>
      <c r="M349" s="203"/>
      <c r="N349" s="203"/>
      <c r="O349" s="205"/>
      <c r="P349" s="291"/>
      <c r="Q349" s="265"/>
      <c r="R349" s="265"/>
      <c r="S349" s="265"/>
      <c r="T349" s="265"/>
    </row>
    <row r="350" spans="1:23" ht="30" customHeight="1">
      <c r="A350" s="204" t="str">
        <f>IF(ISBLANK(D350)," ",240-COUNTBLANK($D$5:D350))</f>
        <v xml:space="preserve"> </v>
      </c>
      <c r="B350" s="202"/>
      <c r="C350" s="202"/>
      <c r="D350" s="202"/>
      <c r="E350" s="300"/>
      <c r="F350" s="210"/>
      <c r="G350" s="210"/>
      <c r="H350" s="203"/>
      <c r="I350" s="203"/>
      <c r="J350" s="203"/>
      <c r="K350" s="203"/>
      <c r="L350" s="203"/>
      <c r="M350" s="203"/>
      <c r="N350" s="203"/>
      <c r="O350" s="205"/>
      <c r="P350" s="291"/>
      <c r="Q350" s="265"/>
      <c r="R350" s="265"/>
      <c r="S350" s="265"/>
      <c r="T350" s="265"/>
    </row>
    <row r="351" spans="1:23" ht="30" customHeight="1">
      <c r="A351" s="204" t="str">
        <f>IF(ISBLANK(D351)," ",241-COUNTBLANK($D$5:D351))</f>
        <v xml:space="preserve"> </v>
      </c>
      <c r="B351" s="202"/>
      <c r="C351" s="202"/>
      <c r="D351" s="202"/>
      <c r="E351" s="300"/>
      <c r="F351" s="210"/>
      <c r="G351" s="210"/>
      <c r="H351" s="203"/>
      <c r="I351" s="203"/>
      <c r="J351" s="203"/>
      <c r="K351" s="203"/>
      <c r="L351" s="203"/>
      <c r="M351" s="203"/>
      <c r="N351" s="203"/>
      <c r="O351" s="205"/>
      <c r="P351" s="291"/>
      <c r="Q351" s="265"/>
      <c r="R351" s="265"/>
      <c r="S351" s="265"/>
      <c r="T351" s="265"/>
    </row>
    <row r="352" spans="1:23" ht="30" customHeight="1">
      <c r="A352" s="204" t="str">
        <f>IF(ISBLANK(D352)," ",242-COUNTBLANK($D$5:D352))</f>
        <v xml:space="preserve"> </v>
      </c>
      <c r="B352" s="202"/>
      <c r="C352" s="202"/>
      <c r="D352" s="202"/>
      <c r="E352" s="300"/>
      <c r="F352" s="210"/>
      <c r="G352" s="210"/>
      <c r="H352" s="203"/>
      <c r="I352" s="203"/>
      <c r="J352" s="203"/>
      <c r="K352" s="203"/>
      <c r="L352" s="203"/>
      <c r="M352" s="203"/>
      <c r="N352" s="203"/>
      <c r="O352" s="205"/>
      <c r="P352" s="291"/>
      <c r="Q352" s="265"/>
      <c r="R352" s="265"/>
      <c r="S352" s="265"/>
      <c r="T352" s="265"/>
    </row>
    <row r="353" spans="1:23" ht="30" customHeight="1">
      <c r="A353" s="204" t="str">
        <f>IF(ISBLANK(D353)," ",243-COUNTBLANK($D$5:D353))</f>
        <v xml:space="preserve"> </v>
      </c>
      <c r="B353" s="202"/>
      <c r="C353" s="202"/>
      <c r="D353" s="202"/>
      <c r="E353" s="300"/>
      <c r="F353" s="210"/>
      <c r="G353" s="210"/>
      <c r="H353" s="203"/>
      <c r="I353" s="203"/>
      <c r="J353" s="203"/>
      <c r="K353" s="203"/>
      <c r="L353" s="203"/>
      <c r="M353" s="203"/>
      <c r="N353" s="203"/>
      <c r="O353" s="205"/>
      <c r="P353" s="291"/>
      <c r="Q353" s="265"/>
      <c r="R353" s="265"/>
      <c r="S353" s="265"/>
      <c r="T353" s="265"/>
    </row>
    <row r="354" spans="1:23" ht="30" customHeight="1">
      <c r="A354" s="204" t="str">
        <f>IF(ISBLANK(D354)," ",244-COUNTBLANK($D$5:D354))</f>
        <v xml:space="preserve"> </v>
      </c>
      <c r="B354" s="202"/>
      <c r="C354" s="202"/>
      <c r="D354" s="202"/>
      <c r="E354" s="300"/>
      <c r="F354" s="210"/>
      <c r="G354" s="210"/>
      <c r="H354" s="203"/>
      <c r="I354" s="203"/>
      <c r="J354" s="203"/>
      <c r="K354" s="203"/>
      <c r="L354" s="203"/>
      <c r="M354" s="203"/>
      <c r="N354" s="203"/>
      <c r="O354" s="205"/>
      <c r="P354" s="291"/>
      <c r="Q354" s="265"/>
      <c r="R354" s="265"/>
      <c r="S354" s="265"/>
      <c r="T354" s="265"/>
    </row>
    <row r="355" spans="1:23" ht="30" customHeight="1">
      <c r="A355" s="204" t="str">
        <f>IF(ISBLANK(D355)," ",245-COUNTBLANK($D$5:D355))</f>
        <v xml:space="preserve"> </v>
      </c>
      <c r="B355" s="202"/>
      <c r="C355" s="202"/>
      <c r="D355" s="202"/>
      <c r="E355" s="300"/>
      <c r="F355" s="210"/>
      <c r="G355" s="210"/>
      <c r="H355" s="203"/>
      <c r="I355" s="203"/>
      <c r="J355" s="203"/>
      <c r="K355" s="203"/>
      <c r="L355" s="203"/>
      <c r="M355" s="203"/>
      <c r="N355" s="203"/>
      <c r="O355" s="205"/>
      <c r="P355" s="291"/>
      <c r="Q355" s="265"/>
      <c r="R355" s="265"/>
      <c r="S355" s="265"/>
      <c r="T355" s="265"/>
    </row>
    <row r="356" spans="1:23" ht="30" customHeight="1">
      <c r="A356" s="204" t="str">
        <f>IF(ISBLANK(D356)," ",246-COUNTBLANK($D$5:D356))</f>
        <v xml:space="preserve"> </v>
      </c>
      <c r="B356" s="202"/>
      <c r="C356" s="202"/>
      <c r="D356" s="202"/>
      <c r="E356" s="300"/>
      <c r="F356" s="210"/>
      <c r="G356" s="210"/>
      <c r="H356" s="203"/>
      <c r="I356" s="203"/>
      <c r="J356" s="203"/>
      <c r="K356" s="203"/>
      <c r="L356" s="203"/>
      <c r="M356" s="203"/>
      <c r="N356" s="203"/>
      <c r="O356" s="205"/>
      <c r="P356" s="291"/>
      <c r="Q356" s="265"/>
      <c r="R356" s="265"/>
      <c r="S356" s="265"/>
      <c r="T356" s="265"/>
    </row>
    <row r="357" spans="1:23" ht="30" customHeight="1">
      <c r="A357" s="204" t="str">
        <f>IF(ISBLANK(D357)," ",247-COUNTBLANK($D$5:D357))</f>
        <v xml:space="preserve"> </v>
      </c>
      <c r="B357" s="202"/>
      <c r="C357" s="202"/>
      <c r="D357" s="202"/>
      <c r="E357" s="300"/>
      <c r="F357" s="210"/>
      <c r="G357" s="210"/>
      <c r="H357" s="203"/>
      <c r="I357" s="203"/>
      <c r="J357" s="203"/>
      <c r="K357" s="203"/>
      <c r="L357" s="203"/>
      <c r="M357" s="203"/>
      <c r="N357" s="203"/>
      <c r="O357" s="205"/>
      <c r="P357" s="291"/>
      <c r="Q357" s="265"/>
      <c r="R357" s="265"/>
      <c r="S357" s="265"/>
      <c r="T357" s="265"/>
    </row>
    <row r="358" spans="1:23" ht="30" customHeight="1">
      <c r="A358" s="204" t="str">
        <f>IF(ISBLANK(D358)," ",248-COUNTBLANK($D$5:D358))</f>
        <v xml:space="preserve"> </v>
      </c>
      <c r="B358" s="202"/>
      <c r="C358" s="202"/>
      <c r="D358" s="202"/>
      <c r="E358" s="300"/>
      <c r="F358" s="210"/>
      <c r="G358" s="210"/>
      <c r="H358" s="203"/>
      <c r="I358" s="203"/>
      <c r="J358" s="203"/>
      <c r="K358" s="203"/>
      <c r="L358" s="203"/>
      <c r="M358" s="203"/>
      <c r="N358" s="203"/>
      <c r="O358" s="205"/>
      <c r="P358" s="291"/>
      <c r="Q358" s="265"/>
      <c r="R358" s="265"/>
      <c r="S358" s="265"/>
      <c r="T358" s="265"/>
    </row>
    <row r="359" spans="1:23" ht="30" customHeight="1">
      <c r="A359" s="204" t="str">
        <f>IF(ISBLANK(D359)," ",249-COUNTBLANK($D$5:D359))</f>
        <v xml:space="preserve"> </v>
      </c>
      <c r="B359" s="202"/>
      <c r="C359" s="202"/>
      <c r="D359" s="202"/>
      <c r="E359" s="300"/>
      <c r="F359" s="210"/>
      <c r="G359" s="210"/>
      <c r="H359" s="203"/>
      <c r="I359" s="203"/>
      <c r="J359" s="203"/>
      <c r="K359" s="203"/>
      <c r="L359" s="203"/>
      <c r="M359" s="203"/>
      <c r="N359" s="203"/>
      <c r="O359" s="205"/>
      <c r="P359" s="291"/>
      <c r="Q359" s="265"/>
      <c r="R359" s="265"/>
      <c r="S359" s="265"/>
      <c r="T359" s="265"/>
    </row>
    <row r="360" spans="1:23" ht="30" customHeight="1">
      <c r="A360" s="204" t="str">
        <f>IF(ISBLANK(D360)," ",250-COUNTBLANK($D$5:D360))</f>
        <v xml:space="preserve"> </v>
      </c>
      <c r="B360" s="202"/>
      <c r="C360" s="202"/>
      <c r="D360" s="202"/>
      <c r="E360" s="300"/>
      <c r="F360" s="210"/>
      <c r="G360" s="210"/>
      <c r="H360" s="203"/>
      <c r="I360" s="203"/>
      <c r="J360" s="203"/>
      <c r="K360" s="203"/>
      <c r="L360" s="203"/>
      <c r="M360" s="203"/>
      <c r="N360" s="203"/>
      <c r="O360" s="205"/>
      <c r="P360" s="291"/>
      <c r="Q360" s="265"/>
      <c r="R360" s="265"/>
      <c r="S360" s="265"/>
      <c r="T360" s="267"/>
    </row>
    <row r="361" spans="1:23" ht="30" customHeight="1">
      <c r="A361" s="204" t="str">
        <f>IF(ISBLANK(D361)," ",251-COUNTBLANK($D$5:D361))</f>
        <v xml:space="preserve"> </v>
      </c>
      <c r="B361" s="202"/>
      <c r="C361" s="202"/>
      <c r="D361" s="202"/>
      <c r="E361" s="300"/>
      <c r="F361" s="210"/>
      <c r="G361" s="210"/>
      <c r="H361" s="203"/>
      <c r="I361" s="203"/>
      <c r="J361" s="203"/>
      <c r="K361" s="203"/>
      <c r="L361" s="203"/>
      <c r="M361" s="203"/>
      <c r="N361" s="203"/>
      <c r="O361" s="205"/>
      <c r="P361" s="291"/>
      <c r="Q361" s="265"/>
      <c r="R361" s="265"/>
      <c r="S361" s="265"/>
      <c r="T361" s="267"/>
    </row>
    <row r="362" spans="1:23" ht="30" customHeight="1">
      <c r="A362" s="204" t="s">
        <v>52</v>
      </c>
      <c r="B362" s="202"/>
      <c r="C362" s="202"/>
      <c r="D362" s="202"/>
      <c r="E362" s="300"/>
      <c r="F362" s="210">
        <f>SUM(F342:F361)</f>
        <v>0</v>
      </c>
      <c r="G362" s="210"/>
      <c r="H362" s="203"/>
      <c r="I362" s="203"/>
      <c r="J362" s="203"/>
      <c r="K362" s="203"/>
      <c r="L362" s="203"/>
      <c r="M362" s="203"/>
      <c r="N362" s="203"/>
      <c r="O362" s="205"/>
      <c r="P362" s="291"/>
      <c r="Q362" s="265"/>
      <c r="R362" s="265"/>
      <c r="S362" s="265"/>
      <c r="T362" s="267"/>
    </row>
    <row r="363" spans="1:23" ht="30" customHeight="1">
      <c r="A363" s="204" t="str">
        <f>IF(ISBLANK(D363)," ",253-COUNTBLANK($D$5:D363))</f>
        <v xml:space="preserve"> </v>
      </c>
      <c r="B363" s="202"/>
      <c r="C363" s="202"/>
      <c r="D363" s="202"/>
      <c r="E363" s="300"/>
      <c r="F363" s="210"/>
      <c r="G363" s="210"/>
      <c r="H363" s="203"/>
      <c r="I363" s="203"/>
      <c r="J363" s="203"/>
      <c r="K363" s="203"/>
      <c r="L363" s="203"/>
      <c r="M363" s="203"/>
      <c r="N363" s="203"/>
      <c r="O363" s="205"/>
      <c r="P363" s="291"/>
      <c r="Q363" s="265"/>
      <c r="R363" s="265"/>
      <c r="S363" s="265"/>
      <c r="T363" s="267"/>
    </row>
    <row r="364" spans="1:23" ht="30" customHeight="1">
      <c r="A364" s="304" t="str">
        <f>IF(ISBLANK(D364)," ",254-COUNTBLANK($D$5:D364))</f>
        <v xml:space="preserve"> </v>
      </c>
      <c r="B364" s="296"/>
      <c r="C364" s="305"/>
      <c r="D364" s="306"/>
      <c r="E364" s="297"/>
      <c r="F364" s="298"/>
      <c r="G364" s="298"/>
      <c r="H364" s="282"/>
      <c r="I364" s="282"/>
      <c r="J364" s="282"/>
      <c r="K364" s="282"/>
      <c r="L364" s="282"/>
      <c r="M364" s="282"/>
      <c r="N364" s="282"/>
      <c r="O364" s="283"/>
      <c r="P364" s="303"/>
      <c r="Q364" s="265"/>
      <c r="R364" s="265"/>
      <c r="S364" s="265"/>
      <c r="T364" s="284"/>
      <c r="U364" s="265"/>
      <c r="V364" s="265"/>
      <c r="W364" s="265"/>
    </row>
    <row r="365" spans="1:23" ht="30" customHeight="1">
      <c r="A365" s="260" t="str">
        <f>IF(ISBLANK(D365)," ",255-COUNTBLANK($D$5:D365))</f>
        <v xml:space="preserve"> </v>
      </c>
      <c r="B365" s="200"/>
      <c r="C365" s="200"/>
      <c r="D365" s="200"/>
      <c r="E365" s="299"/>
      <c r="F365" s="209"/>
      <c r="G365" s="209"/>
      <c r="H365" s="201"/>
      <c r="I365" s="201"/>
      <c r="J365" s="201"/>
      <c r="K365" s="201"/>
      <c r="L365" s="201"/>
      <c r="M365" s="201"/>
      <c r="N365" s="201"/>
      <c r="O365" s="262"/>
      <c r="P365" s="291"/>
      <c r="Q365" s="265"/>
      <c r="R365" s="265"/>
      <c r="S365" s="265"/>
      <c r="T365" s="284"/>
      <c r="U365" s="265"/>
      <c r="V365" s="265"/>
      <c r="W365" s="265"/>
    </row>
    <row r="366" spans="1:23" ht="30" customHeight="1">
      <c r="A366" s="204" t="str">
        <f>IF(ISBLANK(D366)," ",256-COUNTBLANK($D$5:D366))</f>
        <v xml:space="preserve"> </v>
      </c>
      <c r="B366" s="202"/>
      <c r="C366" s="202"/>
      <c r="D366" s="202"/>
      <c r="E366" s="300"/>
      <c r="F366" s="210"/>
      <c r="G366" s="210"/>
      <c r="H366" s="203"/>
      <c r="I366" s="203"/>
      <c r="J366" s="203"/>
      <c r="K366" s="203"/>
      <c r="L366" s="203"/>
      <c r="M366" s="203"/>
      <c r="N366" s="203"/>
      <c r="O366" s="205"/>
      <c r="P366" s="291"/>
      <c r="Q366" s="265"/>
      <c r="R366" s="265"/>
      <c r="S366" s="265"/>
      <c r="T366" s="265"/>
    </row>
    <row r="367" spans="1:23" ht="30" customHeight="1">
      <c r="A367" s="204" t="str">
        <f>IF(ISBLANK(D367)," ",257-COUNTBLANK($D$5:D367))</f>
        <v xml:space="preserve"> </v>
      </c>
      <c r="B367" s="202"/>
      <c r="C367" s="202"/>
      <c r="D367" s="202"/>
      <c r="E367" s="300"/>
      <c r="F367" s="210"/>
      <c r="G367" s="210"/>
      <c r="H367" s="203"/>
      <c r="I367" s="203"/>
      <c r="J367" s="203"/>
      <c r="K367" s="203"/>
      <c r="L367" s="203"/>
      <c r="M367" s="203"/>
      <c r="N367" s="203"/>
      <c r="O367" s="205"/>
      <c r="P367" s="291"/>
      <c r="Q367" s="265"/>
      <c r="R367" s="265"/>
      <c r="S367" s="265"/>
      <c r="T367" s="265"/>
    </row>
    <row r="368" spans="1:23" ht="30" customHeight="1">
      <c r="A368" s="204" t="str">
        <f>IF(ISBLANK(D368)," ",258-COUNTBLANK($D$5:D368))</f>
        <v xml:space="preserve"> </v>
      </c>
      <c r="B368" s="202"/>
      <c r="C368" s="202"/>
      <c r="D368" s="202"/>
      <c r="E368" s="300"/>
      <c r="F368" s="210"/>
      <c r="G368" s="210"/>
      <c r="H368" s="203"/>
      <c r="I368" s="203"/>
      <c r="J368" s="203"/>
      <c r="K368" s="203"/>
      <c r="L368" s="203"/>
      <c r="M368" s="203"/>
      <c r="N368" s="203"/>
      <c r="O368" s="205"/>
      <c r="P368" s="291"/>
      <c r="Q368" s="265"/>
      <c r="R368" s="265"/>
      <c r="S368" s="265"/>
      <c r="T368" s="265"/>
    </row>
    <row r="369" spans="1:20" ht="30" customHeight="1">
      <c r="A369" s="204" t="str">
        <f>IF(ISBLANK(D369)," ",259-COUNTBLANK($D$5:D369))</f>
        <v xml:space="preserve"> </v>
      </c>
      <c r="B369" s="202"/>
      <c r="C369" s="202"/>
      <c r="D369" s="202"/>
      <c r="E369" s="300"/>
      <c r="F369" s="210"/>
      <c r="G369" s="210"/>
      <c r="H369" s="203"/>
      <c r="I369" s="203"/>
      <c r="J369" s="203"/>
      <c r="K369" s="203"/>
      <c r="L369" s="203"/>
      <c r="M369" s="203"/>
      <c r="N369" s="203"/>
      <c r="O369" s="205"/>
      <c r="P369" s="291"/>
      <c r="Q369" s="265"/>
      <c r="R369" s="265"/>
      <c r="S369" s="265"/>
      <c r="T369" s="265"/>
    </row>
    <row r="370" spans="1:20" ht="30" customHeight="1">
      <c r="A370" s="204" t="str">
        <f>IF(ISBLANK(D370)," ",260-COUNTBLANK($D$5:D370))</f>
        <v xml:space="preserve"> </v>
      </c>
      <c r="B370" s="202"/>
      <c r="C370" s="202"/>
      <c r="D370" s="202"/>
      <c r="E370" s="300"/>
      <c r="F370" s="210"/>
      <c r="G370" s="210"/>
      <c r="H370" s="203"/>
      <c r="I370" s="203"/>
      <c r="J370" s="203"/>
      <c r="K370" s="203"/>
      <c r="L370" s="203"/>
      <c r="M370" s="203"/>
      <c r="N370" s="203"/>
      <c r="O370" s="205"/>
      <c r="P370" s="291"/>
      <c r="Q370" s="265"/>
      <c r="R370" s="265"/>
      <c r="S370" s="265"/>
      <c r="T370" s="265"/>
    </row>
    <row r="371" spans="1:20" ht="30" customHeight="1">
      <c r="A371" s="204" t="str">
        <f>IF(ISBLANK(D371)," ",261-COUNTBLANK($D$5:D371))</f>
        <v xml:space="preserve"> </v>
      </c>
      <c r="B371" s="202"/>
      <c r="C371" s="202"/>
      <c r="D371" s="202"/>
      <c r="E371" s="300"/>
      <c r="F371" s="210"/>
      <c r="G371" s="210"/>
      <c r="H371" s="203"/>
      <c r="I371" s="203"/>
      <c r="J371" s="203"/>
      <c r="K371" s="203"/>
      <c r="L371" s="203"/>
      <c r="M371" s="203"/>
      <c r="N371" s="203"/>
      <c r="O371" s="205"/>
      <c r="P371" s="291"/>
      <c r="Q371" s="265"/>
      <c r="R371" s="265"/>
      <c r="S371" s="265"/>
      <c r="T371" s="265"/>
    </row>
    <row r="372" spans="1:20" ht="30" customHeight="1">
      <c r="A372" s="204" t="str">
        <f>IF(ISBLANK(D372)," ",262-COUNTBLANK($D$5:D372))</f>
        <v xml:space="preserve"> </v>
      </c>
      <c r="B372" s="202"/>
      <c r="C372" s="202"/>
      <c r="D372" s="202"/>
      <c r="E372" s="300"/>
      <c r="F372" s="210"/>
      <c r="G372" s="210"/>
      <c r="H372" s="203"/>
      <c r="I372" s="203"/>
      <c r="J372" s="203"/>
      <c r="K372" s="203"/>
      <c r="L372" s="203"/>
      <c r="M372" s="203"/>
      <c r="N372" s="203"/>
      <c r="O372" s="205"/>
      <c r="P372" s="291"/>
      <c r="Q372" s="265"/>
      <c r="R372" s="265"/>
      <c r="S372" s="265"/>
      <c r="T372" s="265"/>
    </row>
    <row r="373" spans="1:20" ht="30" customHeight="1">
      <c r="A373" s="204" t="str">
        <f>IF(ISBLANK(D373)," ",263-COUNTBLANK($D$5:D373))</f>
        <v xml:space="preserve"> </v>
      </c>
      <c r="B373" s="202"/>
      <c r="C373" s="202"/>
      <c r="D373" s="202"/>
      <c r="E373" s="300"/>
      <c r="F373" s="210"/>
      <c r="G373" s="210"/>
      <c r="H373" s="203"/>
      <c r="I373" s="203"/>
      <c r="J373" s="203"/>
      <c r="K373" s="203"/>
      <c r="L373" s="203"/>
      <c r="M373" s="203"/>
      <c r="N373" s="203"/>
      <c r="O373" s="205"/>
      <c r="P373" s="291"/>
      <c r="Q373" s="265"/>
      <c r="R373" s="265"/>
      <c r="S373" s="265"/>
      <c r="T373" s="265"/>
    </row>
    <row r="374" spans="1:20" ht="30" customHeight="1">
      <c r="A374" s="204" t="str">
        <f>IF(ISBLANK(D374)," ",264-COUNTBLANK($D$5:D374))</f>
        <v xml:space="preserve"> </v>
      </c>
      <c r="B374" s="202"/>
      <c r="C374" s="202"/>
      <c r="D374" s="202"/>
      <c r="E374" s="300"/>
      <c r="F374" s="210"/>
      <c r="G374" s="210"/>
      <c r="H374" s="203"/>
      <c r="I374" s="203"/>
      <c r="J374" s="203"/>
      <c r="K374" s="203"/>
      <c r="L374" s="203"/>
      <c r="M374" s="203"/>
      <c r="N374" s="203"/>
      <c r="O374" s="205"/>
      <c r="P374" s="291"/>
      <c r="Q374" s="265"/>
      <c r="R374" s="265"/>
      <c r="S374" s="265"/>
      <c r="T374" s="265"/>
    </row>
    <row r="375" spans="1:20" ht="30" customHeight="1">
      <c r="A375" s="204" t="str">
        <f>IF(ISBLANK(D375)," ",265-COUNTBLANK($D$5:D375))</f>
        <v xml:space="preserve"> </v>
      </c>
      <c r="B375" s="202"/>
      <c r="C375" s="202"/>
      <c r="D375" s="202"/>
      <c r="E375" s="300"/>
      <c r="F375" s="210"/>
      <c r="G375" s="210"/>
      <c r="H375" s="203"/>
      <c r="I375" s="203"/>
      <c r="J375" s="203"/>
      <c r="K375" s="203"/>
      <c r="L375" s="203"/>
      <c r="M375" s="203"/>
      <c r="N375" s="203"/>
      <c r="O375" s="205"/>
      <c r="P375" s="291"/>
      <c r="Q375" s="265"/>
      <c r="R375" s="265"/>
      <c r="S375" s="265"/>
      <c r="T375" s="265"/>
    </row>
    <row r="376" spans="1:20" ht="30" customHeight="1">
      <c r="A376" s="204" t="str">
        <f>IF(ISBLANK(D376)," ",266-COUNTBLANK($D$5:D376))</f>
        <v xml:space="preserve"> </v>
      </c>
      <c r="B376" s="202"/>
      <c r="C376" s="202"/>
      <c r="D376" s="202"/>
      <c r="E376" s="300"/>
      <c r="F376" s="210"/>
      <c r="G376" s="210"/>
      <c r="H376" s="203"/>
      <c r="I376" s="203"/>
      <c r="J376" s="203"/>
      <c r="K376" s="203"/>
      <c r="L376" s="203"/>
      <c r="M376" s="203"/>
      <c r="N376" s="203"/>
      <c r="O376" s="205"/>
      <c r="P376" s="291"/>
      <c r="Q376" s="265"/>
      <c r="R376" s="265"/>
      <c r="S376" s="265"/>
      <c r="T376" s="265"/>
    </row>
    <row r="377" spans="1:20" ht="30" customHeight="1">
      <c r="A377" s="204" t="str">
        <f>IF(ISBLANK(D377)," ",267-COUNTBLANK($D$5:D377))</f>
        <v xml:space="preserve"> </v>
      </c>
      <c r="B377" s="202"/>
      <c r="C377" s="202"/>
      <c r="D377" s="202"/>
      <c r="E377" s="300"/>
      <c r="F377" s="210"/>
      <c r="G377" s="210"/>
      <c r="H377" s="203"/>
      <c r="I377" s="203"/>
      <c r="J377" s="203"/>
      <c r="K377" s="203"/>
      <c r="L377" s="203"/>
      <c r="M377" s="203"/>
      <c r="N377" s="203"/>
      <c r="O377" s="205"/>
      <c r="P377" s="291"/>
      <c r="Q377" s="265"/>
      <c r="R377" s="265"/>
      <c r="S377" s="265"/>
      <c r="T377" s="265"/>
    </row>
    <row r="378" spans="1:20" ht="30" customHeight="1">
      <c r="A378" s="204" t="str">
        <f>IF(ISBLANK(D378)," ",268-COUNTBLANK($D$5:D378))</f>
        <v xml:space="preserve"> </v>
      </c>
      <c r="B378" s="202"/>
      <c r="C378" s="202"/>
      <c r="D378" s="202"/>
      <c r="E378" s="300"/>
      <c r="F378" s="210"/>
      <c r="G378" s="210"/>
      <c r="H378" s="203"/>
      <c r="I378" s="203"/>
      <c r="J378" s="203"/>
      <c r="K378" s="203"/>
      <c r="L378" s="203"/>
      <c r="M378" s="203"/>
      <c r="N378" s="203"/>
      <c r="O378" s="205"/>
      <c r="P378" s="291"/>
      <c r="Q378" s="265"/>
      <c r="R378" s="265"/>
      <c r="S378" s="265"/>
      <c r="T378" s="265"/>
    </row>
    <row r="379" spans="1:20" ht="30" customHeight="1">
      <c r="A379" s="204" t="str">
        <f>IF(ISBLANK(D379)," ",269-COUNTBLANK($D$5:D379))</f>
        <v xml:space="preserve"> </v>
      </c>
      <c r="B379" s="202"/>
      <c r="C379" s="202"/>
      <c r="D379" s="202"/>
      <c r="E379" s="300"/>
      <c r="F379" s="210"/>
      <c r="G379" s="210"/>
      <c r="H379" s="203"/>
      <c r="I379" s="203"/>
      <c r="J379" s="203"/>
      <c r="K379" s="203"/>
      <c r="L379" s="203"/>
      <c r="M379" s="203"/>
      <c r="N379" s="203"/>
      <c r="O379" s="205"/>
      <c r="P379" s="291"/>
      <c r="Q379" s="265"/>
      <c r="R379" s="265"/>
      <c r="S379" s="265"/>
      <c r="T379" s="265"/>
    </row>
    <row r="380" spans="1:20" ht="30" customHeight="1">
      <c r="A380" s="204" t="str">
        <f>IF(ISBLANK(D380)," ",270-COUNTBLANK($D$5:D380))</f>
        <v xml:space="preserve"> </v>
      </c>
      <c r="B380" s="202"/>
      <c r="C380" s="202"/>
      <c r="D380" s="202"/>
      <c r="E380" s="300"/>
      <c r="F380" s="210"/>
      <c r="G380" s="210"/>
      <c r="H380" s="203"/>
      <c r="I380" s="203"/>
      <c r="J380" s="203"/>
      <c r="K380" s="203"/>
      <c r="L380" s="203"/>
      <c r="M380" s="203"/>
      <c r="N380" s="203"/>
      <c r="O380" s="205"/>
      <c r="P380" s="291"/>
      <c r="Q380" s="265"/>
      <c r="R380" s="265"/>
      <c r="S380" s="265"/>
      <c r="T380" s="265"/>
    </row>
    <row r="381" spans="1:20" ht="30" customHeight="1">
      <c r="A381" s="204" t="str">
        <f>IF(ISBLANK(D381)," ",271-COUNTBLANK($D$5:D381))</f>
        <v xml:space="preserve"> </v>
      </c>
      <c r="B381" s="202"/>
      <c r="C381" s="202"/>
      <c r="D381" s="202"/>
      <c r="E381" s="300"/>
      <c r="F381" s="210"/>
      <c r="G381" s="210"/>
      <c r="H381" s="203"/>
      <c r="I381" s="203"/>
      <c r="J381" s="203"/>
      <c r="K381" s="203"/>
      <c r="L381" s="203"/>
      <c r="M381" s="203"/>
      <c r="N381" s="203"/>
      <c r="O381" s="205"/>
      <c r="P381" s="291"/>
      <c r="Q381" s="265"/>
      <c r="R381" s="265"/>
      <c r="S381" s="265"/>
      <c r="T381" s="267"/>
    </row>
    <row r="382" spans="1:20" ht="30" customHeight="1">
      <c r="A382" s="204" t="str">
        <f>IF(ISBLANK(D382)," ",272-COUNTBLANK($D$5:D382))</f>
        <v xml:space="preserve"> </v>
      </c>
      <c r="B382" s="202"/>
      <c r="C382" s="202"/>
      <c r="D382" s="202"/>
      <c r="E382" s="300"/>
      <c r="F382" s="210"/>
      <c r="G382" s="210"/>
      <c r="H382" s="203"/>
      <c r="I382" s="203"/>
      <c r="J382" s="203"/>
      <c r="K382" s="203"/>
      <c r="L382" s="203"/>
      <c r="M382" s="203"/>
      <c r="N382" s="203"/>
      <c r="O382" s="205"/>
      <c r="P382" s="291"/>
      <c r="Q382" s="265"/>
      <c r="R382" s="265"/>
      <c r="S382" s="265"/>
      <c r="T382" s="267"/>
    </row>
    <row r="383" spans="1:20" ht="30" customHeight="1">
      <c r="A383" s="204" t="s">
        <v>52</v>
      </c>
      <c r="B383" s="202"/>
      <c r="C383" s="202"/>
      <c r="D383" s="202"/>
      <c r="E383" s="300"/>
      <c r="F383" s="210">
        <f>SUM(F363:F382)</f>
        <v>0</v>
      </c>
      <c r="G383" s="210"/>
      <c r="H383" s="203"/>
      <c r="I383" s="203"/>
      <c r="J383" s="203"/>
      <c r="K383" s="203"/>
      <c r="L383" s="203"/>
      <c r="M383" s="203"/>
      <c r="N383" s="203"/>
      <c r="O383" s="205"/>
      <c r="P383" s="291"/>
      <c r="Q383" s="265"/>
      <c r="R383" s="265"/>
      <c r="S383" s="265"/>
      <c r="T383" s="267"/>
    </row>
    <row r="384" spans="1:20" ht="30" customHeight="1">
      <c r="A384" s="204" t="str">
        <f>IF(ISBLANK(D384)," ",274-COUNTBLANK($D$5:D384))</f>
        <v xml:space="preserve"> </v>
      </c>
      <c r="B384" s="202"/>
      <c r="C384" s="202"/>
      <c r="D384" s="202"/>
      <c r="E384" s="300"/>
      <c r="F384" s="210"/>
      <c r="G384" s="210"/>
      <c r="H384" s="203"/>
      <c r="I384" s="203"/>
      <c r="J384" s="203"/>
      <c r="K384" s="203"/>
      <c r="L384" s="203"/>
      <c r="M384" s="203"/>
      <c r="N384" s="203"/>
      <c r="O384" s="205"/>
      <c r="P384" s="291"/>
      <c r="Q384" s="265"/>
      <c r="R384" s="265"/>
      <c r="S384" s="265"/>
      <c r="T384" s="267"/>
    </row>
    <row r="385" spans="1:23" ht="30" customHeight="1">
      <c r="A385" s="304" t="str">
        <f>IF(ISBLANK(D385)," ",275-COUNTBLANK($D$5:D385))</f>
        <v xml:space="preserve"> </v>
      </c>
      <c r="B385" s="296"/>
      <c r="C385" s="305"/>
      <c r="D385" s="306"/>
      <c r="E385" s="297"/>
      <c r="F385" s="298"/>
      <c r="G385" s="298"/>
      <c r="H385" s="282"/>
      <c r="I385" s="282"/>
      <c r="J385" s="282"/>
      <c r="K385" s="282"/>
      <c r="L385" s="282"/>
      <c r="M385" s="282"/>
      <c r="N385" s="282"/>
      <c r="O385" s="283"/>
      <c r="P385" s="303"/>
      <c r="Q385" s="265"/>
      <c r="R385" s="265"/>
      <c r="S385" s="265"/>
      <c r="T385" s="284"/>
      <c r="U385" s="265"/>
      <c r="V385" s="265"/>
      <c r="W385" s="265"/>
    </row>
    <row r="386" spans="1:23" ht="30" customHeight="1">
      <c r="A386" s="260" t="str">
        <f>IF(ISBLANK(D386)," ",276-COUNTBLANK($D$5:D386))</f>
        <v xml:space="preserve"> </v>
      </c>
      <c r="B386" s="200"/>
      <c r="C386" s="200"/>
      <c r="D386" s="200"/>
      <c r="E386" s="299"/>
      <c r="F386" s="209"/>
      <c r="G386" s="209"/>
      <c r="H386" s="201"/>
      <c r="I386" s="201"/>
      <c r="J386" s="201"/>
      <c r="K386" s="201"/>
      <c r="L386" s="201"/>
      <c r="M386" s="201"/>
      <c r="N386" s="201"/>
      <c r="O386" s="262"/>
      <c r="P386" s="291"/>
      <c r="Q386" s="265"/>
      <c r="R386" s="265"/>
      <c r="S386" s="265"/>
      <c r="T386" s="284"/>
      <c r="U386" s="265"/>
      <c r="V386" s="265"/>
      <c r="W386" s="265"/>
    </row>
    <row r="387" spans="1:23" ht="30" customHeight="1">
      <c r="A387" s="204" t="str">
        <f>IF(ISBLANK(D387)," ",277-COUNTBLANK($D$5:D387))</f>
        <v xml:space="preserve"> </v>
      </c>
      <c r="B387" s="202"/>
      <c r="C387" s="202"/>
      <c r="D387" s="202"/>
      <c r="E387" s="300"/>
      <c r="F387" s="210"/>
      <c r="G387" s="210"/>
      <c r="H387" s="203"/>
      <c r="I387" s="203"/>
      <c r="J387" s="203"/>
      <c r="K387" s="203"/>
      <c r="L387" s="203"/>
      <c r="M387" s="203"/>
      <c r="N387" s="203"/>
      <c r="O387" s="205"/>
      <c r="P387" s="291"/>
      <c r="Q387" s="265"/>
      <c r="R387" s="265"/>
      <c r="S387" s="265"/>
      <c r="T387" s="265"/>
    </row>
    <row r="388" spans="1:23" ht="30" customHeight="1">
      <c r="A388" s="204" t="str">
        <f>IF(ISBLANK(D388)," ",278-COUNTBLANK($D$5:D388))</f>
        <v xml:space="preserve"> </v>
      </c>
      <c r="B388" s="202"/>
      <c r="C388" s="202"/>
      <c r="D388" s="202"/>
      <c r="E388" s="300"/>
      <c r="F388" s="210"/>
      <c r="G388" s="210"/>
      <c r="H388" s="203"/>
      <c r="I388" s="203"/>
      <c r="J388" s="203"/>
      <c r="K388" s="203"/>
      <c r="L388" s="203"/>
      <c r="M388" s="203"/>
      <c r="N388" s="203"/>
      <c r="O388" s="205"/>
      <c r="P388" s="291"/>
      <c r="Q388" s="265"/>
      <c r="R388" s="265"/>
      <c r="S388" s="265"/>
      <c r="T388" s="265"/>
    </row>
    <row r="389" spans="1:23" ht="30" customHeight="1">
      <c r="A389" s="204" t="str">
        <f>IF(ISBLANK(D389)," ",279-COUNTBLANK($D$5:D389))</f>
        <v xml:space="preserve"> </v>
      </c>
      <c r="B389" s="202"/>
      <c r="C389" s="202"/>
      <c r="D389" s="202"/>
      <c r="E389" s="300"/>
      <c r="F389" s="210"/>
      <c r="G389" s="210"/>
      <c r="H389" s="203"/>
      <c r="I389" s="203"/>
      <c r="J389" s="203"/>
      <c r="K389" s="203"/>
      <c r="L389" s="203"/>
      <c r="M389" s="203"/>
      <c r="N389" s="203"/>
      <c r="O389" s="205"/>
      <c r="P389" s="291"/>
      <c r="Q389" s="265"/>
      <c r="R389" s="265"/>
      <c r="S389" s="265"/>
      <c r="T389" s="265"/>
    </row>
    <row r="390" spans="1:23" ht="30" customHeight="1">
      <c r="A390" s="204" t="str">
        <f>IF(ISBLANK(D390)," ",280-COUNTBLANK($D$5:D390))</f>
        <v xml:space="preserve"> </v>
      </c>
      <c r="B390" s="202"/>
      <c r="C390" s="202"/>
      <c r="D390" s="202"/>
      <c r="E390" s="300"/>
      <c r="F390" s="210"/>
      <c r="G390" s="210"/>
      <c r="H390" s="203"/>
      <c r="I390" s="203"/>
      <c r="J390" s="203"/>
      <c r="K390" s="203"/>
      <c r="L390" s="203"/>
      <c r="M390" s="203"/>
      <c r="N390" s="203"/>
      <c r="O390" s="205"/>
      <c r="P390" s="291"/>
      <c r="Q390" s="265"/>
      <c r="R390" s="265"/>
      <c r="S390" s="265"/>
      <c r="T390" s="265"/>
    </row>
    <row r="391" spans="1:23" ht="30" customHeight="1">
      <c r="A391" s="204" t="str">
        <f>IF(ISBLANK(D391)," ",281-COUNTBLANK($D$5:D391))</f>
        <v xml:space="preserve"> </v>
      </c>
      <c r="B391" s="202"/>
      <c r="C391" s="202"/>
      <c r="D391" s="202"/>
      <c r="E391" s="300"/>
      <c r="F391" s="210"/>
      <c r="G391" s="210"/>
      <c r="H391" s="203"/>
      <c r="I391" s="203"/>
      <c r="J391" s="203"/>
      <c r="K391" s="203"/>
      <c r="L391" s="203"/>
      <c r="M391" s="203"/>
      <c r="N391" s="203"/>
      <c r="O391" s="205"/>
      <c r="P391" s="291"/>
      <c r="Q391" s="265"/>
      <c r="R391" s="265"/>
      <c r="S391" s="265"/>
      <c r="T391" s="265"/>
    </row>
    <row r="392" spans="1:23" ht="30" customHeight="1">
      <c r="A392" s="204" t="str">
        <f>IF(ISBLANK(D392)," ",282-COUNTBLANK($D$5:D392))</f>
        <v xml:space="preserve"> </v>
      </c>
      <c r="B392" s="202"/>
      <c r="C392" s="202"/>
      <c r="D392" s="202"/>
      <c r="E392" s="300"/>
      <c r="F392" s="210"/>
      <c r="G392" s="210"/>
      <c r="H392" s="203"/>
      <c r="I392" s="203"/>
      <c r="J392" s="203"/>
      <c r="K392" s="203"/>
      <c r="L392" s="203"/>
      <c r="M392" s="203"/>
      <c r="N392" s="203"/>
      <c r="O392" s="205"/>
      <c r="P392" s="291"/>
      <c r="Q392" s="265"/>
      <c r="R392" s="265"/>
      <c r="S392" s="265"/>
      <c r="T392" s="265"/>
    </row>
    <row r="393" spans="1:23" ht="30" customHeight="1">
      <c r="A393" s="204" t="str">
        <f>IF(ISBLANK(D393)," ",283-COUNTBLANK($D$5:D393))</f>
        <v xml:space="preserve"> </v>
      </c>
      <c r="B393" s="202"/>
      <c r="C393" s="202"/>
      <c r="D393" s="202"/>
      <c r="E393" s="300"/>
      <c r="F393" s="210"/>
      <c r="G393" s="210"/>
      <c r="H393" s="203"/>
      <c r="I393" s="203"/>
      <c r="J393" s="203"/>
      <c r="K393" s="203"/>
      <c r="L393" s="203"/>
      <c r="M393" s="203"/>
      <c r="N393" s="203"/>
      <c r="O393" s="205"/>
      <c r="P393" s="291"/>
      <c r="Q393" s="265"/>
      <c r="R393" s="265"/>
      <c r="S393" s="265"/>
      <c r="T393" s="265"/>
    </row>
    <row r="394" spans="1:23" ht="30" customHeight="1">
      <c r="A394" s="204" t="str">
        <f>IF(ISBLANK(D394)," ",284-COUNTBLANK($D$5:D394))</f>
        <v xml:space="preserve"> </v>
      </c>
      <c r="B394" s="202"/>
      <c r="C394" s="202"/>
      <c r="D394" s="202"/>
      <c r="E394" s="300"/>
      <c r="F394" s="210"/>
      <c r="G394" s="210"/>
      <c r="H394" s="203"/>
      <c r="I394" s="203"/>
      <c r="J394" s="203"/>
      <c r="K394" s="203"/>
      <c r="L394" s="203"/>
      <c r="M394" s="203"/>
      <c r="N394" s="203"/>
      <c r="O394" s="205"/>
      <c r="P394" s="291"/>
      <c r="Q394" s="265"/>
      <c r="R394" s="265"/>
      <c r="S394" s="265"/>
      <c r="T394" s="265"/>
    </row>
    <row r="395" spans="1:23" ht="30" customHeight="1">
      <c r="A395" s="204" t="str">
        <f>IF(ISBLANK(D395)," ",285-COUNTBLANK($D$5:D395))</f>
        <v xml:space="preserve"> </v>
      </c>
      <c r="B395" s="202"/>
      <c r="C395" s="202"/>
      <c r="D395" s="202"/>
      <c r="E395" s="300"/>
      <c r="F395" s="210"/>
      <c r="G395" s="210"/>
      <c r="H395" s="203"/>
      <c r="I395" s="203"/>
      <c r="J395" s="203"/>
      <c r="K395" s="203"/>
      <c r="L395" s="203"/>
      <c r="M395" s="203"/>
      <c r="N395" s="203"/>
      <c r="O395" s="205"/>
      <c r="P395" s="291"/>
      <c r="Q395" s="265"/>
      <c r="R395" s="265"/>
      <c r="S395" s="265"/>
      <c r="T395" s="265"/>
    </row>
    <row r="396" spans="1:23" ht="30" customHeight="1">
      <c r="A396" s="204" t="str">
        <f>IF(ISBLANK(D396)," ",286-COUNTBLANK($D$5:D396))</f>
        <v xml:space="preserve"> </v>
      </c>
      <c r="B396" s="202"/>
      <c r="C396" s="202"/>
      <c r="D396" s="202"/>
      <c r="E396" s="300"/>
      <c r="F396" s="210"/>
      <c r="G396" s="210"/>
      <c r="H396" s="203"/>
      <c r="I396" s="203"/>
      <c r="J396" s="203"/>
      <c r="K396" s="203"/>
      <c r="L396" s="203"/>
      <c r="M396" s="203"/>
      <c r="N396" s="203"/>
      <c r="O396" s="205"/>
      <c r="P396" s="291"/>
      <c r="Q396" s="265"/>
      <c r="R396" s="265"/>
      <c r="S396" s="265"/>
      <c r="T396" s="265"/>
    </row>
    <row r="397" spans="1:23" ht="30" customHeight="1">
      <c r="A397" s="204" t="str">
        <f>IF(ISBLANK(D397)," ",287-COUNTBLANK($D$5:D397))</f>
        <v xml:space="preserve"> </v>
      </c>
      <c r="B397" s="202"/>
      <c r="C397" s="202"/>
      <c r="D397" s="202"/>
      <c r="E397" s="300"/>
      <c r="F397" s="210"/>
      <c r="G397" s="210"/>
      <c r="H397" s="203"/>
      <c r="I397" s="203"/>
      <c r="J397" s="203"/>
      <c r="K397" s="203"/>
      <c r="L397" s="203"/>
      <c r="M397" s="203"/>
      <c r="N397" s="203"/>
      <c r="O397" s="205"/>
      <c r="P397" s="291"/>
      <c r="Q397" s="265"/>
      <c r="R397" s="265"/>
      <c r="S397" s="265"/>
      <c r="T397" s="265"/>
    </row>
    <row r="398" spans="1:23" ht="30" customHeight="1">
      <c r="A398" s="204" t="str">
        <f>IF(ISBLANK(D398)," ",288-COUNTBLANK($D$5:D398))</f>
        <v xml:space="preserve"> </v>
      </c>
      <c r="B398" s="202"/>
      <c r="C398" s="202"/>
      <c r="D398" s="202"/>
      <c r="E398" s="300"/>
      <c r="F398" s="210"/>
      <c r="G398" s="210"/>
      <c r="H398" s="203"/>
      <c r="I398" s="203"/>
      <c r="J398" s="203"/>
      <c r="K398" s="203"/>
      <c r="L398" s="203"/>
      <c r="M398" s="203"/>
      <c r="N398" s="203"/>
      <c r="O398" s="205"/>
      <c r="P398" s="291"/>
      <c r="Q398" s="265"/>
      <c r="R398" s="265"/>
      <c r="S398" s="265"/>
      <c r="T398" s="265"/>
    </row>
    <row r="399" spans="1:23" ht="30" customHeight="1">
      <c r="A399" s="204" t="str">
        <f>IF(ISBLANK(D399)," ",289-COUNTBLANK($D$5:D399))</f>
        <v xml:space="preserve"> </v>
      </c>
      <c r="B399" s="202"/>
      <c r="C399" s="202"/>
      <c r="D399" s="202"/>
      <c r="E399" s="300"/>
      <c r="F399" s="210"/>
      <c r="G399" s="210"/>
      <c r="H399" s="203"/>
      <c r="I399" s="203"/>
      <c r="J399" s="203"/>
      <c r="K399" s="203"/>
      <c r="L399" s="203"/>
      <c r="M399" s="203"/>
      <c r="N399" s="203"/>
      <c r="O399" s="205"/>
      <c r="P399" s="291"/>
      <c r="Q399" s="265"/>
      <c r="R399" s="265"/>
      <c r="S399" s="265"/>
      <c r="T399" s="265"/>
    </row>
    <row r="400" spans="1:23" ht="30" customHeight="1">
      <c r="A400" s="204" t="str">
        <f>IF(ISBLANK(D400)," ",290-COUNTBLANK($D$5:D400))</f>
        <v xml:space="preserve"> </v>
      </c>
      <c r="B400" s="202"/>
      <c r="C400" s="202"/>
      <c r="D400" s="202"/>
      <c r="E400" s="300"/>
      <c r="F400" s="210"/>
      <c r="G400" s="210"/>
      <c r="H400" s="203"/>
      <c r="I400" s="203"/>
      <c r="J400" s="203"/>
      <c r="K400" s="203"/>
      <c r="L400" s="203"/>
      <c r="M400" s="203"/>
      <c r="N400" s="203"/>
      <c r="O400" s="205"/>
      <c r="P400" s="291"/>
      <c r="Q400" s="265"/>
      <c r="R400" s="265"/>
      <c r="S400" s="265"/>
      <c r="T400" s="265"/>
    </row>
    <row r="401" spans="1:23" ht="30" customHeight="1">
      <c r="A401" s="204" t="str">
        <f>IF(ISBLANK(D401)," ",291-COUNTBLANK($D$5:D401))</f>
        <v xml:space="preserve"> </v>
      </c>
      <c r="B401" s="202"/>
      <c r="C401" s="202"/>
      <c r="D401" s="202"/>
      <c r="E401" s="300"/>
      <c r="F401" s="210"/>
      <c r="G401" s="210"/>
      <c r="H401" s="203"/>
      <c r="I401" s="203"/>
      <c r="J401" s="203"/>
      <c r="K401" s="203"/>
      <c r="L401" s="203"/>
      <c r="M401" s="203"/>
      <c r="N401" s="203"/>
      <c r="O401" s="205"/>
      <c r="P401" s="291"/>
      <c r="Q401" s="265"/>
      <c r="R401" s="265"/>
      <c r="S401" s="265"/>
      <c r="T401" s="265"/>
    </row>
    <row r="402" spans="1:23" ht="30" customHeight="1">
      <c r="A402" s="204" t="str">
        <f>IF(ISBLANK(D402)," ",292-COUNTBLANK($D$5:D402))</f>
        <v xml:space="preserve"> </v>
      </c>
      <c r="B402" s="202"/>
      <c r="C402" s="202"/>
      <c r="D402" s="202"/>
      <c r="E402" s="300"/>
      <c r="F402" s="210"/>
      <c r="G402" s="210"/>
      <c r="H402" s="203"/>
      <c r="I402" s="203"/>
      <c r="J402" s="203"/>
      <c r="K402" s="203"/>
      <c r="L402" s="203"/>
      <c r="M402" s="203"/>
      <c r="N402" s="203"/>
      <c r="O402" s="205"/>
      <c r="P402" s="291"/>
      <c r="Q402" s="265"/>
      <c r="R402" s="265"/>
      <c r="S402" s="265"/>
      <c r="T402" s="267"/>
    </row>
    <row r="403" spans="1:23" ht="30" customHeight="1">
      <c r="A403" s="204" t="str">
        <f>IF(ISBLANK(D403)," ",293-COUNTBLANK($D$5:D403))</f>
        <v xml:space="preserve"> </v>
      </c>
      <c r="B403" s="202"/>
      <c r="C403" s="202"/>
      <c r="D403" s="202"/>
      <c r="E403" s="300"/>
      <c r="F403" s="210"/>
      <c r="G403" s="210"/>
      <c r="H403" s="203"/>
      <c r="I403" s="203"/>
      <c r="J403" s="203"/>
      <c r="K403" s="203"/>
      <c r="L403" s="203"/>
      <c r="M403" s="203"/>
      <c r="N403" s="203"/>
      <c r="O403" s="205"/>
      <c r="P403" s="291"/>
      <c r="Q403" s="265"/>
      <c r="R403" s="265"/>
      <c r="S403" s="265"/>
      <c r="T403" s="267"/>
    </row>
    <row r="404" spans="1:23" ht="30" customHeight="1">
      <c r="A404" s="204" t="s">
        <v>52</v>
      </c>
      <c r="B404" s="202"/>
      <c r="C404" s="202"/>
      <c r="D404" s="202"/>
      <c r="E404" s="300"/>
      <c r="F404" s="210">
        <f>SUM(F384:F403)</f>
        <v>0</v>
      </c>
      <c r="G404" s="210"/>
      <c r="H404" s="203"/>
      <c r="I404" s="203"/>
      <c r="J404" s="203"/>
      <c r="K404" s="203"/>
      <c r="L404" s="203"/>
      <c r="M404" s="203"/>
      <c r="N404" s="203"/>
      <c r="O404" s="205"/>
      <c r="P404" s="291"/>
      <c r="Q404" s="265"/>
      <c r="R404" s="265"/>
      <c r="S404" s="265"/>
      <c r="T404" s="267"/>
    </row>
    <row r="405" spans="1:23" ht="30" customHeight="1">
      <c r="A405" s="204" t="str">
        <f>IF(ISBLANK(D405)," ",295-COUNTBLANK($D$5:D405))</f>
        <v xml:space="preserve"> </v>
      </c>
      <c r="B405" s="202"/>
      <c r="C405" s="202"/>
      <c r="D405" s="202"/>
      <c r="E405" s="300"/>
      <c r="F405" s="210"/>
      <c r="G405" s="210"/>
      <c r="H405" s="203"/>
      <c r="I405" s="203"/>
      <c r="J405" s="203"/>
      <c r="K405" s="203"/>
      <c r="L405" s="203"/>
      <c r="M405" s="203"/>
      <c r="N405" s="203"/>
      <c r="O405" s="205"/>
      <c r="P405" s="291"/>
      <c r="Q405" s="265"/>
      <c r="R405" s="265"/>
      <c r="S405" s="265"/>
      <c r="T405" s="267"/>
    </row>
    <row r="406" spans="1:23" ht="30" customHeight="1">
      <c r="A406" s="304" t="str">
        <f>IF(ISBLANK(D406)," ",296-COUNTBLANK($D$5:D406))</f>
        <v xml:space="preserve"> </v>
      </c>
      <c r="B406" s="296"/>
      <c r="C406" s="305"/>
      <c r="D406" s="306"/>
      <c r="E406" s="297"/>
      <c r="F406" s="298"/>
      <c r="G406" s="298"/>
      <c r="H406" s="282"/>
      <c r="I406" s="282"/>
      <c r="J406" s="282"/>
      <c r="K406" s="282"/>
      <c r="L406" s="282"/>
      <c r="M406" s="282"/>
      <c r="N406" s="282"/>
      <c r="O406" s="283"/>
      <c r="P406" s="303"/>
      <c r="Q406" s="265"/>
      <c r="R406" s="265"/>
      <c r="S406" s="265"/>
      <c r="T406" s="284"/>
      <c r="U406" s="265"/>
      <c r="V406" s="265"/>
      <c r="W406" s="265"/>
    </row>
    <row r="407" spans="1:23" ht="30" customHeight="1">
      <c r="A407" s="260" t="str">
        <f>IF(ISBLANK(D407)," ",297-COUNTBLANK($D$5:D407))</f>
        <v xml:space="preserve"> </v>
      </c>
      <c r="B407" s="200"/>
      <c r="C407" s="200"/>
      <c r="D407" s="200"/>
      <c r="E407" s="299"/>
      <c r="F407" s="209"/>
      <c r="G407" s="209"/>
      <c r="H407" s="201"/>
      <c r="I407" s="201"/>
      <c r="J407" s="201"/>
      <c r="K407" s="201"/>
      <c r="L407" s="201"/>
      <c r="M407" s="201"/>
      <c r="N407" s="201"/>
      <c r="O407" s="262"/>
      <c r="P407" s="291"/>
      <c r="Q407" s="265"/>
      <c r="R407" s="265"/>
      <c r="S407" s="265"/>
      <c r="T407" s="284"/>
      <c r="U407" s="265"/>
      <c r="V407" s="265"/>
      <c r="W407" s="265"/>
    </row>
    <row r="408" spans="1:23" ht="30" customHeight="1">
      <c r="A408" s="204" t="str">
        <f>IF(ISBLANK(D408)," ",298-COUNTBLANK($D$5:D408))</f>
        <v xml:space="preserve"> </v>
      </c>
      <c r="B408" s="202"/>
      <c r="C408" s="202"/>
      <c r="D408" s="202"/>
      <c r="E408" s="300"/>
      <c r="F408" s="210"/>
      <c r="G408" s="210"/>
      <c r="H408" s="203"/>
      <c r="I408" s="203"/>
      <c r="J408" s="203"/>
      <c r="K408" s="203"/>
      <c r="L408" s="203"/>
      <c r="M408" s="203"/>
      <c r="N408" s="203"/>
      <c r="O408" s="205"/>
      <c r="P408" s="291"/>
      <c r="Q408" s="265"/>
      <c r="R408" s="265"/>
      <c r="S408" s="265"/>
      <c r="T408" s="265"/>
    </row>
    <row r="409" spans="1:23" ht="30" customHeight="1">
      <c r="A409" s="204" t="str">
        <f>IF(ISBLANK(D409)," ",299-COUNTBLANK($D$5:D409))</f>
        <v xml:space="preserve"> </v>
      </c>
      <c r="B409" s="202"/>
      <c r="C409" s="202"/>
      <c r="D409" s="202"/>
      <c r="E409" s="300"/>
      <c r="F409" s="210"/>
      <c r="G409" s="210"/>
      <c r="H409" s="203"/>
      <c r="I409" s="203"/>
      <c r="J409" s="203"/>
      <c r="K409" s="203"/>
      <c r="L409" s="203"/>
      <c r="M409" s="203"/>
      <c r="N409" s="203"/>
      <c r="O409" s="205"/>
      <c r="P409" s="291"/>
      <c r="Q409" s="265"/>
      <c r="R409" s="265"/>
      <c r="S409" s="265"/>
      <c r="T409" s="265"/>
    </row>
    <row r="410" spans="1:23" ht="30" customHeight="1">
      <c r="A410" s="204" t="str">
        <f>IF(ISBLANK(D410)," ",300-COUNTBLANK($D$5:D410))</f>
        <v xml:space="preserve"> </v>
      </c>
      <c r="B410" s="202"/>
      <c r="C410" s="202"/>
      <c r="D410" s="202"/>
      <c r="E410" s="300"/>
      <c r="F410" s="210"/>
      <c r="G410" s="210"/>
      <c r="H410" s="203"/>
      <c r="I410" s="203"/>
      <c r="J410" s="203"/>
      <c r="K410" s="203"/>
      <c r="L410" s="203"/>
      <c r="M410" s="203"/>
      <c r="N410" s="203"/>
      <c r="O410" s="205"/>
      <c r="P410" s="291"/>
      <c r="Q410" s="265"/>
      <c r="R410" s="265"/>
      <c r="S410" s="265"/>
      <c r="T410" s="265"/>
    </row>
    <row r="411" spans="1:23" ht="30" customHeight="1">
      <c r="A411" s="204" t="str">
        <f>IF(ISBLANK(D411)," ",301-COUNTBLANK($D$5:D411))</f>
        <v xml:space="preserve"> </v>
      </c>
      <c r="B411" s="202"/>
      <c r="C411" s="202"/>
      <c r="D411" s="202"/>
      <c r="E411" s="300"/>
      <c r="F411" s="210"/>
      <c r="G411" s="210"/>
      <c r="H411" s="203"/>
      <c r="I411" s="203"/>
      <c r="J411" s="203"/>
      <c r="K411" s="203"/>
      <c r="L411" s="203"/>
      <c r="M411" s="203"/>
      <c r="N411" s="203"/>
      <c r="O411" s="205"/>
      <c r="P411" s="291"/>
      <c r="Q411" s="265"/>
      <c r="R411" s="265"/>
      <c r="S411" s="265"/>
      <c r="T411" s="265"/>
    </row>
    <row r="412" spans="1:23" ht="30" customHeight="1">
      <c r="A412" s="204" t="str">
        <f>IF(ISBLANK(D412)," ",302-COUNTBLANK($D$5:D412))</f>
        <v xml:space="preserve"> </v>
      </c>
      <c r="B412" s="202"/>
      <c r="C412" s="202"/>
      <c r="D412" s="202"/>
      <c r="E412" s="300"/>
      <c r="F412" s="210"/>
      <c r="G412" s="210"/>
      <c r="H412" s="203"/>
      <c r="I412" s="203"/>
      <c r="J412" s="203"/>
      <c r="K412" s="203"/>
      <c r="L412" s="203"/>
      <c r="M412" s="203"/>
      <c r="N412" s="203"/>
      <c r="O412" s="205"/>
      <c r="P412" s="291"/>
      <c r="Q412" s="265"/>
      <c r="R412" s="265"/>
      <c r="S412" s="265"/>
      <c r="T412" s="265"/>
    </row>
    <row r="413" spans="1:23" ht="30" customHeight="1">
      <c r="A413" s="204" t="str">
        <f>IF(ISBLANK(D413)," ",303-COUNTBLANK($D$5:D413))</f>
        <v xml:space="preserve"> </v>
      </c>
      <c r="B413" s="202"/>
      <c r="C413" s="202"/>
      <c r="D413" s="202"/>
      <c r="E413" s="300"/>
      <c r="F413" s="210"/>
      <c r="G413" s="210"/>
      <c r="H413" s="203"/>
      <c r="I413" s="203"/>
      <c r="J413" s="203"/>
      <c r="K413" s="203"/>
      <c r="L413" s="203"/>
      <c r="M413" s="203"/>
      <c r="N413" s="203"/>
      <c r="O413" s="205"/>
      <c r="P413" s="291"/>
      <c r="Q413" s="265"/>
      <c r="R413" s="265"/>
      <c r="S413" s="265"/>
      <c r="T413" s="265"/>
    </row>
    <row r="414" spans="1:23" ht="30" customHeight="1">
      <c r="A414" s="204" t="str">
        <f>IF(ISBLANK(D414)," ",304-COUNTBLANK($D$5:D414))</f>
        <v xml:space="preserve"> </v>
      </c>
      <c r="B414" s="202"/>
      <c r="C414" s="202"/>
      <c r="D414" s="202"/>
      <c r="E414" s="300"/>
      <c r="F414" s="210"/>
      <c r="G414" s="210"/>
      <c r="H414" s="203"/>
      <c r="I414" s="203"/>
      <c r="J414" s="203"/>
      <c r="K414" s="203"/>
      <c r="L414" s="203"/>
      <c r="M414" s="203"/>
      <c r="N414" s="203"/>
      <c r="O414" s="205"/>
      <c r="P414" s="291"/>
      <c r="Q414" s="265"/>
      <c r="R414" s="265"/>
      <c r="S414" s="265"/>
      <c r="T414" s="265"/>
    </row>
    <row r="415" spans="1:23" ht="30" customHeight="1">
      <c r="A415" s="204" t="str">
        <f>IF(ISBLANK(D415)," ",305-COUNTBLANK($D$5:D415))</f>
        <v xml:space="preserve"> </v>
      </c>
      <c r="B415" s="202"/>
      <c r="C415" s="202"/>
      <c r="D415" s="202"/>
      <c r="E415" s="300"/>
      <c r="F415" s="210"/>
      <c r="G415" s="210"/>
      <c r="H415" s="203"/>
      <c r="I415" s="203"/>
      <c r="J415" s="203"/>
      <c r="K415" s="203"/>
      <c r="L415" s="203"/>
      <c r="M415" s="203"/>
      <c r="N415" s="203"/>
      <c r="O415" s="205"/>
      <c r="P415" s="291"/>
      <c r="Q415" s="265"/>
      <c r="R415" s="265"/>
      <c r="S415" s="265"/>
      <c r="T415" s="265"/>
    </row>
    <row r="416" spans="1:23" ht="30" customHeight="1">
      <c r="A416" s="204" t="str">
        <f>IF(ISBLANK(D416)," ",306-COUNTBLANK($D$5:D416))</f>
        <v xml:space="preserve"> </v>
      </c>
      <c r="B416" s="202"/>
      <c r="C416" s="202"/>
      <c r="D416" s="202"/>
      <c r="E416" s="300"/>
      <c r="F416" s="210"/>
      <c r="G416" s="210"/>
      <c r="H416" s="203"/>
      <c r="I416" s="203"/>
      <c r="J416" s="203"/>
      <c r="K416" s="203"/>
      <c r="L416" s="203"/>
      <c r="M416" s="203"/>
      <c r="N416" s="203"/>
      <c r="O416" s="205"/>
      <c r="P416" s="291"/>
      <c r="Q416" s="265"/>
      <c r="R416" s="265"/>
      <c r="S416" s="265"/>
      <c r="T416" s="265"/>
    </row>
    <row r="417" spans="1:23" ht="30" customHeight="1">
      <c r="A417" s="204" t="str">
        <f>IF(ISBLANK(D417)," ",307-COUNTBLANK($D$5:D417))</f>
        <v xml:space="preserve"> </v>
      </c>
      <c r="B417" s="202"/>
      <c r="C417" s="202"/>
      <c r="D417" s="202"/>
      <c r="E417" s="300"/>
      <c r="F417" s="210"/>
      <c r="G417" s="210"/>
      <c r="H417" s="203"/>
      <c r="I417" s="203"/>
      <c r="J417" s="203"/>
      <c r="K417" s="203"/>
      <c r="L417" s="203"/>
      <c r="M417" s="203"/>
      <c r="N417" s="203"/>
      <c r="O417" s="205"/>
      <c r="P417" s="291"/>
      <c r="Q417" s="265"/>
      <c r="R417" s="265"/>
      <c r="S417" s="265"/>
      <c r="T417" s="265"/>
    </row>
    <row r="418" spans="1:23" ht="30" customHeight="1">
      <c r="A418" s="204" t="str">
        <f>IF(ISBLANK(D418)," ",308-COUNTBLANK($D$5:D418))</f>
        <v xml:space="preserve"> </v>
      </c>
      <c r="B418" s="202"/>
      <c r="C418" s="202"/>
      <c r="D418" s="202"/>
      <c r="E418" s="300"/>
      <c r="F418" s="210"/>
      <c r="G418" s="210"/>
      <c r="H418" s="203"/>
      <c r="I418" s="203"/>
      <c r="J418" s="203"/>
      <c r="K418" s="203"/>
      <c r="L418" s="203"/>
      <c r="M418" s="203"/>
      <c r="N418" s="203"/>
      <c r="O418" s="205"/>
      <c r="P418" s="291"/>
      <c r="Q418" s="265"/>
      <c r="R418" s="265"/>
      <c r="S418" s="265"/>
      <c r="T418" s="265"/>
    </row>
    <row r="419" spans="1:23" ht="30" customHeight="1">
      <c r="A419" s="204" t="str">
        <f>IF(ISBLANK(D419)," ",309-COUNTBLANK($D$5:D419))</f>
        <v xml:space="preserve"> </v>
      </c>
      <c r="B419" s="202"/>
      <c r="C419" s="202"/>
      <c r="D419" s="202"/>
      <c r="E419" s="300"/>
      <c r="F419" s="210"/>
      <c r="G419" s="210"/>
      <c r="H419" s="203"/>
      <c r="I419" s="203"/>
      <c r="J419" s="203"/>
      <c r="K419" s="203"/>
      <c r="L419" s="203"/>
      <c r="M419" s="203"/>
      <c r="N419" s="203"/>
      <c r="O419" s="205"/>
      <c r="P419" s="291"/>
      <c r="Q419" s="265"/>
      <c r="R419" s="265"/>
      <c r="S419" s="265"/>
      <c r="T419" s="265"/>
    </row>
    <row r="420" spans="1:23" ht="30" customHeight="1">
      <c r="A420" s="204" t="str">
        <f>IF(ISBLANK(D420)," ",310-COUNTBLANK($D$5:D420))</f>
        <v xml:space="preserve"> </v>
      </c>
      <c r="B420" s="202"/>
      <c r="C420" s="202"/>
      <c r="D420" s="202"/>
      <c r="E420" s="300"/>
      <c r="F420" s="210"/>
      <c r="G420" s="210"/>
      <c r="H420" s="203"/>
      <c r="I420" s="203"/>
      <c r="J420" s="203"/>
      <c r="K420" s="203"/>
      <c r="L420" s="203"/>
      <c r="M420" s="203"/>
      <c r="N420" s="203"/>
      <c r="O420" s="205"/>
      <c r="P420" s="291"/>
      <c r="Q420" s="265"/>
      <c r="R420" s="265"/>
      <c r="S420" s="265"/>
      <c r="T420" s="265"/>
    </row>
    <row r="421" spans="1:23" ht="30" customHeight="1">
      <c r="A421" s="204" t="str">
        <f>IF(ISBLANK(D421)," ",311-COUNTBLANK($D$5:D421))</f>
        <v xml:space="preserve"> </v>
      </c>
      <c r="B421" s="202"/>
      <c r="C421" s="202"/>
      <c r="D421" s="202"/>
      <c r="E421" s="300"/>
      <c r="F421" s="210"/>
      <c r="G421" s="210"/>
      <c r="H421" s="203"/>
      <c r="I421" s="203"/>
      <c r="J421" s="203"/>
      <c r="K421" s="203"/>
      <c r="L421" s="203"/>
      <c r="M421" s="203"/>
      <c r="N421" s="203"/>
      <c r="O421" s="205"/>
      <c r="P421" s="291"/>
      <c r="Q421" s="265"/>
      <c r="R421" s="265"/>
      <c r="S421" s="265"/>
      <c r="T421" s="265"/>
    </row>
    <row r="422" spans="1:23" ht="27.75" customHeight="1">
      <c r="A422" s="204" t="str">
        <f>IF(ISBLANK(D422)," ",312-COUNTBLANK($D$5:D422))</f>
        <v xml:space="preserve"> </v>
      </c>
      <c r="B422" s="202"/>
      <c r="C422" s="202"/>
      <c r="D422" s="202"/>
      <c r="E422" s="300"/>
      <c r="F422" s="210"/>
      <c r="G422" s="210"/>
      <c r="H422" s="203"/>
      <c r="I422" s="203"/>
      <c r="J422" s="203"/>
      <c r="K422" s="203"/>
      <c r="L422" s="203"/>
      <c r="M422" s="203"/>
      <c r="N422" s="203"/>
      <c r="O422" s="205"/>
      <c r="P422" s="291"/>
      <c r="Q422" s="265"/>
      <c r="R422" s="265"/>
      <c r="S422" s="265"/>
      <c r="T422" s="265"/>
    </row>
    <row r="423" spans="1:23" ht="27.75" customHeight="1">
      <c r="A423" s="204" t="str">
        <f>IF(ISBLANK(D423)," ",313-COUNTBLANK($D$5:D423))</f>
        <v xml:space="preserve"> </v>
      </c>
      <c r="B423" s="202"/>
      <c r="C423" s="202"/>
      <c r="D423" s="202"/>
      <c r="E423" s="300"/>
      <c r="F423" s="210"/>
      <c r="G423" s="210"/>
      <c r="H423" s="203"/>
      <c r="I423" s="203"/>
      <c r="J423" s="203"/>
      <c r="K423" s="203"/>
      <c r="L423" s="203"/>
      <c r="M423" s="203"/>
      <c r="N423" s="203"/>
      <c r="O423" s="205"/>
      <c r="P423" s="291"/>
      <c r="Q423" s="265"/>
      <c r="R423" s="265"/>
      <c r="S423" s="265"/>
      <c r="T423" s="267"/>
    </row>
    <row r="424" spans="1:23" ht="27.75" customHeight="1">
      <c r="A424" s="204" t="str">
        <f>IF(ISBLANK(D424)," ",314-COUNTBLANK($D$5:D424))</f>
        <v xml:space="preserve"> </v>
      </c>
      <c r="B424" s="202"/>
      <c r="C424" s="202"/>
      <c r="D424" s="202"/>
      <c r="E424" s="300"/>
      <c r="F424" s="210"/>
      <c r="G424" s="210"/>
      <c r="H424" s="203"/>
      <c r="I424" s="203"/>
      <c r="J424" s="203"/>
      <c r="K424" s="203"/>
      <c r="L424" s="203"/>
      <c r="M424" s="203"/>
      <c r="N424" s="203"/>
      <c r="O424" s="205"/>
      <c r="P424" s="291"/>
      <c r="Q424" s="265"/>
      <c r="R424" s="265"/>
      <c r="S424" s="265"/>
      <c r="T424" s="267"/>
    </row>
    <row r="425" spans="1:23" ht="27.75" customHeight="1">
      <c r="A425" s="204" t="s">
        <v>52</v>
      </c>
      <c r="B425" s="202"/>
      <c r="C425" s="202"/>
      <c r="D425" s="202"/>
      <c r="E425" s="300"/>
      <c r="F425" s="210">
        <f>SUM(F405:F424)</f>
        <v>0</v>
      </c>
      <c r="G425" s="210"/>
      <c r="H425" s="203"/>
      <c r="I425" s="203"/>
      <c r="J425" s="203"/>
      <c r="K425" s="203"/>
      <c r="L425" s="203"/>
      <c r="M425" s="203"/>
      <c r="N425" s="203"/>
      <c r="O425" s="205"/>
      <c r="P425" s="291"/>
      <c r="Q425" s="265"/>
      <c r="R425" s="265"/>
      <c r="S425" s="265"/>
      <c r="T425" s="267"/>
    </row>
    <row r="426" spans="1:23" ht="27.75" customHeight="1">
      <c r="A426" s="204" t="str">
        <f>IF(ISBLANK(D426)," ",316-COUNTBLANK($D$5:D426))</f>
        <v xml:space="preserve"> </v>
      </c>
      <c r="B426" s="202"/>
      <c r="C426" s="202"/>
      <c r="D426" s="202"/>
      <c r="E426" s="300"/>
      <c r="F426" s="210"/>
      <c r="G426" s="210"/>
      <c r="H426" s="203"/>
      <c r="I426" s="203"/>
      <c r="J426" s="203"/>
      <c r="K426" s="203"/>
      <c r="L426" s="203"/>
      <c r="M426" s="203"/>
      <c r="N426" s="203"/>
      <c r="O426" s="205"/>
      <c r="P426" s="291"/>
      <c r="Q426" s="265"/>
      <c r="R426" s="265"/>
      <c r="S426" s="265"/>
      <c r="T426" s="267"/>
    </row>
    <row r="427" spans="1:23" ht="27.75" customHeight="1">
      <c r="A427" s="304" t="str">
        <f>IF(ISBLANK(D427)," ",317-COUNTBLANK($D$5:D427))</f>
        <v xml:space="preserve"> </v>
      </c>
      <c r="B427" s="296"/>
      <c r="C427" s="305"/>
      <c r="D427" s="306"/>
      <c r="E427" s="297"/>
      <c r="F427" s="298"/>
      <c r="G427" s="298"/>
      <c r="H427" s="282"/>
      <c r="I427" s="282"/>
      <c r="J427" s="282"/>
      <c r="K427" s="282"/>
      <c r="L427" s="282"/>
      <c r="M427" s="282"/>
      <c r="N427" s="282"/>
      <c r="O427" s="283"/>
      <c r="P427" s="303"/>
      <c r="Q427" s="265"/>
      <c r="R427" s="265"/>
      <c r="S427" s="265"/>
      <c r="T427" s="284"/>
      <c r="U427" s="265"/>
      <c r="V427" s="265"/>
      <c r="W427" s="265"/>
    </row>
    <row r="428" spans="1:23" ht="27.75" customHeight="1">
      <c r="A428" s="260" t="str">
        <f>IF(ISBLANK(D428)," ",318-COUNTBLANK($D$5:D428))</f>
        <v xml:space="preserve"> </v>
      </c>
      <c r="B428" s="200"/>
      <c r="C428" s="200"/>
      <c r="D428" s="200"/>
      <c r="E428" s="299"/>
      <c r="F428" s="209"/>
      <c r="G428" s="209"/>
      <c r="H428" s="201"/>
      <c r="I428" s="201"/>
      <c r="J428" s="201"/>
      <c r="K428" s="201"/>
      <c r="L428" s="201"/>
      <c r="M428" s="201"/>
      <c r="N428" s="201"/>
      <c r="O428" s="262"/>
      <c r="P428" s="291"/>
      <c r="Q428" s="265"/>
      <c r="R428" s="265"/>
      <c r="S428" s="265"/>
      <c r="T428" s="284"/>
      <c r="U428" s="265"/>
      <c r="V428" s="265"/>
      <c r="W428" s="265"/>
    </row>
    <row r="429" spans="1:23" ht="27.75" customHeight="1">
      <c r="A429" s="204" t="str">
        <f>IF(ISBLANK(D429)," ",319-COUNTBLANK($D$5:D429))</f>
        <v xml:space="preserve"> </v>
      </c>
      <c r="B429" s="202"/>
      <c r="C429" s="202"/>
      <c r="D429" s="202"/>
      <c r="E429" s="300"/>
      <c r="F429" s="210"/>
      <c r="G429" s="210"/>
      <c r="H429" s="203"/>
      <c r="I429" s="203"/>
      <c r="J429" s="203"/>
      <c r="K429" s="203"/>
      <c r="L429" s="203"/>
      <c r="M429" s="203"/>
      <c r="N429" s="203"/>
      <c r="O429" s="205"/>
      <c r="P429" s="291"/>
      <c r="Q429" s="265"/>
      <c r="R429" s="265"/>
      <c r="S429" s="265"/>
      <c r="T429" s="265"/>
    </row>
    <row r="430" spans="1:23" ht="27.75" customHeight="1">
      <c r="A430" s="204" t="str">
        <f>IF(ISBLANK(D430)," ",320-COUNTBLANK($D$5:D430))</f>
        <v xml:space="preserve"> </v>
      </c>
      <c r="B430" s="202"/>
      <c r="C430" s="202"/>
      <c r="D430" s="202"/>
      <c r="E430" s="300"/>
      <c r="F430" s="210"/>
      <c r="G430" s="210"/>
      <c r="H430" s="203"/>
      <c r="I430" s="203"/>
      <c r="J430" s="203"/>
      <c r="K430" s="203"/>
      <c r="L430" s="203"/>
      <c r="M430" s="203"/>
      <c r="N430" s="203"/>
      <c r="O430" s="205"/>
      <c r="P430" s="291"/>
      <c r="Q430" s="265"/>
      <c r="R430" s="265"/>
      <c r="S430" s="265"/>
      <c r="T430" s="265"/>
    </row>
    <row r="431" spans="1:23" ht="27.75" customHeight="1">
      <c r="A431" s="204" t="str">
        <f>IF(ISBLANK(D431)," ",321-COUNTBLANK($D$5:D431))</f>
        <v xml:space="preserve"> </v>
      </c>
      <c r="B431" s="202"/>
      <c r="C431" s="202"/>
      <c r="D431" s="202"/>
      <c r="E431" s="300"/>
      <c r="F431" s="210"/>
      <c r="G431" s="210"/>
      <c r="H431" s="203"/>
      <c r="I431" s="203"/>
      <c r="J431" s="203"/>
      <c r="K431" s="203"/>
      <c r="L431" s="203"/>
      <c r="M431" s="203"/>
      <c r="N431" s="203"/>
      <c r="O431" s="205"/>
      <c r="P431" s="291"/>
      <c r="Q431" s="265"/>
      <c r="R431" s="265"/>
      <c r="S431" s="265"/>
      <c r="T431" s="265"/>
    </row>
    <row r="432" spans="1:23" ht="27.75" customHeight="1">
      <c r="A432" s="204" t="str">
        <f>IF(ISBLANK(D432)," ",322-COUNTBLANK($D$5:D432))</f>
        <v xml:space="preserve"> </v>
      </c>
      <c r="B432" s="202"/>
      <c r="C432" s="202"/>
      <c r="D432" s="202"/>
      <c r="E432" s="300"/>
      <c r="F432" s="210"/>
      <c r="G432" s="210"/>
      <c r="H432" s="203"/>
      <c r="I432" s="203"/>
      <c r="J432" s="203"/>
      <c r="K432" s="203"/>
      <c r="L432" s="203"/>
      <c r="M432" s="203"/>
      <c r="N432" s="203"/>
      <c r="O432" s="205"/>
      <c r="P432" s="291"/>
      <c r="Q432" s="265"/>
      <c r="R432" s="265"/>
      <c r="S432" s="265"/>
      <c r="T432" s="265"/>
    </row>
    <row r="433" spans="1:23" ht="27.75" customHeight="1">
      <c r="A433" s="204" t="str">
        <f>IF(ISBLANK(D433)," ",323-COUNTBLANK($D$5:D433))</f>
        <v xml:space="preserve"> </v>
      </c>
      <c r="B433" s="202"/>
      <c r="C433" s="202"/>
      <c r="D433" s="202"/>
      <c r="E433" s="300"/>
      <c r="F433" s="210"/>
      <c r="G433" s="210"/>
      <c r="H433" s="203"/>
      <c r="I433" s="203"/>
      <c r="J433" s="203"/>
      <c r="K433" s="203"/>
      <c r="L433" s="203"/>
      <c r="M433" s="203"/>
      <c r="N433" s="203"/>
      <c r="O433" s="205"/>
      <c r="P433" s="291"/>
      <c r="Q433" s="265"/>
      <c r="R433" s="265"/>
      <c r="S433" s="265"/>
      <c r="T433" s="265"/>
    </row>
    <row r="434" spans="1:23" ht="27.75" customHeight="1">
      <c r="A434" s="204" t="str">
        <f>IF(ISBLANK(D434)," ",324-COUNTBLANK($D$5:D434))</f>
        <v xml:space="preserve"> </v>
      </c>
      <c r="B434" s="202"/>
      <c r="C434" s="202"/>
      <c r="D434" s="202"/>
      <c r="E434" s="300"/>
      <c r="F434" s="210"/>
      <c r="G434" s="210"/>
      <c r="H434" s="203"/>
      <c r="I434" s="203"/>
      <c r="J434" s="203"/>
      <c r="K434" s="203"/>
      <c r="L434" s="203"/>
      <c r="M434" s="203"/>
      <c r="N434" s="203"/>
      <c r="O434" s="205"/>
      <c r="P434" s="291"/>
      <c r="Q434" s="265"/>
      <c r="R434" s="265"/>
      <c r="S434" s="265"/>
      <c r="T434" s="265"/>
    </row>
    <row r="435" spans="1:23" ht="27.75" customHeight="1">
      <c r="A435" s="204" t="str">
        <f>IF(ISBLANK(D435)," ",325-COUNTBLANK($D$5:D435))</f>
        <v xml:space="preserve"> </v>
      </c>
      <c r="B435" s="202"/>
      <c r="C435" s="202"/>
      <c r="D435" s="202"/>
      <c r="E435" s="300"/>
      <c r="F435" s="210"/>
      <c r="G435" s="210"/>
      <c r="H435" s="203"/>
      <c r="I435" s="203"/>
      <c r="J435" s="203"/>
      <c r="K435" s="203"/>
      <c r="L435" s="203"/>
      <c r="M435" s="203"/>
      <c r="N435" s="203"/>
      <c r="O435" s="205"/>
      <c r="P435" s="291"/>
      <c r="Q435" s="265"/>
      <c r="R435" s="265"/>
      <c r="S435" s="265"/>
      <c r="T435" s="265"/>
    </row>
    <row r="436" spans="1:23" ht="27.75" customHeight="1">
      <c r="A436" s="204" t="str">
        <f>IF(ISBLANK(D436)," ",326-COUNTBLANK($D$5:D436))</f>
        <v xml:space="preserve"> </v>
      </c>
      <c r="B436" s="202"/>
      <c r="C436" s="202"/>
      <c r="D436" s="202"/>
      <c r="E436" s="300"/>
      <c r="F436" s="210"/>
      <c r="G436" s="210"/>
      <c r="H436" s="203"/>
      <c r="I436" s="203"/>
      <c r="J436" s="203"/>
      <c r="K436" s="203"/>
      <c r="L436" s="203"/>
      <c r="M436" s="203"/>
      <c r="N436" s="203"/>
      <c r="O436" s="205"/>
      <c r="P436" s="291"/>
      <c r="Q436" s="265"/>
      <c r="R436" s="265"/>
      <c r="S436" s="265"/>
      <c r="T436" s="265"/>
    </row>
    <row r="437" spans="1:23" ht="27.75" customHeight="1">
      <c r="A437" s="204" t="str">
        <f>IF(ISBLANK(D437)," ",327-COUNTBLANK($D$5:D437))</f>
        <v xml:space="preserve"> </v>
      </c>
      <c r="B437" s="202"/>
      <c r="C437" s="202"/>
      <c r="D437" s="202"/>
      <c r="E437" s="300"/>
      <c r="F437" s="210"/>
      <c r="G437" s="210"/>
      <c r="H437" s="203"/>
      <c r="I437" s="203"/>
      <c r="J437" s="203"/>
      <c r="K437" s="203"/>
      <c r="L437" s="203"/>
      <c r="M437" s="203"/>
      <c r="N437" s="203"/>
      <c r="O437" s="205"/>
      <c r="P437" s="291"/>
      <c r="Q437" s="265"/>
      <c r="R437" s="265"/>
      <c r="S437" s="265"/>
      <c r="T437" s="265"/>
    </row>
    <row r="438" spans="1:23" ht="27.75" customHeight="1">
      <c r="A438" s="204" t="str">
        <f>IF(ISBLANK(D438)," ",328-COUNTBLANK($D$5:D438))</f>
        <v xml:space="preserve"> </v>
      </c>
      <c r="B438" s="202"/>
      <c r="C438" s="202"/>
      <c r="D438" s="202"/>
      <c r="E438" s="300"/>
      <c r="F438" s="210"/>
      <c r="G438" s="210"/>
      <c r="H438" s="203"/>
      <c r="I438" s="203"/>
      <c r="J438" s="203"/>
      <c r="K438" s="203"/>
      <c r="L438" s="203"/>
      <c r="M438" s="203"/>
      <c r="N438" s="203"/>
      <c r="O438" s="205"/>
      <c r="P438" s="291"/>
      <c r="Q438" s="265"/>
      <c r="R438" s="265"/>
      <c r="S438" s="265"/>
      <c r="T438" s="265"/>
    </row>
    <row r="439" spans="1:23" ht="27.75" customHeight="1">
      <c r="A439" s="204" t="str">
        <f>IF(ISBLANK(D439)," ",329-COUNTBLANK($D$5:D439))</f>
        <v xml:space="preserve"> </v>
      </c>
      <c r="B439" s="202"/>
      <c r="C439" s="202"/>
      <c r="D439" s="202"/>
      <c r="E439" s="300"/>
      <c r="F439" s="210"/>
      <c r="G439" s="210"/>
      <c r="H439" s="203"/>
      <c r="I439" s="203"/>
      <c r="J439" s="203"/>
      <c r="K439" s="203"/>
      <c r="L439" s="203"/>
      <c r="M439" s="203"/>
      <c r="N439" s="203"/>
      <c r="O439" s="205"/>
      <c r="P439" s="291"/>
      <c r="Q439" s="265"/>
      <c r="R439" s="265"/>
      <c r="S439" s="265"/>
      <c r="T439" s="265"/>
    </row>
    <row r="440" spans="1:23" ht="27.75" customHeight="1">
      <c r="A440" s="204" t="str">
        <f>IF(ISBLANK(D440)," ",330-COUNTBLANK($D$5:D440))</f>
        <v xml:space="preserve"> </v>
      </c>
      <c r="B440" s="202"/>
      <c r="C440" s="202"/>
      <c r="D440" s="202"/>
      <c r="E440" s="300"/>
      <c r="F440" s="210"/>
      <c r="G440" s="210"/>
      <c r="H440" s="203"/>
      <c r="I440" s="203"/>
      <c r="J440" s="203"/>
      <c r="K440" s="203"/>
      <c r="L440" s="203"/>
      <c r="M440" s="203"/>
      <c r="N440" s="203"/>
      <c r="O440" s="205"/>
      <c r="P440" s="291"/>
      <c r="Q440" s="265"/>
      <c r="R440" s="265"/>
      <c r="S440" s="265"/>
      <c r="T440" s="265"/>
    </row>
    <row r="441" spans="1:23" ht="27.75" customHeight="1">
      <c r="A441" s="204" t="str">
        <f>IF(ISBLANK(D441)," ",331-COUNTBLANK($D$5:D441))</f>
        <v xml:space="preserve"> </v>
      </c>
      <c r="B441" s="202"/>
      <c r="C441" s="202"/>
      <c r="D441" s="202"/>
      <c r="E441" s="300"/>
      <c r="F441" s="210"/>
      <c r="G441" s="210"/>
      <c r="H441" s="203"/>
      <c r="I441" s="203"/>
      <c r="J441" s="203"/>
      <c r="K441" s="203"/>
      <c r="L441" s="203"/>
      <c r="M441" s="203"/>
      <c r="N441" s="203"/>
      <c r="O441" s="205"/>
      <c r="P441" s="291"/>
      <c r="Q441" s="265"/>
      <c r="R441" s="265"/>
      <c r="S441" s="265"/>
      <c r="T441" s="265"/>
    </row>
    <row r="442" spans="1:23" ht="27.75" customHeight="1">
      <c r="A442" s="204" t="str">
        <f>IF(ISBLANK(D442)," ",332-COUNTBLANK($D$5:D442))</f>
        <v xml:space="preserve"> </v>
      </c>
      <c r="B442" s="202"/>
      <c r="C442" s="202"/>
      <c r="D442" s="202"/>
      <c r="E442" s="300"/>
      <c r="F442" s="210"/>
      <c r="G442" s="210"/>
      <c r="H442" s="203"/>
      <c r="I442" s="203"/>
      <c r="J442" s="203"/>
      <c r="K442" s="203"/>
      <c r="L442" s="203"/>
      <c r="M442" s="203"/>
      <c r="N442" s="203"/>
      <c r="O442" s="205"/>
      <c r="P442" s="291"/>
      <c r="Q442" s="265"/>
      <c r="R442" s="265"/>
      <c r="S442" s="265"/>
      <c r="T442" s="265"/>
    </row>
    <row r="443" spans="1:23" ht="27.75" customHeight="1">
      <c r="A443" s="204" t="str">
        <f>IF(ISBLANK(D443)," ",333-COUNTBLANK($D$5:D443))</f>
        <v xml:space="preserve"> </v>
      </c>
      <c r="B443" s="202"/>
      <c r="C443" s="202"/>
      <c r="D443" s="202"/>
      <c r="E443" s="300"/>
      <c r="F443" s="210"/>
      <c r="G443" s="210"/>
      <c r="H443" s="203"/>
      <c r="I443" s="203"/>
      <c r="J443" s="203"/>
      <c r="K443" s="203"/>
      <c r="L443" s="203"/>
      <c r="M443" s="203"/>
      <c r="N443" s="203"/>
      <c r="O443" s="205"/>
      <c r="P443" s="291"/>
      <c r="Q443" s="265"/>
      <c r="R443" s="265"/>
      <c r="S443" s="265"/>
      <c r="T443" s="265"/>
    </row>
    <row r="444" spans="1:23" ht="27.75" customHeight="1">
      <c r="A444" s="204" t="str">
        <f>IF(ISBLANK(D444)," ",334-COUNTBLANK($D$5:D444))</f>
        <v xml:space="preserve"> </v>
      </c>
      <c r="B444" s="202"/>
      <c r="C444" s="202"/>
      <c r="D444" s="202"/>
      <c r="E444" s="300"/>
      <c r="F444" s="210"/>
      <c r="G444" s="210"/>
      <c r="H444" s="203"/>
      <c r="I444" s="203"/>
      <c r="J444" s="203"/>
      <c r="K444" s="203"/>
      <c r="L444" s="203"/>
      <c r="M444" s="203"/>
      <c r="N444" s="203"/>
      <c r="O444" s="205"/>
      <c r="P444" s="291"/>
      <c r="Q444" s="265"/>
      <c r="R444" s="265"/>
      <c r="S444" s="265"/>
      <c r="T444" s="267"/>
    </row>
    <row r="445" spans="1:23" ht="27.75" customHeight="1">
      <c r="A445" s="204" t="str">
        <f>IF(ISBLANK(D445)," ",335-COUNTBLANK($D$5:D445))</f>
        <v xml:space="preserve"> </v>
      </c>
      <c r="B445" s="202"/>
      <c r="C445" s="202"/>
      <c r="D445" s="202"/>
      <c r="E445" s="300"/>
      <c r="F445" s="210"/>
      <c r="G445" s="210"/>
      <c r="H445" s="203"/>
      <c r="I445" s="203"/>
      <c r="J445" s="203"/>
      <c r="K445" s="203"/>
      <c r="L445" s="203"/>
      <c r="M445" s="203"/>
      <c r="N445" s="203"/>
      <c r="O445" s="205"/>
      <c r="P445" s="291"/>
      <c r="Q445" s="265"/>
      <c r="R445" s="265"/>
      <c r="S445" s="265"/>
      <c r="T445" s="267"/>
    </row>
    <row r="446" spans="1:23" ht="27.75" customHeight="1">
      <c r="A446" s="204" t="s">
        <v>52</v>
      </c>
      <c r="B446" s="202"/>
      <c r="C446" s="202"/>
      <c r="D446" s="202"/>
      <c r="E446" s="300"/>
      <c r="F446" s="210">
        <f>SUM(F426:F445)</f>
        <v>0</v>
      </c>
      <c r="G446" s="210"/>
      <c r="H446" s="203"/>
      <c r="I446" s="203"/>
      <c r="J446" s="203"/>
      <c r="K446" s="203"/>
      <c r="L446" s="203"/>
      <c r="M446" s="203"/>
      <c r="N446" s="203"/>
      <c r="O446" s="205"/>
      <c r="P446" s="291"/>
      <c r="Q446" s="265"/>
      <c r="R446" s="265"/>
      <c r="S446" s="265"/>
      <c r="T446" s="267"/>
    </row>
    <row r="447" spans="1:23" ht="27.75" customHeight="1">
      <c r="A447" s="204" t="str">
        <f>IF(ISBLANK(D447)," ",337-COUNTBLANK($D$5:D447))</f>
        <v xml:space="preserve"> </v>
      </c>
      <c r="B447" s="202"/>
      <c r="C447" s="202"/>
      <c r="D447" s="202"/>
      <c r="E447" s="300"/>
      <c r="F447" s="210"/>
      <c r="G447" s="210"/>
      <c r="H447" s="203"/>
      <c r="I447" s="203"/>
      <c r="J447" s="203"/>
      <c r="K447" s="203"/>
      <c r="L447" s="203"/>
      <c r="M447" s="203"/>
      <c r="N447" s="203"/>
      <c r="O447" s="205"/>
      <c r="P447" s="291"/>
      <c r="Q447" s="265"/>
      <c r="R447" s="265"/>
      <c r="S447" s="265"/>
      <c r="T447" s="267"/>
    </row>
    <row r="448" spans="1:23" ht="27.75" customHeight="1">
      <c r="A448" s="304" t="str">
        <f>IF(ISBLANK(D448)," ",338-COUNTBLANK($D$5:D448))</f>
        <v xml:space="preserve"> </v>
      </c>
      <c r="B448" s="296"/>
      <c r="C448" s="305"/>
      <c r="D448" s="306"/>
      <c r="E448" s="297"/>
      <c r="F448" s="298"/>
      <c r="G448" s="298"/>
      <c r="H448" s="282"/>
      <c r="I448" s="282"/>
      <c r="J448" s="282"/>
      <c r="K448" s="282"/>
      <c r="L448" s="282"/>
      <c r="M448" s="282"/>
      <c r="N448" s="282"/>
      <c r="O448" s="283"/>
      <c r="P448" s="303"/>
      <c r="Q448" s="265"/>
      <c r="R448" s="265"/>
      <c r="S448" s="265"/>
      <c r="T448" s="284"/>
      <c r="U448" s="265"/>
      <c r="V448" s="265"/>
      <c r="W448" s="265"/>
    </row>
    <row r="449" spans="1:23" ht="27.75" customHeight="1">
      <c r="A449" s="260" t="str">
        <f>IF(ISBLANK(D449)," ",339-COUNTBLANK($D$5:D449))</f>
        <v xml:space="preserve"> </v>
      </c>
      <c r="B449" s="200"/>
      <c r="C449" s="200"/>
      <c r="D449" s="200"/>
      <c r="E449" s="299"/>
      <c r="F449" s="209"/>
      <c r="G449" s="209"/>
      <c r="H449" s="201"/>
      <c r="I449" s="201"/>
      <c r="J449" s="201"/>
      <c r="K449" s="201"/>
      <c r="L449" s="201"/>
      <c r="M449" s="201"/>
      <c r="N449" s="201"/>
      <c r="O449" s="262"/>
      <c r="P449" s="291"/>
      <c r="Q449" s="265"/>
      <c r="R449" s="265"/>
      <c r="S449" s="265"/>
      <c r="T449" s="284"/>
      <c r="U449" s="265"/>
      <c r="V449" s="265"/>
      <c r="W449" s="265"/>
    </row>
    <row r="450" spans="1:23" ht="27.75" customHeight="1">
      <c r="A450" s="204" t="str">
        <f>IF(ISBLANK(D450)," ",340-COUNTBLANK($D$5:D450))</f>
        <v xml:space="preserve"> </v>
      </c>
      <c r="B450" s="202"/>
      <c r="C450" s="202"/>
      <c r="D450" s="202"/>
      <c r="E450" s="300"/>
      <c r="F450" s="210"/>
      <c r="G450" s="210"/>
      <c r="H450" s="203"/>
      <c r="I450" s="203"/>
      <c r="J450" s="203"/>
      <c r="K450" s="203"/>
      <c r="L450" s="203"/>
      <c r="M450" s="203"/>
      <c r="N450" s="203"/>
      <c r="O450" s="205"/>
      <c r="P450" s="291"/>
      <c r="Q450" s="265"/>
      <c r="R450" s="265"/>
      <c r="S450" s="265"/>
      <c r="T450" s="265"/>
    </row>
    <row r="451" spans="1:23" ht="27.75" customHeight="1">
      <c r="A451" s="204" t="str">
        <f>IF(ISBLANK(D451)," ",341-COUNTBLANK($D$5:D451))</f>
        <v xml:space="preserve"> </v>
      </c>
      <c r="B451" s="202"/>
      <c r="C451" s="202"/>
      <c r="D451" s="202"/>
      <c r="E451" s="300"/>
      <c r="F451" s="210"/>
      <c r="G451" s="210"/>
      <c r="H451" s="203"/>
      <c r="I451" s="203"/>
      <c r="J451" s="203"/>
      <c r="K451" s="203"/>
      <c r="L451" s="203"/>
      <c r="M451" s="203"/>
      <c r="N451" s="203"/>
      <c r="O451" s="205"/>
      <c r="P451" s="291"/>
      <c r="Q451" s="265"/>
      <c r="R451" s="265"/>
      <c r="S451" s="265"/>
      <c r="T451" s="265"/>
    </row>
    <row r="452" spans="1:23" ht="27.75" customHeight="1">
      <c r="A452" s="204" t="str">
        <f>IF(ISBLANK(D452)," ",342-COUNTBLANK($D$5:D452))</f>
        <v xml:space="preserve"> </v>
      </c>
      <c r="B452" s="202"/>
      <c r="C452" s="202"/>
      <c r="D452" s="202"/>
      <c r="E452" s="300"/>
      <c r="F452" s="210"/>
      <c r="G452" s="210"/>
      <c r="H452" s="203"/>
      <c r="I452" s="203"/>
      <c r="J452" s="203"/>
      <c r="K452" s="203"/>
      <c r="L452" s="203"/>
      <c r="M452" s="203"/>
      <c r="N452" s="203"/>
      <c r="O452" s="205"/>
      <c r="P452" s="291"/>
      <c r="Q452" s="265"/>
      <c r="R452" s="265"/>
      <c r="S452" s="265"/>
      <c r="T452" s="265"/>
    </row>
    <row r="453" spans="1:23" ht="27.75" customHeight="1">
      <c r="A453" s="204" t="str">
        <f>IF(ISBLANK(D453)," ",343-COUNTBLANK($D$5:D453))</f>
        <v xml:space="preserve"> </v>
      </c>
      <c r="B453" s="202"/>
      <c r="C453" s="202"/>
      <c r="D453" s="202"/>
      <c r="E453" s="300"/>
      <c r="F453" s="210"/>
      <c r="G453" s="210"/>
      <c r="H453" s="203"/>
      <c r="I453" s="203"/>
      <c r="J453" s="203"/>
      <c r="K453" s="203"/>
      <c r="L453" s="203"/>
      <c r="M453" s="203"/>
      <c r="N453" s="203"/>
      <c r="O453" s="205"/>
      <c r="P453" s="291"/>
      <c r="Q453" s="265"/>
      <c r="R453" s="265"/>
      <c r="S453" s="265"/>
      <c r="T453" s="265"/>
    </row>
    <row r="454" spans="1:23" ht="27.75" customHeight="1">
      <c r="A454" s="204" t="str">
        <f>IF(ISBLANK(D454)," ",344-COUNTBLANK($D$5:D454))</f>
        <v xml:space="preserve"> </v>
      </c>
      <c r="B454" s="202"/>
      <c r="C454" s="202"/>
      <c r="D454" s="202"/>
      <c r="E454" s="300"/>
      <c r="F454" s="210"/>
      <c r="G454" s="210"/>
      <c r="H454" s="203"/>
      <c r="I454" s="203"/>
      <c r="J454" s="203"/>
      <c r="K454" s="203"/>
      <c r="L454" s="203"/>
      <c r="M454" s="203"/>
      <c r="N454" s="203"/>
      <c r="O454" s="205"/>
      <c r="P454" s="291"/>
      <c r="Q454" s="265"/>
      <c r="R454" s="265"/>
      <c r="S454" s="265"/>
      <c r="T454" s="265"/>
    </row>
    <row r="455" spans="1:23" ht="27.75" customHeight="1">
      <c r="A455" s="204" t="str">
        <f>IF(ISBLANK(D455)," ",345-COUNTBLANK($D$5:D455))</f>
        <v xml:space="preserve"> </v>
      </c>
      <c r="B455" s="202"/>
      <c r="C455" s="202"/>
      <c r="D455" s="202"/>
      <c r="E455" s="300"/>
      <c r="F455" s="210"/>
      <c r="G455" s="210"/>
      <c r="H455" s="203"/>
      <c r="I455" s="203"/>
      <c r="J455" s="203"/>
      <c r="K455" s="203"/>
      <c r="L455" s="203"/>
      <c r="M455" s="203"/>
      <c r="N455" s="203"/>
      <c r="O455" s="205"/>
      <c r="P455" s="291"/>
      <c r="Q455" s="265"/>
      <c r="R455" s="265"/>
      <c r="S455" s="265"/>
      <c r="T455" s="265"/>
    </row>
    <row r="456" spans="1:23" ht="27.75" customHeight="1">
      <c r="A456" s="204" t="str">
        <f>IF(ISBLANK(D456)," ",346-COUNTBLANK($D$5:D456))</f>
        <v xml:space="preserve"> </v>
      </c>
      <c r="B456" s="202"/>
      <c r="C456" s="202"/>
      <c r="D456" s="202"/>
      <c r="E456" s="300"/>
      <c r="F456" s="210"/>
      <c r="G456" s="210"/>
      <c r="H456" s="203"/>
      <c r="I456" s="203"/>
      <c r="J456" s="203"/>
      <c r="K456" s="203"/>
      <c r="L456" s="203"/>
      <c r="M456" s="203"/>
      <c r="N456" s="203"/>
      <c r="O456" s="205"/>
      <c r="P456" s="291"/>
      <c r="Q456" s="265"/>
      <c r="R456" s="265"/>
      <c r="S456" s="265"/>
      <c r="T456" s="265"/>
    </row>
    <row r="457" spans="1:23" ht="27.75" customHeight="1">
      <c r="A457" s="204" t="str">
        <f>IF(ISBLANK(D457)," ",347-COUNTBLANK($D$5:D457))</f>
        <v xml:space="preserve"> </v>
      </c>
      <c r="B457" s="202"/>
      <c r="C457" s="202"/>
      <c r="D457" s="202"/>
      <c r="E457" s="300"/>
      <c r="F457" s="210"/>
      <c r="G457" s="210"/>
      <c r="H457" s="203"/>
      <c r="I457" s="203"/>
      <c r="J457" s="203"/>
      <c r="K457" s="203"/>
      <c r="L457" s="203"/>
      <c r="M457" s="203"/>
      <c r="N457" s="203"/>
      <c r="O457" s="205"/>
      <c r="P457" s="291"/>
      <c r="Q457" s="265"/>
      <c r="R457" s="265"/>
      <c r="S457" s="265"/>
      <c r="T457" s="265"/>
    </row>
    <row r="458" spans="1:23" ht="27.75" customHeight="1">
      <c r="A458" s="204" t="str">
        <f>IF(ISBLANK(D458)," ",348-COUNTBLANK($D$5:D458))</f>
        <v xml:space="preserve"> </v>
      </c>
      <c r="B458" s="202"/>
      <c r="C458" s="202"/>
      <c r="D458" s="202"/>
      <c r="E458" s="300"/>
      <c r="F458" s="210"/>
      <c r="G458" s="210"/>
      <c r="H458" s="203"/>
      <c r="I458" s="203"/>
      <c r="J458" s="203"/>
      <c r="K458" s="203"/>
      <c r="L458" s="203"/>
      <c r="M458" s="203"/>
      <c r="N458" s="203"/>
      <c r="O458" s="205"/>
      <c r="P458" s="291"/>
      <c r="Q458" s="265"/>
      <c r="R458" s="265"/>
      <c r="S458" s="265"/>
      <c r="T458" s="265"/>
    </row>
    <row r="459" spans="1:23" ht="27.75" customHeight="1">
      <c r="A459" s="204" t="str">
        <f>IF(ISBLANK(D459)," ",349-COUNTBLANK($D$5:D459))</f>
        <v xml:space="preserve"> </v>
      </c>
      <c r="B459" s="202"/>
      <c r="C459" s="202"/>
      <c r="D459" s="202"/>
      <c r="E459" s="300"/>
      <c r="F459" s="210"/>
      <c r="G459" s="210"/>
      <c r="H459" s="203"/>
      <c r="I459" s="203"/>
      <c r="J459" s="203"/>
      <c r="K459" s="203"/>
      <c r="L459" s="203"/>
      <c r="M459" s="203"/>
      <c r="N459" s="203"/>
      <c r="O459" s="205"/>
      <c r="P459" s="291"/>
      <c r="Q459" s="265"/>
      <c r="R459" s="265"/>
      <c r="S459" s="265"/>
      <c r="T459" s="265"/>
    </row>
    <row r="460" spans="1:23" ht="27.75" customHeight="1">
      <c r="A460" s="204" t="str">
        <f>IF(ISBLANK(D460)," ",350-COUNTBLANK($D$5:D460))</f>
        <v xml:space="preserve"> </v>
      </c>
      <c r="B460" s="202"/>
      <c r="C460" s="202"/>
      <c r="D460" s="202"/>
      <c r="E460" s="300"/>
      <c r="F460" s="210"/>
      <c r="G460" s="210"/>
      <c r="H460" s="203"/>
      <c r="I460" s="203"/>
      <c r="J460" s="203"/>
      <c r="K460" s="203"/>
      <c r="L460" s="203"/>
      <c r="M460" s="203"/>
      <c r="N460" s="203"/>
      <c r="O460" s="205"/>
      <c r="P460" s="291"/>
      <c r="Q460" s="265"/>
      <c r="R460" s="265"/>
      <c r="S460" s="265"/>
      <c r="T460" s="265"/>
    </row>
    <row r="461" spans="1:23" ht="27.75" customHeight="1">
      <c r="A461" s="204" t="str">
        <f>IF(ISBLANK(D461)," ",351-COUNTBLANK($D$5:D461))</f>
        <v xml:space="preserve"> </v>
      </c>
      <c r="B461" s="202"/>
      <c r="C461" s="202"/>
      <c r="D461" s="202"/>
      <c r="E461" s="300"/>
      <c r="F461" s="210"/>
      <c r="G461" s="210"/>
      <c r="H461" s="203"/>
      <c r="I461" s="203"/>
      <c r="J461" s="203"/>
      <c r="K461" s="203"/>
      <c r="L461" s="203"/>
      <c r="M461" s="203"/>
      <c r="N461" s="203"/>
      <c r="O461" s="205"/>
      <c r="P461" s="291"/>
      <c r="Q461" s="265"/>
      <c r="R461" s="265"/>
      <c r="S461" s="265"/>
      <c r="T461" s="265"/>
    </row>
    <row r="462" spans="1:23" ht="27.75" customHeight="1">
      <c r="A462" s="204" t="str">
        <f>IF(ISBLANK(D462)," ",352-COUNTBLANK($D$5:D462))</f>
        <v xml:space="preserve"> </v>
      </c>
      <c r="B462" s="202"/>
      <c r="C462" s="202"/>
      <c r="D462" s="202"/>
      <c r="E462" s="300"/>
      <c r="F462" s="210"/>
      <c r="G462" s="210"/>
      <c r="H462" s="203"/>
      <c r="I462" s="203"/>
      <c r="J462" s="203"/>
      <c r="K462" s="203"/>
      <c r="L462" s="203"/>
      <c r="M462" s="203"/>
      <c r="N462" s="203"/>
      <c r="O462" s="205"/>
      <c r="P462" s="291"/>
      <c r="Q462" s="265"/>
      <c r="R462" s="265"/>
      <c r="S462" s="265"/>
      <c r="T462" s="265"/>
    </row>
    <row r="463" spans="1:23" ht="27.75" customHeight="1">
      <c r="A463" s="204" t="str">
        <f>IF(ISBLANK(D463)," ",353-COUNTBLANK($D$5:D463))</f>
        <v xml:space="preserve"> </v>
      </c>
      <c r="B463" s="202"/>
      <c r="C463" s="202"/>
      <c r="D463" s="202"/>
      <c r="E463" s="300"/>
      <c r="F463" s="210"/>
      <c r="G463" s="210"/>
      <c r="H463" s="203"/>
      <c r="I463" s="203"/>
      <c r="J463" s="203"/>
      <c r="K463" s="203"/>
      <c r="L463" s="203"/>
      <c r="M463" s="203"/>
      <c r="N463" s="203"/>
      <c r="O463" s="205"/>
      <c r="P463" s="291"/>
      <c r="Q463" s="265"/>
      <c r="R463" s="265"/>
      <c r="S463" s="265"/>
      <c r="T463" s="265"/>
    </row>
    <row r="464" spans="1:23" ht="27.75" customHeight="1">
      <c r="A464" s="204" t="str">
        <f>IF(ISBLANK(D464)," ",354-COUNTBLANK($D$5:D464))</f>
        <v xml:space="preserve"> </v>
      </c>
      <c r="B464" s="202"/>
      <c r="C464" s="202"/>
      <c r="D464" s="202"/>
      <c r="E464" s="300"/>
      <c r="F464" s="210"/>
      <c r="G464" s="210"/>
      <c r="H464" s="203"/>
      <c r="I464" s="203"/>
      <c r="J464" s="203"/>
      <c r="K464" s="203"/>
      <c r="L464" s="203"/>
      <c r="M464" s="203"/>
      <c r="N464" s="203"/>
      <c r="O464" s="205"/>
      <c r="P464" s="291"/>
      <c r="Q464" s="265"/>
      <c r="R464" s="265"/>
      <c r="S464" s="265"/>
      <c r="T464" s="265"/>
    </row>
    <row r="465" spans="1:23" ht="27.75" customHeight="1">
      <c r="A465" s="204" t="str">
        <f>IF(ISBLANK(D465)," ",355-COUNTBLANK($D$5:D465))</f>
        <v xml:space="preserve"> </v>
      </c>
      <c r="B465" s="202"/>
      <c r="C465" s="202"/>
      <c r="D465" s="202"/>
      <c r="E465" s="300"/>
      <c r="F465" s="210"/>
      <c r="G465" s="210"/>
      <c r="H465" s="203"/>
      <c r="I465" s="203"/>
      <c r="J465" s="203"/>
      <c r="K465" s="203"/>
      <c r="L465" s="203"/>
      <c r="M465" s="203"/>
      <c r="N465" s="203"/>
      <c r="O465" s="205"/>
      <c r="P465" s="291"/>
      <c r="Q465" s="265"/>
      <c r="R465" s="265"/>
      <c r="S465" s="265"/>
      <c r="T465" s="267"/>
    </row>
    <row r="466" spans="1:23" ht="27.75" customHeight="1">
      <c r="A466" s="204" t="str">
        <f>IF(ISBLANK(D466)," ",356-COUNTBLANK($D$5:D466))</f>
        <v xml:space="preserve"> </v>
      </c>
      <c r="B466" s="202"/>
      <c r="C466" s="202"/>
      <c r="D466" s="202"/>
      <c r="E466" s="300"/>
      <c r="F466" s="210"/>
      <c r="G466" s="210"/>
      <c r="H466" s="203"/>
      <c r="I466" s="203"/>
      <c r="J466" s="203"/>
      <c r="K466" s="203"/>
      <c r="L466" s="203"/>
      <c r="M466" s="203"/>
      <c r="N466" s="203"/>
      <c r="O466" s="205"/>
      <c r="P466" s="291"/>
      <c r="Q466" s="265"/>
      <c r="R466" s="265"/>
      <c r="S466" s="265"/>
      <c r="T466" s="267"/>
    </row>
    <row r="467" spans="1:23" ht="27.75" customHeight="1">
      <c r="A467" s="204" t="s">
        <v>52</v>
      </c>
      <c r="B467" s="202"/>
      <c r="C467" s="202"/>
      <c r="D467" s="202"/>
      <c r="E467" s="300"/>
      <c r="F467" s="210">
        <f>SUM(F447:F466)</f>
        <v>0</v>
      </c>
      <c r="G467" s="210"/>
      <c r="H467" s="203"/>
      <c r="I467" s="203"/>
      <c r="J467" s="203"/>
      <c r="K467" s="203"/>
      <c r="L467" s="203"/>
      <c r="M467" s="203"/>
      <c r="N467" s="203"/>
      <c r="O467" s="205"/>
      <c r="P467" s="291"/>
      <c r="Q467" s="265"/>
      <c r="R467" s="265"/>
      <c r="S467" s="265"/>
      <c r="T467" s="267"/>
    </row>
    <row r="468" spans="1:23" ht="27.75" customHeight="1">
      <c r="A468" s="204" t="str">
        <f>IF(ISBLANK(D468)," ",358-COUNTBLANK($D$5:D468))</f>
        <v xml:space="preserve"> </v>
      </c>
      <c r="B468" s="202"/>
      <c r="C468" s="202"/>
      <c r="D468" s="202"/>
      <c r="E468" s="300"/>
      <c r="F468" s="210"/>
      <c r="G468" s="210"/>
      <c r="H468" s="203"/>
      <c r="I468" s="203"/>
      <c r="J468" s="203"/>
      <c r="K468" s="203"/>
      <c r="L468" s="203"/>
      <c r="M468" s="203"/>
      <c r="N468" s="203"/>
      <c r="O468" s="205"/>
      <c r="P468" s="291"/>
      <c r="Q468" s="265"/>
      <c r="R468" s="265"/>
      <c r="S468" s="265"/>
      <c r="T468" s="267"/>
    </row>
    <row r="469" spans="1:23" ht="27.75" customHeight="1">
      <c r="A469" s="304" t="str">
        <f>IF(ISBLANK(D469)," ",359-COUNTBLANK($D$5:D469))</f>
        <v xml:space="preserve"> </v>
      </c>
      <c r="B469" s="296"/>
      <c r="C469" s="305"/>
      <c r="D469" s="306"/>
      <c r="E469" s="297"/>
      <c r="F469" s="298"/>
      <c r="G469" s="298"/>
      <c r="H469" s="282"/>
      <c r="I469" s="282"/>
      <c r="J469" s="282"/>
      <c r="K469" s="282"/>
      <c r="L469" s="282"/>
      <c r="M469" s="282"/>
      <c r="N469" s="282"/>
      <c r="O469" s="283"/>
      <c r="P469" s="303"/>
      <c r="Q469" s="265"/>
      <c r="R469" s="265"/>
      <c r="S469" s="265"/>
      <c r="T469" s="284"/>
      <c r="U469" s="265"/>
      <c r="V469" s="265"/>
      <c r="W469" s="265"/>
    </row>
    <row r="470" spans="1:23" ht="27.75" customHeight="1">
      <c r="A470" s="260" t="str">
        <f>IF(ISBLANK(D470)," ",360-COUNTBLANK($D$5:D470))</f>
        <v xml:space="preserve"> </v>
      </c>
      <c r="B470" s="200"/>
      <c r="C470" s="200"/>
      <c r="D470" s="200"/>
      <c r="E470" s="299"/>
      <c r="F470" s="209"/>
      <c r="G470" s="209"/>
      <c r="H470" s="201"/>
      <c r="I470" s="201"/>
      <c r="J470" s="201"/>
      <c r="K470" s="201"/>
      <c r="L470" s="201"/>
      <c r="M470" s="201"/>
      <c r="N470" s="201"/>
      <c r="O470" s="262"/>
      <c r="P470" s="291"/>
      <c r="Q470" s="265"/>
      <c r="R470" s="265"/>
      <c r="S470" s="265"/>
      <c r="T470" s="284"/>
      <c r="U470" s="265"/>
      <c r="V470" s="265"/>
      <c r="W470" s="265"/>
    </row>
    <row r="471" spans="1:23" ht="27.75" customHeight="1">
      <c r="A471" s="204" t="str">
        <f>IF(ISBLANK(D471)," ",361-COUNTBLANK($D$5:D471))</f>
        <v xml:space="preserve"> </v>
      </c>
      <c r="B471" s="202"/>
      <c r="C471" s="202"/>
      <c r="D471" s="202"/>
      <c r="E471" s="300"/>
      <c r="F471" s="210"/>
      <c r="G471" s="210"/>
      <c r="H471" s="203"/>
      <c r="I471" s="203"/>
      <c r="J471" s="203"/>
      <c r="K471" s="203"/>
      <c r="L471" s="203"/>
      <c r="M471" s="203"/>
      <c r="N471" s="203"/>
      <c r="O471" s="205"/>
      <c r="P471" s="291"/>
      <c r="Q471" s="265"/>
      <c r="R471" s="265"/>
      <c r="S471" s="265"/>
      <c r="T471" s="265"/>
    </row>
    <row r="472" spans="1:23" ht="27.75" customHeight="1">
      <c r="A472" s="204" t="str">
        <f>IF(ISBLANK(D472)," ",362-COUNTBLANK($D$5:D472))</f>
        <v xml:space="preserve"> </v>
      </c>
      <c r="B472" s="202"/>
      <c r="C472" s="202"/>
      <c r="D472" s="202"/>
      <c r="E472" s="300"/>
      <c r="F472" s="210"/>
      <c r="G472" s="210"/>
      <c r="H472" s="203"/>
      <c r="I472" s="203"/>
      <c r="J472" s="203"/>
      <c r="K472" s="203"/>
      <c r="L472" s="203"/>
      <c r="M472" s="203"/>
      <c r="N472" s="203"/>
      <c r="O472" s="205"/>
      <c r="P472" s="291"/>
      <c r="Q472" s="265"/>
      <c r="R472" s="265"/>
      <c r="S472" s="265"/>
      <c r="T472" s="265"/>
    </row>
    <row r="473" spans="1:23" ht="27.75" customHeight="1">
      <c r="A473" s="204" t="str">
        <f>IF(ISBLANK(D473)," ",363-COUNTBLANK($D$5:D473))</f>
        <v xml:space="preserve"> </v>
      </c>
      <c r="B473" s="202"/>
      <c r="C473" s="202"/>
      <c r="D473" s="202"/>
      <c r="E473" s="300"/>
      <c r="F473" s="210"/>
      <c r="G473" s="210"/>
      <c r="H473" s="203"/>
      <c r="I473" s="203"/>
      <c r="J473" s="203"/>
      <c r="K473" s="203"/>
      <c r="L473" s="203"/>
      <c r="M473" s="203"/>
      <c r="N473" s="203"/>
      <c r="O473" s="205"/>
      <c r="P473" s="291"/>
      <c r="Q473" s="265"/>
      <c r="R473" s="265"/>
      <c r="S473" s="265"/>
      <c r="T473" s="265"/>
    </row>
    <row r="474" spans="1:23" ht="27.75" customHeight="1">
      <c r="A474" s="204" t="str">
        <f>IF(ISBLANK(D474)," ",364-COUNTBLANK($D$5:D474))</f>
        <v xml:space="preserve"> </v>
      </c>
      <c r="B474" s="202"/>
      <c r="C474" s="202"/>
      <c r="D474" s="202"/>
      <c r="E474" s="300"/>
      <c r="F474" s="210"/>
      <c r="G474" s="210"/>
      <c r="H474" s="203"/>
      <c r="I474" s="203"/>
      <c r="J474" s="203"/>
      <c r="K474" s="203"/>
      <c r="L474" s="203"/>
      <c r="M474" s="203"/>
      <c r="N474" s="203"/>
      <c r="O474" s="205"/>
      <c r="P474" s="291"/>
      <c r="Q474" s="265"/>
      <c r="R474" s="265"/>
      <c r="S474" s="265"/>
      <c r="T474" s="265"/>
    </row>
    <row r="475" spans="1:23" ht="27.75" customHeight="1">
      <c r="A475" s="204" t="str">
        <f>IF(ISBLANK(D475)," ",365-COUNTBLANK($D$5:D475))</f>
        <v xml:space="preserve"> </v>
      </c>
      <c r="B475" s="202"/>
      <c r="C475" s="202"/>
      <c r="D475" s="202"/>
      <c r="E475" s="300"/>
      <c r="F475" s="210"/>
      <c r="G475" s="210"/>
      <c r="H475" s="203"/>
      <c r="I475" s="203"/>
      <c r="J475" s="203"/>
      <c r="K475" s="203"/>
      <c r="L475" s="203"/>
      <c r="M475" s="203"/>
      <c r="N475" s="203"/>
      <c r="O475" s="205"/>
      <c r="P475" s="291"/>
      <c r="Q475" s="265"/>
      <c r="R475" s="265"/>
      <c r="S475" s="265"/>
      <c r="T475" s="265"/>
    </row>
    <row r="476" spans="1:23" ht="27.75" customHeight="1">
      <c r="A476" s="204" t="str">
        <f>IF(ISBLANK(D476)," ",366-COUNTBLANK($D$5:D476))</f>
        <v xml:space="preserve"> </v>
      </c>
      <c r="B476" s="202"/>
      <c r="C476" s="202"/>
      <c r="D476" s="202"/>
      <c r="E476" s="300"/>
      <c r="F476" s="210"/>
      <c r="G476" s="210"/>
      <c r="H476" s="203"/>
      <c r="I476" s="203"/>
      <c r="J476" s="203"/>
      <c r="K476" s="203"/>
      <c r="L476" s="203"/>
      <c r="M476" s="203"/>
      <c r="N476" s="203"/>
      <c r="O476" s="205"/>
      <c r="P476" s="291"/>
      <c r="Q476" s="265"/>
      <c r="R476" s="265"/>
      <c r="S476" s="265"/>
      <c r="T476" s="265"/>
    </row>
    <row r="477" spans="1:23" ht="27.75" customHeight="1">
      <c r="A477" s="204" t="str">
        <f>IF(ISBLANK(D477)," ",367-COUNTBLANK($D$5:D477))</f>
        <v xml:space="preserve"> </v>
      </c>
      <c r="B477" s="202"/>
      <c r="C477" s="202"/>
      <c r="D477" s="202"/>
      <c r="E477" s="300"/>
      <c r="F477" s="210"/>
      <c r="G477" s="210"/>
      <c r="H477" s="203"/>
      <c r="I477" s="203"/>
      <c r="J477" s="203"/>
      <c r="K477" s="203"/>
      <c r="L477" s="203"/>
      <c r="M477" s="203"/>
      <c r="N477" s="203"/>
      <c r="O477" s="205"/>
      <c r="P477" s="291"/>
      <c r="Q477" s="265"/>
      <c r="R477" s="265"/>
      <c r="S477" s="265"/>
      <c r="T477" s="265"/>
    </row>
    <row r="478" spans="1:23" ht="27.75" customHeight="1">
      <c r="A478" s="204" t="str">
        <f>IF(ISBLANK(D478)," ",368-COUNTBLANK($D$5:D478))</f>
        <v xml:space="preserve"> </v>
      </c>
      <c r="B478" s="202"/>
      <c r="C478" s="202"/>
      <c r="D478" s="202"/>
      <c r="E478" s="300"/>
      <c r="F478" s="210"/>
      <c r="G478" s="210"/>
      <c r="H478" s="203"/>
      <c r="I478" s="203"/>
      <c r="J478" s="203"/>
      <c r="K478" s="203"/>
      <c r="L478" s="203"/>
      <c r="M478" s="203"/>
      <c r="N478" s="203"/>
      <c r="O478" s="205"/>
      <c r="P478" s="291"/>
      <c r="Q478" s="265"/>
      <c r="R478" s="265"/>
      <c r="S478" s="265"/>
      <c r="T478" s="265"/>
    </row>
    <row r="479" spans="1:23" ht="27.75" customHeight="1">
      <c r="A479" s="204" t="str">
        <f>IF(ISBLANK(D479)," ",369-COUNTBLANK($D$5:D479))</f>
        <v xml:space="preserve"> </v>
      </c>
      <c r="B479" s="202"/>
      <c r="C479" s="202"/>
      <c r="D479" s="202"/>
      <c r="E479" s="300"/>
      <c r="F479" s="210"/>
      <c r="G479" s="210"/>
      <c r="H479" s="203"/>
      <c r="I479" s="203"/>
      <c r="J479" s="203"/>
      <c r="K479" s="203"/>
      <c r="L479" s="203"/>
      <c r="M479" s="203"/>
      <c r="N479" s="203"/>
      <c r="O479" s="205"/>
      <c r="P479" s="291"/>
      <c r="Q479" s="265"/>
      <c r="R479" s="265"/>
      <c r="S479" s="265"/>
      <c r="T479" s="265"/>
    </row>
    <row r="480" spans="1:23" ht="27.75" customHeight="1">
      <c r="A480" s="204" t="str">
        <f>IF(ISBLANK(D480)," ",370-COUNTBLANK($D$5:D480))</f>
        <v xml:space="preserve"> </v>
      </c>
      <c r="B480" s="202"/>
      <c r="C480" s="202"/>
      <c r="D480" s="202"/>
      <c r="E480" s="300"/>
      <c r="F480" s="210"/>
      <c r="G480" s="210"/>
      <c r="H480" s="203"/>
      <c r="I480" s="203"/>
      <c r="J480" s="203"/>
      <c r="K480" s="203"/>
      <c r="L480" s="203"/>
      <c r="M480" s="203"/>
      <c r="N480" s="203"/>
      <c r="O480" s="205"/>
      <c r="P480" s="291"/>
      <c r="Q480" s="265"/>
      <c r="R480" s="265"/>
      <c r="S480" s="265"/>
      <c r="T480" s="265"/>
    </row>
    <row r="481" spans="1:23" ht="27.75" customHeight="1">
      <c r="A481" s="204" t="str">
        <f>IF(ISBLANK(D481)," ",371-COUNTBLANK($D$5:D481))</f>
        <v xml:space="preserve"> </v>
      </c>
      <c r="B481" s="202"/>
      <c r="C481" s="202"/>
      <c r="D481" s="202"/>
      <c r="E481" s="300"/>
      <c r="F481" s="210"/>
      <c r="G481" s="210"/>
      <c r="H481" s="203"/>
      <c r="I481" s="203"/>
      <c r="J481" s="203"/>
      <c r="K481" s="203"/>
      <c r="L481" s="203"/>
      <c r="M481" s="203"/>
      <c r="N481" s="203"/>
      <c r="O481" s="205"/>
      <c r="P481" s="291"/>
      <c r="Q481" s="265"/>
      <c r="R481" s="265"/>
      <c r="S481" s="265"/>
      <c r="T481" s="265"/>
    </row>
    <row r="482" spans="1:23" ht="27.75" customHeight="1">
      <c r="A482" s="204" t="str">
        <f>IF(ISBLANK(D482)," ",372-COUNTBLANK($D$5:D482))</f>
        <v xml:space="preserve"> </v>
      </c>
      <c r="B482" s="202"/>
      <c r="C482" s="202"/>
      <c r="D482" s="202"/>
      <c r="E482" s="300"/>
      <c r="F482" s="210"/>
      <c r="G482" s="210"/>
      <c r="H482" s="203"/>
      <c r="I482" s="203"/>
      <c r="J482" s="203"/>
      <c r="K482" s="203"/>
      <c r="L482" s="203"/>
      <c r="M482" s="203"/>
      <c r="N482" s="203"/>
      <c r="O482" s="205"/>
      <c r="P482" s="291"/>
      <c r="Q482" s="265"/>
      <c r="R482" s="265"/>
      <c r="S482" s="265"/>
      <c r="T482" s="265"/>
    </row>
    <row r="483" spans="1:23" ht="27.75" customHeight="1">
      <c r="A483" s="204" t="str">
        <f>IF(ISBLANK(D483)," ",373-COUNTBLANK($D$5:D483))</f>
        <v xml:space="preserve"> </v>
      </c>
      <c r="B483" s="202"/>
      <c r="C483" s="202"/>
      <c r="D483" s="202"/>
      <c r="E483" s="300"/>
      <c r="F483" s="210"/>
      <c r="G483" s="210"/>
      <c r="H483" s="203"/>
      <c r="I483" s="203"/>
      <c r="J483" s="203"/>
      <c r="K483" s="203"/>
      <c r="L483" s="203"/>
      <c r="M483" s="203"/>
      <c r="N483" s="203"/>
      <c r="O483" s="205"/>
      <c r="P483" s="291"/>
      <c r="Q483" s="265"/>
      <c r="R483" s="265"/>
      <c r="S483" s="265"/>
      <c r="T483" s="265"/>
    </row>
    <row r="484" spans="1:23" ht="27.75" customHeight="1">
      <c r="A484" s="204" t="str">
        <f>IF(ISBLANK(D484)," ",374-COUNTBLANK($D$5:D484))</f>
        <v xml:space="preserve"> </v>
      </c>
      <c r="B484" s="202"/>
      <c r="C484" s="202"/>
      <c r="D484" s="202"/>
      <c r="E484" s="300"/>
      <c r="F484" s="210"/>
      <c r="G484" s="210"/>
      <c r="H484" s="203"/>
      <c r="I484" s="203"/>
      <c r="J484" s="203"/>
      <c r="K484" s="203"/>
      <c r="L484" s="203"/>
      <c r="M484" s="203"/>
      <c r="N484" s="203"/>
      <c r="O484" s="205"/>
      <c r="P484" s="291"/>
      <c r="Q484" s="265"/>
      <c r="R484" s="265"/>
      <c r="S484" s="265"/>
      <c r="T484" s="265"/>
    </row>
    <row r="485" spans="1:23" ht="27.75" customHeight="1">
      <c r="A485" s="204" t="str">
        <f>IF(ISBLANK(D485)," ",375-COUNTBLANK($D$5:D485))</f>
        <v xml:space="preserve"> </v>
      </c>
      <c r="B485" s="202"/>
      <c r="C485" s="202"/>
      <c r="D485" s="202"/>
      <c r="E485" s="300"/>
      <c r="F485" s="210"/>
      <c r="G485" s="210"/>
      <c r="H485" s="203"/>
      <c r="I485" s="203"/>
      <c r="J485" s="203"/>
      <c r="K485" s="203"/>
      <c r="L485" s="203"/>
      <c r="M485" s="203"/>
      <c r="N485" s="203"/>
      <c r="O485" s="205"/>
      <c r="P485" s="291"/>
      <c r="Q485" s="265"/>
      <c r="R485" s="265"/>
      <c r="S485" s="265"/>
      <c r="T485" s="265"/>
    </row>
    <row r="486" spans="1:23" ht="27.75" customHeight="1">
      <c r="A486" s="204" t="str">
        <f>IF(ISBLANK(D486)," ",376-COUNTBLANK($D$5:D486))</f>
        <v xml:space="preserve"> </v>
      </c>
      <c r="B486" s="202"/>
      <c r="C486" s="202"/>
      <c r="D486" s="202"/>
      <c r="E486" s="300"/>
      <c r="F486" s="210"/>
      <c r="G486" s="210"/>
      <c r="H486" s="203"/>
      <c r="I486" s="203"/>
      <c r="J486" s="203"/>
      <c r="K486" s="203"/>
      <c r="L486" s="203"/>
      <c r="M486" s="203"/>
      <c r="N486" s="203"/>
      <c r="O486" s="205"/>
      <c r="P486" s="291"/>
      <c r="Q486" s="265"/>
      <c r="R486" s="265"/>
      <c r="S486" s="265"/>
      <c r="T486" s="267"/>
    </row>
    <row r="487" spans="1:23" ht="27.75" customHeight="1">
      <c r="A487" s="204" t="str">
        <f>IF(ISBLANK(D487)," ",377-COUNTBLANK($D$5:D487))</f>
        <v xml:space="preserve"> </v>
      </c>
      <c r="B487" s="202"/>
      <c r="C487" s="202"/>
      <c r="D487" s="202"/>
      <c r="E487" s="300"/>
      <c r="F487" s="210"/>
      <c r="G487" s="210"/>
      <c r="H487" s="203"/>
      <c r="I487" s="203"/>
      <c r="J487" s="203"/>
      <c r="K487" s="203"/>
      <c r="L487" s="203"/>
      <c r="M487" s="203"/>
      <c r="N487" s="203"/>
      <c r="O487" s="205"/>
      <c r="P487" s="291"/>
      <c r="Q487" s="265"/>
      <c r="R487" s="265"/>
      <c r="S487" s="265"/>
      <c r="T487" s="267"/>
    </row>
    <row r="488" spans="1:23" ht="27.75" customHeight="1">
      <c r="A488" s="204" t="s">
        <v>52</v>
      </c>
      <c r="B488" s="202"/>
      <c r="C488" s="202"/>
      <c r="D488" s="202"/>
      <c r="E488" s="300"/>
      <c r="F488" s="210">
        <f>SUM(F468:F487)</f>
        <v>0</v>
      </c>
      <c r="G488" s="210"/>
      <c r="H488" s="203"/>
      <c r="I488" s="203"/>
      <c r="J488" s="203"/>
      <c r="K488" s="203"/>
      <c r="L488" s="203"/>
      <c r="M488" s="203"/>
      <c r="N488" s="203"/>
      <c r="O488" s="205"/>
      <c r="P488" s="291"/>
      <c r="Q488" s="265"/>
      <c r="R488" s="265"/>
      <c r="S488" s="265"/>
      <c r="T488" s="267"/>
    </row>
    <row r="489" spans="1:23" ht="27.75" customHeight="1">
      <c r="A489" s="204" t="str">
        <f>IF(ISBLANK(D489)," ",379-COUNTBLANK($D$5:D489))</f>
        <v xml:space="preserve"> </v>
      </c>
      <c r="B489" s="202"/>
      <c r="C489" s="202"/>
      <c r="D489" s="202"/>
      <c r="E489" s="300"/>
      <c r="F489" s="210"/>
      <c r="G489" s="210"/>
      <c r="H489" s="203"/>
      <c r="I489" s="203"/>
      <c r="J489" s="203"/>
      <c r="K489" s="203"/>
      <c r="L489" s="203"/>
      <c r="M489" s="203"/>
      <c r="N489" s="203"/>
      <c r="O489" s="205"/>
      <c r="P489" s="291"/>
      <c r="Q489" s="265"/>
      <c r="R489" s="265"/>
      <c r="S489" s="265"/>
      <c r="T489" s="267"/>
    </row>
    <row r="490" spans="1:23" ht="27.75" customHeight="1">
      <c r="A490" s="304" t="str">
        <f>IF(ISBLANK(D490)," ",380-COUNTBLANK($D$5:D490))</f>
        <v xml:space="preserve"> </v>
      </c>
      <c r="B490" s="296"/>
      <c r="C490" s="305"/>
      <c r="D490" s="306"/>
      <c r="E490" s="297"/>
      <c r="F490" s="298"/>
      <c r="G490" s="298"/>
      <c r="H490" s="282"/>
      <c r="I490" s="282"/>
      <c r="J490" s="282"/>
      <c r="K490" s="282"/>
      <c r="L490" s="282"/>
      <c r="M490" s="282"/>
      <c r="N490" s="282"/>
      <c r="O490" s="283"/>
      <c r="P490" s="303"/>
      <c r="Q490" s="265"/>
      <c r="R490" s="265"/>
      <c r="S490" s="265"/>
      <c r="T490" s="284"/>
      <c r="U490" s="265"/>
      <c r="V490" s="265"/>
      <c r="W490" s="265"/>
    </row>
    <row r="491" spans="1:23" ht="27.75" customHeight="1">
      <c r="A491" s="260" t="str">
        <f>IF(ISBLANK(D491)," ",381-COUNTBLANK($D$5:D491))</f>
        <v xml:space="preserve"> </v>
      </c>
      <c r="B491" s="200"/>
      <c r="C491" s="200"/>
      <c r="D491" s="200"/>
      <c r="E491" s="299"/>
      <c r="F491" s="209"/>
      <c r="G491" s="209"/>
      <c r="H491" s="201"/>
      <c r="I491" s="201"/>
      <c r="J491" s="201"/>
      <c r="K491" s="201"/>
      <c r="L491" s="201"/>
      <c r="M491" s="201"/>
      <c r="N491" s="201"/>
      <c r="O491" s="262"/>
      <c r="P491" s="291"/>
      <c r="Q491" s="265"/>
      <c r="R491" s="265"/>
      <c r="S491" s="265"/>
      <c r="T491" s="284"/>
      <c r="U491" s="265"/>
      <c r="V491" s="265"/>
      <c r="W491" s="265"/>
    </row>
    <row r="492" spans="1:23" ht="27.75" customHeight="1">
      <c r="A492" s="204" t="str">
        <f>IF(ISBLANK(D492)," ",382-COUNTBLANK($D$5:D492))</f>
        <v xml:space="preserve"> </v>
      </c>
      <c r="B492" s="202"/>
      <c r="C492" s="202"/>
      <c r="D492" s="202"/>
      <c r="E492" s="300"/>
      <c r="F492" s="210"/>
      <c r="G492" s="210"/>
      <c r="H492" s="203"/>
      <c r="I492" s="203"/>
      <c r="J492" s="203"/>
      <c r="K492" s="203"/>
      <c r="L492" s="203"/>
      <c r="M492" s="203"/>
      <c r="N492" s="203"/>
      <c r="O492" s="205"/>
      <c r="P492" s="291"/>
      <c r="Q492" s="265"/>
      <c r="R492" s="265"/>
      <c r="S492" s="265"/>
      <c r="T492" s="265"/>
    </row>
    <row r="493" spans="1:23" ht="27.75" customHeight="1">
      <c r="A493" s="204" t="str">
        <f>IF(ISBLANK(D493)," ",383-COUNTBLANK($D$5:D493))</f>
        <v xml:space="preserve"> </v>
      </c>
      <c r="B493" s="202"/>
      <c r="C493" s="202"/>
      <c r="D493" s="202"/>
      <c r="E493" s="300"/>
      <c r="F493" s="210"/>
      <c r="G493" s="210"/>
      <c r="H493" s="203"/>
      <c r="I493" s="203"/>
      <c r="J493" s="203"/>
      <c r="K493" s="203"/>
      <c r="L493" s="203"/>
      <c r="M493" s="203"/>
      <c r="N493" s="203"/>
      <c r="O493" s="205"/>
      <c r="P493" s="291"/>
      <c r="Q493" s="265"/>
      <c r="R493" s="265"/>
      <c r="S493" s="265"/>
      <c r="T493" s="265"/>
    </row>
    <row r="494" spans="1:23" ht="27.75" customHeight="1">
      <c r="A494" s="204" t="str">
        <f>IF(ISBLANK(D494)," ",384-COUNTBLANK($D$5:D494))</f>
        <v xml:space="preserve"> </v>
      </c>
      <c r="B494" s="202"/>
      <c r="C494" s="202"/>
      <c r="D494" s="202"/>
      <c r="E494" s="300"/>
      <c r="F494" s="210"/>
      <c r="G494" s="210"/>
      <c r="H494" s="203"/>
      <c r="I494" s="203"/>
      <c r="J494" s="203"/>
      <c r="K494" s="203"/>
      <c r="L494" s="203"/>
      <c r="M494" s="203"/>
      <c r="N494" s="203"/>
      <c r="O494" s="205"/>
      <c r="P494" s="291"/>
      <c r="Q494" s="265"/>
      <c r="R494" s="265"/>
      <c r="S494" s="265"/>
      <c r="T494" s="265"/>
    </row>
    <row r="495" spans="1:23" ht="27.75" customHeight="1">
      <c r="A495" s="204" t="str">
        <f>IF(ISBLANK(D495)," ",385-COUNTBLANK($D$5:D495))</f>
        <v xml:space="preserve"> </v>
      </c>
      <c r="B495" s="202"/>
      <c r="C495" s="202"/>
      <c r="D495" s="202"/>
      <c r="E495" s="300"/>
      <c r="F495" s="210"/>
      <c r="G495" s="210"/>
      <c r="H495" s="203"/>
      <c r="I495" s="203"/>
      <c r="J495" s="203"/>
      <c r="K495" s="203"/>
      <c r="L495" s="203"/>
      <c r="M495" s="203"/>
      <c r="N495" s="203"/>
      <c r="O495" s="205"/>
      <c r="P495" s="291"/>
      <c r="Q495" s="265"/>
      <c r="R495" s="265"/>
      <c r="S495" s="265"/>
      <c r="T495" s="265"/>
    </row>
    <row r="496" spans="1:23" ht="27.75" customHeight="1">
      <c r="A496" s="204" t="str">
        <f>IF(ISBLANK(D496)," ",386-COUNTBLANK($D$5:D496))</f>
        <v xml:space="preserve"> </v>
      </c>
      <c r="B496" s="202"/>
      <c r="C496" s="202"/>
      <c r="D496" s="202"/>
      <c r="E496" s="300"/>
      <c r="F496" s="210"/>
      <c r="G496" s="210"/>
      <c r="H496" s="203"/>
      <c r="I496" s="203"/>
      <c r="J496" s="203"/>
      <c r="K496" s="203"/>
      <c r="L496" s="203"/>
      <c r="M496" s="203"/>
      <c r="N496" s="203"/>
      <c r="O496" s="205"/>
      <c r="P496" s="291"/>
      <c r="Q496" s="265"/>
      <c r="R496" s="265"/>
      <c r="S496" s="265"/>
      <c r="T496" s="265"/>
    </row>
    <row r="497" spans="1:23" ht="27.75" customHeight="1">
      <c r="A497" s="204" t="str">
        <f>IF(ISBLANK(D497)," ",387-COUNTBLANK($D$5:D497))</f>
        <v xml:space="preserve"> </v>
      </c>
      <c r="B497" s="202"/>
      <c r="C497" s="202"/>
      <c r="D497" s="202"/>
      <c r="E497" s="300"/>
      <c r="F497" s="210"/>
      <c r="G497" s="210"/>
      <c r="H497" s="203"/>
      <c r="I497" s="203"/>
      <c r="J497" s="203"/>
      <c r="K497" s="203"/>
      <c r="L497" s="203"/>
      <c r="M497" s="203"/>
      <c r="N497" s="203"/>
      <c r="O497" s="205"/>
      <c r="P497" s="291"/>
      <c r="Q497" s="265"/>
      <c r="R497" s="265"/>
      <c r="S497" s="265"/>
      <c r="T497" s="265"/>
    </row>
    <row r="498" spans="1:23" ht="27.75" customHeight="1">
      <c r="A498" s="204" t="str">
        <f>IF(ISBLANK(D498)," ",388-COUNTBLANK($D$5:D498))</f>
        <v xml:space="preserve"> </v>
      </c>
      <c r="B498" s="202"/>
      <c r="C498" s="202"/>
      <c r="D498" s="202"/>
      <c r="E498" s="300"/>
      <c r="F498" s="210"/>
      <c r="G498" s="210"/>
      <c r="H498" s="203"/>
      <c r="I498" s="203"/>
      <c r="J498" s="203"/>
      <c r="K498" s="203"/>
      <c r="L498" s="203"/>
      <c r="M498" s="203"/>
      <c r="N498" s="203"/>
      <c r="O498" s="205"/>
      <c r="P498" s="291"/>
      <c r="Q498" s="265"/>
      <c r="R498" s="265"/>
      <c r="S498" s="265"/>
      <c r="T498" s="265"/>
    </row>
    <row r="499" spans="1:23" ht="27.75" customHeight="1">
      <c r="A499" s="204" t="str">
        <f>IF(ISBLANK(D499)," ",389-COUNTBLANK($D$5:D499))</f>
        <v xml:space="preserve"> </v>
      </c>
      <c r="B499" s="202"/>
      <c r="C499" s="202"/>
      <c r="D499" s="202"/>
      <c r="E499" s="300"/>
      <c r="F499" s="210"/>
      <c r="G499" s="210"/>
      <c r="H499" s="203"/>
      <c r="I499" s="203"/>
      <c r="J499" s="203"/>
      <c r="K499" s="203"/>
      <c r="L499" s="203"/>
      <c r="M499" s="203"/>
      <c r="N499" s="203"/>
      <c r="O499" s="205"/>
      <c r="P499" s="291"/>
      <c r="Q499" s="265"/>
      <c r="R499" s="265"/>
      <c r="S499" s="265"/>
      <c r="T499" s="265"/>
    </row>
    <row r="500" spans="1:23" ht="27.75" customHeight="1">
      <c r="A500" s="204" t="str">
        <f>IF(ISBLANK(D500)," ",390-COUNTBLANK($D$5:D500))</f>
        <v xml:space="preserve"> </v>
      </c>
      <c r="B500" s="202"/>
      <c r="C500" s="202"/>
      <c r="D500" s="202"/>
      <c r="E500" s="300"/>
      <c r="F500" s="210"/>
      <c r="G500" s="210"/>
      <c r="H500" s="203"/>
      <c r="I500" s="203"/>
      <c r="J500" s="203"/>
      <c r="K500" s="203"/>
      <c r="L500" s="203"/>
      <c r="M500" s="203"/>
      <c r="N500" s="203"/>
      <c r="O500" s="205"/>
      <c r="P500" s="291"/>
      <c r="Q500" s="265"/>
      <c r="R500" s="265"/>
      <c r="S500" s="265"/>
      <c r="T500" s="265"/>
    </row>
    <row r="501" spans="1:23" ht="27.75" customHeight="1">
      <c r="A501" s="204" t="str">
        <f>IF(ISBLANK(D501)," ",391-COUNTBLANK($D$5:D501))</f>
        <v xml:space="preserve"> </v>
      </c>
      <c r="B501" s="202"/>
      <c r="C501" s="202"/>
      <c r="D501" s="202"/>
      <c r="E501" s="300"/>
      <c r="F501" s="210"/>
      <c r="G501" s="210"/>
      <c r="H501" s="203"/>
      <c r="I501" s="203"/>
      <c r="J501" s="203"/>
      <c r="K501" s="203"/>
      <c r="L501" s="203"/>
      <c r="M501" s="203"/>
      <c r="N501" s="203"/>
      <c r="O501" s="205"/>
      <c r="P501" s="291"/>
      <c r="Q501" s="265"/>
      <c r="R501" s="265"/>
      <c r="S501" s="265"/>
      <c r="T501" s="265"/>
    </row>
    <row r="502" spans="1:23" ht="27.75" customHeight="1">
      <c r="A502" s="204" t="str">
        <f>IF(ISBLANK(D502)," ",392-COUNTBLANK($D$5:D502))</f>
        <v xml:space="preserve"> </v>
      </c>
      <c r="B502" s="202"/>
      <c r="C502" s="202"/>
      <c r="D502" s="202"/>
      <c r="E502" s="300"/>
      <c r="F502" s="210"/>
      <c r="G502" s="210"/>
      <c r="H502" s="203"/>
      <c r="I502" s="203"/>
      <c r="J502" s="203"/>
      <c r="K502" s="203"/>
      <c r="L502" s="203"/>
      <c r="M502" s="203"/>
      <c r="N502" s="203"/>
      <c r="O502" s="205"/>
      <c r="P502" s="291"/>
      <c r="Q502" s="265"/>
      <c r="R502" s="265"/>
      <c r="S502" s="265"/>
      <c r="T502" s="265"/>
    </row>
    <row r="503" spans="1:23" ht="27.75" customHeight="1">
      <c r="A503" s="204" t="str">
        <f>IF(ISBLANK(D503)," ",393-COUNTBLANK($D$5:D503))</f>
        <v xml:space="preserve"> </v>
      </c>
      <c r="B503" s="202"/>
      <c r="C503" s="202"/>
      <c r="D503" s="202"/>
      <c r="E503" s="300"/>
      <c r="F503" s="210"/>
      <c r="G503" s="210"/>
      <c r="H503" s="203"/>
      <c r="I503" s="203"/>
      <c r="J503" s="203"/>
      <c r="K503" s="203"/>
      <c r="L503" s="203"/>
      <c r="M503" s="203"/>
      <c r="N503" s="203"/>
      <c r="O503" s="205"/>
      <c r="P503" s="291"/>
      <c r="Q503" s="265"/>
      <c r="R503" s="265"/>
      <c r="S503" s="265"/>
      <c r="T503" s="265"/>
    </row>
    <row r="504" spans="1:23" ht="27.75" customHeight="1">
      <c r="A504" s="204" t="str">
        <f>IF(ISBLANK(D504)," ",394-COUNTBLANK($D$5:D504))</f>
        <v xml:space="preserve"> </v>
      </c>
      <c r="B504" s="202"/>
      <c r="C504" s="202"/>
      <c r="D504" s="202"/>
      <c r="E504" s="300"/>
      <c r="F504" s="210"/>
      <c r="G504" s="210"/>
      <c r="H504" s="203"/>
      <c r="I504" s="203"/>
      <c r="J504" s="203"/>
      <c r="K504" s="203"/>
      <c r="L504" s="203"/>
      <c r="M504" s="203"/>
      <c r="N504" s="203"/>
      <c r="O504" s="205"/>
      <c r="P504" s="291"/>
      <c r="Q504" s="265"/>
      <c r="R504" s="265"/>
      <c r="S504" s="265"/>
      <c r="T504" s="265"/>
    </row>
    <row r="505" spans="1:23" ht="27.75" customHeight="1">
      <c r="A505" s="204" t="str">
        <f>IF(ISBLANK(D505)," ",395-COUNTBLANK($D$5:D505))</f>
        <v xml:space="preserve"> </v>
      </c>
      <c r="B505" s="202"/>
      <c r="C505" s="202"/>
      <c r="D505" s="202"/>
      <c r="E505" s="300"/>
      <c r="F505" s="210"/>
      <c r="G505" s="210"/>
      <c r="H505" s="203"/>
      <c r="I505" s="203"/>
      <c r="J505" s="203"/>
      <c r="K505" s="203"/>
      <c r="L505" s="203"/>
      <c r="M505" s="203"/>
      <c r="N505" s="203"/>
      <c r="O505" s="205"/>
      <c r="P505" s="291"/>
      <c r="Q505" s="265"/>
      <c r="R505" s="265"/>
      <c r="S505" s="265"/>
      <c r="T505" s="265"/>
    </row>
    <row r="506" spans="1:23" ht="27.75" customHeight="1">
      <c r="A506" s="204" t="str">
        <f>IF(ISBLANK(D506)," ",396-COUNTBLANK($D$5:D506))</f>
        <v xml:space="preserve"> </v>
      </c>
      <c r="B506" s="202"/>
      <c r="C506" s="202"/>
      <c r="D506" s="202"/>
      <c r="E506" s="300"/>
      <c r="F506" s="210"/>
      <c r="G506" s="210"/>
      <c r="H506" s="203"/>
      <c r="I506" s="203"/>
      <c r="J506" s="203"/>
      <c r="K506" s="203"/>
      <c r="L506" s="203"/>
      <c r="M506" s="203"/>
      <c r="N506" s="203"/>
      <c r="O506" s="205"/>
      <c r="P506" s="291"/>
      <c r="Q506" s="265"/>
      <c r="R506" s="265"/>
      <c r="S506" s="265"/>
      <c r="T506" s="265"/>
    </row>
    <row r="507" spans="1:23" ht="27.75" customHeight="1">
      <c r="A507" s="204" t="str">
        <f>IF(ISBLANK(D507)," ",397-COUNTBLANK($D$5:D507))</f>
        <v xml:space="preserve"> </v>
      </c>
      <c r="B507" s="202"/>
      <c r="C507" s="202"/>
      <c r="D507" s="202"/>
      <c r="E507" s="300"/>
      <c r="F507" s="210"/>
      <c r="G507" s="210"/>
      <c r="H507" s="203"/>
      <c r="I507" s="203"/>
      <c r="J507" s="203"/>
      <c r="K507" s="203"/>
      <c r="L507" s="203"/>
      <c r="M507" s="203"/>
      <c r="N507" s="203"/>
      <c r="O507" s="205"/>
      <c r="P507" s="291"/>
      <c r="Q507" s="265"/>
      <c r="R507" s="265"/>
      <c r="S507" s="265"/>
      <c r="T507" s="267"/>
    </row>
    <row r="508" spans="1:23" ht="27.75" customHeight="1">
      <c r="A508" s="204" t="str">
        <f>IF(ISBLANK(D508)," ",398-COUNTBLANK($D$5:D508))</f>
        <v xml:space="preserve"> </v>
      </c>
      <c r="B508" s="202"/>
      <c r="C508" s="202"/>
      <c r="D508" s="202"/>
      <c r="E508" s="300"/>
      <c r="F508" s="210"/>
      <c r="G508" s="210"/>
      <c r="H508" s="203"/>
      <c r="I508" s="203"/>
      <c r="J508" s="203"/>
      <c r="K508" s="203"/>
      <c r="L508" s="203"/>
      <c r="M508" s="203"/>
      <c r="N508" s="203"/>
      <c r="O508" s="205"/>
      <c r="P508" s="291"/>
      <c r="Q508" s="265"/>
      <c r="R508" s="265"/>
      <c r="S508" s="265"/>
      <c r="T508" s="267"/>
    </row>
    <row r="509" spans="1:23" ht="27.75" customHeight="1">
      <c r="A509" s="204" t="s">
        <v>52</v>
      </c>
      <c r="B509" s="202"/>
      <c r="C509" s="202"/>
      <c r="D509" s="202"/>
      <c r="E509" s="300"/>
      <c r="F509" s="210">
        <f>SUM(F489:F508)</f>
        <v>0</v>
      </c>
      <c r="G509" s="210"/>
      <c r="H509" s="203"/>
      <c r="I509" s="203"/>
      <c r="J509" s="203"/>
      <c r="K509" s="203"/>
      <c r="L509" s="203"/>
      <c r="M509" s="203"/>
      <c r="N509" s="203"/>
      <c r="O509" s="205"/>
      <c r="P509" s="291"/>
      <c r="Q509" s="265"/>
      <c r="R509" s="265"/>
      <c r="S509" s="265"/>
      <c r="T509" s="267"/>
    </row>
    <row r="510" spans="1:23" ht="27.75" customHeight="1">
      <c r="A510" s="204" t="str">
        <f>IF(ISBLANK(D510)," ",400-COUNTBLANK($D$5:D510))</f>
        <v xml:space="preserve"> </v>
      </c>
      <c r="B510" s="202"/>
      <c r="C510" s="202"/>
      <c r="D510" s="202"/>
      <c r="E510" s="300"/>
      <c r="F510" s="210"/>
      <c r="G510" s="210"/>
      <c r="H510" s="203"/>
      <c r="I510" s="203"/>
      <c r="J510" s="203"/>
      <c r="K510" s="203"/>
      <c r="L510" s="203"/>
      <c r="M510" s="203"/>
      <c r="N510" s="203"/>
      <c r="O510" s="205"/>
      <c r="P510" s="291"/>
      <c r="Q510" s="265"/>
      <c r="R510" s="265"/>
      <c r="S510" s="265"/>
      <c r="T510" s="267"/>
    </row>
    <row r="511" spans="1:23" ht="27.75" customHeight="1">
      <c r="A511" s="304" t="str">
        <f>IF(ISBLANK(D511)," ",401-COUNTBLANK($D$5:D511))</f>
        <v xml:space="preserve"> </v>
      </c>
      <c r="B511" s="296"/>
      <c r="C511" s="305"/>
      <c r="D511" s="306"/>
      <c r="E511" s="297"/>
      <c r="F511" s="298"/>
      <c r="G511" s="298"/>
      <c r="H511" s="282"/>
      <c r="I511" s="282"/>
      <c r="J511" s="282"/>
      <c r="K511" s="282"/>
      <c r="L511" s="282"/>
      <c r="M511" s="282"/>
      <c r="N511" s="282"/>
      <c r="O511" s="283"/>
      <c r="P511" s="303"/>
      <c r="Q511" s="265"/>
      <c r="R511" s="265"/>
      <c r="S511" s="265"/>
      <c r="T511" s="284"/>
      <c r="U511" s="265"/>
      <c r="V511" s="265"/>
      <c r="W511" s="265"/>
    </row>
    <row r="512" spans="1:23" ht="27.75" customHeight="1">
      <c r="A512" s="240" t="str">
        <f>IF(ISBLANK(D512)," ",402-COUNTBLANK($D$5:D512))</f>
        <v xml:space="preserve"> </v>
      </c>
      <c r="Q512" s="265"/>
      <c r="R512" s="265"/>
      <c r="S512" s="265"/>
      <c r="T512" s="284"/>
      <c r="U512" s="265"/>
      <c r="V512" s="265"/>
      <c r="W512" s="265"/>
    </row>
    <row r="513" spans="1:20" ht="27.75" customHeight="1">
      <c r="A513" s="240" t="str">
        <f>IF(ISBLANK(D513)," ",403-COUNTBLANK($D$5:D513))</f>
        <v xml:space="preserve"> </v>
      </c>
      <c r="Q513" s="265"/>
      <c r="R513" s="265"/>
      <c r="S513" s="265"/>
      <c r="T513" s="265"/>
    </row>
    <row r="514" spans="1:20" ht="27.75" customHeight="1">
      <c r="A514" s="240" t="str">
        <f>IF(ISBLANK(D514)," ",404-COUNTBLANK($D$5:D514))</f>
        <v xml:space="preserve"> </v>
      </c>
      <c r="Q514" s="265"/>
      <c r="R514" s="265"/>
      <c r="S514" s="265"/>
      <c r="T514" s="265"/>
    </row>
    <row r="515" spans="1:20" ht="27.75" customHeight="1">
      <c r="A515" s="240" t="str">
        <f>IF(ISBLANK(D515)," ",405-COUNTBLANK($D$5:D515))</f>
        <v xml:space="preserve"> </v>
      </c>
      <c r="Q515" s="265"/>
      <c r="R515" s="265"/>
      <c r="S515" s="265"/>
      <c r="T515" s="265"/>
    </row>
    <row r="516" spans="1:20" ht="27.75" customHeight="1">
      <c r="A516" s="240" t="str">
        <f>IF(ISBLANK(D516)," ",406-COUNTBLANK($D$5:D516))</f>
        <v xml:space="preserve"> </v>
      </c>
      <c r="Q516" s="265"/>
      <c r="R516" s="265"/>
      <c r="S516" s="265"/>
      <c r="T516" s="265"/>
    </row>
    <row r="517" spans="1:20" ht="27.75" customHeight="1">
      <c r="A517" s="240" t="str">
        <f>IF(ISBLANK(D517)," ",407-COUNTBLANK($D$5:D517))</f>
        <v xml:space="preserve"> </v>
      </c>
      <c r="Q517" s="265"/>
      <c r="R517" s="265"/>
      <c r="S517" s="265"/>
      <c r="T517" s="265"/>
    </row>
    <row r="518" spans="1:20" ht="27.75" customHeight="1">
      <c r="A518" s="240" t="str">
        <f>IF(ISBLANK(D518)," ",408-COUNTBLANK($D$5:D518))</f>
        <v xml:space="preserve"> </v>
      </c>
      <c r="Q518" s="265"/>
      <c r="R518" s="265"/>
      <c r="S518" s="265"/>
      <c r="T518" s="265"/>
    </row>
    <row r="519" spans="1:20" ht="27.75" customHeight="1">
      <c r="A519" s="240" t="str">
        <f>IF(ISBLANK(D519)," ",409-COUNTBLANK($D$5:D519))</f>
        <v xml:space="preserve"> </v>
      </c>
      <c r="Q519" s="265"/>
      <c r="R519" s="265"/>
      <c r="S519" s="265"/>
      <c r="T519" s="265"/>
    </row>
    <row r="520" spans="1:20" ht="27.75" customHeight="1">
      <c r="A520" s="240" t="str">
        <f>IF(ISBLANK(D520)," ",410-COUNTBLANK($D$5:D520))</f>
        <v xml:space="preserve"> </v>
      </c>
      <c r="Q520" s="265"/>
      <c r="R520" s="265"/>
      <c r="S520" s="265"/>
      <c r="T520" s="265"/>
    </row>
    <row r="521" spans="1:20" ht="27.75" customHeight="1">
      <c r="A521" s="240" t="str">
        <f>IF(ISBLANK(D521)," ",411-COUNTBLANK($D$5:D521))</f>
        <v xml:space="preserve"> </v>
      </c>
      <c r="Q521" s="265"/>
      <c r="R521" s="265"/>
      <c r="S521" s="265"/>
      <c r="T521" s="265"/>
    </row>
    <row r="522" spans="1:20" ht="27.75" customHeight="1">
      <c r="A522" s="240" t="str">
        <f>IF(ISBLANK(D522)," ",412-COUNTBLANK($D$5:D522))</f>
        <v xml:space="preserve"> </v>
      </c>
      <c r="Q522" s="265"/>
      <c r="R522" s="265"/>
      <c r="S522" s="265"/>
      <c r="T522" s="265"/>
    </row>
    <row r="523" spans="1:20" ht="27.75" customHeight="1">
      <c r="A523" s="240" t="str">
        <f>IF(ISBLANK(D523)," ",413-COUNTBLANK($D$5:D523))</f>
        <v xml:space="preserve"> </v>
      </c>
      <c r="Q523" s="265"/>
      <c r="R523" s="265"/>
      <c r="S523" s="265"/>
      <c r="T523" s="265"/>
    </row>
    <row r="524" spans="1:20" ht="27.75" customHeight="1">
      <c r="A524" s="240" t="str">
        <f>IF(ISBLANK(D524)," ",414-COUNTBLANK($D$5:D524))</f>
        <v xml:space="preserve"> </v>
      </c>
      <c r="Q524" s="265"/>
      <c r="R524" s="265"/>
      <c r="S524" s="265"/>
      <c r="T524" s="265"/>
    </row>
    <row r="525" spans="1:20" ht="27.75" customHeight="1">
      <c r="A525" s="240" t="str">
        <f>IF(ISBLANK(D525)," ",415-COUNTBLANK($D$5:D525))</f>
        <v xml:space="preserve"> </v>
      </c>
      <c r="Q525" s="265"/>
      <c r="R525" s="265"/>
      <c r="S525" s="265"/>
      <c r="T525" s="265"/>
    </row>
    <row r="526" spans="1:20" ht="27.75" customHeight="1">
      <c r="A526" s="240" t="str">
        <f>IF(ISBLANK(D526)," ",416-COUNTBLANK($D$5:D526))</f>
        <v xml:space="preserve"> </v>
      </c>
      <c r="Q526" s="265"/>
      <c r="R526" s="265"/>
      <c r="S526" s="265"/>
      <c r="T526" s="265"/>
    </row>
    <row r="527" spans="1:20" ht="27.75" customHeight="1">
      <c r="A527" s="240" t="str">
        <f>IF(ISBLANK(D527)," ",417-COUNTBLANK($D$5:D527))</f>
        <v xml:space="preserve"> </v>
      </c>
      <c r="Q527" s="265"/>
      <c r="R527" s="265"/>
      <c r="S527" s="265"/>
      <c r="T527" s="265"/>
    </row>
    <row r="528" spans="1:20" ht="27.75" customHeight="1">
      <c r="A528" s="240" t="str">
        <f>IF(ISBLANK(D528)," ",418-COUNTBLANK($D$5:D528))</f>
        <v xml:space="preserve"> </v>
      </c>
      <c r="Q528" s="265"/>
      <c r="R528" s="265"/>
      <c r="S528" s="265"/>
      <c r="T528" s="267"/>
    </row>
    <row r="529" spans="1:23" ht="27.75" customHeight="1">
      <c r="A529" s="240" t="str">
        <f>IF(ISBLANK(D529)," ",419-COUNTBLANK($D$5:D529))</f>
        <v xml:space="preserve"> </v>
      </c>
      <c r="Q529" s="265"/>
      <c r="R529" s="265"/>
      <c r="S529" s="265"/>
      <c r="T529" s="267"/>
    </row>
    <row r="530" spans="1:23" ht="27.75" customHeight="1">
      <c r="A530" s="240" t="s">
        <v>52</v>
      </c>
      <c r="F530" s="309">
        <f>SUM(F510:F529)</f>
        <v>0</v>
      </c>
      <c r="Q530" s="265"/>
      <c r="R530" s="265"/>
      <c r="S530" s="265"/>
      <c r="T530" s="267"/>
    </row>
    <row r="531" spans="1:23" ht="27.75" customHeight="1">
      <c r="A531" s="240" t="str">
        <f>IF(ISBLANK(D531)," ",421-COUNTBLANK($D$5:D531))</f>
        <v xml:space="preserve"> </v>
      </c>
      <c r="Q531" s="265"/>
      <c r="R531" s="265"/>
      <c r="S531" s="265"/>
      <c r="T531" s="267"/>
    </row>
    <row r="532" spans="1:23" ht="27.75" customHeight="1">
      <c r="A532" s="240" t="str">
        <f>IF(ISBLANK(D532)," ",422-COUNTBLANK($D$5:D532))</f>
        <v xml:space="preserve"> </v>
      </c>
      <c r="Q532" s="265"/>
      <c r="R532" s="265"/>
      <c r="S532" s="265"/>
      <c r="T532" s="284"/>
      <c r="U532" s="265"/>
      <c r="V532" s="265"/>
      <c r="W532" s="265"/>
    </row>
    <row r="533" spans="1:23" ht="27.75" customHeight="1">
      <c r="A533" s="240" t="str">
        <f>IF(ISBLANK(D533)," ",423-COUNTBLANK($D$5:D533))</f>
        <v xml:space="preserve"> </v>
      </c>
      <c r="Q533" s="265"/>
      <c r="R533" s="265"/>
      <c r="S533" s="265"/>
      <c r="T533" s="284"/>
      <c r="U533" s="265"/>
      <c r="V533" s="265"/>
      <c r="W533" s="265"/>
    </row>
    <row r="534" spans="1:23" ht="27.75" customHeight="1">
      <c r="A534" s="240" t="str">
        <f>IF(ISBLANK(D534)," ",424-COUNTBLANK($D$5:D534))</f>
        <v xml:space="preserve"> </v>
      </c>
      <c r="Q534" s="265"/>
      <c r="R534" s="265"/>
      <c r="S534" s="265"/>
      <c r="T534" s="265"/>
    </row>
    <row r="535" spans="1:23" ht="27.75" customHeight="1">
      <c r="A535" s="240" t="str">
        <f>IF(ISBLANK(D535)," ",425-COUNTBLANK($D$5:D535))</f>
        <v xml:space="preserve"> </v>
      </c>
      <c r="Q535" s="265"/>
      <c r="R535" s="265"/>
      <c r="S535" s="265"/>
      <c r="T535" s="265"/>
    </row>
    <row r="536" spans="1:23" ht="27.75" customHeight="1">
      <c r="A536" s="240" t="str">
        <f>IF(ISBLANK(D536)," ",426-COUNTBLANK($D$5:D536))</f>
        <v xml:space="preserve"> </v>
      </c>
      <c r="Q536" s="265"/>
      <c r="R536" s="265"/>
      <c r="S536" s="265"/>
      <c r="T536" s="265"/>
    </row>
    <row r="537" spans="1:23" ht="27.75" customHeight="1">
      <c r="A537" s="240" t="str">
        <f>IF(ISBLANK(D537)," ",427-COUNTBLANK($D$5:D537))</f>
        <v xml:space="preserve"> </v>
      </c>
      <c r="Q537" s="265"/>
      <c r="R537" s="265"/>
      <c r="S537" s="265"/>
      <c r="T537" s="265"/>
    </row>
    <row r="538" spans="1:23" ht="27.75" customHeight="1">
      <c r="A538" s="240" t="str">
        <f>IF(ISBLANK(D538)," ",428-COUNTBLANK($D$5:D538))</f>
        <v xml:space="preserve"> </v>
      </c>
      <c r="Q538" s="265"/>
      <c r="R538" s="265"/>
      <c r="S538" s="265"/>
      <c r="T538" s="265"/>
    </row>
    <row r="539" spans="1:23" ht="27.75" customHeight="1">
      <c r="A539" s="240" t="str">
        <f>IF(ISBLANK(D539)," ",429-COUNTBLANK($D$5:D539))</f>
        <v xml:space="preserve"> </v>
      </c>
      <c r="Q539" s="265"/>
      <c r="R539" s="265"/>
      <c r="S539" s="265"/>
      <c r="T539" s="265"/>
    </row>
    <row r="540" spans="1:23" ht="27.75" customHeight="1">
      <c r="A540" s="240" t="str">
        <f>IF(ISBLANK(D540)," ",430-COUNTBLANK($D$5:D540))</f>
        <v xml:space="preserve"> </v>
      </c>
      <c r="Q540" s="265"/>
      <c r="R540" s="265"/>
      <c r="S540" s="265"/>
      <c r="T540" s="265"/>
    </row>
    <row r="541" spans="1:23" ht="27.75" customHeight="1">
      <c r="A541" s="240" t="str">
        <f>IF(ISBLANK(D541)," ",431-COUNTBLANK($D$5:D541))</f>
        <v xml:space="preserve"> </v>
      </c>
      <c r="Q541" s="265"/>
      <c r="R541" s="265"/>
      <c r="S541" s="265"/>
      <c r="T541" s="265"/>
    </row>
    <row r="542" spans="1:23" ht="27.75" customHeight="1">
      <c r="A542" s="240" t="str">
        <f>IF(ISBLANK(D542)," ",432-COUNTBLANK($D$5:D542))</f>
        <v xml:space="preserve"> </v>
      </c>
      <c r="Q542" s="265"/>
      <c r="R542" s="265"/>
      <c r="S542" s="265"/>
      <c r="T542" s="265"/>
    </row>
    <row r="543" spans="1:23" ht="27.75" customHeight="1">
      <c r="A543" s="240" t="str">
        <f>IF(ISBLANK(D543)," ",433-COUNTBLANK($D$5:D543))</f>
        <v xml:space="preserve"> </v>
      </c>
      <c r="Q543" s="265"/>
      <c r="R543" s="265"/>
      <c r="S543" s="265"/>
      <c r="T543" s="265"/>
    </row>
    <row r="544" spans="1:23" ht="27.75" customHeight="1">
      <c r="A544" s="240" t="str">
        <f>IF(ISBLANK(D544)," ",434-COUNTBLANK($D$5:D544))</f>
        <v xml:space="preserve"> </v>
      </c>
      <c r="Q544" s="265"/>
      <c r="R544" s="265"/>
      <c r="S544" s="265"/>
      <c r="T544" s="265"/>
    </row>
    <row r="545" spans="1:23" ht="27.75" customHeight="1">
      <c r="A545" s="240" t="str">
        <f>IF(ISBLANK(D545)," ",435-COUNTBLANK($D$5:D545))</f>
        <v xml:space="preserve"> </v>
      </c>
      <c r="Q545" s="265"/>
      <c r="R545" s="265"/>
      <c r="S545" s="265"/>
      <c r="T545" s="265"/>
    </row>
    <row r="546" spans="1:23" ht="27.75" customHeight="1">
      <c r="A546" s="240" t="str">
        <f>IF(ISBLANK(D546)," ",436-COUNTBLANK($D$5:D546))</f>
        <v xml:space="preserve"> </v>
      </c>
      <c r="Q546" s="265"/>
      <c r="R546" s="265"/>
      <c r="S546" s="265"/>
      <c r="T546" s="265"/>
    </row>
    <row r="547" spans="1:23" ht="27.75" customHeight="1">
      <c r="A547" s="240" t="str">
        <f>IF(ISBLANK(D547)," ",437-COUNTBLANK($D$5:D547))</f>
        <v xml:space="preserve"> </v>
      </c>
      <c r="Q547" s="265"/>
      <c r="R547" s="265"/>
      <c r="S547" s="265"/>
      <c r="T547" s="265"/>
    </row>
    <row r="548" spans="1:23" ht="27.75" customHeight="1">
      <c r="A548" s="240" t="str">
        <f>IF(ISBLANK(D548)," ",438-COUNTBLANK($D$5:D548))</f>
        <v xml:space="preserve"> </v>
      </c>
      <c r="Q548" s="265"/>
      <c r="R548" s="265"/>
      <c r="S548" s="265"/>
      <c r="T548" s="265"/>
    </row>
    <row r="549" spans="1:23" ht="27.75" customHeight="1">
      <c r="A549" s="240" t="str">
        <f>IF(ISBLANK(D549)," ",439-COUNTBLANK($D$5:D549))</f>
        <v xml:space="preserve"> </v>
      </c>
      <c r="Q549" s="265"/>
      <c r="R549" s="265"/>
      <c r="S549" s="265"/>
      <c r="T549" s="267"/>
    </row>
    <row r="550" spans="1:23" ht="27.75" customHeight="1">
      <c r="A550" s="240" t="str">
        <f>IF(ISBLANK(D550)," ",440-COUNTBLANK($D$5:D550))</f>
        <v xml:space="preserve"> </v>
      </c>
      <c r="Q550" s="265"/>
      <c r="R550" s="265"/>
      <c r="S550" s="265"/>
      <c r="T550" s="267"/>
    </row>
    <row r="551" spans="1:23" ht="27.75" customHeight="1">
      <c r="A551" s="240" t="s">
        <v>52</v>
      </c>
      <c r="F551" s="309">
        <f>SUM(F531:F550)</f>
        <v>0</v>
      </c>
      <c r="Q551" s="265"/>
      <c r="R551" s="265"/>
      <c r="S551" s="265"/>
      <c r="T551" s="267"/>
    </row>
    <row r="552" spans="1:23" ht="27.75" customHeight="1">
      <c r="A552" s="240" t="str">
        <f>IF(ISBLANK(D552)," ",442-COUNTBLANK($D$5:D552))</f>
        <v xml:space="preserve"> </v>
      </c>
      <c r="Q552" s="265"/>
      <c r="R552" s="265"/>
      <c r="S552" s="265"/>
      <c r="T552" s="267"/>
    </row>
    <row r="553" spans="1:23" ht="27.75" customHeight="1">
      <c r="A553" s="240" t="str">
        <f>IF(ISBLANK(D553)," ",443-COUNTBLANK($D$5:D553))</f>
        <v xml:space="preserve"> </v>
      </c>
      <c r="Q553" s="265"/>
      <c r="R553" s="265"/>
      <c r="S553" s="265"/>
      <c r="T553" s="284"/>
      <c r="U553" s="265"/>
      <c r="V553" s="265"/>
      <c r="W553" s="265"/>
    </row>
    <row r="554" spans="1:23" ht="27.75" customHeight="1">
      <c r="A554" s="240" t="str">
        <f>IF(ISBLANK(D554)," ",444-COUNTBLANK($D$5:D554))</f>
        <v xml:space="preserve"> </v>
      </c>
      <c r="Q554" s="265"/>
      <c r="R554" s="265"/>
      <c r="S554" s="265"/>
      <c r="T554" s="284"/>
      <c r="U554" s="265"/>
      <c r="V554" s="265"/>
      <c r="W554" s="265"/>
    </row>
    <row r="555" spans="1:23" ht="27.75" customHeight="1">
      <c r="A555" s="240" t="str">
        <f>IF(ISBLANK(D555)," ",445-COUNTBLANK($D$5:D555))</f>
        <v xml:space="preserve"> </v>
      </c>
      <c r="Q555" s="265"/>
      <c r="R555" s="265"/>
      <c r="S555" s="265"/>
      <c r="T555" s="265"/>
    </row>
    <row r="556" spans="1:23" ht="27.75" customHeight="1">
      <c r="A556" s="240" t="str">
        <f>IF(ISBLANK(D556)," ",446-COUNTBLANK($D$5:D556))</f>
        <v xml:space="preserve"> </v>
      </c>
      <c r="Q556" s="265"/>
      <c r="R556" s="265"/>
      <c r="S556" s="265"/>
      <c r="T556" s="265"/>
    </row>
    <row r="557" spans="1:23" ht="27.75" customHeight="1">
      <c r="A557" s="240" t="str">
        <f>IF(ISBLANK(D557)," ",447-COUNTBLANK($D$5:D557))</f>
        <v xml:space="preserve"> </v>
      </c>
      <c r="Q557" s="265"/>
      <c r="R557" s="265"/>
      <c r="S557" s="265"/>
      <c r="T557" s="265"/>
    </row>
    <row r="558" spans="1:23" ht="27.75" customHeight="1">
      <c r="A558" s="240" t="str">
        <f>IF(ISBLANK(D558)," ",448-COUNTBLANK($D$5:D558))</f>
        <v xml:space="preserve"> </v>
      </c>
      <c r="Q558" s="265"/>
      <c r="R558" s="265"/>
      <c r="S558" s="265"/>
      <c r="T558" s="265"/>
    </row>
    <row r="559" spans="1:23" ht="27.75" customHeight="1">
      <c r="A559" s="240" t="str">
        <f>IF(ISBLANK(D559)," ",449-COUNTBLANK($D$5:D559))</f>
        <v xml:space="preserve"> </v>
      </c>
      <c r="Q559" s="265"/>
      <c r="R559" s="265"/>
      <c r="S559" s="265"/>
      <c r="T559" s="265"/>
    </row>
    <row r="560" spans="1:23" ht="27.75" customHeight="1">
      <c r="A560" s="240" t="str">
        <f>IF(ISBLANK(D560)," ",450-COUNTBLANK($D$5:D560))</f>
        <v xml:space="preserve"> </v>
      </c>
      <c r="Q560" s="265"/>
      <c r="R560" s="265"/>
      <c r="S560" s="265"/>
      <c r="T560" s="265"/>
    </row>
    <row r="561" spans="1:23" ht="27.75" customHeight="1">
      <c r="A561" s="240" t="str">
        <f>IF(ISBLANK(D561)," ",451-COUNTBLANK($D$5:D561))</f>
        <v xml:space="preserve"> </v>
      </c>
      <c r="Q561" s="265"/>
      <c r="R561" s="265"/>
      <c r="S561" s="265"/>
      <c r="T561" s="265"/>
    </row>
    <row r="562" spans="1:23" ht="27.75" customHeight="1">
      <c r="A562" s="240" t="str">
        <f>IF(ISBLANK(D562)," ",452-COUNTBLANK($D$5:D562))</f>
        <v xml:space="preserve"> </v>
      </c>
      <c r="Q562" s="265"/>
      <c r="R562" s="265"/>
      <c r="S562" s="265"/>
      <c r="T562" s="265"/>
    </row>
    <row r="563" spans="1:23" ht="27.75" customHeight="1">
      <c r="A563" s="240" t="str">
        <f>IF(ISBLANK(D563)," ",453-COUNTBLANK($D$5:D563))</f>
        <v xml:space="preserve"> </v>
      </c>
      <c r="Q563" s="265"/>
      <c r="R563" s="265"/>
      <c r="S563" s="265"/>
      <c r="T563" s="265"/>
    </row>
    <row r="564" spans="1:23" ht="27.75" customHeight="1">
      <c r="A564" s="240" t="str">
        <f>IF(ISBLANK(D564)," ",454-COUNTBLANK($D$5:D564))</f>
        <v xml:space="preserve"> </v>
      </c>
      <c r="Q564" s="265"/>
      <c r="R564" s="265"/>
      <c r="S564" s="265"/>
      <c r="T564" s="265"/>
    </row>
    <row r="565" spans="1:23" ht="27.75" customHeight="1">
      <c r="A565" s="240" t="str">
        <f>IF(ISBLANK(D565)," ",455-COUNTBLANK($D$5:D565))</f>
        <v xml:space="preserve"> </v>
      </c>
      <c r="Q565" s="265"/>
      <c r="R565" s="265"/>
      <c r="S565" s="265"/>
      <c r="T565" s="265"/>
    </row>
    <row r="566" spans="1:23" ht="27.75" customHeight="1">
      <c r="A566" s="240" t="str">
        <f>IF(ISBLANK(D566)," ",456-COUNTBLANK($D$5:D566))</f>
        <v xml:space="preserve"> </v>
      </c>
      <c r="Q566" s="265"/>
      <c r="R566" s="265"/>
      <c r="S566" s="265"/>
      <c r="T566" s="265"/>
    </row>
    <row r="567" spans="1:23" ht="27.75" customHeight="1">
      <c r="A567" s="240" t="str">
        <f>IF(ISBLANK(D567)," ",457-COUNTBLANK($D$5:D567))</f>
        <v xml:space="preserve"> </v>
      </c>
      <c r="Q567" s="265"/>
      <c r="R567" s="265"/>
      <c r="S567" s="265"/>
      <c r="T567" s="265"/>
    </row>
    <row r="568" spans="1:23" ht="27.75" customHeight="1">
      <c r="A568" s="240" t="str">
        <f>IF(ISBLANK(D568)," ",458-COUNTBLANK($D$5:D568))</f>
        <v xml:space="preserve"> </v>
      </c>
      <c r="Q568" s="265"/>
      <c r="R568" s="265"/>
      <c r="S568" s="265"/>
      <c r="T568" s="265"/>
    </row>
    <row r="569" spans="1:23" ht="27.75" customHeight="1">
      <c r="A569" s="240" t="str">
        <f>IF(ISBLANK(D569)," ",459-COUNTBLANK($D$5:D569))</f>
        <v xml:space="preserve"> </v>
      </c>
      <c r="Q569" s="265"/>
      <c r="R569" s="265"/>
      <c r="S569" s="265"/>
      <c r="T569" s="265"/>
    </row>
    <row r="570" spans="1:23" ht="27.75" customHeight="1">
      <c r="A570" s="240" t="str">
        <f>IF(ISBLANK(D570)," ",460-COUNTBLANK($D$5:D570))</f>
        <v xml:space="preserve"> </v>
      </c>
      <c r="Q570" s="265"/>
      <c r="R570" s="265"/>
      <c r="S570" s="265"/>
      <c r="T570" s="267"/>
    </row>
    <row r="571" spans="1:23" ht="27.75" customHeight="1">
      <c r="A571" s="240" t="str">
        <f>IF(ISBLANK(D571)," ",461-COUNTBLANK($D$5:D571))</f>
        <v xml:space="preserve"> </v>
      </c>
      <c r="Q571" s="265"/>
      <c r="R571" s="265"/>
      <c r="S571" s="265"/>
      <c r="T571" s="267"/>
    </row>
    <row r="572" spans="1:23" ht="27.75" customHeight="1">
      <c r="A572" s="240" t="s">
        <v>52</v>
      </c>
      <c r="F572" s="309">
        <f>SUM(F552:F571)</f>
        <v>0</v>
      </c>
      <c r="Q572" s="265"/>
      <c r="R572" s="265"/>
      <c r="S572" s="265"/>
      <c r="T572" s="267"/>
    </row>
    <row r="573" spans="1:23" ht="27.75" customHeight="1">
      <c r="A573" s="240" t="str">
        <f>IF(ISBLANK(D573)," ",463-COUNTBLANK($D$5:D573))</f>
        <v xml:space="preserve"> </v>
      </c>
      <c r="Q573" s="265"/>
      <c r="R573" s="265"/>
      <c r="S573" s="265"/>
      <c r="T573" s="267"/>
    </row>
    <row r="574" spans="1:23" ht="27.75" customHeight="1">
      <c r="A574" s="240" t="str">
        <f>IF(ISBLANK(D574)," ",464-COUNTBLANK($D$5:D574))</f>
        <v xml:space="preserve"> </v>
      </c>
      <c r="Q574" s="265"/>
      <c r="R574" s="265"/>
      <c r="S574" s="265"/>
      <c r="T574" s="284"/>
      <c r="U574" s="265"/>
      <c r="V574" s="265"/>
      <c r="W574" s="265"/>
    </row>
    <row r="575" spans="1:23" ht="27.75" customHeight="1">
      <c r="A575" s="240" t="str">
        <f>IF(ISBLANK(D575)," ",465-COUNTBLANK($D$5:D575))</f>
        <v xml:space="preserve"> </v>
      </c>
      <c r="Q575" s="265"/>
      <c r="R575" s="265"/>
      <c r="S575" s="265"/>
      <c r="T575" s="284"/>
      <c r="U575" s="265"/>
      <c r="V575" s="265"/>
      <c r="W575" s="265"/>
    </row>
    <row r="576" spans="1:23" ht="27.75" customHeight="1">
      <c r="A576" s="240" t="str">
        <f>IF(ISBLANK(D576)," ",466-COUNTBLANK($D$5:D576))</f>
        <v xml:space="preserve"> </v>
      </c>
      <c r="Q576" s="265"/>
      <c r="R576" s="265"/>
      <c r="S576" s="265"/>
      <c r="T576" s="265"/>
    </row>
    <row r="577" spans="1:20" ht="27.75" customHeight="1">
      <c r="A577" s="240" t="str">
        <f>IF(ISBLANK(D577)," ",467-COUNTBLANK($D$5:D577))</f>
        <v xml:space="preserve"> </v>
      </c>
      <c r="Q577" s="265"/>
      <c r="R577" s="265"/>
      <c r="S577" s="265"/>
      <c r="T577" s="265"/>
    </row>
    <row r="578" spans="1:20" ht="27.75" customHeight="1">
      <c r="A578" s="240" t="str">
        <f>IF(ISBLANK(D578)," ",468-COUNTBLANK($D$5:D578))</f>
        <v xml:space="preserve"> </v>
      </c>
      <c r="Q578" s="265"/>
      <c r="R578" s="265"/>
      <c r="S578" s="265"/>
      <c r="T578" s="265"/>
    </row>
    <row r="579" spans="1:20" ht="27.75" customHeight="1">
      <c r="A579" s="240" t="str">
        <f>IF(ISBLANK(D579)," ",469-COUNTBLANK($D$5:D579))</f>
        <v xml:space="preserve"> </v>
      </c>
      <c r="Q579" s="265"/>
      <c r="R579" s="265"/>
      <c r="S579" s="265"/>
      <c r="T579" s="265"/>
    </row>
    <row r="580" spans="1:20" ht="27.75" customHeight="1">
      <c r="A580" s="240" t="str">
        <f>IF(ISBLANK(D580)," ",470-COUNTBLANK($D$5:D580))</f>
        <v xml:space="preserve"> </v>
      </c>
      <c r="Q580" s="265"/>
      <c r="R580" s="265"/>
      <c r="S580" s="265"/>
      <c r="T580" s="265"/>
    </row>
    <row r="581" spans="1:20" ht="27.75" customHeight="1">
      <c r="A581" s="240" t="str">
        <f>IF(ISBLANK(D581)," ",471-COUNTBLANK($D$5:D581))</f>
        <v xml:space="preserve"> </v>
      </c>
      <c r="Q581" s="265"/>
      <c r="R581" s="265"/>
      <c r="S581" s="265"/>
      <c r="T581" s="265"/>
    </row>
    <row r="582" spans="1:20" ht="27.75" customHeight="1">
      <c r="A582" s="240" t="str">
        <f>IF(ISBLANK(D582)," ",472-COUNTBLANK($D$5:D582))</f>
        <v xml:space="preserve"> </v>
      </c>
      <c r="Q582" s="265"/>
      <c r="R582" s="265"/>
      <c r="S582" s="265"/>
      <c r="T582" s="265"/>
    </row>
    <row r="583" spans="1:20" ht="27.75" customHeight="1">
      <c r="A583" s="240" t="str">
        <f>IF(ISBLANK(D583)," ",473-COUNTBLANK($D$5:D583))</f>
        <v xml:space="preserve"> </v>
      </c>
      <c r="Q583" s="265"/>
      <c r="R583" s="265"/>
      <c r="S583" s="265"/>
      <c r="T583" s="265"/>
    </row>
    <row r="584" spans="1:20" ht="27.75" customHeight="1">
      <c r="A584" s="240" t="str">
        <f>IF(ISBLANK(D584)," ",474-COUNTBLANK($D$5:D584))</f>
        <v xml:space="preserve"> </v>
      </c>
      <c r="Q584" s="265"/>
      <c r="R584" s="265"/>
      <c r="S584" s="265"/>
      <c r="T584" s="265"/>
    </row>
    <row r="585" spans="1:20" ht="27.75" customHeight="1">
      <c r="A585" s="240" t="str">
        <f>IF(ISBLANK(D585)," ",475-COUNTBLANK($D$5:D585))</f>
        <v xml:space="preserve"> </v>
      </c>
      <c r="Q585" s="265"/>
      <c r="R585" s="265"/>
      <c r="S585" s="265"/>
      <c r="T585" s="265"/>
    </row>
    <row r="586" spans="1:20" ht="27.75" customHeight="1">
      <c r="A586" s="240" t="str">
        <f>IF(ISBLANK(D586)," ",476-COUNTBLANK($D$5:D586))</f>
        <v xml:space="preserve"> </v>
      </c>
      <c r="Q586" s="265"/>
      <c r="R586" s="265"/>
      <c r="S586" s="265"/>
      <c r="T586" s="265"/>
    </row>
    <row r="587" spans="1:20" ht="27.75" customHeight="1">
      <c r="A587" s="240" t="str">
        <f>IF(ISBLANK(D587)," ",477-COUNTBLANK($D$5:D587))</f>
        <v xml:space="preserve"> </v>
      </c>
      <c r="Q587" s="265"/>
      <c r="R587" s="265"/>
      <c r="S587" s="265"/>
      <c r="T587" s="265"/>
    </row>
    <row r="588" spans="1:20" ht="27.75" customHeight="1">
      <c r="A588" s="240" t="str">
        <f>IF(ISBLANK(D588)," ",478-COUNTBLANK($D$5:D588))</f>
        <v xml:space="preserve"> </v>
      </c>
      <c r="Q588" s="265"/>
      <c r="R588" s="265"/>
      <c r="S588" s="265"/>
      <c r="T588" s="265"/>
    </row>
    <row r="589" spans="1:20" ht="27.75" customHeight="1">
      <c r="A589" s="240" t="str">
        <f>IF(ISBLANK(D589)," ",479-COUNTBLANK($D$5:D589))</f>
        <v xml:space="preserve"> </v>
      </c>
      <c r="Q589" s="265"/>
      <c r="R589" s="265"/>
      <c r="S589" s="265"/>
      <c r="T589" s="265"/>
    </row>
    <row r="590" spans="1:20" ht="27.75" customHeight="1">
      <c r="A590" s="240" t="str">
        <f>IF(ISBLANK(D590)," ",480-COUNTBLANK($D$5:D590))</f>
        <v xml:space="preserve"> </v>
      </c>
      <c r="Q590" s="265"/>
      <c r="R590" s="265"/>
      <c r="S590" s="265"/>
      <c r="T590" s="265"/>
    </row>
    <row r="591" spans="1:20" ht="27.75" customHeight="1">
      <c r="A591" s="240" t="str">
        <f>IF(ISBLANK(D591)," ",481-COUNTBLANK($D$5:D591))</f>
        <v xml:space="preserve"> </v>
      </c>
      <c r="Q591" s="265"/>
      <c r="R591" s="265"/>
      <c r="S591" s="265"/>
      <c r="T591" s="267"/>
    </row>
    <row r="592" spans="1:20" ht="27.75" customHeight="1">
      <c r="A592" s="240" t="str">
        <f>IF(ISBLANK(D592)," ",482-COUNTBLANK($D$5:D592))</f>
        <v xml:space="preserve"> </v>
      </c>
      <c r="Q592" s="265"/>
      <c r="R592" s="265"/>
      <c r="S592" s="265"/>
      <c r="T592" s="267"/>
    </row>
    <row r="593" spans="1:23" ht="27.75" customHeight="1">
      <c r="A593" s="240" t="s">
        <v>52</v>
      </c>
      <c r="F593" s="309">
        <f>SUM(F573:F592)</f>
        <v>0</v>
      </c>
      <c r="Q593" s="265"/>
      <c r="R593" s="265"/>
      <c r="S593" s="265"/>
      <c r="T593" s="267"/>
    </row>
    <row r="594" spans="1:23" ht="27.75" customHeight="1">
      <c r="A594" s="240" t="str">
        <f>IF(ISBLANK(D594)," ",484-COUNTBLANK($D$5:D594))</f>
        <v xml:space="preserve"> </v>
      </c>
      <c r="Q594" s="265"/>
      <c r="R594" s="265"/>
      <c r="S594" s="265"/>
      <c r="T594" s="267"/>
    </row>
    <row r="595" spans="1:23" ht="27.75" customHeight="1">
      <c r="A595" s="240" t="str">
        <f>IF(ISBLANK(D595)," ",485-COUNTBLANK($D$5:D595))</f>
        <v xml:space="preserve"> </v>
      </c>
      <c r="Q595" s="265"/>
      <c r="R595" s="265"/>
      <c r="S595" s="265"/>
      <c r="T595" s="284"/>
      <c r="U595" s="265"/>
      <c r="V595" s="265"/>
      <c r="W595" s="265"/>
    </row>
    <row r="596" spans="1:23" ht="27.75" customHeight="1">
      <c r="A596" s="240" t="str">
        <f>IF(ISBLANK(D596)," ",486-COUNTBLANK($D$5:D596))</f>
        <v xml:space="preserve"> </v>
      </c>
      <c r="Q596" s="265"/>
      <c r="R596" s="265"/>
      <c r="S596" s="265"/>
      <c r="T596" s="284"/>
      <c r="U596" s="265"/>
      <c r="V596" s="265"/>
      <c r="W596" s="265"/>
    </row>
    <row r="597" spans="1:23">
      <c r="A597" s="240" t="str">
        <f>IF(ISBLANK(D597)," ",487-COUNTBLANK($D$5:D597))</f>
        <v xml:space="preserve"> </v>
      </c>
      <c r="Q597" s="311"/>
      <c r="R597" s="311"/>
      <c r="S597" s="311"/>
      <c r="T597" s="311"/>
    </row>
    <row r="598" spans="1:23">
      <c r="A598" s="240" t="str">
        <f>IF(ISBLANK(D598)," ",488-COUNTBLANK($D$5:D598))</f>
        <v xml:space="preserve"> </v>
      </c>
      <c r="Q598" s="311"/>
      <c r="R598" s="311"/>
      <c r="S598" s="311"/>
      <c r="T598" s="311"/>
    </row>
    <row r="599" spans="1:23">
      <c r="A599" s="240" t="str">
        <f>IF(ISBLANK(D599)," ",489-COUNTBLANK($D$5:D599))</f>
        <v xml:space="preserve"> </v>
      </c>
    </row>
    <row r="600" spans="1:23">
      <c r="A600" s="240" t="str">
        <f>IF(ISBLANK(D600)," ",490-COUNTBLANK($D$5:D600))</f>
        <v xml:space="preserve"> </v>
      </c>
    </row>
    <row r="601" spans="1:23">
      <c r="A601" s="240" t="str">
        <f>IF(ISBLANK(D601)," ",491-COUNTBLANK($D$5:D601))</f>
        <v xml:space="preserve"> </v>
      </c>
    </row>
    <row r="602" spans="1:23">
      <c r="A602" s="240" t="str">
        <f>IF(ISBLANK(D602)," ",492-COUNTBLANK($D$5:D602))</f>
        <v xml:space="preserve"> </v>
      </c>
    </row>
    <row r="603" spans="1:23">
      <c r="A603" s="240" t="str">
        <f>IF(ISBLANK(D603)," ",493-COUNTBLANK($D$5:D603))</f>
        <v xml:space="preserve"> </v>
      </c>
    </row>
    <row r="604" spans="1:23">
      <c r="A604" s="240" t="str">
        <f>IF(ISBLANK(D604)," ",494-COUNTBLANK($D$5:D604))</f>
        <v xml:space="preserve"> </v>
      </c>
    </row>
    <row r="605" spans="1:23">
      <c r="A605" s="240" t="str">
        <f>IF(ISBLANK(D605)," ",495-COUNTBLANK($D$5:D605))</f>
        <v xml:space="preserve"> </v>
      </c>
    </row>
    <row r="606" spans="1:23">
      <c r="A606" s="240" t="str">
        <f>IF(ISBLANK(D606)," ",496-COUNTBLANK($D$5:D606))</f>
        <v xml:space="preserve"> </v>
      </c>
    </row>
    <row r="607" spans="1:23">
      <c r="A607" s="240" t="str">
        <f>IF(ISBLANK(D607)," ",497-COUNTBLANK($D$5:D607))</f>
        <v xml:space="preserve"> </v>
      </c>
    </row>
    <row r="608" spans="1:23">
      <c r="A608" s="240" t="str">
        <f>IF(ISBLANK(D608)," ",498-COUNTBLANK($D$5:D608))</f>
        <v xml:space="preserve"> </v>
      </c>
    </row>
    <row r="609" spans="1:6">
      <c r="A609" s="240" t="str">
        <f>IF(ISBLANK(D609)," ",499-COUNTBLANK($D$5:D609))</f>
        <v xml:space="preserve"> </v>
      </c>
    </row>
    <row r="610" spans="1:6">
      <c r="A610" s="240" t="str">
        <f>IF(ISBLANK(D610)," ",500-COUNTBLANK($D$5:D610))</f>
        <v xml:space="preserve"> </v>
      </c>
    </row>
    <row r="611" spans="1:6">
      <c r="A611" s="240" t="str">
        <f>IF(ISBLANK(D611)," ",501-COUNTBLANK($D$5:D611))</f>
        <v xml:space="preserve"> </v>
      </c>
    </row>
    <row r="612" spans="1:6">
      <c r="A612" s="240" t="str">
        <f>IF(ISBLANK(D612)," ",502-COUNTBLANK($D$5:D612))</f>
        <v xml:space="preserve"> </v>
      </c>
    </row>
    <row r="613" spans="1:6">
      <c r="A613" s="240" t="str">
        <f>IF(ISBLANK(D613)," ",503-COUNTBLANK($D$5:D613))</f>
        <v xml:space="preserve"> </v>
      </c>
    </row>
    <row r="614" spans="1:6">
      <c r="A614" s="240" t="s">
        <v>52</v>
      </c>
      <c r="F614" s="309">
        <f>SUM(F594:F613)</f>
        <v>0</v>
      </c>
    </row>
    <row r="615" spans="1:6">
      <c r="A615" s="240" t="str">
        <f>IF(ISBLANK(D615)," ",505-COUNTBLANK($D$5:D615))</f>
        <v xml:space="preserve"> </v>
      </c>
    </row>
    <row r="616" spans="1:6">
      <c r="A616" s="240" t="str">
        <f>IF(ISBLANK(D616)," ",506-COUNTBLANK($D$5:D616))</f>
        <v xml:space="preserve"> </v>
      </c>
    </row>
    <row r="617" spans="1:6">
      <c r="A617" s="240" t="str">
        <f>IF(ISBLANK(D617)," ",507-COUNTBLANK($D$5:D617))</f>
        <v xml:space="preserve"> </v>
      </c>
    </row>
    <row r="618" spans="1:6">
      <c r="A618" s="240" t="str">
        <f>IF(ISBLANK(D618)," ",508-COUNTBLANK($D$5:D618))</f>
        <v xml:space="preserve"> </v>
      </c>
    </row>
    <row r="619" spans="1:6">
      <c r="A619" s="240" t="str">
        <f>IF(ISBLANK(D619)," ",509-COUNTBLANK($D$5:D619))</f>
        <v xml:space="preserve"> </v>
      </c>
    </row>
    <row r="620" spans="1:6">
      <c r="A620" s="240" t="str">
        <f>IF(ISBLANK(D620)," ",510-COUNTBLANK($D$5:D620))</f>
        <v xml:space="preserve"> </v>
      </c>
    </row>
    <row r="621" spans="1:6">
      <c r="A621" s="240" t="str">
        <f>IF(ISBLANK(D621)," ",511-COUNTBLANK($D$5:D621))</f>
        <v xml:space="preserve"> </v>
      </c>
    </row>
    <row r="622" spans="1:6">
      <c r="A622" s="240" t="str">
        <f>IF(ISBLANK(D622)," ",512-COUNTBLANK($D$5:D622))</f>
        <v xml:space="preserve"> </v>
      </c>
    </row>
    <row r="623" spans="1:6">
      <c r="A623" s="240" t="str">
        <f>IF(ISBLANK(D623)," ",513-COUNTBLANK($D$5:D623))</f>
        <v xml:space="preserve"> </v>
      </c>
    </row>
    <row r="624" spans="1:6">
      <c r="A624" s="240" t="str">
        <f>IF(ISBLANK(D624)," ",514-COUNTBLANK($D$5:D624))</f>
        <v xml:space="preserve"> </v>
      </c>
    </row>
    <row r="625" spans="1:6">
      <c r="A625" s="240" t="str">
        <f>IF(ISBLANK(D625)," ",515-COUNTBLANK($D$5:D625))</f>
        <v xml:space="preserve"> </v>
      </c>
    </row>
    <row r="626" spans="1:6">
      <c r="A626" s="240" t="str">
        <f>IF(ISBLANK(D626)," ",516-COUNTBLANK($D$5:D626))</f>
        <v xml:space="preserve"> </v>
      </c>
    </row>
    <row r="627" spans="1:6">
      <c r="A627" s="240" t="str">
        <f>IF(ISBLANK(D627)," ",517-COUNTBLANK($D$5:D627))</f>
        <v xml:space="preserve"> </v>
      </c>
    </row>
    <row r="628" spans="1:6">
      <c r="A628" s="240" t="str">
        <f>IF(ISBLANK(D628)," ",518-COUNTBLANK($D$5:D628))</f>
        <v xml:space="preserve"> </v>
      </c>
    </row>
    <row r="629" spans="1:6">
      <c r="A629" s="240" t="str">
        <f>IF(ISBLANK(D629)," ",519-COUNTBLANK($D$5:D629))</f>
        <v xml:space="preserve"> </v>
      </c>
    </row>
    <row r="630" spans="1:6">
      <c r="A630" s="240" t="str">
        <f>IF(ISBLANK(D630)," ",520-COUNTBLANK($D$5:D630))</f>
        <v xml:space="preserve"> </v>
      </c>
    </row>
    <row r="631" spans="1:6">
      <c r="A631" s="240" t="str">
        <f>IF(ISBLANK(D631)," ",521-COUNTBLANK($D$5:D631))</f>
        <v xml:space="preserve"> </v>
      </c>
    </row>
    <row r="632" spans="1:6">
      <c r="A632" s="240" t="str">
        <f>IF(ISBLANK(D632)," ",522-COUNTBLANK($D$5:D632))</f>
        <v xml:space="preserve"> </v>
      </c>
    </row>
    <row r="633" spans="1:6">
      <c r="A633" s="240" t="str">
        <f>IF(ISBLANK(D633)," ",523-COUNTBLANK($D$5:D633))</f>
        <v xml:space="preserve"> </v>
      </c>
    </row>
    <row r="634" spans="1:6">
      <c r="A634" s="240" t="str">
        <f>IF(ISBLANK(D634)," ",524-COUNTBLANK($D$5:D634))</f>
        <v xml:space="preserve"> </v>
      </c>
    </row>
    <row r="635" spans="1:6">
      <c r="A635" s="240" t="s">
        <v>52</v>
      </c>
      <c r="F635" s="309">
        <f>SUM(F615:F634)</f>
        <v>0</v>
      </c>
    </row>
  </sheetData>
  <mergeCells count="6">
    <mergeCell ref="B3:C3"/>
    <mergeCell ref="F3:H3"/>
    <mergeCell ref="D3:D4"/>
    <mergeCell ref="I3:J3"/>
    <mergeCell ref="P3:P4"/>
    <mergeCell ref="K3:L3"/>
  </mergeCells>
  <phoneticPr fontId="12" type="noConversion"/>
  <printOptions horizontalCentered="1"/>
  <pageMargins left="0.19685039370078741" right="0.19685039370078741" top="0.39370078740157483" bottom="0.59055118110236227" header="0" footer="0.19685039370078741"/>
  <pageSetup paperSize="9" scale="90" fitToHeight="100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5"/>
  <sheetViews>
    <sheetView showGridLines="0" showZeros="0" view="pageBreakPreview" topLeftCell="A169" zoomScale="85" zoomScaleNormal="55" zoomScaleSheetLayoutView="85" workbookViewId="0">
      <selection activeCell="V39" sqref="V39"/>
    </sheetView>
  </sheetViews>
  <sheetFormatPr defaultRowHeight="11.25"/>
  <cols>
    <col min="1" max="1" width="4.33203125" style="240" customWidth="1"/>
    <col min="2" max="3" width="6.33203125" style="307" customWidth="1"/>
    <col min="4" max="4" width="3.77734375" style="240" customWidth="1"/>
    <col min="5" max="5" width="7.77734375" style="308" customWidth="1"/>
    <col min="6" max="6" width="7.77734375" style="309" customWidth="1"/>
    <col min="7" max="7" width="8.33203125" style="310" customWidth="1"/>
    <col min="8" max="8" width="17.44140625" style="240" customWidth="1"/>
    <col min="9" max="9" width="6.77734375" style="240" customWidth="1"/>
    <col min="10" max="10" width="20.77734375" style="311" customWidth="1"/>
    <col min="11" max="11" width="9.77734375" style="313" customWidth="1"/>
    <col min="12" max="17" width="9.77734375" style="240" customWidth="1"/>
    <col min="18" max="18" width="10.77734375" style="240" customWidth="1"/>
    <col min="19" max="16384" width="8.88671875" style="240"/>
  </cols>
  <sheetData>
    <row r="1" spans="1:18" ht="30" customHeight="1">
      <c r="A1" s="231" t="s">
        <v>58</v>
      </c>
      <c r="B1" s="232"/>
      <c r="C1" s="232"/>
      <c r="D1" s="233"/>
      <c r="E1" s="234"/>
      <c r="F1" s="235"/>
      <c r="G1" s="233"/>
      <c r="H1" s="233"/>
      <c r="I1" s="236"/>
      <c r="J1" s="237"/>
      <c r="K1" s="238"/>
      <c r="L1" s="239"/>
      <c r="M1" s="239"/>
      <c r="N1" s="239"/>
      <c r="O1" s="239"/>
      <c r="P1" s="239"/>
      <c r="Q1" s="239"/>
      <c r="R1" s="239"/>
    </row>
    <row r="2" spans="1:18" ht="19.899999999999999" customHeight="1">
      <c r="A2" s="241"/>
      <c r="B2" s="242"/>
      <c r="C2" s="242"/>
      <c r="D2" s="239"/>
      <c r="E2" s="243"/>
      <c r="F2" s="244"/>
      <c r="G2" s="245"/>
      <c r="H2" s="246"/>
      <c r="I2" s="249"/>
      <c r="J2" s="245"/>
      <c r="K2" s="238"/>
      <c r="L2" s="239"/>
      <c r="M2" s="239"/>
      <c r="N2" s="239"/>
      <c r="O2" s="239"/>
      <c r="P2" s="239"/>
      <c r="Q2" s="239"/>
      <c r="R2" s="239"/>
    </row>
    <row r="3" spans="1:18" ht="10.15" customHeight="1">
      <c r="A3" s="250"/>
      <c r="B3" s="251"/>
      <c r="C3" s="251"/>
      <c r="D3" s="252"/>
      <c r="E3" s="253"/>
      <c r="F3" s="254"/>
      <c r="G3" s="255"/>
      <c r="H3" s="252"/>
      <c r="I3" s="256"/>
      <c r="J3" s="257"/>
      <c r="K3" s="238"/>
      <c r="L3" s="239"/>
      <c r="M3" s="239"/>
      <c r="N3" s="239"/>
      <c r="O3" s="239"/>
      <c r="P3" s="239"/>
      <c r="Q3" s="239"/>
      <c r="R3" s="239"/>
    </row>
    <row r="4" spans="1:18" ht="18" customHeight="1">
      <c r="A4" s="107" t="s">
        <v>39</v>
      </c>
      <c r="B4" s="499" t="s">
        <v>40</v>
      </c>
      <c r="C4" s="500"/>
      <c r="D4" s="501" t="s">
        <v>41</v>
      </c>
      <c r="E4" s="206" t="s">
        <v>42</v>
      </c>
      <c r="F4" s="325" t="s">
        <v>43</v>
      </c>
      <c r="G4" s="499" t="s">
        <v>131</v>
      </c>
      <c r="H4" s="500"/>
      <c r="I4" s="503" t="s">
        <v>31</v>
      </c>
      <c r="J4" s="495" t="s">
        <v>31</v>
      </c>
      <c r="K4" s="497" t="s">
        <v>71</v>
      </c>
      <c r="L4" s="239"/>
      <c r="M4" s="258"/>
      <c r="N4" s="258"/>
      <c r="O4" s="258"/>
      <c r="P4" s="258"/>
      <c r="Q4" s="258"/>
      <c r="R4" s="258"/>
    </row>
    <row r="5" spans="1:18" ht="18" customHeight="1">
      <c r="A5" s="62" t="s">
        <v>47</v>
      </c>
      <c r="B5" s="65" t="s">
        <v>136</v>
      </c>
      <c r="C5" s="65" t="s">
        <v>137</v>
      </c>
      <c r="D5" s="502"/>
      <c r="E5" s="208" t="s">
        <v>59</v>
      </c>
      <c r="F5" s="65" t="s">
        <v>129</v>
      </c>
      <c r="G5" s="65" t="s">
        <v>49</v>
      </c>
      <c r="H5" s="64" t="s">
        <v>50</v>
      </c>
      <c r="I5" s="504"/>
      <c r="J5" s="496"/>
      <c r="K5" s="498"/>
      <c r="L5" s="258"/>
      <c r="M5" s="259"/>
      <c r="N5" s="259"/>
      <c r="O5" s="259"/>
      <c r="P5" s="259"/>
      <c r="Q5" s="259"/>
      <c r="R5" s="239"/>
    </row>
    <row r="6" spans="1:18" ht="18" customHeight="1">
      <c r="A6" s="204">
        <v>1</v>
      </c>
      <c r="B6" s="202" t="s">
        <v>902</v>
      </c>
      <c r="C6" s="202"/>
      <c r="D6" s="202" t="s">
        <v>484</v>
      </c>
      <c r="E6" s="300">
        <v>5</v>
      </c>
      <c r="F6" s="210">
        <v>5</v>
      </c>
      <c r="G6" s="203" t="s">
        <v>511</v>
      </c>
      <c r="H6" s="203" t="s">
        <v>712</v>
      </c>
      <c r="I6" s="276"/>
      <c r="J6" s="263" t="str">
        <f>CONCATENATE(D6,G6)</f>
        <v>유국</v>
      </c>
      <c r="K6" s="264"/>
      <c r="L6" s="265"/>
      <c r="M6" s="265"/>
      <c r="N6" s="265"/>
      <c r="O6" s="265"/>
      <c r="P6" s="265"/>
      <c r="Q6" s="265"/>
      <c r="R6" s="265"/>
    </row>
    <row r="7" spans="1:18" ht="18" customHeight="1">
      <c r="A7" s="204">
        <v>2</v>
      </c>
      <c r="B7" s="202" t="s">
        <v>903</v>
      </c>
      <c r="C7" s="202"/>
      <c r="D7" s="202" t="s">
        <v>7</v>
      </c>
      <c r="E7" s="300">
        <v>1514</v>
      </c>
      <c r="F7" s="210">
        <v>1514</v>
      </c>
      <c r="G7" s="203" t="s">
        <v>451</v>
      </c>
      <c r="H7" s="203" t="s">
        <v>452</v>
      </c>
      <c r="I7" s="276"/>
      <c r="J7" s="263" t="str">
        <f t="shared" ref="J7:J70" si="0">CONCATENATE(D7,G7)</f>
        <v>전공</v>
      </c>
      <c r="K7" s="264">
        <v>8550</v>
      </c>
      <c r="L7" s="265"/>
      <c r="M7" s="265"/>
      <c r="N7" s="265"/>
      <c r="O7" s="265"/>
      <c r="P7" s="265"/>
      <c r="Q7" s="265"/>
      <c r="R7" s="265"/>
    </row>
    <row r="8" spans="1:18" ht="18" customHeight="1">
      <c r="A8" s="204">
        <v>3</v>
      </c>
      <c r="B8" s="202" t="s">
        <v>904</v>
      </c>
      <c r="C8" s="202"/>
      <c r="D8" s="202" t="s">
        <v>93</v>
      </c>
      <c r="E8" s="300">
        <v>1116</v>
      </c>
      <c r="F8" s="210">
        <v>1116</v>
      </c>
      <c r="G8" s="203" t="s">
        <v>1117</v>
      </c>
      <c r="H8" s="203" t="s">
        <v>1117</v>
      </c>
      <c r="I8" s="276"/>
      <c r="J8" s="263" t="str">
        <f t="shared" si="0"/>
        <v>임김*예</v>
      </c>
      <c r="K8" s="264">
        <v>8550</v>
      </c>
      <c r="L8" s="265"/>
      <c r="M8" s="265"/>
      <c r="N8" s="265"/>
      <c r="O8" s="265"/>
      <c r="P8" s="265"/>
      <c r="Q8" s="265"/>
      <c r="R8" s="265"/>
    </row>
    <row r="9" spans="1:18" ht="18" customHeight="1">
      <c r="A9" s="204">
        <v>4</v>
      </c>
      <c r="B9" s="202" t="s">
        <v>905</v>
      </c>
      <c r="C9" s="202"/>
      <c r="D9" s="202" t="s">
        <v>93</v>
      </c>
      <c r="E9" s="300">
        <v>188</v>
      </c>
      <c r="F9" s="210">
        <v>99</v>
      </c>
      <c r="G9" s="203" t="s">
        <v>451</v>
      </c>
      <c r="H9" s="203" t="s">
        <v>452</v>
      </c>
      <c r="I9" s="276"/>
      <c r="J9" s="263" t="str">
        <f t="shared" si="0"/>
        <v>임공</v>
      </c>
      <c r="K9" s="264">
        <v>2970</v>
      </c>
      <c r="L9" s="265" t="s">
        <v>99</v>
      </c>
      <c r="M9" s="265"/>
      <c r="N9" s="265"/>
      <c r="O9" s="265"/>
      <c r="P9" s="265"/>
      <c r="Q9" s="265"/>
      <c r="R9" s="265"/>
    </row>
    <row r="10" spans="1:18" ht="18" customHeight="1">
      <c r="A10" s="204">
        <v>5</v>
      </c>
      <c r="B10" s="202" t="s">
        <v>906</v>
      </c>
      <c r="C10" s="202"/>
      <c r="D10" s="202" t="s">
        <v>93</v>
      </c>
      <c r="E10" s="300">
        <v>1222</v>
      </c>
      <c r="F10" s="210">
        <v>1222</v>
      </c>
      <c r="G10" s="203" t="s">
        <v>451</v>
      </c>
      <c r="H10" s="203" t="s">
        <v>452</v>
      </c>
      <c r="I10" s="276"/>
      <c r="J10" s="263" t="str">
        <f t="shared" si="0"/>
        <v>임공</v>
      </c>
      <c r="K10" s="264">
        <v>9520</v>
      </c>
      <c r="L10" s="265"/>
      <c r="M10" s="265"/>
      <c r="N10" s="265"/>
      <c r="O10" s="265"/>
      <c r="P10" s="265"/>
      <c r="Q10" s="265"/>
      <c r="R10" s="265"/>
    </row>
    <row r="11" spans="1:18" ht="18" customHeight="1">
      <c r="A11" s="204">
        <v>6</v>
      </c>
      <c r="B11" s="202" t="s">
        <v>907</v>
      </c>
      <c r="C11" s="202"/>
      <c r="D11" s="202" t="s">
        <v>459</v>
      </c>
      <c r="E11" s="300">
        <v>424</v>
      </c>
      <c r="F11" s="210">
        <v>424</v>
      </c>
      <c r="G11" s="203" t="s">
        <v>451</v>
      </c>
      <c r="H11" s="203" t="s">
        <v>452</v>
      </c>
      <c r="I11" s="276"/>
      <c r="J11" s="263" t="str">
        <f t="shared" si="0"/>
        <v>대공</v>
      </c>
      <c r="K11" s="266">
        <v>11800</v>
      </c>
      <c r="L11" s="265"/>
      <c r="M11" s="265"/>
      <c r="N11" s="265"/>
      <c r="O11" s="265"/>
      <c r="P11" s="265"/>
      <c r="Q11" s="265"/>
      <c r="R11" s="267"/>
    </row>
    <row r="12" spans="1:18" ht="18" customHeight="1">
      <c r="A12" s="204">
        <v>7</v>
      </c>
      <c r="B12" s="202" t="s">
        <v>908</v>
      </c>
      <c r="C12" s="202"/>
      <c r="D12" s="202" t="s">
        <v>7</v>
      </c>
      <c r="E12" s="300">
        <v>584</v>
      </c>
      <c r="F12" s="210">
        <v>584</v>
      </c>
      <c r="G12" s="203" t="s">
        <v>451</v>
      </c>
      <c r="H12" s="203" t="s">
        <v>452</v>
      </c>
      <c r="I12" s="276"/>
      <c r="J12" s="263" t="str">
        <f t="shared" si="0"/>
        <v>전공</v>
      </c>
      <c r="K12" s="266">
        <v>9830</v>
      </c>
      <c r="L12" s="265"/>
      <c r="M12" s="265"/>
      <c r="N12" s="265"/>
      <c r="O12" s="265"/>
      <c r="P12" s="265"/>
      <c r="Q12" s="265"/>
      <c r="R12" s="267"/>
    </row>
    <row r="13" spans="1:18" ht="18" customHeight="1">
      <c r="A13" s="204">
        <v>8</v>
      </c>
      <c r="B13" s="202" t="s">
        <v>909</v>
      </c>
      <c r="C13" s="202"/>
      <c r="D13" s="202" t="s">
        <v>462</v>
      </c>
      <c r="E13" s="300">
        <v>318.10000000000002</v>
      </c>
      <c r="F13" s="210">
        <v>318.10000000000002</v>
      </c>
      <c r="G13" s="203" t="s">
        <v>511</v>
      </c>
      <c r="H13" s="203" t="s">
        <v>712</v>
      </c>
      <c r="I13" s="276"/>
      <c r="J13" s="263" t="str">
        <f t="shared" si="0"/>
        <v>구국</v>
      </c>
      <c r="K13" s="266"/>
      <c r="L13" s="265"/>
      <c r="M13" s="265"/>
      <c r="N13" s="265"/>
      <c r="O13" s="265"/>
      <c r="P13" s="265"/>
      <c r="Q13" s="265"/>
      <c r="R13" s="267"/>
    </row>
    <row r="14" spans="1:18" ht="18" customHeight="1">
      <c r="A14" s="204">
        <v>9</v>
      </c>
      <c r="B14" s="202" t="s">
        <v>910</v>
      </c>
      <c r="C14" s="202"/>
      <c r="D14" s="202" t="s">
        <v>8</v>
      </c>
      <c r="E14" s="300">
        <v>2974.7</v>
      </c>
      <c r="F14" s="210">
        <v>2974.7</v>
      </c>
      <c r="G14" s="203" t="s">
        <v>451</v>
      </c>
      <c r="H14" s="203" t="s">
        <v>452</v>
      </c>
      <c r="I14" s="276"/>
      <c r="J14" s="263" t="str">
        <f t="shared" si="0"/>
        <v>답공</v>
      </c>
      <c r="K14" s="266">
        <v>9830</v>
      </c>
      <c r="L14" s="265"/>
      <c r="M14" s="265"/>
      <c r="N14" s="265"/>
      <c r="O14" s="265"/>
      <c r="P14" s="265"/>
      <c r="Q14" s="265"/>
      <c r="R14" s="267"/>
    </row>
    <row r="15" spans="1:18" ht="18" customHeight="1">
      <c r="A15" s="204">
        <v>10</v>
      </c>
      <c r="B15" s="202" t="s">
        <v>911</v>
      </c>
      <c r="C15" s="202"/>
      <c r="D15" s="202" t="s">
        <v>8</v>
      </c>
      <c r="E15" s="300">
        <v>742.6</v>
      </c>
      <c r="F15" s="210">
        <v>742.6</v>
      </c>
      <c r="G15" s="203" t="s">
        <v>451</v>
      </c>
      <c r="H15" s="203" t="s">
        <v>452</v>
      </c>
      <c r="I15" s="276"/>
      <c r="J15" s="263" t="str">
        <f t="shared" si="0"/>
        <v>답공</v>
      </c>
      <c r="K15" s="266">
        <v>9830</v>
      </c>
      <c r="L15" s="265"/>
      <c r="M15" s="265"/>
      <c r="N15" s="265"/>
      <c r="O15" s="265"/>
      <c r="P15" s="265"/>
      <c r="Q15" s="265"/>
      <c r="R15" s="267"/>
    </row>
    <row r="16" spans="1:18" ht="18" customHeight="1">
      <c r="A16" s="204">
        <v>11</v>
      </c>
      <c r="B16" s="202" t="s">
        <v>912</v>
      </c>
      <c r="C16" s="202"/>
      <c r="D16" s="202" t="s">
        <v>455</v>
      </c>
      <c r="E16" s="300">
        <v>394.1</v>
      </c>
      <c r="F16" s="210">
        <v>394.1</v>
      </c>
      <c r="G16" s="203" t="s">
        <v>511</v>
      </c>
      <c r="H16" s="203" t="s">
        <v>712</v>
      </c>
      <c r="I16" s="276"/>
      <c r="J16" s="263" t="str">
        <f t="shared" si="0"/>
        <v>도국</v>
      </c>
      <c r="K16" s="266"/>
      <c r="L16" s="265"/>
      <c r="M16" s="265"/>
      <c r="N16" s="265"/>
      <c r="O16" s="265"/>
      <c r="P16" s="265"/>
      <c r="Q16" s="265"/>
      <c r="R16" s="267"/>
    </row>
    <row r="17" spans="1:18" ht="18" customHeight="1">
      <c r="A17" s="204">
        <v>12</v>
      </c>
      <c r="B17" s="202" t="s">
        <v>913</v>
      </c>
      <c r="C17" s="202"/>
      <c r="D17" s="202" t="s">
        <v>8</v>
      </c>
      <c r="E17" s="300">
        <v>43</v>
      </c>
      <c r="F17" s="210">
        <v>43</v>
      </c>
      <c r="G17" s="203" t="s">
        <v>1118</v>
      </c>
      <c r="H17" s="203" t="s">
        <v>1118</v>
      </c>
      <c r="I17" s="276"/>
      <c r="J17" s="263" t="str">
        <f t="shared" si="0"/>
        <v>답김*갑
 외2인</v>
      </c>
      <c r="K17" s="266">
        <v>11000</v>
      </c>
      <c r="L17" s="265"/>
      <c r="M17" s="265"/>
      <c r="N17" s="265"/>
      <c r="O17" s="265"/>
      <c r="P17" s="265"/>
      <c r="Q17" s="265"/>
      <c r="R17" s="267"/>
    </row>
    <row r="18" spans="1:18" ht="18" customHeight="1">
      <c r="A18" s="204">
        <v>13</v>
      </c>
      <c r="B18" s="202" t="s">
        <v>914</v>
      </c>
      <c r="C18" s="202"/>
      <c r="D18" s="202" t="s">
        <v>93</v>
      </c>
      <c r="E18" s="300">
        <v>2514</v>
      </c>
      <c r="F18" s="210">
        <v>2514</v>
      </c>
      <c r="G18" s="203" t="s">
        <v>451</v>
      </c>
      <c r="H18" s="203" t="s">
        <v>452</v>
      </c>
      <c r="I18" s="276"/>
      <c r="J18" s="263" t="str">
        <f t="shared" si="0"/>
        <v>임공</v>
      </c>
      <c r="K18" s="266">
        <v>10500</v>
      </c>
      <c r="L18" s="265"/>
      <c r="M18" s="265"/>
      <c r="N18" s="265"/>
      <c r="O18" s="265"/>
      <c r="P18" s="265"/>
      <c r="Q18" s="265"/>
      <c r="R18" s="267"/>
    </row>
    <row r="19" spans="1:18" ht="18" customHeight="1">
      <c r="A19" s="204">
        <v>14</v>
      </c>
      <c r="B19" s="202" t="s">
        <v>915</v>
      </c>
      <c r="C19" s="202"/>
      <c r="D19" s="202" t="s">
        <v>7</v>
      </c>
      <c r="E19" s="300">
        <v>721</v>
      </c>
      <c r="F19" s="210">
        <v>721</v>
      </c>
      <c r="G19" s="203" t="s">
        <v>451</v>
      </c>
      <c r="H19" s="203" t="s">
        <v>452</v>
      </c>
      <c r="I19" s="276"/>
      <c r="J19" s="263" t="str">
        <f t="shared" si="0"/>
        <v>전공</v>
      </c>
      <c r="K19" s="266">
        <v>10100</v>
      </c>
      <c r="L19" s="265"/>
      <c r="M19" s="265"/>
      <c r="N19" s="265"/>
      <c r="O19" s="265"/>
      <c r="P19" s="265"/>
      <c r="Q19" s="265"/>
      <c r="R19" s="267"/>
    </row>
    <row r="20" spans="1:18" ht="18" customHeight="1">
      <c r="A20" s="204">
        <v>15</v>
      </c>
      <c r="B20" s="202" t="s">
        <v>916</v>
      </c>
      <c r="C20" s="202"/>
      <c r="D20" s="202" t="s">
        <v>7</v>
      </c>
      <c r="E20" s="300">
        <v>1146</v>
      </c>
      <c r="F20" s="210">
        <v>1146</v>
      </c>
      <c r="G20" s="203" t="s">
        <v>451</v>
      </c>
      <c r="H20" s="203" t="s">
        <v>452</v>
      </c>
      <c r="I20" s="276"/>
      <c r="J20" s="263" t="str">
        <f t="shared" si="0"/>
        <v>전공</v>
      </c>
      <c r="K20" s="266">
        <v>11300</v>
      </c>
      <c r="L20" s="265"/>
      <c r="M20" s="265"/>
      <c r="N20" s="265"/>
      <c r="O20" s="265"/>
      <c r="P20" s="265"/>
      <c r="Q20" s="265"/>
      <c r="R20" s="267"/>
    </row>
    <row r="21" spans="1:18" ht="18" customHeight="1">
      <c r="A21" s="204">
        <v>16</v>
      </c>
      <c r="B21" s="202" t="s">
        <v>917</v>
      </c>
      <c r="C21" s="202"/>
      <c r="D21" s="202" t="s">
        <v>7</v>
      </c>
      <c r="E21" s="300">
        <v>1474</v>
      </c>
      <c r="F21" s="210">
        <v>1474</v>
      </c>
      <c r="G21" s="203" t="s">
        <v>536</v>
      </c>
      <c r="H21" s="203" t="s">
        <v>452</v>
      </c>
      <c r="I21" s="276"/>
      <c r="J21" s="263" t="str">
        <f t="shared" si="0"/>
        <v>전이*우</v>
      </c>
      <c r="K21" s="266">
        <v>10100</v>
      </c>
      <c r="L21" s="265"/>
      <c r="M21" s="265"/>
      <c r="N21" s="265"/>
      <c r="O21" s="265"/>
      <c r="P21" s="265"/>
      <c r="Q21" s="265"/>
      <c r="R21" s="267"/>
    </row>
    <row r="22" spans="1:18" ht="18" customHeight="1">
      <c r="A22" s="204">
        <v>17</v>
      </c>
      <c r="B22" s="202" t="s">
        <v>918</v>
      </c>
      <c r="C22" s="202"/>
      <c r="D22" s="202" t="s">
        <v>93</v>
      </c>
      <c r="E22" s="300">
        <v>324</v>
      </c>
      <c r="F22" s="210">
        <v>324</v>
      </c>
      <c r="G22" s="203" t="s">
        <v>536</v>
      </c>
      <c r="H22" s="203" t="s">
        <v>452</v>
      </c>
      <c r="I22" s="276"/>
      <c r="J22" s="263" t="str">
        <f t="shared" si="0"/>
        <v>임이*우</v>
      </c>
      <c r="K22" s="266">
        <v>4640</v>
      </c>
      <c r="L22" s="265"/>
      <c r="M22" s="265"/>
      <c r="N22" s="265"/>
      <c r="O22" s="265"/>
      <c r="P22" s="265"/>
      <c r="Q22" s="265"/>
      <c r="R22" s="267"/>
    </row>
    <row r="23" spans="1:18" ht="18" customHeight="1">
      <c r="A23" s="204">
        <v>18</v>
      </c>
      <c r="B23" s="202" t="s">
        <v>919</v>
      </c>
      <c r="C23" s="202"/>
      <c r="D23" s="202" t="s">
        <v>8</v>
      </c>
      <c r="E23" s="300">
        <v>495</v>
      </c>
      <c r="F23" s="210">
        <v>495</v>
      </c>
      <c r="G23" s="203" t="s">
        <v>451</v>
      </c>
      <c r="H23" s="203" t="s">
        <v>452</v>
      </c>
      <c r="I23" s="276"/>
      <c r="J23" s="263" t="str">
        <f t="shared" si="0"/>
        <v>답공</v>
      </c>
      <c r="K23" s="266">
        <v>9640</v>
      </c>
      <c r="L23" s="265"/>
      <c r="M23" s="265"/>
      <c r="N23" s="265"/>
      <c r="O23" s="265"/>
      <c r="P23" s="265"/>
      <c r="Q23" s="265"/>
      <c r="R23" s="267"/>
    </row>
    <row r="24" spans="1:18" ht="18" customHeight="1">
      <c r="A24" s="204">
        <v>19</v>
      </c>
      <c r="B24" s="202" t="s">
        <v>920</v>
      </c>
      <c r="C24" s="202"/>
      <c r="D24" s="202" t="s">
        <v>7</v>
      </c>
      <c r="E24" s="300">
        <v>183</v>
      </c>
      <c r="F24" s="210">
        <v>183</v>
      </c>
      <c r="G24" s="203" t="s">
        <v>451</v>
      </c>
      <c r="H24" s="203" t="s">
        <v>452</v>
      </c>
      <c r="I24" s="276"/>
      <c r="J24" s="263" t="str">
        <f t="shared" si="0"/>
        <v>전공</v>
      </c>
      <c r="K24" s="266">
        <v>10900</v>
      </c>
      <c r="L24" s="265"/>
      <c r="M24" s="265"/>
      <c r="N24" s="265"/>
      <c r="O24" s="265"/>
      <c r="P24" s="265"/>
      <c r="Q24" s="265"/>
      <c r="R24" s="267"/>
    </row>
    <row r="25" spans="1:18" ht="18" customHeight="1">
      <c r="A25" s="204">
        <v>20</v>
      </c>
      <c r="B25" s="202" t="s">
        <v>921</v>
      </c>
      <c r="C25" s="202"/>
      <c r="D25" s="202" t="s">
        <v>7</v>
      </c>
      <c r="E25" s="300">
        <v>453</v>
      </c>
      <c r="F25" s="210">
        <v>453</v>
      </c>
      <c r="G25" s="203" t="s">
        <v>451</v>
      </c>
      <c r="H25" s="203" t="s">
        <v>452</v>
      </c>
      <c r="I25" s="276"/>
      <c r="J25" s="263" t="str">
        <f t="shared" si="0"/>
        <v>전공</v>
      </c>
      <c r="K25" s="266">
        <v>10900</v>
      </c>
      <c r="L25" s="265"/>
      <c r="M25" s="265"/>
      <c r="N25" s="265"/>
      <c r="O25" s="265"/>
      <c r="P25" s="265"/>
      <c r="Q25" s="265"/>
      <c r="R25" s="267"/>
    </row>
    <row r="26" spans="1:18" ht="18" customHeight="1">
      <c r="A26" s="204">
        <v>21</v>
      </c>
      <c r="B26" s="202" t="s">
        <v>922</v>
      </c>
      <c r="C26" s="202"/>
      <c r="D26" s="202" t="s">
        <v>7</v>
      </c>
      <c r="E26" s="300">
        <v>101</v>
      </c>
      <c r="F26" s="210">
        <v>101</v>
      </c>
      <c r="G26" s="203" t="s">
        <v>451</v>
      </c>
      <c r="H26" s="203" t="s">
        <v>452</v>
      </c>
      <c r="I26" s="276"/>
      <c r="J26" s="263" t="str">
        <f t="shared" si="0"/>
        <v>전공</v>
      </c>
      <c r="K26" s="266">
        <v>10900</v>
      </c>
      <c r="L26" s="265"/>
      <c r="M26" s="265"/>
      <c r="N26" s="265"/>
      <c r="O26" s="265"/>
      <c r="P26" s="265"/>
      <c r="Q26" s="265"/>
      <c r="R26" s="267"/>
    </row>
    <row r="27" spans="1:18" ht="18" customHeight="1">
      <c r="A27" s="204">
        <v>22</v>
      </c>
      <c r="B27" s="202" t="s">
        <v>734</v>
      </c>
      <c r="C27" s="202"/>
      <c r="D27" s="202" t="s">
        <v>93</v>
      </c>
      <c r="E27" s="300">
        <v>2841</v>
      </c>
      <c r="F27" s="210">
        <v>2841</v>
      </c>
      <c r="G27" s="203" t="s">
        <v>451</v>
      </c>
      <c r="H27" s="203" t="s">
        <v>452</v>
      </c>
      <c r="I27" s="276"/>
      <c r="J27" s="263" t="str">
        <f t="shared" si="0"/>
        <v>임공</v>
      </c>
      <c r="K27" s="266">
        <v>9390</v>
      </c>
      <c r="L27" s="265"/>
      <c r="M27" s="265"/>
      <c r="N27" s="265"/>
      <c r="O27" s="265"/>
      <c r="P27" s="265"/>
      <c r="Q27" s="265"/>
      <c r="R27" s="267"/>
    </row>
    <row r="28" spans="1:18" ht="18" customHeight="1">
      <c r="A28" s="204">
        <v>23</v>
      </c>
      <c r="B28" s="202" t="s">
        <v>923</v>
      </c>
      <c r="C28" s="202"/>
      <c r="D28" s="202" t="s">
        <v>93</v>
      </c>
      <c r="E28" s="300">
        <v>88</v>
      </c>
      <c r="F28" s="210">
        <v>88</v>
      </c>
      <c r="G28" s="203" t="s">
        <v>451</v>
      </c>
      <c r="H28" s="203" t="s">
        <v>452</v>
      </c>
      <c r="I28" s="276"/>
      <c r="J28" s="263" t="str">
        <f t="shared" si="0"/>
        <v>임공</v>
      </c>
      <c r="K28" s="266">
        <v>9330</v>
      </c>
      <c r="L28" s="265"/>
      <c r="M28" s="265"/>
      <c r="N28" s="265"/>
      <c r="O28" s="265"/>
      <c r="P28" s="265"/>
      <c r="Q28" s="265"/>
      <c r="R28" s="267"/>
    </row>
    <row r="29" spans="1:18" ht="18" customHeight="1">
      <c r="A29" s="204">
        <v>24</v>
      </c>
      <c r="B29" s="202" t="s">
        <v>924</v>
      </c>
      <c r="C29" s="202"/>
      <c r="D29" s="202" t="s">
        <v>8</v>
      </c>
      <c r="E29" s="300">
        <v>236</v>
      </c>
      <c r="F29" s="210">
        <v>236</v>
      </c>
      <c r="G29" s="203" t="s">
        <v>451</v>
      </c>
      <c r="H29" s="203" t="s">
        <v>452</v>
      </c>
      <c r="I29" s="276"/>
      <c r="J29" s="263" t="str">
        <f t="shared" si="0"/>
        <v>답공</v>
      </c>
      <c r="K29" s="266">
        <v>8260</v>
      </c>
      <c r="L29" s="265"/>
      <c r="M29" s="265"/>
      <c r="N29" s="265"/>
      <c r="O29" s="265"/>
      <c r="P29" s="265"/>
      <c r="Q29" s="265"/>
      <c r="R29" s="267"/>
    </row>
    <row r="30" spans="1:18" ht="18" customHeight="1">
      <c r="A30" s="204">
        <v>25</v>
      </c>
      <c r="B30" s="202" t="s">
        <v>925</v>
      </c>
      <c r="C30" s="202"/>
      <c r="D30" s="202" t="s">
        <v>455</v>
      </c>
      <c r="E30" s="300">
        <v>171.9</v>
      </c>
      <c r="F30" s="210">
        <v>171.9</v>
      </c>
      <c r="G30" s="203" t="s">
        <v>511</v>
      </c>
      <c r="H30" s="203" t="s">
        <v>712</v>
      </c>
      <c r="I30" s="276"/>
      <c r="J30" s="263" t="str">
        <f t="shared" si="0"/>
        <v>도국</v>
      </c>
      <c r="K30" s="266"/>
      <c r="L30" s="265"/>
      <c r="M30" s="265"/>
      <c r="N30" s="265"/>
      <c r="O30" s="265"/>
      <c r="P30" s="265"/>
      <c r="Q30" s="265"/>
      <c r="R30" s="267"/>
    </row>
    <row r="31" spans="1:18" ht="18" customHeight="1">
      <c r="A31" s="204">
        <v>26</v>
      </c>
      <c r="B31" s="202" t="s">
        <v>926</v>
      </c>
      <c r="C31" s="202"/>
      <c r="D31" s="202" t="s">
        <v>8</v>
      </c>
      <c r="E31" s="300">
        <v>2792.2</v>
      </c>
      <c r="F31" s="210">
        <v>2792.2</v>
      </c>
      <c r="G31" s="203" t="s">
        <v>451</v>
      </c>
      <c r="H31" s="203" t="s">
        <v>452</v>
      </c>
      <c r="I31" s="276"/>
      <c r="J31" s="263" t="str">
        <f t="shared" si="0"/>
        <v>답공</v>
      </c>
      <c r="K31" s="266">
        <v>8960</v>
      </c>
      <c r="L31" s="265"/>
      <c r="M31" s="265"/>
      <c r="N31" s="265"/>
      <c r="O31" s="265"/>
      <c r="P31" s="265"/>
      <c r="Q31" s="265"/>
      <c r="R31" s="267"/>
    </row>
    <row r="32" spans="1:18" ht="18" customHeight="1">
      <c r="A32" s="204">
        <v>27</v>
      </c>
      <c r="B32" s="202" t="s">
        <v>927</v>
      </c>
      <c r="C32" s="202"/>
      <c r="D32" s="202" t="s">
        <v>8</v>
      </c>
      <c r="E32" s="300">
        <v>15</v>
      </c>
      <c r="F32" s="210">
        <v>15</v>
      </c>
      <c r="G32" s="203" t="s">
        <v>451</v>
      </c>
      <c r="H32" s="203" t="s">
        <v>452</v>
      </c>
      <c r="I32" s="276"/>
      <c r="J32" s="263" t="str">
        <f t="shared" si="0"/>
        <v>답공</v>
      </c>
      <c r="K32" s="266">
        <v>8960</v>
      </c>
      <c r="L32" s="265"/>
      <c r="M32" s="265"/>
      <c r="N32" s="265"/>
      <c r="O32" s="265"/>
      <c r="P32" s="265"/>
      <c r="Q32" s="265"/>
      <c r="R32" s="267"/>
    </row>
    <row r="33" spans="1:18" ht="18" customHeight="1">
      <c r="A33" s="204">
        <v>28</v>
      </c>
      <c r="B33" s="202" t="s">
        <v>928</v>
      </c>
      <c r="C33" s="202"/>
      <c r="D33" s="202" t="s">
        <v>462</v>
      </c>
      <c r="E33" s="300">
        <v>371.4</v>
      </c>
      <c r="F33" s="210">
        <v>371.4</v>
      </c>
      <c r="G33" s="203" t="s">
        <v>511</v>
      </c>
      <c r="H33" s="203" t="s">
        <v>712</v>
      </c>
      <c r="I33" s="276"/>
      <c r="J33" s="263" t="str">
        <f t="shared" si="0"/>
        <v>구국</v>
      </c>
      <c r="K33" s="266"/>
      <c r="L33" s="265"/>
      <c r="M33" s="265"/>
      <c r="N33" s="265"/>
      <c r="O33" s="265"/>
      <c r="P33" s="265"/>
      <c r="Q33" s="265"/>
      <c r="R33" s="267"/>
    </row>
    <row r="34" spans="1:18" ht="18" customHeight="1">
      <c r="A34" s="204">
        <v>29</v>
      </c>
      <c r="B34" s="202" t="s">
        <v>929</v>
      </c>
      <c r="C34" s="202"/>
      <c r="D34" s="202" t="s">
        <v>459</v>
      </c>
      <c r="E34" s="300">
        <v>648</v>
      </c>
      <c r="F34" s="210">
        <v>648</v>
      </c>
      <c r="G34" s="203" t="s">
        <v>451</v>
      </c>
      <c r="H34" s="203" t="s">
        <v>452</v>
      </c>
      <c r="I34" s="276"/>
      <c r="J34" s="263" t="str">
        <f t="shared" si="0"/>
        <v>대공</v>
      </c>
      <c r="K34" s="266">
        <v>1200</v>
      </c>
      <c r="L34" s="265"/>
      <c r="M34" s="265"/>
      <c r="N34" s="265"/>
      <c r="O34" s="265"/>
      <c r="P34" s="265"/>
      <c r="Q34" s="265"/>
      <c r="R34" s="267"/>
    </row>
    <row r="35" spans="1:18" ht="18" customHeight="1">
      <c r="A35" s="204">
        <v>30</v>
      </c>
      <c r="B35" s="202" t="s">
        <v>930</v>
      </c>
      <c r="C35" s="202"/>
      <c r="D35" s="202" t="s">
        <v>484</v>
      </c>
      <c r="E35" s="300">
        <v>247</v>
      </c>
      <c r="F35" s="210">
        <v>247</v>
      </c>
      <c r="G35" s="203" t="s">
        <v>511</v>
      </c>
      <c r="H35" s="203" t="s">
        <v>715</v>
      </c>
      <c r="I35" s="276"/>
      <c r="J35" s="263" t="str">
        <f t="shared" si="0"/>
        <v>유국</v>
      </c>
      <c r="K35" s="266"/>
      <c r="L35" s="265"/>
      <c r="M35" s="265"/>
      <c r="N35" s="265"/>
      <c r="O35" s="265"/>
      <c r="P35" s="265"/>
      <c r="Q35" s="265"/>
      <c r="R35" s="267"/>
    </row>
    <row r="36" spans="1:18" ht="18" customHeight="1">
      <c r="A36" s="204">
        <v>31</v>
      </c>
      <c r="B36" s="202" t="s">
        <v>931</v>
      </c>
      <c r="C36" s="202"/>
      <c r="D36" s="202" t="s">
        <v>7</v>
      </c>
      <c r="E36" s="300">
        <v>123</v>
      </c>
      <c r="F36" s="210">
        <v>123</v>
      </c>
      <c r="G36" s="203" t="s">
        <v>451</v>
      </c>
      <c r="H36" s="203" t="s">
        <v>452</v>
      </c>
      <c r="I36" s="276"/>
      <c r="J36" s="263" t="str">
        <f t="shared" si="0"/>
        <v>전공</v>
      </c>
      <c r="K36" s="266">
        <v>8550</v>
      </c>
      <c r="L36" s="265"/>
      <c r="M36" s="265"/>
      <c r="N36" s="265"/>
      <c r="O36" s="265"/>
      <c r="P36" s="265"/>
      <c r="Q36" s="265"/>
      <c r="R36" s="267"/>
    </row>
    <row r="37" spans="1:18" ht="18" customHeight="1">
      <c r="A37" s="204">
        <v>32</v>
      </c>
      <c r="B37" s="202" t="s">
        <v>932</v>
      </c>
      <c r="C37" s="202"/>
      <c r="D37" s="202" t="s">
        <v>564</v>
      </c>
      <c r="E37" s="300">
        <v>99</v>
      </c>
      <c r="F37" s="210">
        <v>99</v>
      </c>
      <c r="G37" s="203" t="s">
        <v>1119</v>
      </c>
      <c r="H37" s="203" t="s">
        <v>1119</v>
      </c>
      <c r="I37" s="276"/>
      <c r="J37" s="263" t="str">
        <f t="shared" si="0"/>
        <v>제김*균</v>
      </c>
      <c r="K37" s="266"/>
      <c r="L37" s="265"/>
      <c r="M37" s="265"/>
      <c r="N37" s="265"/>
      <c r="O37" s="265"/>
      <c r="P37" s="265"/>
      <c r="Q37" s="265"/>
      <c r="R37" s="267"/>
    </row>
    <row r="38" spans="1:18" ht="18" customHeight="1">
      <c r="A38" s="204">
        <v>33</v>
      </c>
      <c r="B38" s="202" t="s">
        <v>933</v>
      </c>
      <c r="C38" s="202"/>
      <c r="D38" s="202" t="s">
        <v>455</v>
      </c>
      <c r="E38" s="300">
        <v>4429.1000000000004</v>
      </c>
      <c r="F38" s="210">
        <v>212</v>
      </c>
      <c r="G38" s="203" t="s">
        <v>511</v>
      </c>
      <c r="H38" s="203" t="s">
        <v>715</v>
      </c>
      <c r="I38" s="276"/>
      <c r="J38" s="263" t="str">
        <f t="shared" si="0"/>
        <v>도국</v>
      </c>
      <c r="K38" s="266"/>
      <c r="L38" s="265"/>
      <c r="M38" s="265"/>
      <c r="N38" s="265"/>
      <c r="O38" s="265"/>
      <c r="P38" s="265"/>
      <c r="Q38" s="265"/>
      <c r="R38" s="267"/>
    </row>
    <row r="39" spans="1:18" ht="18" customHeight="1">
      <c r="A39" s="204">
        <v>34</v>
      </c>
      <c r="B39" s="202" t="s">
        <v>934</v>
      </c>
      <c r="C39" s="202"/>
      <c r="D39" s="202" t="s">
        <v>462</v>
      </c>
      <c r="E39" s="300">
        <v>438.2</v>
      </c>
      <c r="F39" s="210">
        <v>438.2</v>
      </c>
      <c r="G39" s="203" t="s">
        <v>511</v>
      </c>
      <c r="H39" s="203" t="s">
        <v>712</v>
      </c>
      <c r="I39" s="276"/>
      <c r="J39" s="263" t="str">
        <f t="shared" si="0"/>
        <v>구국</v>
      </c>
      <c r="K39" s="266"/>
      <c r="L39" s="265"/>
      <c r="M39" s="265"/>
      <c r="N39" s="265"/>
      <c r="O39" s="265"/>
      <c r="P39" s="265"/>
      <c r="Q39" s="265"/>
      <c r="R39" s="267"/>
    </row>
    <row r="40" spans="1:18" ht="18" customHeight="1">
      <c r="A40" s="204">
        <v>35</v>
      </c>
      <c r="B40" s="202" t="s">
        <v>935</v>
      </c>
      <c r="C40" s="202"/>
      <c r="D40" s="202" t="s">
        <v>8</v>
      </c>
      <c r="E40" s="300">
        <v>15</v>
      </c>
      <c r="F40" s="210">
        <v>15</v>
      </c>
      <c r="G40" s="203" t="s">
        <v>451</v>
      </c>
      <c r="H40" s="203" t="s">
        <v>452</v>
      </c>
      <c r="I40" s="276"/>
      <c r="J40" s="263" t="str">
        <f t="shared" si="0"/>
        <v>답공</v>
      </c>
      <c r="K40" s="266">
        <v>9640</v>
      </c>
      <c r="L40" s="265"/>
      <c r="M40" s="265"/>
      <c r="N40" s="265"/>
      <c r="O40" s="265"/>
      <c r="P40" s="265"/>
      <c r="Q40" s="265"/>
      <c r="R40" s="267"/>
    </row>
    <row r="41" spans="1:18" ht="18" customHeight="1">
      <c r="A41" s="204">
        <v>36</v>
      </c>
      <c r="B41" s="202" t="s">
        <v>748</v>
      </c>
      <c r="C41" s="202"/>
      <c r="D41" s="202" t="s">
        <v>7</v>
      </c>
      <c r="E41" s="300">
        <v>202</v>
      </c>
      <c r="F41" s="210">
        <v>202</v>
      </c>
      <c r="G41" s="203" t="s">
        <v>451</v>
      </c>
      <c r="H41" s="203" t="s">
        <v>452</v>
      </c>
      <c r="I41" s="276"/>
      <c r="J41" s="263" t="str">
        <f t="shared" si="0"/>
        <v>전공</v>
      </c>
      <c r="K41" s="266">
        <v>10900</v>
      </c>
      <c r="L41" s="265"/>
      <c r="M41" s="265"/>
      <c r="N41" s="265"/>
      <c r="O41" s="265"/>
      <c r="P41" s="265"/>
      <c r="Q41" s="265"/>
      <c r="R41" s="267"/>
    </row>
    <row r="42" spans="1:18" ht="18" customHeight="1">
      <c r="A42" s="204">
        <v>37</v>
      </c>
      <c r="B42" s="202" t="s">
        <v>936</v>
      </c>
      <c r="C42" s="202"/>
      <c r="D42" s="202" t="s">
        <v>7</v>
      </c>
      <c r="E42" s="300">
        <v>72</v>
      </c>
      <c r="F42" s="210">
        <v>72</v>
      </c>
      <c r="G42" s="203" t="s">
        <v>451</v>
      </c>
      <c r="H42" s="203" t="s">
        <v>452</v>
      </c>
      <c r="I42" s="276"/>
      <c r="J42" s="263" t="str">
        <f t="shared" si="0"/>
        <v>전공</v>
      </c>
      <c r="K42" s="266">
        <v>10900</v>
      </c>
      <c r="L42" s="265"/>
      <c r="M42" s="265"/>
      <c r="N42" s="265"/>
      <c r="O42" s="265"/>
      <c r="P42" s="265"/>
      <c r="Q42" s="265"/>
      <c r="R42" s="267"/>
    </row>
    <row r="43" spans="1:18" ht="18" customHeight="1">
      <c r="A43" s="204">
        <v>38</v>
      </c>
      <c r="B43" s="202" t="s">
        <v>937</v>
      </c>
      <c r="C43" s="202"/>
      <c r="D43" s="202" t="s">
        <v>93</v>
      </c>
      <c r="E43" s="300">
        <v>1051</v>
      </c>
      <c r="F43" s="210">
        <v>1051</v>
      </c>
      <c r="G43" s="203" t="s">
        <v>451</v>
      </c>
      <c r="H43" s="203" t="s">
        <v>452</v>
      </c>
      <c r="I43" s="276"/>
      <c r="J43" s="263" t="str">
        <f t="shared" si="0"/>
        <v>임공</v>
      </c>
      <c r="K43" s="266">
        <v>9030</v>
      </c>
      <c r="L43" s="265"/>
      <c r="M43" s="265"/>
      <c r="N43" s="265"/>
      <c r="O43" s="265"/>
      <c r="P43" s="265"/>
      <c r="Q43" s="265"/>
      <c r="R43" s="267"/>
    </row>
    <row r="44" spans="1:18" ht="18" customHeight="1">
      <c r="A44" s="204">
        <v>39</v>
      </c>
      <c r="B44" s="202" t="s">
        <v>938</v>
      </c>
      <c r="C44" s="202"/>
      <c r="D44" s="202" t="s">
        <v>462</v>
      </c>
      <c r="E44" s="300">
        <v>177.3</v>
      </c>
      <c r="F44" s="210">
        <v>177.3</v>
      </c>
      <c r="G44" s="203" t="s">
        <v>511</v>
      </c>
      <c r="H44" s="203" t="s">
        <v>712</v>
      </c>
      <c r="I44" s="276"/>
      <c r="J44" s="263" t="str">
        <f t="shared" si="0"/>
        <v>구국</v>
      </c>
      <c r="K44" s="266"/>
      <c r="L44" s="265"/>
      <c r="M44" s="265"/>
      <c r="N44" s="265"/>
      <c r="O44" s="265"/>
      <c r="P44" s="265"/>
      <c r="Q44" s="265"/>
      <c r="R44" s="267"/>
    </row>
    <row r="45" spans="1:18" ht="18" customHeight="1">
      <c r="A45" s="204">
        <v>40</v>
      </c>
      <c r="B45" s="202" t="s">
        <v>939</v>
      </c>
      <c r="C45" s="202"/>
      <c r="D45" s="202" t="s">
        <v>7</v>
      </c>
      <c r="E45" s="300">
        <v>667</v>
      </c>
      <c r="F45" s="210">
        <v>297</v>
      </c>
      <c r="G45" s="203" t="s">
        <v>451</v>
      </c>
      <c r="H45" s="203" t="s">
        <v>452</v>
      </c>
      <c r="I45" s="276"/>
      <c r="J45" s="263" t="str">
        <f t="shared" si="0"/>
        <v>전공</v>
      </c>
      <c r="K45" s="266">
        <v>9940</v>
      </c>
      <c r="L45" s="265"/>
      <c r="M45" s="265"/>
      <c r="N45" s="265"/>
      <c r="O45" s="265"/>
      <c r="P45" s="265"/>
      <c r="Q45" s="265"/>
      <c r="R45" s="267"/>
    </row>
    <row r="46" spans="1:18" ht="18" customHeight="1">
      <c r="A46" s="204">
        <v>41</v>
      </c>
      <c r="B46" s="202" t="s">
        <v>940</v>
      </c>
      <c r="C46" s="202"/>
      <c r="D46" s="202" t="s">
        <v>8</v>
      </c>
      <c r="E46" s="300">
        <v>2592</v>
      </c>
      <c r="F46" s="210">
        <v>2592</v>
      </c>
      <c r="G46" s="203" t="s">
        <v>451</v>
      </c>
      <c r="H46" s="203" t="s">
        <v>452</v>
      </c>
      <c r="I46" s="276"/>
      <c r="J46" s="263" t="str">
        <f t="shared" si="0"/>
        <v>답공</v>
      </c>
      <c r="K46" s="266">
        <v>9650</v>
      </c>
      <c r="L46" s="265"/>
      <c r="M46" s="265"/>
      <c r="N46" s="265"/>
      <c r="O46" s="265"/>
      <c r="P46" s="265"/>
      <c r="Q46" s="265"/>
      <c r="R46" s="267"/>
    </row>
    <row r="47" spans="1:18" ht="18" customHeight="1">
      <c r="A47" s="204">
        <v>42</v>
      </c>
      <c r="B47" s="202" t="s">
        <v>941</v>
      </c>
      <c r="C47" s="202"/>
      <c r="D47" s="202" t="s">
        <v>8</v>
      </c>
      <c r="E47" s="300">
        <v>1715</v>
      </c>
      <c r="F47" s="210">
        <v>1715</v>
      </c>
      <c r="G47" s="203" t="s">
        <v>451</v>
      </c>
      <c r="H47" s="203" t="s">
        <v>452</v>
      </c>
      <c r="I47" s="276"/>
      <c r="J47" s="263" t="str">
        <f t="shared" si="0"/>
        <v>답공</v>
      </c>
      <c r="K47" s="266">
        <v>9650</v>
      </c>
      <c r="L47" s="265"/>
      <c r="M47" s="265"/>
      <c r="N47" s="265"/>
      <c r="O47" s="265"/>
      <c r="P47" s="265"/>
      <c r="Q47" s="265"/>
      <c r="R47" s="267"/>
    </row>
    <row r="48" spans="1:18" ht="18" customHeight="1">
      <c r="A48" s="204">
        <v>43</v>
      </c>
      <c r="B48" s="202" t="s">
        <v>942</v>
      </c>
      <c r="C48" s="202"/>
      <c r="D48" s="202" t="s">
        <v>8</v>
      </c>
      <c r="E48" s="300">
        <v>131</v>
      </c>
      <c r="F48" s="210">
        <v>131</v>
      </c>
      <c r="G48" s="203" t="s">
        <v>451</v>
      </c>
      <c r="H48" s="203" t="s">
        <v>452</v>
      </c>
      <c r="I48" s="276"/>
      <c r="J48" s="263" t="str">
        <f t="shared" si="0"/>
        <v>답공</v>
      </c>
      <c r="K48" s="266">
        <v>8400</v>
      </c>
      <c r="L48" s="265"/>
      <c r="M48" s="265"/>
      <c r="N48" s="265"/>
      <c r="O48" s="265"/>
      <c r="P48" s="265"/>
      <c r="Q48" s="265"/>
      <c r="R48" s="267"/>
    </row>
    <row r="49" spans="1:18" ht="18" customHeight="1">
      <c r="A49" s="204">
        <v>44</v>
      </c>
      <c r="B49" s="202" t="s">
        <v>674</v>
      </c>
      <c r="C49" s="202"/>
      <c r="D49" s="202" t="s">
        <v>7</v>
      </c>
      <c r="E49" s="300">
        <v>556</v>
      </c>
      <c r="F49" s="210">
        <v>556</v>
      </c>
      <c r="G49" s="203" t="s">
        <v>451</v>
      </c>
      <c r="H49" s="203" t="s">
        <v>452</v>
      </c>
      <c r="I49" s="276"/>
      <c r="J49" s="263" t="str">
        <f t="shared" si="0"/>
        <v>전공</v>
      </c>
      <c r="K49" s="266">
        <v>11600</v>
      </c>
      <c r="L49" s="265"/>
      <c r="M49" s="265"/>
      <c r="N49" s="265"/>
      <c r="O49" s="265"/>
      <c r="P49" s="265"/>
      <c r="Q49" s="265"/>
      <c r="R49" s="267"/>
    </row>
    <row r="50" spans="1:18" ht="18" customHeight="1">
      <c r="A50" s="204">
        <v>45</v>
      </c>
      <c r="B50" s="202" t="s">
        <v>943</v>
      </c>
      <c r="C50" s="202"/>
      <c r="D50" s="202" t="s">
        <v>8</v>
      </c>
      <c r="E50" s="300">
        <v>212</v>
      </c>
      <c r="F50" s="210">
        <v>212</v>
      </c>
      <c r="G50" s="203" t="s">
        <v>451</v>
      </c>
      <c r="H50" s="203" t="s">
        <v>452</v>
      </c>
      <c r="I50" s="276"/>
      <c r="J50" s="263" t="str">
        <f t="shared" si="0"/>
        <v>답공</v>
      </c>
      <c r="K50" s="266">
        <v>8400</v>
      </c>
      <c r="L50" s="265"/>
      <c r="M50" s="265"/>
      <c r="N50" s="265"/>
      <c r="O50" s="265"/>
      <c r="P50" s="265"/>
      <c r="Q50" s="265"/>
      <c r="R50" s="267"/>
    </row>
    <row r="51" spans="1:18" ht="18" customHeight="1">
      <c r="A51" s="204">
        <v>46</v>
      </c>
      <c r="B51" s="202" t="s">
        <v>944</v>
      </c>
      <c r="C51" s="202"/>
      <c r="D51" s="202" t="s">
        <v>8</v>
      </c>
      <c r="E51" s="300">
        <v>74</v>
      </c>
      <c r="F51" s="210">
        <v>74</v>
      </c>
      <c r="G51" s="203" t="s">
        <v>451</v>
      </c>
      <c r="H51" s="203" t="s">
        <v>452</v>
      </c>
      <c r="I51" s="276"/>
      <c r="J51" s="263" t="str">
        <f t="shared" si="0"/>
        <v>답공</v>
      </c>
      <c r="K51" s="266">
        <v>8640</v>
      </c>
      <c r="L51" s="265"/>
      <c r="M51" s="265"/>
      <c r="N51" s="265"/>
      <c r="O51" s="265"/>
      <c r="P51" s="265"/>
      <c r="Q51" s="265"/>
      <c r="R51" s="267"/>
    </row>
    <row r="52" spans="1:18" ht="18" customHeight="1">
      <c r="A52" s="204">
        <v>47</v>
      </c>
      <c r="B52" s="202" t="s">
        <v>945</v>
      </c>
      <c r="C52" s="202"/>
      <c r="D52" s="202" t="s">
        <v>7</v>
      </c>
      <c r="E52" s="300">
        <v>56</v>
      </c>
      <c r="F52" s="210">
        <v>56</v>
      </c>
      <c r="G52" s="203" t="s">
        <v>451</v>
      </c>
      <c r="H52" s="203" t="s">
        <v>452</v>
      </c>
      <c r="I52" s="276"/>
      <c r="J52" s="263" t="str">
        <f t="shared" si="0"/>
        <v>전공</v>
      </c>
      <c r="K52" s="266">
        <v>11200</v>
      </c>
      <c r="L52" s="265"/>
      <c r="M52" s="265"/>
      <c r="N52" s="265"/>
      <c r="O52" s="265"/>
      <c r="P52" s="265"/>
      <c r="Q52" s="265"/>
      <c r="R52" s="267"/>
    </row>
    <row r="53" spans="1:18" ht="18" customHeight="1">
      <c r="A53" s="204">
        <v>48</v>
      </c>
      <c r="B53" s="202" t="s">
        <v>946</v>
      </c>
      <c r="C53" s="202"/>
      <c r="D53" s="202" t="s">
        <v>93</v>
      </c>
      <c r="E53" s="300">
        <v>235</v>
      </c>
      <c r="F53" s="210">
        <v>235</v>
      </c>
      <c r="G53" s="203" t="s">
        <v>451</v>
      </c>
      <c r="H53" s="203" t="s">
        <v>452</v>
      </c>
      <c r="I53" s="276"/>
      <c r="J53" s="263" t="str">
        <f t="shared" si="0"/>
        <v>임공</v>
      </c>
      <c r="K53" s="266">
        <v>10300</v>
      </c>
      <c r="L53" s="265"/>
      <c r="M53" s="265"/>
      <c r="N53" s="265"/>
      <c r="O53" s="265"/>
      <c r="P53" s="265"/>
      <c r="Q53" s="265"/>
      <c r="R53" s="267"/>
    </row>
    <row r="54" spans="1:18" ht="18" customHeight="1">
      <c r="A54" s="204">
        <v>49</v>
      </c>
      <c r="B54" s="202" t="s">
        <v>947</v>
      </c>
      <c r="C54" s="202"/>
      <c r="D54" s="202" t="s">
        <v>93</v>
      </c>
      <c r="E54" s="300">
        <v>828</v>
      </c>
      <c r="F54" s="210">
        <v>828</v>
      </c>
      <c r="G54" s="203" t="s">
        <v>451</v>
      </c>
      <c r="H54" s="203" t="s">
        <v>452</v>
      </c>
      <c r="I54" s="276"/>
      <c r="J54" s="263" t="str">
        <f t="shared" si="0"/>
        <v>임공</v>
      </c>
      <c r="K54" s="266">
        <v>9630</v>
      </c>
      <c r="L54" s="265"/>
      <c r="M54" s="265"/>
      <c r="N54" s="265"/>
      <c r="O54" s="265"/>
      <c r="P54" s="265"/>
      <c r="Q54" s="265"/>
      <c r="R54" s="267"/>
    </row>
    <row r="55" spans="1:18" ht="18" customHeight="1">
      <c r="A55" s="204">
        <v>50</v>
      </c>
      <c r="B55" s="202" t="s">
        <v>948</v>
      </c>
      <c r="C55" s="202"/>
      <c r="D55" s="202" t="s">
        <v>93</v>
      </c>
      <c r="E55" s="300">
        <v>34</v>
      </c>
      <c r="F55" s="210">
        <v>34</v>
      </c>
      <c r="G55" s="203" t="s">
        <v>451</v>
      </c>
      <c r="H55" s="203" t="s">
        <v>452</v>
      </c>
      <c r="I55" s="276"/>
      <c r="J55" s="263" t="str">
        <f t="shared" si="0"/>
        <v>임공</v>
      </c>
      <c r="K55" s="266">
        <v>9630</v>
      </c>
      <c r="L55" s="265"/>
      <c r="M55" s="265"/>
      <c r="N55" s="265"/>
      <c r="O55" s="265"/>
      <c r="P55" s="265"/>
      <c r="Q55" s="265"/>
      <c r="R55" s="267"/>
    </row>
    <row r="56" spans="1:18" ht="18" customHeight="1">
      <c r="A56" s="204">
        <v>51</v>
      </c>
      <c r="B56" s="202" t="s">
        <v>949</v>
      </c>
      <c r="C56" s="202"/>
      <c r="D56" s="202" t="s">
        <v>93</v>
      </c>
      <c r="E56" s="300">
        <v>2671</v>
      </c>
      <c r="F56" s="210">
        <v>2671</v>
      </c>
      <c r="G56" s="203" t="s">
        <v>451</v>
      </c>
      <c r="H56" s="203" t="s">
        <v>452</v>
      </c>
      <c r="I56" s="276"/>
      <c r="J56" s="263" t="str">
        <f t="shared" si="0"/>
        <v>임공</v>
      </c>
      <c r="K56" s="266">
        <v>8370</v>
      </c>
      <c r="L56" s="265"/>
      <c r="M56" s="265"/>
      <c r="N56" s="265"/>
      <c r="O56" s="265"/>
      <c r="P56" s="265"/>
      <c r="Q56" s="265"/>
      <c r="R56" s="267"/>
    </row>
    <row r="57" spans="1:18" ht="18" customHeight="1">
      <c r="A57" s="204">
        <v>52</v>
      </c>
      <c r="B57" s="202" t="s">
        <v>950</v>
      </c>
      <c r="C57" s="202"/>
      <c r="D57" s="202" t="s">
        <v>93</v>
      </c>
      <c r="E57" s="300">
        <v>375</v>
      </c>
      <c r="F57" s="210">
        <v>375</v>
      </c>
      <c r="G57" s="203" t="s">
        <v>451</v>
      </c>
      <c r="H57" s="203" t="s">
        <v>452</v>
      </c>
      <c r="I57" s="276"/>
      <c r="J57" s="263" t="str">
        <f t="shared" si="0"/>
        <v>임공</v>
      </c>
      <c r="K57" s="266">
        <v>8370</v>
      </c>
      <c r="L57" s="265"/>
      <c r="M57" s="265"/>
      <c r="N57" s="265"/>
      <c r="O57" s="265"/>
      <c r="P57" s="265"/>
      <c r="Q57" s="265"/>
      <c r="R57" s="267"/>
    </row>
    <row r="58" spans="1:18" ht="18" customHeight="1">
      <c r="A58" s="204">
        <v>53</v>
      </c>
      <c r="B58" s="202" t="s">
        <v>951</v>
      </c>
      <c r="C58" s="202"/>
      <c r="D58" s="202" t="s">
        <v>93</v>
      </c>
      <c r="E58" s="300">
        <v>160</v>
      </c>
      <c r="F58" s="210">
        <v>160</v>
      </c>
      <c r="G58" s="203" t="s">
        <v>451</v>
      </c>
      <c r="H58" s="203" t="s">
        <v>452</v>
      </c>
      <c r="I58" s="276"/>
      <c r="J58" s="263" t="str">
        <f t="shared" si="0"/>
        <v>임공</v>
      </c>
      <c r="K58" s="266">
        <v>9010</v>
      </c>
      <c r="L58" s="265"/>
      <c r="M58" s="265"/>
      <c r="N58" s="265"/>
      <c r="O58" s="265"/>
      <c r="P58" s="265"/>
      <c r="Q58" s="265"/>
      <c r="R58" s="267"/>
    </row>
    <row r="59" spans="1:18" ht="18" customHeight="1">
      <c r="A59" s="204">
        <v>54</v>
      </c>
      <c r="B59" s="202" t="s">
        <v>952</v>
      </c>
      <c r="C59" s="202"/>
      <c r="D59" s="202" t="s">
        <v>93</v>
      </c>
      <c r="E59" s="300">
        <v>2014</v>
      </c>
      <c r="F59" s="210">
        <v>2014</v>
      </c>
      <c r="G59" s="203" t="s">
        <v>451</v>
      </c>
      <c r="H59" s="203" t="s">
        <v>452</v>
      </c>
      <c r="I59" s="276"/>
      <c r="J59" s="263" t="str">
        <f t="shared" si="0"/>
        <v>임공</v>
      </c>
      <c r="K59" s="266">
        <v>9010</v>
      </c>
      <c r="L59" s="265"/>
      <c r="M59" s="265"/>
      <c r="N59" s="265"/>
      <c r="O59" s="265"/>
      <c r="P59" s="265"/>
      <c r="Q59" s="265"/>
      <c r="R59" s="267"/>
    </row>
    <row r="60" spans="1:18" ht="18" customHeight="1">
      <c r="A60" s="204">
        <v>55</v>
      </c>
      <c r="B60" s="202" t="s">
        <v>953</v>
      </c>
      <c r="C60" s="202"/>
      <c r="D60" s="202" t="s">
        <v>93</v>
      </c>
      <c r="E60" s="300">
        <v>486</v>
      </c>
      <c r="F60" s="210">
        <v>486</v>
      </c>
      <c r="G60" s="203" t="s">
        <v>451</v>
      </c>
      <c r="H60" s="203" t="s">
        <v>452</v>
      </c>
      <c r="I60" s="276"/>
      <c r="J60" s="263" t="str">
        <f t="shared" si="0"/>
        <v>임공</v>
      </c>
      <c r="K60" s="266">
        <v>4790</v>
      </c>
      <c r="L60" s="265"/>
      <c r="M60" s="265"/>
      <c r="N60" s="265"/>
      <c r="O60" s="265"/>
      <c r="P60" s="265"/>
      <c r="Q60" s="265"/>
      <c r="R60" s="267"/>
    </row>
    <row r="61" spans="1:18" ht="18" customHeight="1">
      <c r="A61" s="204">
        <v>56</v>
      </c>
      <c r="B61" s="202" t="s">
        <v>954</v>
      </c>
      <c r="C61" s="202"/>
      <c r="D61" s="202" t="s">
        <v>7</v>
      </c>
      <c r="E61" s="300">
        <v>764</v>
      </c>
      <c r="F61" s="210">
        <v>539</v>
      </c>
      <c r="G61" s="203" t="s">
        <v>451</v>
      </c>
      <c r="H61" s="203" t="s">
        <v>452</v>
      </c>
      <c r="I61" s="276"/>
      <c r="J61" s="263" t="str">
        <f t="shared" si="0"/>
        <v>전공</v>
      </c>
      <c r="K61" s="266">
        <v>10400</v>
      </c>
      <c r="L61" s="265"/>
      <c r="M61" s="265"/>
      <c r="N61" s="265"/>
      <c r="O61" s="265"/>
      <c r="P61" s="265"/>
      <c r="Q61" s="265"/>
      <c r="R61" s="267"/>
    </row>
    <row r="62" spans="1:18" ht="18" customHeight="1">
      <c r="A62" s="204">
        <v>57</v>
      </c>
      <c r="B62" s="202" t="s">
        <v>955</v>
      </c>
      <c r="C62" s="202"/>
      <c r="D62" s="202" t="s">
        <v>93</v>
      </c>
      <c r="E62" s="300">
        <v>96</v>
      </c>
      <c r="F62" s="210">
        <v>96</v>
      </c>
      <c r="G62" s="203" t="s">
        <v>451</v>
      </c>
      <c r="H62" s="203" t="s">
        <v>452</v>
      </c>
      <c r="I62" s="276"/>
      <c r="J62" s="263" t="str">
        <f t="shared" si="0"/>
        <v>임공</v>
      </c>
      <c r="K62" s="266">
        <v>9010</v>
      </c>
      <c r="L62" s="265"/>
      <c r="M62" s="265"/>
      <c r="N62" s="265"/>
      <c r="O62" s="265"/>
      <c r="P62" s="265"/>
      <c r="Q62" s="265"/>
      <c r="R62" s="267"/>
    </row>
    <row r="63" spans="1:18" ht="18" customHeight="1">
      <c r="A63" s="204">
        <v>58</v>
      </c>
      <c r="B63" s="202" t="s">
        <v>956</v>
      </c>
      <c r="C63" s="202"/>
      <c r="D63" s="202" t="s">
        <v>93</v>
      </c>
      <c r="E63" s="300">
        <v>86</v>
      </c>
      <c r="F63" s="210">
        <v>86</v>
      </c>
      <c r="G63" s="203" t="s">
        <v>451</v>
      </c>
      <c r="H63" s="203" t="s">
        <v>452</v>
      </c>
      <c r="I63" s="276"/>
      <c r="J63" s="263" t="str">
        <f t="shared" si="0"/>
        <v>임공</v>
      </c>
      <c r="K63" s="266">
        <v>8370</v>
      </c>
      <c r="L63" s="265"/>
      <c r="M63" s="265"/>
      <c r="N63" s="265"/>
      <c r="O63" s="265"/>
      <c r="P63" s="265"/>
      <c r="Q63" s="265"/>
      <c r="R63" s="267"/>
    </row>
    <row r="64" spans="1:18" ht="18" customHeight="1">
      <c r="A64" s="204">
        <v>59</v>
      </c>
      <c r="B64" s="202" t="s">
        <v>957</v>
      </c>
      <c r="C64" s="202"/>
      <c r="D64" s="202" t="s">
        <v>7</v>
      </c>
      <c r="E64" s="300">
        <v>343</v>
      </c>
      <c r="F64" s="210">
        <v>258</v>
      </c>
      <c r="G64" s="203" t="s">
        <v>451</v>
      </c>
      <c r="H64" s="203" t="s">
        <v>452</v>
      </c>
      <c r="I64" s="276"/>
      <c r="J64" s="263" t="str">
        <f t="shared" si="0"/>
        <v>전공</v>
      </c>
      <c r="K64" s="266">
        <v>10900</v>
      </c>
      <c r="L64" s="265"/>
      <c r="M64" s="265"/>
      <c r="N64" s="265"/>
      <c r="O64" s="265"/>
      <c r="P64" s="265"/>
      <c r="Q64" s="265"/>
      <c r="R64" s="267"/>
    </row>
    <row r="65" spans="1:18" ht="18" customHeight="1">
      <c r="A65" s="204">
        <v>60</v>
      </c>
      <c r="B65" s="202" t="s">
        <v>958</v>
      </c>
      <c r="C65" s="202"/>
      <c r="D65" s="202" t="s">
        <v>459</v>
      </c>
      <c r="E65" s="300">
        <v>8</v>
      </c>
      <c r="F65" s="210">
        <v>8</v>
      </c>
      <c r="G65" s="203" t="s">
        <v>451</v>
      </c>
      <c r="H65" s="203" t="s">
        <v>452</v>
      </c>
      <c r="I65" s="276"/>
      <c r="J65" s="263" t="str">
        <f t="shared" si="0"/>
        <v>대공</v>
      </c>
      <c r="K65" s="266">
        <v>13800</v>
      </c>
      <c r="L65" s="265"/>
      <c r="M65" s="265"/>
      <c r="N65" s="265"/>
      <c r="O65" s="265"/>
      <c r="P65" s="265"/>
      <c r="Q65" s="265"/>
      <c r="R65" s="267"/>
    </row>
    <row r="66" spans="1:18" ht="18" customHeight="1">
      <c r="A66" s="204">
        <v>61</v>
      </c>
      <c r="B66" s="202" t="s">
        <v>959</v>
      </c>
      <c r="C66" s="202"/>
      <c r="D66" s="202" t="s">
        <v>7</v>
      </c>
      <c r="E66" s="300">
        <v>476</v>
      </c>
      <c r="F66" s="210">
        <v>244</v>
      </c>
      <c r="G66" s="203" t="s">
        <v>451</v>
      </c>
      <c r="H66" s="203" t="s">
        <v>452</v>
      </c>
      <c r="I66" s="276"/>
      <c r="J66" s="263" t="str">
        <f t="shared" si="0"/>
        <v>전공</v>
      </c>
      <c r="K66" s="266">
        <v>10400</v>
      </c>
      <c r="L66" s="265"/>
      <c r="M66" s="265"/>
      <c r="N66" s="265"/>
      <c r="O66" s="265"/>
      <c r="P66" s="265"/>
      <c r="Q66" s="265"/>
      <c r="R66" s="267"/>
    </row>
    <row r="67" spans="1:18" ht="18" customHeight="1">
      <c r="A67" s="204">
        <v>62</v>
      </c>
      <c r="B67" s="202" t="s">
        <v>960</v>
      </c>
      <c r="C67" s="202"/>
      <c r="D67" s="202" t="s">
        <v>7</v>
      </c>
      <c r="E67" s="300">
        <v>726</v>
      </c>
      <c r="F67" s="210">
        <v>726</v>
      </c>
      <c r="G67" s="203" t="s">
        <v>451</v>
      </c>
      <c r="H67" s="203" t="s">
        <v>452</v>
      </c>
      <c r="I67" s="276"/>
      <c r="J67" s="263" t="str">
        <f t="shared" si="0"/>
        <v>전공</v>
      </c>
      <c r="K67" s="266">
        <v>11200</v>
      </c>
      <c r="L67" s="265"/>
      <c r="M67" s="265"/>
      <c r="N67" s="265"/>
      <c r="O67" s="265"/>
      <c r="P67" s="265"/>
      <c r="Q67" s="265"/>
      <c r="R67" s="267"/>
    </row>
    <row r="68" spans="1:18" ht="18" customHeight="1">
      <c r="A68" s="204">
        <v>63</v>
      </c>
      <c r="B68" s="202" t="s">
        <v>961</v>
      </c>
      <c r="C68" s="202"/>
      <c r="D68" s="202" t="s">
        <v>7</v>
      </c>
      <c r="E68" s="300">
        <v>274</v>
      </c>
      <c r="F68" s="210">
        <v>119</v>
      </c>
      <c r="G68" s="203" t="s">
        <v>451</v>
      </c>
      <c r="H68" s="203" t="s">
        <v>452</v>
      </c>
      <c r="I68" s="276"/>
      <c r="J68" s="263" t="str">
        <f t="shared" si="0"/>
        <v>전공</v>
      </c>
      <c r="K68" s="266">
        <v>11200</v>
      </c>
      <c r="L68" s="265"/>
      <c r="M68" s="265"/>
      <c r="N68" s="265"/>
      <c r="O68" s="265"/>
      <c r="P68" s="265"/>
      <c r="Q68" s="265"/>
      <c r="R68" s="267"/>
    </row>
    <row r="69" spans="1:18" ht="18" customHeight="1">
      <c r="A69" s="204">
        <v>64</v>
      </c>
      <c r="B69" s="202" t="s">
        <v>962</v>
      </c>
      <c r="C69" s="202"/>
      <c r="D69" s="202" t="s">
        <v>93</v>
      </c>
      <c r="E69" s="300">
        <v>1122</v>
      </c>
      <c r="F69" s="210">
        <v>1122</v>
      </c>
      <c r="G69" s="203" t="s">
        <v>451</v>
      </c>
      <c r="H69" s="203" t="s">
        <v>452</v>
      </c>
      <c r="I69" s="276"/>
      <c r="J69" s="263" t="str">
        <f t="shared" si="0"/>
        <v>임공</v>
      </c>
      <c r="K69" s="266">
        <v>8370</v>
      </c>
      <c r="L69" s="265"/>
      <c r="M69" s="265"/>
      <c r="N69" s="265"/>
      <c r="O69" s="265"/>
      <c r="P69" s="265"/>
      <c r="Q69" s="265"/>
      <c r="R69" s="267"/>
    </row>
    <row r="70" spans="1:18" ht="18" customHeight="1">
      <c r="A70" s="204">
        <v>65</v>
      </c>
      <c r="B70" s="202" t="s">
        <v>963</v>
      </c>
      <c r="C70" s="202"/>
      <c r="D70" s="202" t="s">
        <v>93</v>
      </c>
      <c r="E70" s="300">
        <v>1044</v>
      </c>
      <c r="F70" s="210">
        <v>1044</v>
      </c>
      <c r="G70" s="203" t="s">
        <v>451</v>
      </c>
      <c r="H70" s="203" t="s">
        <v>452</v>
      </c>
      <c r="I70" s="276"/>
      <c r="J70" s="263" t="str">
        <f t="shared" si="0"/>
        <v>임공</v>
      </c>
      <c r="K70" s="266">
        <v>11300</v>
      </c>
      <c r="L70" s="265"/>
      <c r="M70" s="265"/>
      <c r="N70" s="265"/>
      <c r="O70" s="265"/>
      <c r="P70" s="265"/>
      <c r="Q70" s="265"/>
      <c r="R70" s="267"/>
    </row>
    <row r="71" spans="1:18" ht="18" customHeight="1">
      <c r="A71" s="204">
        <v>66</v>
      </c>
      <c r="B71" s="202" t="s">
        <v>964</v>
      </c>
      <c r="C71" s="202"/>
      <c r="D71" s="202" t="s">
        <v>462</v>
      </c>
      <c r="E71" s="300">
        <v>841.3</v>
      </c>
      <c r="F71" s="210">
        <v>841.3</v>
      </c>
      <c r="G71" s="203" t="s">
        <v>511</v>
      </c>
      <c r="H71" s="203" t="s">
        <v>712</v>
      </c>
      <c r="I71" s="276"/>
      <c r="J71" s="263" t="str">
        <f t="shared" ref="J71:J134" si="1">CONCATENATE(D71,G71)</f>
        <v>구국</v>
      </c>
      <c r="K71" s="266"/>
      <c r="L71" s="265"/>
      <c r="M71" s="265"/>
      <c r="N71" s="265"/>
      <c r="O71" s="265"/>
      <c r="P71" s="265"/>
      <c r="Q71" s="265"/>
      <c r="R71" s="267"/>
    </row>
    <row r="72" spans="1:18" ht="18" customHeight="1">
      <c r="A72" s="204">
        <v>67</v>
      </c>
      <c r="B72" s="202" t="s">
        <v>965</v>
      </c>
      <c r="C72" s="202"/>
      <c r="D72" s="202" t="s">
        <v>7</v>
      </c>
      <c r="E72" s="300">
        <v>317</v>
      </c>
      <c r="F72" s="210">
        <v>317</v>
      </c>
      <c r="G72" s="203" t="s">
        <v>451</v>
      </c>
      <c r="H72" s="203" t="s">
        <v>452</v>
      </c>
      <c r="I72" s="276"/>
      <c r="J72" s="263" t="str">
        <f t="shared" si="1"/>
        <v>전공</v>
      </c>
      <c r="K72" s="266">
        <v>10000</v>
      </c>
      <c r="L72" s="265"/>
      <c r="M72" s="265"/>
      <c r="N72" s="265"/>
      <c r="O72" s="265"/>
      <c r="P72" s="265"/>
      <c r="Q72" s="265"/>
      <c r="R72" s="267"/>
    </row>
    <row r="73" spans="1:18" ht="18" customHeight="1">
      <c r="A73" s="204">
        <v>68</v>
      </c>
      <c r="B73" s="202" t="s">
        <v>966</v>
      </c>
      <c r="C73" s="202"/>
      <c r="D73" s="202" t="s">
        <v>93</v>
      </c>
      <c r="E73" s="300">
        <v>257</v>
      </c>
      <c r="F73" s="210">
        <v>257</v>
      </c>
      <c r="G73" s="203" t="s">
        <v>451</v>
      </c>
      <c r="H73" s="203" t="s">
        <v>452</v>
      </c>
      <c r="I73" s="276"/>
      <c r="J73" s="263" t="str">
        <f t="shared" si="1"/>
        <v>임공</v>
      </c>
      <c r="K73" s="266">
        <v>11300</v>
      </c>
      <c r="L73" s="265" t="s">
        <v>98</v>
      </c>
      <c r="M73" s="265"/>
      <c r="N73" s="265"/>
      <c r="O73" s="265"/>
      <c r="P73" s="265"/>
      <c r="Q73" s="265"/>
      <c r="R73" s="267"/>
    </row>
    <row r="74" spans="1:18" ht="18" customHeight="1">
      <c r="A74" s="204">
        <v>69</v>
      </c>
      <c r="B74" s="202" t="s">
        <v>967</v>
      </c>
      <c r="C74" s="202"/>
      <c r="D74" s="202" t="s">
        <v>93</v>
      </c>
      <c r="E74" s="300">
        <v>39</v>
      </c>
      <c r="F74" s="210">
        <v>39</v>
      </c>
      <c r="G74" s="203" t="s">
        <v>451</v>
      </c>
      <c r="H74" s="203" t="s">
        <v>452</v>
      </c>
      <c r="I74" s="276"/>
      <c r="J74" s="263" t="str">
        <f t="shared" si="1"/>
        <v>임공</v>
      </c>
      <c r="K74" s="266">
        <v>11300</v>
      </c>
      <c r="L74" s="265"/>
      <c r="M74" s="265"/>
      <c r="N74" s="265"/>
      <c r="O74" s="265"/>
      <c r="P74" s="265"/>
      <c r="Q74" s="265"/>
      <c r="R74" s="267"/>
    </row>
    <row r="75" spans="1:18" ht="18" customHeight="1">
      <c r="A75" s="204">
        <v>70</v>
      </c>
      <c r="B75" s="202" t="s">
        <v>968</v>
      </c>
      <c r="C75" s="202"/>
      <c r="D75" s="202" t="s">
        <v>459</v>
      </c>
      <c r="E75" s="300">
        <v>77</v>
      </c>
      <c r="F75" s="210">
        <v>77</v>
      </c>
      <c r="G75" s="203" t="s">
        <v>451</v>
      </c>
      <c r="H75" s="203" t="s">
        <v>452</v>
      </c>
      <c r="I75" s="276"/>
      <c r="J75" s="263" t="str">
        <f t="shared" si="1"/>
        <v>대공</v>
      </c>
      <c r="K75" s="266">
        <v>4120</v>
      </c>
      <c r="L75" s="265"/>
      <c r="M75" s="265"/>
      <c r="N75" s="265"/>
      <c r="O75" s="265"/>
      <c r="P75" s="265"/>
      <c r="Q75" s="265"/>
      <c r="R75" s="267"/>
    </row>
    <row r="76" spans="1:18" ht="18" customHeight="1">
      <c r="A76" s="204">
        <v>71</v>
      </c>
      <c r="B76" s="202" t="s">
        <v>969</v>
      </c>
      <c r="C76" s="202"/>
      <c r="D76" s="202" t="s">
        <v>459</v>
      </c>
      <c r="E76" s="300">
        <v>72</v>
      </c>
      <c r="F76" s="210">
        <v>72</v>
      </c>
      <c r="G76" s="203" t="s">
        <v>451</v>
      </c>
      <c r="H76" s="203" t="s">
        <v>452</v>
      </c>
      <c r="I76" s="276"/>
      <c r="J76" s="263" t="str">
        <f t="shared" si="1"/>
        <v>대공</v>
      </c>
      <c r="K76" s="266">
        <v>14900</v>
      </c>
      <c r="L76" s="265"/>
      <c r="M76" s="265"/>
      <c r="N76" s="265"/>
      <c r="O76" s="265"/>
      <c r="P76" s="265"/>
      <c r="Q76" s="265"/>
      <c r="R76" s="267"/>
    </row>
    <row r="77" spans="1:18" ht="18" customHeight="1">
      <c r="A77" s="204">
        <v>72</v>
      </c>
      <c r="B77" s="202" t="s">
        <v>970</v>
      </c>
      <c r="C77" s="202"/>
      <c r="D77" s="202" t="s">
        <v>7</v>
      </c>
      <c r="E77" s="300">
        <v>218</v>
      </c>
      <c r="F77" s="210">
        <v>218</v>
      </c>
      <c r="G77" s="203" t="s">
        <v>451</v>
      </c>
      <c r="H77" s="203" t="s">
        <v>452</v>
      </c>
      <c r="I77" s="276"/>
      <c r="J77" s="263" t="str">
        <f t="shared" si="1"/>
        <v>전공</v>
      </c>
      <c r="K77" s="266">
        <v>14200</v>
      </c>
      <c r="L77" s="265"/>
      <c r="M77" s="265"/>
      <c r="N77" s="265"/>
      <c r="O77" s="265"/>
      <c r="P77" s="265"/>
      <c r="Q77" s="265"/>
      <c r="R77" s="267"/>
    </row>
    <row r="78" spans="1:18" ht="18" customHeight="1">
      <c r="A78" s="204">
        <v>73</v>
      </c>
      <c r="B78" s="202" t="s">
        <v>971</v>
      </c>
      <c r="C78" s="202"/>
      <c r="D78" s="202" t="s">
        <v>7</v>
      </c>
      <c r="E78" s="300">
        <v>132</v>
      </c>
      <c r="F78" s="210">
        <v>132</v>
      </c>
      <c r="G78" s="203" t="s">
        <v>451</v>
      </c>
      <c r="H78" s="203" t="s">
        <v>452</v>
      </c>
      <c r="I78" s="276"/>
      <c r="J78" s="263" t="str">
        <f t="shared" si="1"/>
        <v>전공</v>
      </c>
      <c r="K78" s="266">
        <v>14200</v>
      </c>
      <c r="L78" s="265"/>
      <c r="M78" s="265"/>
      <c r="N78" s="265"/>
      <c r="O78" s="265"/>
      <c r="P78" s="265"/>
      <c r="Q78" s="265"/>
      <c r="R78" s="267"/>
    </row>
    <row r="79" spans="1:18" ht="18" customHeight="1">
      <c r="A79" s="204">
        <v>74</v>
      </c>
      <c r="B79" s="202" t="s">
        <v>972</v>
      </c>
      <c r="C79" s="202"/>
      <c r="D79" s="202" t="s">
        <v>462</v>
      </c>
      <c r="E79" s="300">
        <v>811.2</v>
      </c>
      <c r="F79" s="210">
        <v>811.2</v>
      </c>
      <c r="G79" s="203" t="s">
        <v>511</v>
      </c>
      <c r="H79" s="203" t="s">
        <v>712</v>
      </c>
      <c r="I79" s="276"/>
      <c r="J79" s="263" t="str">
        <f t="shared" si="1"/>
        <v>구국</v>
      </c>
      <c r="K79" s="266"/>
      <c r="L79" s="265"/>
      <c r="M79" s="265"/>
      <c r="N79" s="265"/>
      <c r="O79" s="265"/>
      <c r="P79" s="265"/>
      <c r="Q79" s="265"/>
      <c r="R79" s="267"/>
    </row>
    <row r="80" spans="1:18" ht="18" customHeight="1">
      <c r="A80" s="204">
        <v>75</v>
      </c>
      <c r="B80" s="202" t="s">
        <v>973</v>
      </c>
      <c r="C80" s="202"/>
      <c r="D80" s="202" t="s">
        <v>8</v>
      </c>
      <c r="E80" s="300">
        <v>68.7</v>
      </c>
      <c r="F80" s="210">
        <v>68.7</v>
      </c>
      <c r="G80" s="203" t="s">
        <v>451</v>
      </c>
      <c r="H80" s="203" t="s">
        <v>452</v>
      </c>
      <c r="I80" s="276"/>
      <c r="J80" s="263" t="str">
        <f t="shared" si="1"/>
        <v>답공</v>
      </c>
      <c r="K80" s="266">
        <v>10100</v>
      </c>
      <c r="L80" s="265"/>
      <c r="M80" s="265"/>
      <c r="N80" s="265"/>
      <c r="O80" s="265"/>
      <c r="P80" s="265"/>
      <c r="Q80" s="265"/>
      <c r="R80" s="267"/>
    </row>
    <row r="81" spans="1:18" ht="18" customHeight="1">
      <c r="A81" s="204">
        <v>76</v>
      </c>
      <c r="B81" s="202" t="s">
        <v>974</v>
      </c>
      <c r="C81" s="202"/>
      <c r="D81" s="202" t="s">
        <v>8</v>
      </c>
      <c r="E81" s="300">
        <v>1825.5</v>
      </c>
      <c r="F81" s="210">
        <v>1825.5</v>
      </c>
      <c r="G81" s="203" t="s">
        <v>451</v>
      </c>
      <c r="H81" s="203" t="s">
        <v>452</v>
      </c>
      <c r="I81" s="276"/>
      <c r="J81" s="263" t="str">
        <f t="shared" si="1"/>
        <v>답공</v>
      </c>
      <c r="K81" s="266">
        <v>10600</v>
      </c>
      <c r="L81" s="265"/>
      <c r="M81" s="265"/>
      <c r="N81" s="265"/>
      <c r="O81" s="265"/>
      <c r="P81" s="265"/>
      <c r="Q81" s="265"/>
      <c r="R81" s="267"/>
    </row>
    <row r="82" spans="1:18" ht="18" customHeight="1">
      <c r="A82" s="204">
        <v>77</v>
      </c>
      <c r="B82" s="202" t="s">
        <v>975</v>
      </c>
      <c r="C82" s="202"/>
      <c r="D82" s="202" t="s">
        <v>455</v>
      </c>
      <c r="E82" s="300">
        <v>216.7</v>
      </c>
      <c r="F82" s="210">
        <v>216.7</v>
      </c>
      <c r="G82" s="203" t="s">
        <v>511</v>
      </c>
      <c r="H82" s="203" t="s">
        <v>712</v>
      </c>
      <c r="I82" s="276"/>
      <c r="J82" s="263" t="str">
        <f t="shared" si="1"/>
        <v>도국</v>
      </c>
      <c r="K82" s="266"/>
      <c r="L82" s="265"/>
      <c r="M82" s="265"/>
      <c r="N82" s="265"/>
      <c r="O82" s="265"/>
      <c r="P82" s="265"/>
      <c r="Q82" s="265"/>
      <c r="R82" s="267"/>
    </row>
    <row r="83" spans="1:18" ht="18" customHeight="1">
      <c r="A83" s="204">
        <v>78</v>
      </c>
      <c r="B83" s="202" t="s">
        <v>976</v>
      </c>
      <c r="C83" s="202"/>
      <c r="D83" s="202" t="s">
        <v>462</v>
      </c>
      <c r="E83" s="300">
        <v>182.8</v>
      </c>
      <c r="F83" s="210">
        <v>182.8</v>
      </c>
      <c r="G83" s="203" t="s">
        <v>511</v>
      </c>
      <c r="H83" s="203" t="s">
        <v>712</v>
      </c>
      <c r="I83" s="276"/>
      <c r="J83" s="263" t="str">
        <f t="shared" si="1"/>
        <v>구국</v>
      </c>
      <c r="K83" s="266"/>
      <c r="L83" s="265"/>
      <c r="M83" s="265"/>
      <c r="N83" s="265"/>
      <c r="O83" s="265"/>
      <c r="P83" s="265"/>
      <c r="Q83" s="265"/>
      <c r="R83" s="267"/>
    </row>
    <row r="84" spans="1:18" ht="18" customHeight="1">
      <c r="A84" s="204">
        <v>79</v>
      </c>
      <c r="B84" s="202" t="s">
        <v>977</v>
      </c>
      <c r="C84" s="202"/>
      <c r="D84" s="202" t="s">
        <v>7</v>
      </c>
      <c r="E84" s="300">
        <v>75</v>
      </c>
      <c r="F84" s="210">
        <v>75</v>
      </c>
      <c r="G84" s="203" t="s">
        <v>451</v>
      </c>
      <c r="H84" s="203" t="s">
        <v>452</v>
      </c>
      <c r="I84" s="276"/>
      <c r="J84" s="263" t="str">
        <f t="shared" si="1"/>
        <v>전공</v>
      </c>
      <c r="K84" s="266">
        <v>9310</v>
      </c>
      <c r="L84" s="265"/>
      <c r="M84" s="265"/>
      <c r="N84" s="265"/>
      <c r="O84" s="265"/>
      <c r="P84" s="265"/>
      <c r="Q84" s="265"/>
      <c r="R84" s="267"/>
    </row>
    <row r="85" spans="1:18" ht="18" customHeight="1">
      <c r="A85" s="204">
        <v>80</v>
      </c>
      <c r="B85" s="202" t="s">
        <v>978</v>
      </c>
      <c r="C85" s="202"/>
      <c r="D85" s="202" t="s">
        <v>8</v>
      </c>
      <c r="E85" s="300">
        <v>47</v>
      </c>
      <c r="F85" s="210">
        <v>47</v>
      </c>
      <c r="G85" s="203" t="s">
        <v>451</v>
      </c>
      <c r="H85" s="203" t="s">
        <v>452</v>
      </c>
      <c r="I85" s="276"/>
      <c r="J85" s="263" t="str">
        <f t="shared" si="1"/>
        <v>답공</v>
      </c>
      <c r="K85" s="266">
        <v>10100</v>
      </c>
      <c r="L85" s="265"/>
      <c r="M85" s="265"/>
      <c r="N85" s="265"/>
      <c r="O85" s="265"/>
      <c r="P85" s="265"/>
      <c r="Q85" s="265"/>
      <c r="R85" s="267"/>
    </row>
    <row r="86" spans="1:18" ht="18" customHeight="1">
      <c r="A86" s="204">
        <v>81</v>
      </c>
      <c r="B86" s="202" t="s">
        <v>979</v>
      </c>
      <c r="C86" s="202"/>
      <c r="D86" s="202" t="s">
        <v>7</v>
      </c>
      <c r="E86" s="300">
        <v>309</v>
      </c>
      <c r="F86" s="210">
        <v>273</v>
      </c>
      <c r="G86" s="203" t="s">
        <v>451</v>
      </c>
      <c r="H86" s="203" t="s">
        <v>452</v>
      </c>
      <c r="I86" s="276"/>
      <c r="J86" s="263" t="str">
        <f t="shared" si="1"/>
        <v>전공</v>
      </c>
      <c r="K86" s="266">
        <v>10600</v>
      </c>
      <c r="L86" s="265"/>
      <c r="M86" s="265"/>
      <c r="N86" s="265"/>
      <c r="O86" s="265"/>
      <c r="P86" s="265"/>
      <c r="Q86" s="265"/>
      <c r="R86" s="267"/>
    </row>
    <row r="87" spans="1:18" ht="18" customHeight="1">
      <c r="A87" s="204">
        <v>82</v>
      </c>
      <c r="B87" s="202" t="s">
        <v>980</v>
      </c>
      <c r="C87" s="202"/>
      <c r="D87" s="202" t="s">
        <v>459</v>
      </c>
      <c r="E87" s="300">
        <v>107</v>
      </c>
      <c r="F87" s="210">
        <v>107</v>
      </c>
      <c r="G87" s="203" t="s">
        <v>451</v>
      </c>
      <c r="H87" s="203" t="s">
        <v>452</v>
      </c>
      <c r="I87" s="276"/>
      <c r="J87" s="263" t="str">
        <f t="shared" si="1"/>
        <v>대공</v>
      </c>
      <c r="K87" s="266">
        <v>13800</v>
      </c>
      <c r="L87" s="265"/>
      <c r="M87" s="265"/>
      <c r="N87" s="265"/>
      <c r="O87" s="265"/>
      <c r="P87" s="265"/>
      <c r="Q87" s="265"/>
      <c r="R87" s="267"/>
    </row>
    <row r="88" spans="1:18" ht="18" customHeight="1">
      <c r="A88" s="204">
        <v>83</v>
      </c>
      <c r="B88" s="202" t="s">
        <v>981</v>
      </c>
      <c r="C88" s="202"/>
      <c r="D88" s="202" t="s">
        <v>8</v>
      </c>
      <c r="E88" s="300">
        <v>7</v>
      </c>
      <c r="F88" s="210">
        <v>7</v>
      </c>
      <c r="G88" s="203" t="s">
        <v>451</v>
      </c>
      <c r="H88" s="203" t="s">
        <v>452</v>
      </c>
      <c r="I88" s="276"/>
      <c r="J88" s="263" t="str">
        <f t="shared" si="1"/>
        <v>답공</v>
      </c>
      <c r="K88" s="266">
        <v>8500</v>
      </c>
      <c r="L88" s="265"/>
      <c r="M88" s="265"/>
      <c r="N88" s="265"/>
      <c r="O88" s="265"/>
      <c r="P88" s="265"/>
      <c r="Q88" s="265"/>
      <c r="R88" s="267"/>
    </row>
    <row r="89" spans="1:18" ht="18" customHeight="1">
      <c r="A89" s="204">
        <v>84</v>
      </c>
      <c r="B89" s="202" t="s">
        <v>982</v>
      </c>
      <c r="C89" s="202"/>
      <c r="D89" s="202" t="s">
        <v>8</v>
      </c>
      <c r="E89" s="300">
        <v>131</v>
      </c>
      <c r="F89" s="210">
        <v>131</v>
      </c>
      <c r="G89" s="203" t="s">
        <v>451</v>
      </c>
      <c r="H89" s="203" t="s">
        <v>452</v>
      </c>
      <c r="I89" s="276"/>
      <c r="J89" s="263" t="str">
        <f t="shared" si="1"/>
        <v>답공</v>
      </c>
      <c r="K89" s="266">
        <v>9330</v>
      </c>
      <c r="L89" s="265"/>
      <c r="M89" s="265"/>
      <c r="N89" s="265"/>
      <c r="O89" s="265"/>
      <c r="P89" s="265"/>
      <c r="Q89" s="265"/>
      <c r="R89" s="267"/>
    </row>
    <row r="90" spans="1:18" ht="18" customHeight="1">
      <c r="A90" s="204">
        <v>85</v>
      </c>
      <c r="B90" s="202" t="s">
        <v>983</v>
      </c>
      <c r="C90" s="202"/>
      <c r="D90" s="202" t="s">
        <v>462</v>
      </c>
      <c r="E90" s="300">
        <v>1858</v>
      </c>
      <c r="F90" s="210">
        <v>372</v>
      </c>
      <c r="G90" s="203" t="s">
        <v>511</v>
      </c>
      <c r="H90" s="203" t="s">
        <v>712</v>
      </c>
      <c r="I90" s="276"/>
      <c r="J90" s="263" t="str">
        <f t="shared" si="1"/>
        <v>구국</v>
      </c>
      <c r="K90" s="266"/>
      <c r="L90" s="265"/>
      <c r="M90" s="265"/>
      <c r="N90" s="265"/>
      <c r="O90" s="265"/>
      <c r="P90" s="265"/>
      <c r="Q90" s="265"/>
      <c r="R90" s="267"/>
    </row>
    <row r="91" spans="1:18" ht="18" customHeight="1">
      <c r="A91" s="204">
        <v>86</v>
      </c>
      <c r="B91" s="202" t="s">
        <v>984</v>
      </c>
      <c r="C91" s="202"/>
      <c r="D91" s="202" t="s">
        <v>8</v>
      </c>
      <c r="E91" s="300">
        <v>1038</v>
      </c>
      <c r="F91" s="210">
        <v>1038</v>
      </c>
      <c r="G91" s="203" t="s">
        <v>451</v>
      </c>
      <c r="H91" s="203" t="s">
        <v>452</v>
      </c>
      <c r="I91" s="276"/>
      <c r="J91" s="263" t="str">
        <f t="shared" si="1"/>
        <v>답공</v>
      </c>
      <c r="K91" s="266">
        <v>9650</v>
      </c>
      <c r="L91" s="265"/>
      <c r="M91" s="265"/>
      <c r="N91" s="265"/>
      <c r="O91" s="265"/>
      <c r="P91" s="265"/>
      <c r="Q91" s="265"/>
      <c r="R91" s="267"/>
    </row>
    <row r="92" spans="1:18" ht="18" customHeight="1">
      <c r="A92" s="204">
        <v>87</v>
      </c>
      <c r="B92" s="202" t="s">
        <v>985</v>
      </c>
      <c r="C92" s="202"/>
      <c r="D92" s="202" t="s">
        <v>455</v>
      </c>
      <c r="E92" s="300">
        <v>4069.5</v>
      </c>
      <c r="F92" s="210">
        <v>456</v>
      </c>
      <c r="G92" s="203" t="s">
        <v>511</v>
      </c>
      <c r="H92" s="203" t="s">
        <v>712</v>
      </c>
      <c r="I92" s="276"/>
      <c r="J92" s="263" t="str">
        <f t="shared" si="1"/>
        <v>도국</v>
      </c>
      <c r="K92" s="266"/>
      <c r="L92" s="265"/>
      <c r="M92" s="265"/>
      <c r="N92" s="265"/>
      <c r="O92" s="265"/>
      <c r="P92" s="265"/>
      <c r="Q92" s="265"/>
      <c r="R92" s="267"/>
    </row>
    <row r="93" spans="1:18" ht="18" customHeight="1">
      <c r="A93" s="204">
        <v>88</v>
      </c>
      <c r="B93" s="202" t="s">
        <v>986</v>
      </c>
      <c r="C93" s="202"/>
      <c r="D93" s="202" t="s">
        <v>462</v>
      </c>
      <c r="E93" s="300">
        <v>979.2</v>
      </c>
      <c r="F93" s="210">
        <v>489</v>
      </c>
      <c r="G93" s="203" t="s">
        <v>511</v>
      </c>
      <c r="H93" s="203" t="s">
        <v>712</v>
      </c>
      <c r="I93" s="276"/>
      <c r="J93" s="263" t="str">
        <f t="shared" si="1"/>
        <v>구국</v>
      </c>
      <c r="K93" s="266"/>
      <c r="L93" s="265"/>
      <c r="M93" s="265"/>
      <c r="N93" s="265"/>
      <c r="O93" s="265"/>
      <c r="P93" s="265"/>
      <c r="Q93" s="265"/>
      <c r="R93" s="267"/>
    </row>
    <row r="94" spans="1:18" ht="18" customHeight="1">
      <c r="A94" s="204">
        <v>89</v>
      </c>
      <c r="B94" s="202" t="s">
        <v>987</v>
      </c>
      <c r="C94" s="202"/>
      <c r="D94" s="202" t="s">
        <v>564</v>
      </c>
      <c r="E94" s="300">
        <v>575</v>
      </c>
      <c r="F94" s="210">
        <v>18</v>
      </c>
      <c r="G94" s="203" t="s">
        <v>511</v>
      </c>
      <c r="H94" s="203" t="s">
        <v>715</v>
      </c>
      <c r="I94" s="276"/>
      <c r="J94" s="263" t="str">
        <f t="shared" si="1"/>
        <v>제국</v>
      </c>
      <c r="K94" s="266"/>
      <c r="L94" s="265"/>
      <c r="M94" s="265"/>
      <c r="N94" s="265"/>
      <c r="O94" s="265"/>
      <c r="P94" s="265"/>
      <c r="Q94" s="265"/>
      <c r="R94" s="267"/>
    </row>
    <row r="95" spans="1:18" ht="18" customHeight="1">
      <c r="A95" s="204">
        <v>90</v>
      </c>
      <c r="B95" s="202" t="s">
        <v>988</v>
      </c>
      <c r="C95" s="202"/>
      <c r="D95" s="202" t="s">
        <v>93</v>
      </c>
      <c r="E95" s="300">
        <v>4</v>
      </c>
      <c r="F95" s="210">
        <v>4</v>
      </c>
      <c r="G95" s="203" t="s">
        <v>451</v>
      </c>
      <c r="H95" s="203" t="s">
        <v>452</v>
      </c>
      <c r="I95" s="276"/>
      <c r="J95" s="263" t="str">
        <f t="shared" si="1"/>
        <v>임공</v>
      </c>
      <c r="K95" s="266">
        <v>9010</v>
      </c>
      <c r="L95" s="265"/>
      <c r="M95" s="265"/>
      <c r="N95" s="265"/>
      <c r="O95" s="265"/>
      <c r="P95" s="265"/>
      <c r="Q95" s="265"/>
      <c r="R95" s="267"/>
    </row>
    <row r="96" spans="1:18" ht="18" customHeight="1">
      <c r="A96" s="204">
        <v>91</v>
      </c>
      <c r="B96" s="202" t="s">
        <v>989</v>
      </c>
      <c r="C96" s="202"/>
      <c r="D96" s="202" t="s">
        <v>7</v>
      </c>
      <c r="E96" s="300">
        <v>192</v>
      </c>
      <c r="F96" s="210">
        <v>192</v>
      </c>
      <c r="G96" s="203" t="s">
        <v>451</v>
      </c>
      <c r="H96" s="203" t="s">
        <v>452</v>
      </c>
      <c r="I96" s="276"/>
      <c r="J96" s="263" t="str">
        <f t="shared" si="1"/>
        <v>전공</v>
      </c>
      <c r="K96" s="266">
        <v>10400</v>
      </c>
      <c r="L96" s="265"/>
      <c r="M96" s="265"/>
      <c r="N96" s="265"/>
      <c r="O96" s="265"/>
      <c r="P96" s="265"/>
      <c r="Q96" s="265"/>
      <c r="R96" s="267"/>
    </row>
    <row r="97" spans="1:18" ht="18" customHeight="1">
      <c r="A97" s="204">
        <v>92</v>
      </c>
      <c r="B97" s="202" t="s">
        <v>990</v>
      </c>
      <c r="C97" s="202"/>
      <c r="D97" s="202" t="s">
        <v>93</v>
      </c>
      <c r="E97" s="300">
        <v>754</v>
      </c>
      <c r="F97" s="210">
        <v>754</v>
      </c>
      <c r="G97" s="203" t="s">
        <v>451</v>
      </c>
      <c r="H97" s="203" t="s">
        <v>452</v>
      </c>
      <c r="I97" s="276"/>
      <c r="J97" s="263" t="str">
        <f t="shared" si="1"/>
        <v>임공</v>
      </c>
      <c r="K97" s="266">
        <v>9010</v>
      </c>
      <c r="L97" s="265"/>
      <c r="M97" s="265"/>
      <c r="N97" s="265"/>
      <c r="O97" s="265"/>
      <c r="P97" s="265"/>
      <c r="Q97" s="265"/>
      <c r="R97" s="267"/>
    </row>
    <row r="98" spans="1:18" ht="18" customHeight="1">
      <c r="A98" s="204">
        <v>93</v>
      </c>
      <c r="B98" s="202" t="s">
        <v>991</v>
      </c>
      <c r="C98" s="202"/>
      <c r="D98" s="202" t="s">
        <v>93</v>
      </c>
      <c r="E98" s="300">
        <v>162</v>
      </c>
      <c r="F98" s="210">
        <v>162</v>
      </c>
      <c r="G98" s="203" t="s">
        <v>451</v>
      </c>
      <c r="H98" s="203" t="s">
        <v>452</v>
      </c>
      <c r="I98" s="276"/>
      <c r="J98" s="263" t="str">
        <f t="shared" si="1"/>
        <v>임공</v>
      </c>
      <c r="K98" s="266">
        <v>6100</v>
      </c>
      <c r="L98" s="265"/>
      <c r="M98" s="265"/>
      <c r="N98" s="265"/>
      <c r="O98" s="265"/>
      <c r="P98" s="265"/>
      <c r="Q98" s="265"/>
      <c r="R98" s="267"/>
    </row>
    <row r="99" spans="1:18" ht="18" customHeight="1">
      <c r="A99" s="204">
        <v>94</v>
      </c>
      <c r="B99" s="202" t="s">
        <v>992</v>
      </c>
      <c r="C99" s="202"/>
      <c r="D99" s="202" t="s">
        <v>8</v>
      </c>
      <c r="E99" s="300">
        <v>48.3</v>
      </c>
      <c r="F99" s="210">
        <v>48.3</v>
      </c>
      <c r="G99" s="203" t="s">
        <v>451</v>
      </c>
      <c r="H99" s="203" t="s">
        <v>452</v>
      </c>
      <c r="I99" s="276"/>
      <c r="J99" s="263" t="str">
        <f t="shared" si="1"/>
        <v>답공</v>
      </c>
      <c r="K99" s="266">
        <v>8800</v>
      </c>
      <c r="L99" s="265"/>
      <c r="M99" s="265"/>
      <c r="N99" s="265"/>
      <c r="O99" s="265"/>
      <c r="P99" s="265"/>
      <c r="Q99" s="265"/>
      <c r="R99" s="267"/>
    </row>
    <row r="100" spans="1:18" ht="18" customHeight="1">
      <c r="A100" s="204">
        <v>95</v>
      </c>
      <c r="B100" s="202" t="s">
        <v>993</v>
      </c>
      <c r="C100" s="202"/>
      <c r="D100" s="202" t="s">
        <v>8</v>
      </c>
      <c r="E100" s="300">
        <v>302</v>
      </c>
      <c r="F100" s="210">
        <v>302</v>
      </c>
      <c r="G100" s="203" t="s">
        <v>451</v>
      </c>
      <c r="H100" s="203" t="s">
        <v>452</v>
      </c>
      <c r="I100" s="276"/>
      <c r="J100" s="263" t="str">
        <f t="shared" si="1"/>
        <v>답공</v>
      </c>
      <c r="K100" s="266">
        <v>8800</v>
      </c>
      <c r="L100" s="265"/>
      <c r="M100" s="265"/>
      <c r="N100" s="265"/>
      <c r="O100" s="265"/>
      <c r="P100" s="265"/>
      <c r="Q100" s="265"/>
      <c r="R100" s="267"/>
    </row>
    <row r="101" spans="1:18" ht="18" customHeight="1">
      <c r="A101" s="204">
        <v>96</v>
      </c>
      <c r="B101" s="202" t="s">
        <v>994</v>
      </c>
      <c r="C101" s="202"/>
      <c r="D101" s="202" t="s">
        <v>8</v>
      </c>
      <c r="E101" s="300">
        <v>118.6</v>
      </c>
      <c r="F101" s="210">
        <v>118.6</v>
      </c>
      <c r="G101" s="203" t="s">
        <v>451</v>
      </c>
      <c r="H101" s="203" t="s">
        <v>452</v>
      </c>
      <c r="I101" s="276"/>
      <c r="J101" s="263" t="str">
        <f t="shared" si="1"/>
        <v>답공</v>
      </c>
      <c r="K101" s="266">
        <v>8800</v>
      </c>
      <c r="L101" s="265"/>
      <c r="M101" s="265"/>
      <c r="N101" s="265"/>
      <c r="O101" s="265"/>
      <c r="P101" s="265"/>
      <c r="Q101" s="265"/>
      <c r="R101" s="267"/>
    </row>
    <row r="102" spans="1:18" ht="18" customHeight="1">
      <c r="A102" s="204">
        <v>97</v>
      </c>
      <c r="B102" s="202" t="s">
        <v>995</v>
      </c>
      <c r="C102" s="202"/>
      <c r="D102" s="202" t="s">
        <v>8</v>
      </c>
      <c r="E102" s="300">
        <v>570.20000000000005</v>
      </c>
      <c r="F102" s="210">
        <v>570.20000000000005</v>
      </c>
      <c r="G102" s="203" t="s">
        <v>451</v>
      </c>
      <c r="H102" s="203" t="s">
        <v>452</v>
      </c>
      <c r="I102" s="276"/>
      <c r="J102" s="263" t="str">
        <f t="shared" si="1"/>
        <v>답공</v>
      </c>
      <c r="K102" s="266">
        <v>8800</v>
      </c>
      <c r="L102" s="265"/>
      <c r="M102" s="265"/>
      <c r="N102" s="265"/>
      <c r="O102" s="265"/>
      <c r="P102" s="265"/>
      <c r="Q102" s="265"/>
      <c r="R102" s="267"/>
    </row>
    <row r="103" spans="1:18" ht="18" customHeight="1">
      <c r="A103" s="204">
        <v>98</v>
      </c>
      <c r="B103" s="202" t="s">
        <v>996</v>
      </c>
      <c r="C103" s="202"/>
      <c r="D103" s="202" t="s">
        <v>8</v>
      </c>
      <c r="E103" s="300">
        <v>218.3</v>
      </c>
      <c r="F103" s="210">
        <v>218.3</v>
      </c>
      <c r="G103" s="203" t="s">
        <v>451</v>
      </c>
      <c r="H103" s="203" t="s">
        <v>452</v>
      </c>
      <c r="I103" s="276"/>
      <c r="J103" s="263" t="str">
        <f t="shared" si="1"/>
        <v>답공</v>
      </c>
      <c r="K103" s="266">
        <v>8800</v>
      </c>
      <c r="L103" s="265"/>
      <c r="M103" s="265"/>
      <c r="N103" s="265"/>
      <c r="O103" s="265"/>
      <c r="P103" s="265"/>
      <c r="Q103" s="265"/>
      <c r="R103" s="267"/>
    </row>
    <row r="104" spans="1:18" ht="18" customHeight="1">
      <c r="A104" s="204">
        <v>99</v>
      </c>
      <c r="B104" s="202" t="s">
        <v>997</v>
      </c>
      <c r="C104" s="202"/>
      <c r="D104" s="202" t="s">
        <v>8</v>
      </c>
      <c r="E104" s="300">
        <v>417.9</v>
      </c>
      <c r="F104" s="210">
        <v>417.9</v>
      </c>
      <c r="G104" s="203" t="s">
        <v>451</v>
      </c>
      <c r="H104" s="203" t="s">
        <v>452</v>
      </c>
      <c r="I104" s="276"/>
      <c r="J104" s="263" t="str">
        <f t="shared" si="1"/>
        <v>답공</v>
      </c>
      <c r="K104" s="266">
        <v>8800</v>
      </c>
      <c r="L104" s="265"/>
      <c r="M104" s="265"/>
      <c r="N104" s="265"/>
      <c r="O104" s="265"/>
      <c r="P104" s="265"/>
      <c r="Q104" s="265"/>
      <c r="R104" s="267"/>
    </row>
    <row r="105" spans="1:18" ht="18" customHeight="1">
      <c r="A105" s="204">
        <v>100</v>
      </c>
      <c r="B105" s="202" t="s">
        <v>998</v>
      </c>
      <c r="C105" s="202"/>
      <c r="D105" s="202" t="s">
        <v>462</v>
      </c>
      <c r="E105" s="300">
        <v>3940.7</v>
      </c>
      <c r="F105" s="210">
        <v>398</v>
      </c>
      <c r="G105" s="203" t="s">
        <v>511</v>
      </c>
      <c r="H105" s="203" t="s">
        <v>712</v>
      </c>
      <c r="I105" s="276"/>
      <c r="J105" s="263" t="str">
        <f t="shared" si="1"/>
        <v>구국</v>
      </c>
      <c r="K105" s="266"/>
      <c r="L105" s="265"/>
      <c r="M105" s="265"/>
      <c r="N105" s="265"/>
      <c r="O105" s="265"/>
      <c r="P105" s="265"/>
      <c r="Q105" s="265"/>
      <c r="R105" s="267"/>
    </row>
    <row r="106" spans="1:18" ht="18" customHeight="1">
      <c r="A106" s="204">
        <v>101</v>
      </c>
      <c r="B106" s="202" t="s">
        <v>999</v>
      </c>
      <c r="C106" s="202"/>
      <c r="D106" s="202" t="s">
        <v>455</v>
      </c>
      <c r="E106" s="300">
        <v>715.2</v>
      </c>
      <c r="F106" s="210">
        <v>715.2</v>
      </c>
      <c r="G106" s="203" t="s">
        <v>511</v>
      </c>
      <c r="H106" s="203" t="s">
        <v>712</v>
      </c>
      <c r="I106" s="276"/>
      <c r="J106" s="263" t="str">
        <f t="shared" si="1"/>
        <v>도국</v>
      </c>
      <c r="K106" s="264"/>
      <c r="L106" s="265"/>
      <c r="M106" s="265"/>
      <c r="N106" s="265"/>
      <c r="O106" s="265"/>
      <c r="P106" s="265"/>
      <c r="Q106" s="265"/>
      <c r="R106" s="265"/>
    </row>
    <row r="107" spans="1:18" ht="18" customHeight="1">
      <c r="A107" s="204">
        <v>102</v>
      </c>
      <c r="B107" s="202" t="s">
        <v>1000</v>
      </c>
      <c r="C107" s="202"/>
      <c r="D107" s="202" t="s">
        <v>8</v>
      </c>
      <c r="E107" s="300">
        <v>146.6</v>
      </c>
      <c r="F107" s="210">
        <v>146.6</v>
      </c>
      <c r="G107" s="203" t="s">
        <v>451</v>
      </c>
      <c r="H107" s="203" t="s">
        <v>452</v>
      </c>
      <c r="I107" s="276"/>
      <c r="J107" s="263" t="str">
        <f t="shared" si="1"/>
        <v>답공</v>
      </c>
      <c r="K107" s="264">
        <v>8830</v>
      </c>
      <c r="L107" s="265"/>
      <c r="M107" s="265"/>
      <c r="N107" s="265"/>
      <c r="O107" s="265"/>
      <c r="P107" s="265"/>
      <c r="Q107" s="265"/>
      <c r="R107" s="265"/>
    </row>
    <row r="108" spans="1:18" ht="18" customHeight="1">
      <c r="A108" s="204">
        <v>103</v>
      </c>
      <c r="B108" s="202" t="s">
        <v>1001</v>
      </c>
      <c r="C108" s="202"/>
      <c r="D108" s="202" t="s">
        <v>7</v>
      </c>
      <c r="E108" s="300">
        <v>55</v>
      </c>
      <c r="F108" s="210">
        <v>55</v>
      </c>
      <c r="G108" s="203" t="s">
        <v>451</v>
      </c>
      <c r="H108" s="203" t="s">
        <v>452</v>
      </c>
      <c r="I108" s="276"/>
      <c r="J108" s="263" t="str">
        <f t="shared" si="1"/>
        <v>전공</v>
      </c>
      <c r="K108" s="264">
        <v>11100</v>
      </c>
      <c r="L108" s="265"/>
      <c r="M108" s="265"/>
      <c r="N108" s="265"/>
      <c r="O108" s="265"/>
      <c r="P108" s="265"/>
      <c r="Q108" s="265"/>
      <c r="R108" s="265"/>
    </row>
    <row r="109" spans="1:18" ht="18" customHeight="1">
      <c r="A109" s="204">
        <v>104</v>
      </c>
      <c r="B109" s="202" t="s">
        <v>1002</v>
      </c>
      <c r="C109" s="202"/>
      <c r="D109" s="202" t="s">
        <v>7</v>
      </c>
      <c r="E109" s="300">
        <v>19</v>
      </c>
      <c r="F109" s="210">
        <v>19</v>
      </c>
      <c r="G109" s="203" t="s">
        <v>451</v>
      </c>
      <c r="H109" s="203" t="s">
        <v>452</v>
      </c>
      <c r="I109" s="276"/>
      <c r="J109" s="263" t="str">
        <f t="shared" si="1"/>
        <v>전공</v>
      </c>
      <c r="K109" s="264">
        <v>11100</v>
      </c>
      <c r="L109" s="265"/>
      <c r="M109" s="265"/>
      <c r="N109" s="265"/>
      <c r="O109" s="265"/>
      <c r="P109" s="265"/>
      <c r="Q109" s="265"/>
      <c r="R109" s="265"/>
    </row>
    <row r="110" spans="1:18" ht="18" customHeight="1">
      <c r="A110" s="204">
        <v>105</v>
      </c>
      <c r="B110" s="202" t="s">
        <v>1003</v>
      </c>
      <c r="C110" s="202"/>
      <c r="D110" s="202" t="s">
        <v>7</v>
      </c>
      <c r="E110" s="300">
        <v>11</v>
      </c>
      <c r="F110" s="210">
        <v>11</v>
      </c>
      <c r="G110" s="203" t="s">
        <v>451</v>
      </c>
      <c r="H110" s="203" t="s">
        <v>452</v>
      </c>
      <c r="I110" s="276"/>
      <c r="J110" s="263" t="str">
        <f t="shared" si="1"/>
        <v>전공</v>
      </c>
      <c r="K110" s="264">
        <v>11400</v>
      </c>
      <c r="L110" s="265"/>
      <c r="M110" s="265"/>
      <c r="N110" s="265"/>
      <c r="O110" s="265"/>
      <c r="P110" s="265"/>
      <c r="Q110" s="265"/>
      <c r="R110" s="265"/>
    </row>
    <row r="111" spans="1:18" ht="18" customHeight="1">
      <c r="A111" s="204">
        <v>106</v>
      </c>
      <c r="B111" s="202" t="s">
        <v>1004</v>
      </c>
      <c r="C111" s="202"/>
      <c r="D111" s="202" t="s">
        <v>8</v>
      </c>
      <c r="E111" s="300">
        <v>41</v>
      </c>
      <c r="F111" s="210">
        <v>41</v>
      </c>
      <c r="G111" s="203" t="s">
        <v>451</v>
      </c>
      <c r="H111" s="203" t="s">
        <v>452</v>
      </c>
      <c r="I111" s="276"/>
      <c r="J111" s="263" t="str">
        <f t="shared" si="1"/>
        <v>답공</v>
      </c>
      <c r="K111" s="264">
        <v>10100</v>
      </c>
      <c r="L111" s="265"/>
      <c r="M111" s="265"/>
      <c r="N111" s="265"/>
      <c r="O111" s="265"/>
      <c r="P111" s="265"/>
      <c r="Q111" s="265"/>
      <c r="R111" s="265"/>
    </row>
    <row r="112" spans="1:18" ht="18" customHeight="1">
      <c r="A112" s="204">
        <v>107</v>
      </c>
      <c r="B112" s="202" t="s">
        <v>1005</v>
      </c>
      <c r="C112" s="202"/>
      <c r="D112" s="202" t="s">
        <v>7</v>
      </c>
      <c r="E112" s="300">
        <v>140</v>
      </c>
      <c r="F112" s="210">
        <v>140</v>
      </c>
      <c r="G112" s="203" t="s">
        <v>451</v>
      </c>
      <c r="H112" s="203" t="s">
        <v>452</v>
      </c>
      <c r="I112" s="276"/>
      <c r="J112" s="263" t="str">
        <f t="shared" si="1"/>
        <v>전공</v>
      </c>
      <c r="K112" s="264">
        <v>11400</v>
      </c>
      <c r="L112" s="265"/>
      <c r="M112" s="265"/>
      <c r="N112" s="265"/>
      <c r="O112" s="265"/>
      <c r="P112" s="265"/>
      <c r="Q112" s="265"/>
      <c r="R112" s="265"/>
    </row>
    <row r="113" spans="1:21" ht="18" customHeight="1">
      <c r="A113" s="204">
        <v>108</v>
      </c>
      <c r="B113" s="202" t="s">
        <v>1006</v>
      </c>
      <c r="C113" s="202"/>
      <c r="D113" s="202" t="s">
        <v>455</v>
      </c>
      <c r="E113" s="300">
        <v>30</v>
      </c>
      <c r="F113" s="210">
        <v>26</v>
      </c>
      <c r="G113" s="203" t="s">
        <v>451</v>
      </c>
      <c r="H113" s="203" t="s">
        <v>452</v>
      </c>
      <c r="I113" s="276"/>
      <c r="J113" s="263" t="str">
        <f t="shared" si="1"/>
        <v>도공</v>
      </c>
      <c r="K113" s="264"/>
      <c r="L113" s="265"/>
      <c r="M113" s="265"/>
      <c r="N113" s="265"/>
      <c r="O113" s="265"/>
      <c r="P113" s="265"/>
      <c r="Q113" s="265"/>
      <c r="R113" s="265"/>
    </row>
    <row r="114" spans="1:21" ht="18" customHeight="1">
      <c r="A114" s="204">
        <v>109</v>
      </c>
      <c r="B114" s="202" t="s">
        <v>828</v>
      </c>
      <c r="C114" s="202"/>
      <c r="D114" s="202" t="s">
        <v>455</v>
      </c>
      <c r="E114" s="300">
        <v>3</v>
      </c>
      <c r="F114" s="210">
        <v>3</v>
      </c>
      <c r="G114" s="203" t="s">
        <v>451</v>
      </c>
      <c r="H114" s="203" t="s">
        <v>452</v>
      </c>
      <c r="I114" s="276"/>
      <c r="J114" s="263" t="str">
        <f t="shared" si="1"/>
        <v>도공</v>
      </c>
      <c r="K114" s="264"/>
      <c r="L114" s="265"/>
      <c r="M114" s="265"/>
      <c r="N114" s="265"/>
      <c r="O114" s="265"/>
      <c r="P114" s="265"/>
      <c r="Q114" s="265"/>
      <c r="R114" s="265"/>
    </row>
    <row r="115" spans="1:21" ht="18" customHeight="1">
      <c r="A115" s="204">
        <v>110</v>
      </c>
      <c r="B115" s="202" t="s">
        <v>1007</v>
      </c>
      <c r="C115" s="202"/>
      <c r="D115" s="202" t="s">
        <v>7</v>
      </c>
      <c r="E115" s="300">
        <v>29</v>
      </c>
      <c r="F115" s="210">
        <v>29</v>
      </c>
      <c r="G115" s="203" t="s">
        <v>451</v>
      </c>
      <c r="H115" s="203" t="s">
        <v>537</v>
      </c>
      <c r="I115" s="276"/>
      <c r="J115" s="263" t="str">
        <f t="shared" si="1"/>
        <v>전공</v>
      </c>
      <c r="K115" s="264">
        <v>3130</v>
      </c>
      <c r="L115" s="265"/>
      <c r="M115" s="265"/>
      <c r="N115" s="265"/>
      <c r="O115" s="265"/>
      <c r="P115" s="265"/>
      <c r="Q115" s="265"/>
      <c r="R115" s="265"/>
    </row>
    <row r="116" spans="1:21" ht="18" customHeight="1">
      <c r="A116" s="204">
        <v>111</v>
      </c>
      <c r="B116" s="202" t="s">
        <v>1008</v>
      </c>
      <c r="C116" s="202"/>
      <c r="D116" s="202" t="s">
        <v>455</v>
      </c>
      <c r="E116" s="300">
        <v>149</v>
      </c>
      <c r="F116" s="210">
        <v>149</v>
      </c>
      <c r="G116" s="203" t="s">
        <v>451</v>
      </c>
      <c r="H116" s="203" t="s">
        <v>452</v>
      </c>
      <c r="I116" s="276"/>
      <c r="J116" s="263" t="str">
        <f t="shared" si="1"/>
        <v>도공</v>
      </c>
      <c r="K116" s="264"/>
      <c r="L116" s="265"/>
      <c r="M116" s="265"/>
      <c r="N116" s="265"/>
      <c r="O116" s="265"/>
      <c r="P116" s="265"/>
      <c r="Q116" s="265"/>
      <c r="R116" s="265"/>
    </row>
    <row r="117" spans="1:21" ht="18" customHeight="1">
      <c r="A117" s="204">
        <v>112</v>
      </c>
      <c r="B117" s="202" t="s">
        <v>1009</v>
      </c>
      <c r="C117" s="202"/>
      <c r="D117" s="202" t="s">
        <v>455</v>
      </c>
      <c r="E117" s="300">
        <v>70</v>
      </c>
      <c r="F117" s="210">
        <v>70</v>
      </c>
      <c r="G117" s="203" t="s">
        <v>451</v>
      </c>
      <c r="H117" s="203" t="s">
        <v>452</v>
      </c>
      <c r="I117" s="276"/>
      <c r="J117" s="263" t="str">
        <f t="shared" si="1"/>
        <v>도공</v>
      </c>
      <c r="K117" s="264"/>
      <c r="L117" s="265"/>
      <c r="M117" s="265"/>
      <c r="N117" s="265"/>
      <c r="O117" s="265"/>
      <c r="P117" s="265"/>
      <c r="Q117" s="265"/>
      <c r="R117" s="265"/>
    </row>
    <row r="118" spans="1:21" ht="18" customHeight="1">
      <c r="A118" s="204">
        <v>113</v>
      </c>
      <c r="B118" s="202" t="s">
        <v>1010</v>
      </c>
      <c r="C118" s="202"/>
      <c r="D118" s="202" t="s">
        <v>7</v>
      </c>
      <c r="E118" s="300">
        <v>58</v>
      </c>
      <c r="F118" s="210">
        <v>58</v>
      </c>
      <c r="G118" s="203" t="s">
        <v>451</v>
      </c>
      <c r="H118" s="203" t="s">
        <v>452</v>
      </c>
      <c r="I118" s="276"/>
      <c r="J118" s="263" t="str">
        <f t="shared" si="1"/>
        <v>전공</v>
      </c>
      <c r="K118" s="264">
        <v>13200</v>
      </c>
      <c r="L118" s="265"/>
      <c r="M118" s="265"/>
      <c r="N118" s="265"/>
      <c r="O118" s="265"/>
      <c r="P118" s="265"/>
      <c r="Q118" s="265"/>
      <c r="R118" s="265"/>
    </row>
    <row r="119" spans="1:21" ht="18" customHeight="1">
      <c r="A119" s="204">
        <v>114</v>
      </c>
      <c r="B119" s="202" t="s">
        <v>1011</v>
      </c>
      <c r="C119" s="202"/>
      <c r="D119" s="202" t="s">
        <v>455</v>
      </c>
      <c r="E119" s="300">
        <v>57</v>
      </c>
      <c r="F119" s="210">
        <v>57</v>
      </c>
      <c r="G119" s="203" t="s">
        <v>451</v>
      </c>
      <c r="H119" s="203" t="s">
        <v>452</v>
      </c>
      <c r="I119" s="276"/>
      <c r="J119" s="263" t="str">
        <f t="shared" si="1"/>
        <v>도공</v>
      </c>
      <c r="K119" s="264"/>
      <c r="L119" s="265"/>
      <c r="M119" s="265"/>
      <c r="N119" s="265"/>
      <c r="O119" s="265"/>
      <c r="P119" s="265"/>
      <c r="Q119" s="265"/>
      <c r="R119" s="265"/>
    </row>
    <row r="120" spans="1:21" ht="18" customHeight="1">
      <c r="A120" s="204">
        <v>115</v>
      </c>
      <c r="B120" s="202" t="s">
        <v>1012</v>
      </c>
      <c r="C120" s="202"/>
      <c r="D120" s="202" t="s">
        <v>455</v>
      </c>
      <c r="E120" s="300">
        <v>43</v>
      </c>
      <c r="F120" s="210">
        <v>43</v>
      </c>
      <c r="G120" s="203" t="s">
        <v>451</v>
      </c>
      <c r="H120" s="203" t="s">
        <v>452</v>
      </c>
      <c r="I120" s="276"/>
      <c r="J120" s="263" t="str">
        <f t="shared" si="1"/>
        <v>도공</v>
      </c>
      <c r="K120" s="264"/>
      <c r="L120" s="265"/>
      <c r="M120" s="265"/>
      <c r="N120" s="265"/>
      <c r="O120" s="265"/>
      <c r="P120" s="265"/>
      <c r="Q120" s="265"/>
      <c r="R120" s="265"/>
    </row>
    <row r="121" spans="1:21" ht="18" customHeight="1">
      <c r="A121" s="204">
        <v>116</v>
      </c>
      <c r="B121" s="202" t="s">
        <v>1013</v>
      </c>
      <c r="C121" s="202"/>
      <c r="D121" s="202" t="s">
        <v>7</v>
      </c>
      <c r="E121" s="300">
        <v>217</v>
      </c>
      <c r="F121" s="210">
        <v>54</v>
      </c>
      <c r="G121" s="203" t="s">
        <v>451</v>
      </c>
      <c r="H121" s="203" t="s">
        <v>537</v>
      </c>
      <c r="I121" s="276"/>
      <c r="J121" s="263" t="str">
        <f t="shared" si="1"/>
        <v>전공</v>
      </c>
      <c r="K121" s="266">
        <v>3300</v>
      </c>
      <c r="L121" s="265"/>
      <c r="M121" s="265"/>
      <c r="N121" s="265"/>
      <c r="O121" s="265"/>
      <c r="P121" s="265"/>
      <c r="Q121" s="265"/>
      <c r="R121" s="267"/>
    </row>
    <row r="122" spans="1:21" ht="18" customHeight="1">
      <c r="A122" s="204">
        <v>117</v>
      </c>
      <c r="B122" s="202" t="s">
        <v>1014</v>
      </c>
      <c r="C122" s="202"/>
      <c r="D122" s="202" t="s">
        <v>7</v>
      </c>
      <c r="E122" s="300">
        <v>75</v>
      </c>
      <c r="F122" s="210">
        <v>75</v>
      </c>
      <c r="G122" s="203" t="s">
        <v>451</v>
      </c>
      <c r="H122" s="203" t="s">
        <v>537</v>
      </c>
      <c r="I122" s="276"/>
      <c r="J122" s="263" t="str">
        <f t="shared" si="1"/>
        <v>전공</v>
      </c>
      <c r="K122" s="266">
        <v>2900</v>
      </c>
      <c r="L122" s="265"/>
      <c r="M122" s="265"/>
      <c r="N122" s="265"/>
      <c r="O122" s="265"/>
      <c r="P122" s="265"/>
      <c r="Q122" s="265"/>
      <c r="R122" s="267"/>
    </row>
    <row r="123" spans="1:21" ht="18" customHeight="1">
      <c r="A123" s="204">
        <v>118</v>
      </c>
      <c r="B123" s="202" t="s">
        <v>1015</v>
      </c>
      <c r="C123" s="202"/>
      <c r="D123" s="202" t="s">
        <v>455</v>
      </c>
      <c r="E123" s="300">
        <v>208</v>
      </c>
      <c r="F123" s="210">
        <v>208</v>
      </c>
      <c r="G123" s="203" t="s">
        <v>1120</v>
      </c>
      <c r="H123" s="203" t="s">
        <v>1120</v>
      </c>
      <c r="I123" s="276"/>
      <c r="J123" s="263" t="str">
        <f t="shared" si="1"/>
        <v>도지*희</v>
      </c>
      <c r="K123" s="266"/>
      <c r="L123" s="265"/>
      <c r="M123" s="265"/>
      <c r="N123" s="265"/>
      <c r="O123" s="265"/>
      <c r="P123" s="265"/>
      <c r="Q123" s="265"/>
      <c r="R123" s="267"/>
    </row>
    <row r="124" spans="1:21" ht="18" customHeight="1">
      <c r="A124" s="204">
        <v>119</v>
      </c>
      <c r="B124" s="202" t="s">
        <v>1016</v>
      </c>
      <c r="C124" s="202"/>
      <c r="D124" s="202" t="s">
        <v>459</v>
      </c>
      <c r="E124" s="300">
        <v>5</v>
      </c>
      <c r="F124" s="210">
        <v>5</v>
      </c>
      <c r="G124" s="203" t="s">
        <v>451</v>
      </c>
      <c r="H124" s="203" t="s">
        <v>452</v>
      </c>
      <c r="I124" s="276"/>
      <c r="J124" s="263" t="str">
        <f t="shared" si="1"/>
        <v>대공</v>
      </c>
      <c r="K124" s="266">
        <v>1350</v>
      </c>
      <c r="L124" s="265"/>
      <c r="M124" s="265"/>
      <c r="N124" s="265"/>
      <c r="O124" s="265"/>
      <c r="P124" s="265"/>
      <c r="Q124" s="265"/>
      <c r="R124" s="267"/>
    </row>
    <row r="125" spans="1:21" ht="18" customHeight="1">
      <c r="A125" s="204">
        <v>120</v>
      </c>
      <c r="B125" s="202" t="s">
        <v>1017</v>
      </c>
      <c r="C125" s="202"/>
      <c r="D125" s="202" t="s">
        <v>459</v>
      </c>
      <c r="E125" s="300">
        <v>53</v>
      </c>
      <c r="F125" s="210">
        <v>53</v>
      </c>
      <c r="G125" s="203" t="s">
        <v>451</v>
      </c>
      <c r="H125" s="203" t="s">
        <v>452</v>
      </c>
      <c r="I125" s="276"/>
      <c r="J125" s="263" t="str">
        <f t="shared" si="1"/>
        <v>대공</v>
      </c>
      <c r="K125" s="264">
        <v>18300</v>
      </c>
      <c r="L125" s="265"/>
      <c r="M125" s="265"/>
      <c r="N125" s="265"/>
      <c r="O125" s="265"/>
      <c r="P125" s="265"/>
      <c r="Q125" s="265"/>
      <c r="R125" s="284"/>
      <c r="S125" s="265"/>
      <c r="T125" s="265"/>
      <c r="U125" s="265"/>
    </row>
    <row r="126" spans="1:21" ht="18" customHeight="1">
      <c r="A126" s="204">
        <v>121</v>
      </c>
      <c r="B126" s="202" t="s">
        <v>1018</v>
      </c>
      <c r="C126" s="202"/>
      <c r="D126" s="202" t="s">
        <v>8</v>
      </c>
      <c r="E126" s="300">
        <v>221</v>
      </c>
      <c r="F126" s="210">
        <v>154</v>
      </c>
      <c r="G126" s="203" t="s">
        <v>451</v>
      </c>
      <c r="H126" s="203" t="s">
        <v>537</v>
      </c>
      <c r="I126" s="276"/>
      <c r="J126" s="263" t="str">
        <f t="shared" si="1"/>
        <v>답공</v>
      </c>
      <c r="K126" s="264">
        <v>2900</v>
      </c>
      <c r="L126" s="265"/>
      <c r="M126" s="265"/>
      <c r="N126" s="265"/>
      <c r="O126" s="265"/>
      <c r="P126" s="265"/>
      <c r="Q126" s="265"/>
      <c r="R126" s="265"/>
    </row>
    <row r="127" spans="1:21" ht="18" customHeight="1">
      <c r="A127" s="204">
        <v>122</v>
      </c>
      <c r="B127" s="202" t="s">
        <v>1019</v>
      </c>
      <c r="C127" s="202"/>
      <c r="D127" s="202" t="s">
        <v>8</v>
      </c>
      <c r="E127" s="300">
        <v>46</v>
      </c>
      <c r="F127" s="210">
        <v>46</v>
      </c>
      <c r="G127" s="203" t="s">
        <v>451</v>
      </c>
      <c r="H127" s="203" t="s">
        <v>452</v>
      </c>
      <c r="I127" s="276"/>
      <c r="J127" s="263" t="str">
        <f t="shared" si="1"/>
        <v>답공</v>
      </c>
      <c r="K127" s="264">
        <v>10100</v>
      </c>
      <c r="L127" s="265"/>
      <c r="M127" s="265"/>
      <c r="N127" s="265"/>
      <c r="O127" s="265"/>
      <c r="P127" s="265"/>
      <c r="Q127" s="265"/>
      <c r="R127" s="265"/>
    </row>
    <row r="128" spans="1:21" ht="18" customHeight="1">
      <c r="A128" s="204">
        <v>123</v>
      </c>
      <c r="B128" s="202" t="s">
        <v>1020</v>
      </c>
      <c r="C128" s="202"/>
      <c r="D128" s="202" t="s">
        <v>897</v>
      </c>
      <c r="E128" s="300">
        <v>16</v>
      </c>
      <c r="F128" s="210">
        <v>16</v>
      </c>
      <c r="G128" s="203" t="s">
        <v>451</v>
      </c>
      <c r="H128" s="203" t="s">
        <v>452</v>
      </c>
      <c r="I128" s="276"/>
      <c r="J128" s="263" t="str">
        <f t="shared" si="1"/>
        <v>창공</v>
      </c>
      <c r="K128" s="264">
        <v>14800</v>
      </c>
      <c r="L128" s="265"/>
      <c r="M128" s="265"/>
      <c r="N128" s="265"/>
      <c r="O128" s="265"/>
      <c r="P128" s="265"/>
      <c r="Q128" s="265"/>
      <c r="R128" s="265"/>
    </row>
    <row r="129" spans="1:18" ht="18" customHeight="1">
      <c r="A129" s="204">
        <v>124</v>
      </c>
      <c r="B129" s="202" t="s">
        <v>829</v>
      </c>
      <c r="C129" s="202"/>
      <c r="D129" s="202" t="s">
        <v>8</v>
      </c>
      <c r="E129" s="300">
        <v>111</v>
      </c>
      <c r="F129" s="210">
        <v>111</v>
      </c>
      <c r="G129" s="203" t="s">
        <v>451</v>
      </c>
      <c r="H129" s="203" t="s">
        <v>452</v>
      </c>
      <c r="I129" s="276"/>
      <c r="J129" s="263" t="str">
        <f t="shared" si="1"/>
        <v>답공</v>
      </c>
      <c r="K129" s="264">
        <v>9920</v>
      </c>
      <c r="L129" s="265"/>
      <c r="M129" s="265"/>
      <c r="N129" s="265"/>
      <c r="O129" s="265"/>
      <c r="P129" s="265"/>
      <c r="Q129" s="265"/>
      <c r="R129" s="265"/>
    </row>
    <row r="130" spans="1:18" ht="18" customHeight="1">
      <c r="A130" s="204">
        <v>125</v>
      </c>
      <c r="B130" s="202" t="s">
        <v>1021</v>
      </c>
      <c r="C130" s="202"/>
      <c r="D130" s="202" t="s">
        <v>7</v>
      </c>
      <c r="E130" s="300">
        <v>100</v>
      </c>
      <c r="F130" s="210">
        <v>100</v>
      </c>
      <c r="G130" s="203" t="s">
        <v>451</v>
      </c>
      <c r="H130" s="203" t="s">
        <v>452</v>
      </c>
      <c r="I130" s="276"/>
      <c r="J130" s="263" t="str">
        <f t="shared" si="1"/>
        <v>전공</v>
      </c>
      <c r="K130" s="264">
        <v>9920</v>
      </c>
      <c r="L130" s="265"/>
      <c r="M130" s="265"/>
      <c r="N130" s="265"/>
      <c r="O130" s="265"/>
      <c r="P130" s="265"/>
      <c r="Q130" s="265"/>
      <c r="R130" s="265"/>
    </row>
    <row r="131" spans="1:18" ht="18" customHeight="1">
      <c r="A131" s="204">
        <v>126</v>
      </c>
      <c r="B131" s="202" t="s">
        <v>1022</v>
      </c>
      <c r="C131" s="202"/>
      <c r="D131" s="202" t="s">
        <v>7</v>
      </c>
      <c r="E131" s="300">
        <v>72</v>
      </c>
      <c r="F131" s="210">
        <v>72</v>
      </c>
      <c r="G131" s="203" t="s">
        <v>451</v>
      </c>
      <c r="H131" s="203" t="s">
        <v>452</v>
      </c>
      <c r="I131" s="276"/>
      <c r="J131" s="263" t="str">
        <f t="shared" si="1"/>
        <v>전공</v>
      </c>
      <c r="K131" s="264">
        <v>9920</v>
      </c>
      <c r="L131" s="265"/>
      <c r="M131" s="265"/>
      <c r="N131" s="265"/>
      <c r="O131" s="265"/>
      <c r="P131" s="265"/>
      <c r="Q131" s="265"/>
      <c r="R131" s="265"/>
    </row>
    <row r="132" spans="1:18" ht="18" customHeight="1">
      <c r="A132" s="204">
        <v>127</v>
      </c>
      <c r="B132" s="202" t="s">
        <v>1023</v>
      </c>
      <c r="C132" s="202"/>
      <c r="D132" s="202" t="s">
        <v>7</v>
      </c>
      <c r="E132" s="300">
        <v>496</v>
      </c>
      <c r="F132" s="210">
        <v>496</v>
      </c>
      <c r="G132" s="203" t="s">
        <v>451</v>
      </c>
      <c r="H132" s="203" t="s">
        <v>452</v>
      </c>
      <c r="I132" s="276"/>
      <c r="J132" s="263" t="str">
        <f t="shared" si="1"/>
        <v>전공</v>
      </c>
      <c r="K132" s="264">
        <v>9920</v>
      </c>
      <c r="L132" s="265"/>
      <c r="M132" s="265"/>
      <c r="N132" s="265"/>
      <c r="O132" s="265"/>
      <c r="P132" s="265"/>
      <c r="Q132" s="265"/>
      <c r="R132" s="265"/>
    </row>
    <row r="133" spans="1:18" ht="18" customHeight="1">
      <c r="A133" s="204">
        <v>128</v>
      </c>
      <c r="B133" s="202" t="s">
        <v>1024</v>
      </c>
      <c r="C133" s="202"/>
      <c r="D133" s="202" t="s">
        <v>7</v>
      </c>
      <c r="E133" s="300">
        <v>118</v>
      </c>
      <c r="F133" s="210">
        <v>118</v>
      </c>
      <c r="G133" s="203" t="s">
        <v>451</v>
      </c>
      <c r="H133" s="203" t="s">
        <v>452</v>
      </c>
      <c r="I133" s="276"/>
      <c r="J133" s="263" t="str">
        <f t="shared" si="1"/>
        <v>전공</v>
      </c>
      <c r="K133" s="264">
        <v>9650</v>
      </c>
      <c r="L133" s="265"/>
      <c r="M133" s="265"/>
      <c r="N133" s="265"/>
      <c r="O133" s="265"/>
      <c r="P133" s="265"/>
      <c r="Q133" s="265"/>
      <c r="R133" s="265"/>
    </row>
    <row r="134" spans="1:18" ht="18" customHeight="1">
      <c r="A134" s="204">
        <v>129</v>
      </c>
      <c r="B134" s="202" t="s">
        <v>1025</v>
      </c>
      <c r="C134" s="202"/>
      <c r="D134" s="202" t="s">
        <v>7</v>
      </c>
      <c r="E134" s="300">
        <v>972</v>
      </c>
      <c r="F134" s="210">
        <v>972</v>
      </c>
      <c r="G134" s="203" t="s">
        <v>451</v>
      </c>
      <c r="H134" s="203" t="s">
        <v>452</v>
      </c>
      <c r="I134" s="276"/>
      <c r="J134" s="263" t="str">
        <f t="shared" si="1"/>
        <v>전공</v>
      </c>
      <c r="K134" s="264">
        <v>11400</v>
      </c>
      <c r="L134" s="265"/>
      <c r="M134" s="265"/>
      <c r="N134" s="265"/>
      <c r="O134" s="265"/>
      <c r="P134" s="265"/>
      <c r="Q134" s="265"/>
      <c r="R134" s="265"/>
    </row>
    <row r="135" spans="1:18" ht="18" customHeight="1">
      <c r="A135" s="204">
        <v>130</v>
      </c>
      <c r="B135" s="202" t="s">
        <v>1026</v>
      </c>
      <c r="C135" s="202"/>
      <c r="D135" s="202" t="s">
        <v>7</v>
      </c>
      <c r="E135" s="300">
        <v>238</v>
      </c>
      <c r="F135" s="210">
        <v>238</v>
      </c>
      <c r="G135" s="203" t="s">
        <v>451</v>
      </c>
      <c r="H135" s="203" t="s">
        <v>452</v>
      </c>
      <c r="I135" s="276"/>
      <c r="J135" s="263" t="str">
        <f t="shared" ref="J135:J198" si="2">CONCATENATE(D135,G135)</f>
        <v>전공</v>
      </c>
      <c r="K135" s="264">
        <v>8440</v>
      </c>
      <c r="L135" s="265"/>
      <c r="M135" s="265"/>
      <c r="N135" s="265"/>
      <c r="O135" s="265"/>
      <c r="P135" s="265"/>
      <c r="Q135" s="265"/>
      <c r="R135" s="265"/>
    </row>
    <row r="136" spans="1:18" ht="18" customHeight="1">
      <c r="A136" s="204">
        <v>131</v>
      </c>
      <c r="B136" s="202" t="s">
        <v>1027</v>
      </c>
      <c r="C136" s="202"/>
      <c r="D136" s="202" t="s">
        <v>93</v>
      </c>
      <c r="E136" s="300">
        <v>2901</v>
      </c>
      <c r="F136" s="210">
        <v>2901</v>
      </c>
      <c r="G136" s="203" t="s">
        <v>451</v>
      </c>
      <c r="H136" s="203" t="s">
        <v>452</v>
      </c>
      <c r="I136" s="276"/>
      <c r="J136" s="263" t="str">
        <f t="shared" si="2"/>
        <v>임공</v>
      </c>
      <c r="K136" s="264">
        <v>7690</v>
      </c>
      <c r="L136" s="265"/>
      <c r="M136" s="265"/>
      <c r="N136" s="265"/>
      <c r="O136" s="265"/>
      <c r="P136" s="265"/>
      <c r="Q136" s="265"/>
      <c r="R136" s="265"/>
    </row>
    <row r="137" spans="1:18" ht="18" customHeight="1">
      <c r="A137" s="204">
        <v>132</v>
      </c>
      <c r="B137" s="202" t="s">
        <v>1028</v>
      </c>
      <c r="C137" s="202"/>
      <c r="D137" s="202" t="s">
        <v>93</v>
      </c>
      <c r="E137" s="300">
        <v>389</v>
      </c>
      <c r="F137" s="210">
        <v>389</v>
      </c>
      <c r="G137" s="203" t="s">
        <v>451</v>
      </c>
      <c r="H137" s="203" t="s">
        <v>452</v>
      </c>
      <c r="I137" s="276"/>
      <c r="J137" s="263" t="str">
        <f t="shared" si="2"/>
        <v>임공</v>
      </c>
      <c r="K137" s="264">
        <v>7690</v>
      </c>
      <c r="L137" s="265"/>
      <c r="M137" s="265"/>
      <c r="N137" s="265"/>
      <c r="O137" s="265"/>
      <c r="P137" s="265"/>
      <c r="Q137" s="265"/>
      <c r="R137" s="265"/>
    </row>
    <row r="138" spans="1:18" ht="18" customHeight="1">
      <c r="A138" s="204">
        <v>133</v>
      </c>
      <c r="B138" s="202" t="s">
        <v>1029</v>
      </c>
      <c r="C138" s="202"/>
      <c r="D138" s="202" t="s">
        <v>8</v>
      </c>
      <c r="E138" s="300">
        <v>517.29999999999995</v>
      </c>
      <c r="F138" s="210">
        <v>517.29999999999995</v>
      </c>
      <c r="G138" s="203" t="s">
        <v>451</v>
      </c>
      <c r="H138" s="203" t="s">
        <v>452</v>
      </c>
      <c r="I138" s="276"/>
      <c r="J138" s="263" t="str">
        <f t="shared" si="2"/>
        <v>답공</v>
      </c>
      <c r="K138" s="264">
        <v>8830</v>
      </c>
      <c r="L138" s="265"/>
      <c r="M138" s="265"/>
      <c r="N138" s="265"/>
      <c r="O138" s="265"/>
      <c r="P138" s="265"/>
      <c r="Q138" s="265"/>
      <c r="R138" s="265"/>
    </row>
    <row r="139" spans="1:18" ht="18" customHeight="1">
      <c r="A139" s="204">
        <v>134</v>
      </c>
      <c r="B139" s="202" t="s">
        <v>1030</v>
      </c>
      <c r="C139" s="202"/>
      <c r="D139" s="202" t="s">
        <v>8</v>
      </c>
      <c r="E139" s="300">
        <v>1404.5</v>
      </c>
      <c r="F139" s="210">
        <v>1404.5</v>
      </c>
      <c r="G139" s="203" t="s">
        <v>451</v>
      </c>
      <c r="H139" s="203" t="s">
        <v>452</v>
      </c>
      <c r="I139" s="276"/>
      <c r="J139" s="263" t="str">
        <f t="shared" si="2"/>
        <v>답공</v>
      </c>
      <c r="K139" s="264">
        <v>8830</v>
      </c>
      <c r="L139" s="265"/>
      <c r="M139" s="265"/>
      <c r="N139" s="265"/>
      <c r="O139" s="265"/>
      <c r="P139" s="265"/>
      <c r="Q139" s="265"/>
      <c r="R139" s="265"/>
    </row>
    <row r="140" spans="1:18" ht="18" customHeight="1">
      <c r="A140" s="204">
        <v>135</v>
      </c>
      <c r="B140" s="202" t="s">
        <v>1031</v>
      </c>
      <c r="C140" s="202"/>
      <c r="D140" s="202" t="s">
        <v>455</v>
      </c>
      <c r="E140" s="300">
        <v>125</v>
      </c>
      <c r="F140" s="210">
        <v>125</v>
      </c>
      <c r="G140" s="203" t="s">
        <v>511</v>
      </c>
      <c r="H140" s="203" t="s">
        <v>712</v>
      </c>
      <c r="I140" s="276"/>
      <c r="J140" s="263" t="str">
        <f t="shared" si="2"/>
        <v>도국</v>
      </c>
      <c r="K140" s="264"/>
      <c r="L140" s="265"/>
      <c r="M140" s="265"/>
      <c r="N140" s="265"/>
      <c r="O140" s="265"/>
      <c r="P140" s="265"/>
      <c r="Q140" s="265"/>
      <c r="R140" s="265"/>
    </row>
    <row r="141" spans="1:18" ht="18" customHeight="1">
      <c r="A141" s="204">
        <v>136</v>
      </c>
      <c r="B141" s="202" t="s">
        <v>1032</v>
      </c>
      <c r="C141" s="202"/>
      <c r="D141" s="202" t="s">
        <v>462</v>
      </c>
      <c r="E141" s="300">
        <v>113.9</v>
      </c>
      <c r="F141" s="210">
        <v>113.9</v>
      </c>
      <c r="G141" s="203" t="s">
        <v>511</v>
      </c>
      <c r="H141" s="203" t="s">
        <v>712</v>
      </c>
      <c r="I141" s="276"/>
      <c r="J141" s="263" t="str">
        <f t="shared" si="2"/>
        <v>구국</v>
      </c>
      <c r="K141" s="266"/>
      <c r="L141" s="265"/>
      <c r="M141" s="265"/>
      <c r="N141" s="265"/>
      <c r="O141" s="265"/>
      <c r="P141" s="265"/>
      <c r="Q141" s="265"/>
      <c r="R141" s="267"/>
    </row>
    <row r="142" spans="1:18" ht="18" customHeight="1">
      <c r="A142" s="204">
        <v>137</v>
      </c>
      <c r="B142" s="202" t="s">
        <v>1033</v>
      </c>
      <c r="C142" s="202"/>
      <c r="D142" s="202" t="s">
        <v>7</v>
      </c>
      <c r="E142" s="300">
        <v>441</v>
      </c>
      <c r="F142" s="210">
        <v>441</v>
      </c>
      <c r="G142" s="203" t="s">
        <v>451</v>
      </c>
      <c r="H142" s="203" t="s">
        <v>452</v>
      </c>
      <c r="I142" s="276"/>
      <c r="J142" s="263" t="str">
        <f t="shared" si="2"/>
        <v>전공</v>
      </c>
      <c r="K142" s="266">
        <v>10600</v>
      </c>
      <c r="L142" s="265"/>
      <c r="M142" s="265"/>
      <c r="N142" s="265"/>
      <c r="O142" s="265"/>
      <c r="P142" s="265"/>
      <c r="Q142" s="265"/>
      <c r="R142" s="267"/>
    </row>
    <row r="143" spans="1:18" ht="18" customHeight="1">
      <c r="A143" s="204">
        <v>138</v>
      </c>
      <c r="B143" s="202" t="s">
        <v>1034</v>
      </c>
      <c r="C143" s="202"/>
      <c r="D143" s="202" t="s">
        <v>93</v>
      </c>
      <c r="E143" s="300">
        <v>90</v>
      </c>
      <c r="F143" s="210">
        <v>90</v>
      </c>
      <c r="G143" s="203" t="s">
        <v>451</v>
      </c>
      <c r="H143" s="203" t="s">
        <v>452</v>
      </c>
      <c r="I143" s="276"/>
      <c r="J143" s="263" t="str">
        <f t="shared" si="2"/>
        <v>임공</v>
      </c>
      <c r="K143" s="266">
        <v>7690</v>
      </c>
      <c r="L143" s="265"/>
      <c r="M143" s="265"/>
      <c r="N143" s="265"/>
      <c r="O143" s="265"/>
      <c r="P143" s="265"/>
      <c r="Q143" s="265"/>
      <c r="R143" s="267"/>
    </row>
    <row r="144" spans="1:18" ht="18" customHeight="1">
      <c r="A144" s="204">
        <v>139</v>
      </c>
      <c r="B144" s="202" t="s">
        <v>1035</v>
      </c>
      <c r="C144" s="202"/>
      <c r="D144" s="202" t="s">
        <v>93</v>
      </c>
      <c r="E144" s="300">
        <v>500</v>
      </c>
      <c r="F144" s="210">
        <v>500</v>
      </c>
      <c r="G144" s="203" t="s">
        <v>451</v>
      </c>
      <c r="H144" s="203" t="s">
        <v>452</v>
      </c>
      <c r="I144" s="276"/>
      <c r="J144" s="263" t="str">
        <f t="shared" si="2"/>
        <v>임공</v>
      </c>
      <c r="K144" s="266">
        <v>10800</v>
      </c>
      <c r="L144" s="265"/>
      <c r="M144" s="265"/>
      <c r="N144" s="265"/>
      <c r="O144" s="265"/>
      <c r="P144" s="265"/>
      <c r="Q144" s="265"/>
      <c r="R144" s="267"/>
    </row>
    <row r="145" spans="1:21" ht="18" customHeight="1">
      <c r="A145" s="204">
        <v>140</v>
      </c>
      <c r="B145" s="202" t="s">
        <v>1036</v>
      </c>
      <c r="C145" s="202"/>
      <c r="D145" s="202" t="s">
        <v>93</v>
      </c>
      <c r="E145" s="300">
        <v>466</v>
      </c>
      <c r="F145" s="210">
        <v>466</v>
      </c>
      <c r="G145" s="203" t="s">
        <v>451</v>
      </c>
      <c r="H145" s="203" t="s">
        <v>452</v>
      </c>
      <c r="I145" s="276"/>
      <c r="J145" s="263" t="str">
        <f t="shared" si="2"/>
        <v>임공</v>
      </c>
      <c r="K145" s="264">
        <v>7780</v>
      </c>
      <c r="L145" s="265"/>
      <c r="M145" s="265"/>
      <c r="N145" s="265"/>
      <c r="O145" s="265"/>
      <c r="P145" s="265"/>
      <c r="Q145" s="265"/>
      <c r="R145" s="284"/>
      <c r="S145" s="265"/>
      <c r="T145" s="265"/>
      <c r="U145" s="265"/>
    </row>
    <row r="146" spans="1:21" ht="18" customHeight="1">
      <c r="A146" s="204">
        <v>141</v>
      </c>
      <c r="B146" s="202" t="s">
        <v>1037</v>
      </c>
      <c r="C146" s="202"/>
      <c r="D146" s="202" t="s">
        <v>93</v>
      </c>
      <c r="E146" s="300">
        <v>187</v>
      </c>
      <c r="F146" s="210">
        <v>187</v>
      </c>
      <c r="G146" s="203" t="s">
        <v>451</v>
      </c>
      <c r="H146" s="203" t="s">
        <v>452</v>
      </c>
      <c r="I146" s="276"/>
      <c r="J146" s="263" t="str">
        <f t="shared" si="2"/>
        <v>임공</v>
      </c>
      <c r="K146" s="264">
        <v>8880</v>
      </c>
      <c r="L146" s="265"/>
      <c r="M146" s="265"/>
      <c r="N146" s="265"/>
      <c r="O146" s="265"/>
      <c r="P146" s="265"/>
      <c r="Q146" s="265"/>
      <c r="R146" s="265"/>
    </row>
    <row r="147" spans="1:21" ht="18" customHeight="1">
      <c r="A147" s="204">
        <v>142</v>
      </c>
      <c r="B147" s="202" t="s">
        <v>1038</v>
      </c>
      <c r="C147" s="202"/>
      <c r="D147" s="202" t="s">
        <v>455</v>
      </c>
      <c r="E147" s="300">
        <v>7230</v>
      </c>
      <c r="F147" s="210">
        <v>351</v>
      </c>
      <c r="G147" s="203" t="s">
        <v>511</v>
      </c>
      <c r="H147" s="203" t="s">
        <v>715</v>
      </c>
      <c r="I147" s="276"/>
      <c r="J147" s="263" t="str">
        <f t="shared" si="2"/>
        <v>도국</v>
      </c>
      <c r="K147" s="264"/>
      <c r="L147" s="265"/>
      <c r="M147" s="265"/>
      <c r="N147" s="265"/>
      <c r="O147" s="265"/>
      <c r="P147" s="265"/>
      <c r="Q147" s="265"/>
      <c r="R147" s="265"/>
    </row>
    <row r="148" spans="1:21" ht="18" customHeight="1">
      <c r="A148" s="204">
        <v>143</v>
      </c>
      <c r="B148" s="202" t="s">
        <v>1039</v>
      </c>
      <c r="C148" s="202"/>
      <c r="D148" s="202" t="s">
        <v>93</v>
      </c>
      <c r="E148" s="300">
        <v>1621</v>
      </c>
      <c r="F148" s="210">
        <v>1621</v>
      </c>
      <c r="G148" s="203" t="s">
        <v>451</v>
      </c>
      <c r="H148" s="203" t="s">
        <v>452</v>
      </c>
      <c r="I148" s="276"/>
      <c r="J148" s="263" t="str">
        <f t="shared" si="2"/>
        <v>임공</v>
      </c>
      <c r="K148" s="264">
        <v>7550</v>
      </c>
      <c r="L148" s="265"/>
      <c r="M148" s="265"/>
      <c r="N148" s="265"/>
      <c r="O148" s="265"/>
      <c r="P148" s="265"/>
      <c r="Q148" s="265"/>
      <c r="R148" s="265"/>
    </row>
    <row r="149" spans="1:21" ht="18" customHeight="1">
      <c r="A149" s="204">
        <v>144</v>
      </c>
      <c r="B149" s="202" t="s">
        <v>1040</v>
      </c>
      <c r="C149" s="202"/>
      <c r="D149" s="202" t="s">
        <v>93</v>
      </c>
      <c r="E149" s="300">
        <v>282</v>
      </c>
      <c r="F149" s="210">
        <v>282</v>
      </c>
      <c r="G149" s="203" t="s">
        <v>451</v>
      </c>
      <c r="H149" s="203" t="s">
        <v>452</v>
      </c>
      <c r="I149" s="276"/>
      <c r="J149" s="263" t="str">
        <f t="shared" si="2"/>
        <v>임공</v>
      </c>
      <c r="K149" s="264">
        <v>6290</v>
      </c>
      <c r="L149" s="265"/>
      <c r="M149" s="265"/>
      <c r="N149" s="265"/>
      <c r="O149" s="265"/>
      <c r="P149" s="265"/>
      <c r="Q149" s="265"/>
      <c r="R149" s="265"/>
    </row>
    <row r="150" spans="1:21" ht="18" customHeight="1">
      <c r="A150" s="204">
        <v>145</v>
      </c>
      <c r="B150" s="202" t="s">
        <v>1041</v>
      </c>
      <c r="C150" s="202"/>
      <c r="D150" s="202" t="s">
        <v>93</v>
      </c>
      <c r="E150" s="300">
        <v>396</v>
      </c>
      <c r="F150" s="210">
        <v>396</v>
      </c>
      <c r="G150" s="203" t="s">
        <v>451</v>
      </c>
      <c r="H150" s="203" t="s">
        <v>452</v>
      </c>
      <c r="I150" s="276"/>
      <c r="J150" s="263" t="str">
        <f t="shared" si="2"/>
        <v>임공</v>
      </c>
      <c r="K150" s="264">
        <v>7550</v>
      </c>
      <c r="L150" s="265"/>
      <c r="M150" s="265"/>
      <c r="N150" s="265"/>
      <c r="O150" s="265"/>
      <c r="P150" s="265"/>
      <c r="Q150" s="265"/>
      <c r="R150" s="265"/>
    </row>
    <row r="151" spans="1:21" ht="18" customHeight="1">
      <c r="A151" s="204">
        <v>146</v>
      </c>
      <c r="B151" s="202" t="s">
        <v>1042</v>
      </c>
      <c r="C151" s="202"/>
      <c r="D151" s="202" t="s">
        <v>93</v>
      </c>
      <c r="E151" s="300">
        <v>810</v>
      </c>
      <c r="F151" s="210">
        <v>810</v>
      </c>
      <c r="G151" s="203" t="s">
        <v>451</v>
      </c>
      <c r="H151" s="203" t="s">
        <v>452</v>
      </c>
      <c r="I151" s="276"/>
      <c r="J151" s="263" t="str">
        <f t="shared" si="2"/>
        <v>임공</v>
      </c>
      <c r="K151" s="264">
        <v>7360</v>
      </c>
      <c r="L151" s="265"/>
      <c r="M151" s="265"/>
      <c r="N151" s="265"/>
      <c r="O151" s="265"/>
      <c r="P151" s="265"/>
      <c r="Q151" s="265"/>
      <c r="R151" s="265"/>
    </row>
    <row r="152" spans="1:21" ht="18" customHeight="1">
      <c r="A152" s="204">
        <v>147</v>
      </c>
      <c r="B152" s="202" t="s">
        <v>1043</v>
      </c>
      <c r="C152" s="202"/>
      <c r="D152" s="202" t="s">
        <v>93</v>
      </c>
      <c r="E152" s="300">
        <v>519</v>
      </c>
      <c r="F152" s="210">
        <v>519</v>
      </c>
      <c r="G152" s="203" t="s">
        <v>451</v>
      </c>
      <c r="H152" s="203" t="s">
        <v>452</v>
      </c>
      <c r="I152" s="276"/>
      <c r="J152" s="263" t="str">
        <f t="shared" si="2"/>
        <v>임공</v>
      </c>
      <c r="K152" s="264">
        <v>7310</v>
      </c>
      <c r="L152" s="265"/>
      <c r="M152" s="265"/>
      <c r="N152" s="265"/>
      <c r="O152" s="265"/>
      <c r="P152" s="265"/>
      <c r="Q152" s="265"/>
      <c r="R152" s="265"/>
    </row>
    <row r="153" spans="1:21" ht="18" customHeight="1">
      <c r="A153" s="204">
        <v>148</v>
      </c>
      <c r="B153" s="202" t="s">
        <v>96</v>
      </c>
      <c r="C153" s="202"/>
      <c r="D153" s="202" t="s">
        <v>93</v>
      </c>
      <c r="E153" s="300">
        <v>54</v>
      </c>
      <c r="F153" s="210">
        <v>54</v>
      </c>
      <c r="G153" s="203" t="s">
        <v>451</v>
      </c>
      <c r="H153" s="203" t="s">
        <v>452</v>
      </c>
      <c r="I153" s="276"/>
      <c r="J153" s="263" t="str">
        <f t="shared" si="2"/>
        <v>임공</v>
      </c>
      <c r="K153" s="264">
        <v>7550</v>
      </c>
      <c r="L153" s="265"/>
      <c r="M153" s="265"/>
      <c r="N153" s="265"/>
      <c r="O153" s="265"/>
      <c r="P153" s="265"/>
      <c r="Q153" s="265"/>
      <c r="R153" s="265"/>
    </row>
    <row r="154" spans="1:21" ht="18" customHeight="1">
      <c r="A154" s="204">
        <v>149</v>
      </c>
      <c r="B154" s="202" t="s">
        <v>1044</v>
      </c>
      <c r="C154" s="202"/>
      <c r="D154" s="202" t="s">
        <v>93</v>
      </c>
      <c r="E154" s="300">
        <v>208</v>
      </c>
      <c r="F154" s="210">
        <v>208</v>
      </c>
      <c r="G154" s="203" t="s">
        <v>451</v>
      </c>
      <c r="H154" s="203" t="s">
        <v>452</v>
      </c>
      <c r="I154" s="276"/>
      <c r="J154" s="263" t="str">
        <f t="shared" si="2"/>
        <v>임공</v>
      </c>
      <c r="K154" s="264">
        <v>7550</v>
      </c>
      <c r="L154" s="265"/>
      <c r="M154" s="265"/>
      <c r="N154" s="265"/>
      <c r="O154" s="265"/>
      <c r="P154" s="265"/>
      <c r="Q154" s="265"/>
      <c r="R154" s="265"/>
    </row>
    <row r="155" spans="1:21" ht="18" customHeight="1">
      <c r="A155" s="204">
        <v>150</v>
      </c>
      <c r="B155" s="202" t="s">
        <v>95</v>
      </c>
      <c r="C155" s="202"/>
      <c r="D155" s="202" t="s">
        <v>93</v>
      </c>
      <c r="E155" s="300">
        <v>227</v>
      </c>
      <c r="F155" s="210">
        <v>227</v>
      </c>
      <c r="G155" s="203" t="s">
        <v>451</v>
      </c>
      <c r="H155" s="203" t="s">
        <v>452</v>
      </c>
      <c r="I155" s="276"/>
      <c r="J155" s="263" t="str">
        <f t="shared" si="2"/>
        <v>임공</v>
      </c>
      <c r="K155" s="264">
        <v>10500</v>
      </c>
      <c r="L155" s="265"/>
      <c r="M155" s="265"/>
      <c r="N155" s="265"/>
      <c r="O155" s="265"/>
      <c r="P155" s="265"/>
      <c r="Q155" s="265"/>
      <c r="R155" s="265"/>
    </row>
    <row r="156" spans="1:21" ht="18" customHeight="1">
      <c r="A156" s="204">
        <v>151</v>
      </c>
      <c r="B156" s="202" t="s">
        <v>1045</v>
      </c>
      <c r="C156" s="202"/>
      <c r="D156" s="202" t="s">
        <v>93</v>
      </c>
      <c r="E156" s="300">
        <v>813</v>
      </c>
      <c r="F156" s="210">
        <v>813</v>
      </c>
      <c r="G156" s="203" t="s">
        <v>451</v>
      </c>
      <c r="H156" s="203" t="s">
        <v>452</v>
      </c>
      <c r="I156" s="276"/>
      <c r="J156" s="263" t="str">
        <f t="shared" si="2"/>
        <v>임공</v>
      </c>
      <c r="K156" s="264">
        <v>11200</v>
      </c>
      <c r="L156" s="265"/>
      <c r="M156" s="265"/>
      <c r="N156" s="265"/>
      <c r="O156" s="265"/>
      <c r="P156" s="265"/>
      <c r="Q156" s="265"/>
      <c r="R156" s="265"/>
    </row>
    <row r="157" spans="1:21" ht="18" customHeight="1">
      <c r="A157" s="204">
        <v>152</v>
      </c>
      <c r="B157" s="202" t="s">
        <v>94</v>
      </c>
      <c r="C157" s="202"/>
      <c r="D157" s="202" t="s">
        <v>93</v>
      </c>
      <c r="E157" s="300">
        <v>641</v>
      </c>
      <c r="F157" s="210">
        <v>641</v>
      </c>
      <c r="G157" s="203" t="s">
        <v>451</v>
      </c>
      <c r="H157" s="203" t="s">
        <v>452</v>
      </c>
      <c r="I157" s="276"/>
      <c r="J157" s="263" t="str">
        <f t="shared" si="2"/>
        <v>임공</v>
      </c>
      <c r="K157" s="264">
        <v>11200</v>
      </c>
      <c r="L157" s="265"/>
      <c r="M157" s="265"/>
      <c r="N157" s="265"/>
      <c r="O157" s="265"/>
      <c r="P157" s="265"/>
      <c r="Q157" s="265"/>
      <c r="R157" s="265"/>
    </row>
    <row r="158" spans="1:21" ht="18" customHeight="1">
      <c r="A158" s="204">
        <v>153</v>
      </c>
      <c r="B158" s="202" t="s">
        <v>1046</v>
      </c>
      <c r="C158" s="202"/>
      <c r="D158" s="202" t="s">
        <v>93</v>
      </c>
      <c r="E158" s="300">
        <v>423</v>
      </c>
      <c r="F158" s="210">
        <v>423</v>
      </c>
      <c r="G158" s="203" t="s">
        <v>451</v>
      </c>
      <c r="H158" s="203" t="s">
        <v>452</v>
      </c>
      <c r="I158" s="276"/>
      <c r="J158" s="263" t="str">
        <f t="shared" si="2"/>
        <v>임공</v>
      </c>
      <c r="K158" s="264">
        <v>7540</v>
      </c>
      <c r="L158" s="265"/>
      <c r="M158" s="265"/>
      <c r="N158" s="265"/>
      <c r="O158" s="265"/>
      <c r="P158" s="265"/>
      <c r="Q158" s="265"/>
      <c r="R158" s="265"/>
    </row>
    <row r="159" spans="1:21" ht="18" customHeight="1">
      <c r="A159" s="204">
        <v>154</v>
      </c>
      <c r="B159" s="202" t="s">
        <v>1047</v>
      </c>
      <c r="C159" s="202"/>
      <c r="D159" s="202" t="s">
        <v>7</v>
      </c>
      <c r="E159" s="300">
        <v>42</v>
      </c>
      <c r="F159" s="210">
        <v>33</v>
      </c>
      <c r="G159" s="203" t="s">
        <v>451</v>
      </c>
      <c r="H159" s="203" t="s">
        <v>452</v>
      </c>
      <c r="I159" s="276"/>
      <c r="J159" s="263" t="str">
        <f t="shared" si="2"/>
        <v>전공</v>
      </c>
      <c r="K159" s="264"/>
      <c r="L159" s="265"/>
      <c r="M159" s="265"/>
      <c r="N159" s="265"/>
      <c r="O159" s="265"/>
      <c r="P159" s="265"/>
      <c r="Q159" s="265"/>
      <c r="R159" s="265"/>
    </row>
    <row r="160" spans="1:21" ht="18" customHeight="1">
      <c r="A160" s="204">
        <v>155</v>
      </c>
      <c r="B160" s="202" t="s">
        <v>1048</v>
      </c>
      <c r="C160" s="202"/>
      <c r="D160" s="202" t="s">
        <v>455</v>
      </c>
      <c r="E160" s="300">
        <v>128</v>
      </c>
      <c r="F160" s="210">
        <v>23</v>
      </c>
      <c r="G160" s="203" t="s">
        <v>451</v>
      </c>
      <c r="H160" s="203" t="s">
        <v>452</v>
      </c>
      <c r="I160" s="276"/>
      <c r="J160" s="263" t="str">
        <f t="shared" si="2"/>
        <v>도공</v>
      </c>
      <c r="K160" s="264"/>
      <c r="L160" s="265"/>
      <c r="M160" s="265"/>
      <c r="N160" s="265"/>
      <c r="O160" s="265"/>
      <c r="P160" s="265"/>
      <c r="Q160" s="265"/>
      <c r="R160" s="265"/>
    </row>
    <row r="161" spans="1:21" ht="18" customHeight="1">
      <c r="A161" s="204">
        <v>156</v>
      </c>
      <c r="B161" s="202" t="s">
        <v>1049</v>
      </c>
      <c r="C161" s="202"/>
      <c r="D161" s="202" t="s">
        <v>455</v>
      </c>
      <c r="E161" s="300">
        <v>8</v>
      </c>
      <c r="F161" s="210">
        <v>8</v>
      </c>
      <c r="G161" s="203" t="s">
        <v>451</v>
      </c>
      <c r="H161" s="203" t="s">
        <v>452</v>
      </c>
      <c r="I161" s="276"/>
      <c r="J161" s="263" t="str">
        <f t="shared" si="2"/>
        <v>도공</v>
      </c>
      <c r="K161" s="266"/>
      <c r="L161" s="265"/>
      <c r="M161" s="265"/>
      <c r="N161" s="265"/>
      <c r="O161" s="265"/>
      <c r="P161" s="265"/>
      <c r="Q161" s="265"/>
      <c r="R161" s="267"/>
    </row>
    <row r="162" spans="1:21" ht="18" customHeight="1">
      <c r="A162" s="204">
        <v>157</v>
      </c>
      <c r="B162" s="202" t="s">
        <v>1050</v>
      </c>
      <c r="C162" s="202"/>
      <c r="D162" s="202" t="s">
        <v>459</v>
      </c>
      <c r="E162" s="300">
        <v>55</v>
      </c>
      <c r="F162" s="210">
        <v>55</v>
      </c>
      <c r="G162" s="203" t="s">
        <v>451</v>
      </c>
      <c r="H162" s="203" t="s">
        <v>537</v>
      </c>
      <c r="I162" s="276"/>
      <c r="J162" s="263" t="str">
        <f t="shared" si="2"/>
        <v>대공</v>
      </c>
      <c r="K162" s="266"/>
      <c r="L162" s="265"/>
      <c r="M162" s="265"/>
      <c r="N162" s="265"/>
      <c r="O162" s="265"/>
      <c r="P162" s="265"/>
      <c r="Q162" s="265"/>
      <c r="R162" s="267"/>
    </row>
    <row r="163" spans="1:21" ht="18" customHeight="1">
      <c r="A163" s="204">
        <v>158</v>
      </c>
      <c r="B163" s="202" t="s">
        <v>1051</v>
      </c>
      <c r="C163" s="202"/>
      <c r="D163" s="202" t="s">
        <v>93</v>
      </c>
      <c r="E163" s="300">
        <v>1060</v>
      </c>
      <c r="F163" s="210">
        <v>316</v>
      </c>
      <c r="G163" s="203" t="s">
        <v>451</v>
      </c>
      <c r="H163" s="203" t="s">
        <v>537</v>
      </c>
      <c r="I163" s="276"/>
      <c r="J163" s="263" t="str">
        <f t="shared" si="2"/>
        <v>임공</v>
      </c>
      <c r="K163" s="266"/>
      <c r="L163" s="265"/>
      <c r="M163" s="265"/>
      <c r="N163" s="265"/>
      <c r="O163" s="265"/>
      <c r="P163" s="265"/>
      <c r="Q163" s="265"/>
      <c r="R163" s="267"/>
    </row>
    <row r="164" spans="1:21" ht="18" customHeight="1">
      <c r="A164" s="204">
        <v>159</v>
      </c>
      <c r="B164" s="202" t="s">
        <v>1052</v>
      </c>
      <c r="C164" s="202"/>
      <c r="D164" s="202" t="s">
        <v>455</v>
      </c>
      <c r="E164" s="300">
        <v>1242</v>
      </c>
      <c r="F164" s="210">
        <v>267</v>
      </c>
      <c r="G164" s="203" t="s">
        <v>511</v>
      </c>
      <c r="H164" s="203" t="s">
        <v>715</v>
      </c>
      <c r="I164" s="276"/>
      <c r="J164" s="263" t="str">
        <f t="shared" si="2"/>
        <v>도국</v>
      </c>
      <c r="K164" s="266"/>
      <c r="L164" s="265"/>
      <c r="M164" s="265"/>
      <c r="N164" s="265"/>
      <c r="O164" s="265"/>
      <c r="P164" s="265"/>
      <c r="Q164" s="265"/>
      <c r="R164" s="267"/>
    </row>
    <row r="165" spans="1:21" ht="18" customHeight="1">
      <c r="A165" s="204">
        <v>160</v>
      </c>
      <c r="B165" s="202" t="s">
        <v>1053</v>
      </c>
      <c r="C165" s="202"/>
      <c r="D165" s="202" t="s">
        <v>93</v>
      </c>
      <c r="E165" s="300">
        <v>355</v>
      </c>
      <c r="F165" s="210">
        <v>355</v>
      </c>
      <c r="G165" s="203" t="s">
        <v>451</v>
      </c>
      <c r="H165" s="203" t="s">
        <v>452</v>
      </c>
      <c r="I165" s="276"/>
      <c r="J165" s="263" t="str">
        <f t="shared" si="2"/>
        <v>임공</v>
      </c>
      <c r="K165" s="264"/>
      <c r="L165" s="265"/>
      <c r="M165" s="265"/>
      <c r="N165" s="265"/>
      <c r="O165" s="265"/>
      <c r="P165" s="265"/>
      <c r="Q165" s="265"/>
      <c r="R165" s="284"/>
      <c r="S165" s="265"/>
      <c r="T165" s="265"/>
      <c r="U165" s="265"/>
    </row>
    <row r="166" spans="1:21" ht="18" customHeight="1">
      <c r="A166" s="204">
        <v>161</v>
      </c>
      <c r="B166" s="202" t="s">
        <v>1054</v>
      </c>
      <c r="C166" s="202"/>
      <c r="D166" s="202" t="s">
        <v>455</v>
      </c>
      <c r="E166" s="300">
        <v>287</v>
      </c>
      <c r="F166" s="210">
        <v>287</v>
      </c>
      <c r="G166" s="203" t="s">
        <v>451</v>
      </c>
      <c r="H166" s="203" t="s">
        <v>452</v>
      </c>
      <c r="I166" s="276"/>
      <c r="J166" s="263" t="str">
        <f t="shared" si="2"/>
        <v>도공</v>
      </c>
      <c r="K166" s="264"/>
      <c r="L166" s="265"/>
      <c r="M166" s="265"/>
      <c r="N166" s="265"/>
      <c r="O166" s="265"/>
      <c r="P166" s="265"/>
      <c r="Q166" s="265"/>
      <c r="R166" s="265"/>
    </row>
    <row r="167" spans="1:21" ht="18" customHeight="1">
      <c r="A167" s="204">
        <v>162</v>
      </c>
      <c r="B167" s="202" t="s">
        <v>1055</v>
      </c>
      <c r="C167" s="202"/>
      <c r="D167" s="202" t="s">
        <v>93</v>
      </c>
      <c r="E167" s="300">
        <v>63</v>
      </c>
      <c r="F167" s="210">
        <v>63</v>
      </c>
      <c r="G167" s="203" t="s">
        <v>451</v>
      </c>
      <c r="H167" s="203" t="s">
        <v>452</v>
      </c>
      <c r="I167" s="276"/>
      <c r="J167" s="263" t="str">
        <f t="shared" si="2"/>
        <v>임공</v>
      </c>
      <c r="K167" s="264"/>
      <c r="L167" s="265"/>
      <c r="M167" s="265"/>
      <c r="N167" s="265"/>
      <c r="O167" s="265"/>
      <c r="P167" s="265"/>
      <c r="Q167" s="265"/>
      <c r="R167" s="265"/>
    </row>
    <row r="168" spans="1:21" ht="18" customHeight="1">
      <c r="A168" s="204">
        <v>163</v>
      </c>
      <c r="B168" s="202" t="s">
        <v>1056</v>
      </c>
      <c r="C168" s="202"/>
      <c r="D168" s="202" t="s">
        <v>7</v>
      </c>
      <c r="E168" s="300">
        <v>136</v>
      </c>
      <c r="F168" s="210">
        <v>136</v>
      </c>
      <c r="G168" s="203" t="s">
        <v>451</v>
      </c>
      <c r="H168" s="203" t="s">
        <v>452</v>
      </c>
      <c r="I168" s="276"/>
      <c r="J168" s="263" t="str">
        <f t="shared" si="2"/>
        <v>전공</v>
      </c>
      <c r="K168" s="264"/>
      <c r="L168" s="265"/>
      <c r="M168" s="265"/>
      <c r="N168" s="265"/>
      <c r="O168" s="265"/>
      <c r="P168" s="265"/>
      <c r="Q168" s="265"/>
      <c r="R168" s="265"/>
    </row>
    <row r="169" spans="1:21" ht="18" customHeight="1">
      <c r="A169" s="204">
        <v>164</v>
      </c>
      <c r="B169" s="202" t="s">
        <v>1057</v>
      </c>
      <c r="C169" s="202"/>
      <c r="D169" s="202" t="s">
        <v>455</v>
      </c>
      <c r="E169" s="300">
        <v>46</v>
      </c>
      <c r="F169" s="210">
        <v>46</v>
      </c>
      <c r="G169" s="203" t="s">
        <v>451</v>
      </c>
      <c r="H169" s="203" t="s">
        <v>452</v>
      </c>
      <c r="I169" s="276"/>
      <c r="J169" s="263" t="str">
        <f t="shared" si="2"/>
        <v>도공</v>
      </c>
      <c r="K169" s="264"/>
      <c r="L169" s="265"/>
      <c r="M169" s="265"/>
      <c r="N169" s="265"/>
      <c r="O169" s="265"/>
      <c r="P169" s="265"/>
      <c r="Q169" s="265"/>
      <c r="R169" s="265"/>
    </row>
    <row r="170" spans="1:21" ht="18" customHeight="1">
      <c r="A170" s="204">
        <v>165</v>
      </c>
      <c r="B170" s="202" t="s">
        <v>1058</v>
      </c>
      <c r="C170" s="202"/>
      <c r="D170" s="202" t="s">
        <v>455</v>
      </c>
      <c r="E170" s="300">
        <v>7</v>
      </c>
      <c r="F170" s="210">
        <v>7</v>
      </c>
      <c r="G170" s="203" t="s">
        <v>511</v>
      </c>
      <c r="H170" s="203" t="s">
        <v>715</v>
      </c>
      <c r="I170" s="276"/>
      <c r="J170" s="263" t="str">
        <f t="shared" si="2"/>
        <v>도국</v>
      </c>
      <c r="K170" s="264"/>
      <c r="L170" s="265"/>
      <c r="M170" s="265"/>
      <c r="N170" s="265"/>
      <c r="O170" s="265"/>
      <c r="P170" s="265"/>
      <c r="Q170" s="265"/>
      <c r="R170" s="265"/>
    </row>
    <row r="171" spans="1:21" ht="18" customHeight="1">
      <c r="A171" s="204">
        <v>166</v>
      </c>
      <c r="B171" s="202" t="s">
        <v>1059</v>
      </c>
      <c r="C171" s="202"/>
      <c r="D171" s="202" t="s">
        <v>455</v>
      </c>
      <c r="E171" s="300">
        <v>1068</v>
      </c>
      <c r="F171" s="210">
        <v>1102</v>
      </c>
      <c r="G171" s="203" t="s">
        <v>451</v>
      </c>
      <c r="H171" s="203" t="s">
        <v>452</v>
      </c>
      <c r="I171" s="276"/>
      <c r="J171" s="263" t="str">
        <f t="shared" si="2"/>
        <v>도공</v>
      </c>
      <c r="K171" s="264"/>
      <c r="L171" s="265"/>
      <c r="M171" s="265"/>
      <c r="N171" s="265"/>
      <c r="O171" s="265"/>
      <c r="P171" s="265"/>
      <c r="Q171" s="265"/>
      <c r="R171" s="265"/>
    </row>
    <row r="172" spans="1:21" ht="18" customHeight="1">
      <c r="A172" s="204">
        <v>167</v>
      </c>
      <c r="B172" s="202" t="s">
        <v>1060</v>
      </c>
      <c r="C172" s="202"/>
      <c r="D172" s="202" t="s">
        <v>455</v>
      </c>
      <c r="E172" s="300">
        <v>472</v>
      </c>
      <c r="F172" s="210">
        <v>219</v>
      </c>
      <c r="G172" s="203" t="s">
        <v>511</v>
      </c>
      <c r="H172" s="203" t="s">
        <v>715</v>
      </c>
      <c r="I172" s="276"/>
      <c r="J172" s="263" t="str">
        <f t="shared" si="2"/>
        <v>도국</v>
      </c>
      <c r="K172" s="264"/>
      <c r="L172" s="265"/>
      <c r="M172" s="265"/>
      <c r="N172" s="265"/>
      <c r="O172" s="265"/>
      <c r="P172" s="265"/>
      <c r="Q172" s="265"/>
      <c r="R172" s="265"/>
    </row>
    <row r="173" spans="1:21" ht="18" customHeight="1">
      <c r="A173" s="204">
        <v>168</v>
      </c>
      <c r="B173" s="202" t="s">
        <v>1061</v>
      </c>
      <c r="C173" s="202"/>
      <c r="D173" s="202" t="s">
        <v>455</v>
      </c>
      <c r="E173" s="300">
        <v>416</v>
      </c>
      <c r="F173" s="210">
        <v>59</v>
      </c>
      <c r="G173" s="203" t="s">
        <v>451</v>
      </c>
      <c r="H173" s="203" t="s">
        <v>452</v>
      </c>
      <c r="I173" s="276"/>
      <c r="J173" s="263" t="str">
        <f t="shared" si="2"/>
        <v>도공</v>
      </c>
      <c r="K173" s="264"/>
      <c r="L173" s="265"/>
      <c r="M173" s="265"/>
      <c r="N173" s="265"/>
      <c r="O173" s="265"/>
      <c r="P173" s="265"/>
      <c r="Q173" s="265"/>
      <c r="R173" s="265"/>
    </row>
    <row r="174" spans="1:21" ht="18" customHeight="1">
      <c r="A174" s="204">
        <v>169</v>
      </c>
      <c r="B174" s="202" t="s">
        <v>1062</v>
      </c>
      <c r="C174" s="202"/>
      <c r="D174" s="202" t="s">
        <v>455</v>
      </c>
      <c r="E174" s="300">
        <v>191</v>
      </c>
      <c r="F174" s="210">
        <v>43</v>
      </c>
      <c r="G174" s="203" t="s">
        <v>451</v>
      </c>
      <c r="H174" s="203" t="s">
        <v>452</v>
      </c>
      <c r="I174" s="276"/>
      <c r="J174" s="263" t="str">
        <f t="shared" si="2"/>
        <v>도공</v>
      </c>
      <c r="K174" s="264"/>
      <c r="L174" s="265"/>
      <c r="M174" s="265"/>
      <c r="N174" s="265"/>
      <c r="O174" s="265"/>
      <c r="P174" s="265"/>
      <c r="Q174" s="265"/>
      <c r="R174" s="265"/>
    </row>
    <row r="175" spans="1:21" ht="18" customHeight="1">
      <c r="A175" s="204">
        <v>170</v>
      </c>
      <c r="B175" s="202" t="s">
        <v>1063</v>
      </c>
      <c r="C175" s="202"/>
      <c r="D175" s="202" t="s">
        <v>455</v>
      </c>
      <c r="E175" s="300">
        <v>210</v>
      </c>
      <c r="F175" s="210">
        <v>210</v>
      </c>
      <c r="G175" s="203" t="s">
        <v>451</v>
      </c>
      <c r="H175" s="203" t="s">
        <v>452</v>
      </c>
      <c r="I175" s="276"/>
      <c r="J175" s="263" t="str">
        <f t="shared" si="2"/>
        <v>도공</v>
      </c>
      <c r="K175" s="264"/>
      <c r="L175" s="265"/>
      <c r="M175" s="265"/>
      <c r="N175" s="265"/>
      <c r="O175" s="265"/>
      <c r="P175" s="265"/>
      <c r="Q175" s="265"/>
      <c r="R175" s="265"/>
    </row>
    <row r="176" spans="1:21" ht="18" customHeight="1">
      <c r="A176" s="204">
        <v>171</v>
      </c>
      <c r="B176" s="202" t="s">
        <v>1064</v>
      </c>
      <c r="C176" s="202"/>
      <c r="D176" s="202" t="s">
        <v>93</v>
      </c>
      <c r="E176" s="300">
        <v>12</v>
      </c>
      <c r="F176" s="210">
        <v>12</v>
      </c>
      <c r="G176" s="203" t="s">
        <v>451</v>
      </c>
      <c r="H176" s="203" t="s">
        <v>452</v>
      </c>
      <c r="I176" s="276"/>
      <c r="J176" s="263" t="str">
        <f t="shared" si="2"/>
        <v>임공</v>
      </c>
      <c r="K176" s="264"/>
      <c r="L176" s="265"/>
      <c r="M176" s="265"/>
      <c r="N176" s="265"/>
      <c r="O176" s="265"/>
      <c r="P176" s="265"/>
      <c r="Q176" s="265"/>
      <c r="R176" s="265"/>
    </row>
    <row r="177" spans="1:21" ht="18" customHeight="1">
      <c r="A177" s="204">
        <v>172</v>
      </c>
      <c r="B177" s="202" t="s">
        <v>1065</v>
      </c>
      <c r="C177" s="202"/>
      <c r="D177" s="202" t="s">
        <v>455</v>
      </c>
      <c r="E177" s="300">
        <v>60</v>
      </c>
      <c r="F177" s="210">
        <v>60</v>
      </c>
      <c r="G177" s="203" t="s">
        <v>511</v>
      </c>
      <c r="H177" s="203" t="s">
        <v>715</v>
      </c>
      <c r="I177" s="276"/>
      <c r="J177" s="263" t="str">
        <f t="shared" si="2"/>
        <v>도국</v>
      </c>
      <c r="K177" s="264"/>
      <c r="L177" s="265"/>
      <c r="M177" s="265"/>
      <c r="N177" s="265"/>
      <c r="O177" s="265"/>
      <c r="P177" s="265"/>
      <c r="Q177" s="265"/>
      <c r="R177" s="265"/>
    </row>
    <row r="178" spans="1:21" ht="18" customHeight="1">
      <c r="A178" s="204">
        <v>173</v>
      </c>
      <c r="B178" s="202" t="s">
        <v>1066</v>
      </c>
      <c r="C178" s="202"/>
      <c r="D178" s="202" t="s">
        <v>7</v>
      </c>
      <c r="E178" s="300">
        <v>56</v>
      </c>
      <c r="F178" s="210">
        <v>56</v>
      </c>
      <c r="G178" s="203" t="s">
        <v>451</v>
      </c>
      <c r="H178" s="203" t="s">
        <v>452</v>
      </c>
      <c r="I178" s="276"/>
      <c r="J178" s="263" t="str">
        <f t="shared" si="2"/>
        <v>전공</v>
      </c>
      <c r="K178" s="264"/>
      <c r="L178" s="265"/>
      <c r="M178" s="265"/>
      <c r="N178" s="265"/>
      <c r="O178" s="265"/>
      <c r="P178" s="265"/>
      <c r="Q178" s="265"/>
      <c r="R178" s="265"/>
    </row>
    <row r="179" spans="1:21" ht="18" customHeight="1">
      <c r="A179" s="204">
        <v>174</v>
      </c>
      <c r="B179" s="202" t="s">
        <v>1067</v>
      </c>
      <c r="C179" s="202"/>
      <c r="D179" s="202" t="s">
        <v>455</v>
      </c>
      <c r="E179" s="300">
        <v>236</v>
      </c>
      <c r="F179" s="210">
        <v>236</v>
      </c>
      <c r="G179" s="203" t="s">
        <v>451</v>
      </c>
      <c r="H179" s="203" t="s">
        <v>452</v>
      </c>
      <c r="I179" s="276"/>
      <c r="J179" s="263" t="str">
        <f t="shared" si="2"/>
        <v>도공</v>
      </c>
      <c r="K179" s="264"/>
      <c r="L179" s="265"/>
      <c r="M179" s="265"/>
      <c r="N179" s="265"/>
      <c r="O179" s="265"/>
      <c r="P179" s="265"/>
      <c r="Q179" s="265"/>
      <c r="R179" s="265"/>
    </row>
    <row r="180" spans="1:21" ht="18" customHeight="1">
      <c r="A180" s="204">
        <v>175</v>
      </c>
      <c r="B180" s="202" t="s">
        <v>1068</v>
      </c>
      <c r="C180" s="202"/>
      <c r="D180" s="202" t="s">
        <v>455</v>
      </c>
      <c r="E180" s="300">
        <v>53</v>
      </c>
      <c r="F180" s="210">
        <v>53</v>
      </c>
      <c r="G180" s="203" t="s">
        <v>511</v>
      </c>
      <c r="H180" s="203" t="s">
        <v>715</v>
      </c>
      <c r="I180" s="276"/>
      <c r="J180" s="263" t="str">
        <f t="shared" si="2"/>
        <v>도국</v>
      </c>
      <c r="K180" s="264"/>
      <c r="L180" s="265"/>
      <c r="M180" s="265"/>
      <c r="N180" s="265"/>
      <c r="O180" s="265"/>
      <c r="P180" s="265"/>
      <c r="Q180" s="265"/>
      <c r="R180" s="265"/>
    </row>
    <row r="181" spans="1:21" ht="18" customHeight="1">
      <c r="A181" s="204">
        <v>176</v>
      </c>
      <c r="B181" s="202" t="s">
        <v>1069</v>
      </c>
      <c r="C181" s="202"/>
      <c r="D181" s="202" t="s">
        <v>455</v>
      </c>
      <c r="E181" s="300">
        <v>13</v>
      </c>
      <c r="F181" s="210">
        <v>13</v>
      </c>
      <c r="G181" s="203" t="s">
        <v>451</v>
      </c>
      <c r="H181" s="203" t="s">
        <v>452</v>
      </c>
      <c r="I181" s="276"/>
      <c r="J181" s="263" t="str">
        <f t="shared" si="2"/>
        <v>도공</v>
      </c>
      <c r="K181" s="266"/>
      <c r="L181" s="265"/>
      <c r="M181" s="265"/>
      <c r="N181" s="265"/>
      <c r="O181" s="265"/>
      <c r="P181" s="265"/>
      <c r="Q181" s="265"/>
      <c r="R181" s="267"/>
    </row>
    <row r="182" spans="1:21" ht="18" customHeight="1">
      <c r="A182" s="204">
        <v>177</v>
      </c>
      <c r="B182" s="202" t="s">
        <v>1070</v>
      </c>
      <c r="C182" s="202"/>
      <c r="D182" s="202" t="s">
        <v>455</v>
      </c>
      <c r="E182" s="300">
        <v>64</v>
      </c>
      <c r="F182" s="210">
        <v>64</v>
      </c>
      <c r="G182" s="203" t="s">
        <v>451</v>
      </c>
      <c r="H182" s="203" t="s">
        <v>452</v>
      </c>
      <c r="I182" s="276"/>
      <c r="J182" s="263" t="str">
        <f t="shared" si="2"/>
        <v>도공</v>
      </c>
      <c r="K182" s="266"/>
      <c r="L182" s="265"/>
      <c r="M182" s="265"/>
      <c r="N182" s="265"/>
      <c r="O182" s="265"/>
      <c r="P182" s="265"/>
      <c r="Q182" s="265"/>
      <c r="R182" s="267"/>
    </row>
    <row r="183" spans="1:21" ht="18" customHeight="1">
      <c r="A183" s="204">
        <v>178</v>
      </c>
      <c r="B183" s="202" t="s">
        <v>998</v>
      </c>
      <c r="C183" s="202"/>
      <c r="D183" s="202" t="s">
        <v>462</v>
      </c>
      <c r="E183" s="300">
        <v>3940.7</v>
      </c>
      <c r="F183" s="210">
        <v>139</v>
      </c>
      <c r="G183" s="203" t="s">
        <v>511</v>
      </c>
      <c r="H183" s="203" t="s">
        <v>712</v>
      </c>
      <c r="I183" s="276"/>
      <c r="J183" s="263" t="str">
        <f t="shared" si="2"/>
        <v>구국</v>
      </c>
      <c r="K183" s="266"/>
      <c r="L183" s="265"/>
      <c r="M183" s="265"/>
      <c r="N183" s="265"/>
      <c r="O183" s="265"/>
      <c r="P183" s="265"/>
      <c r="Q183" s="265"/>
      <c r="R183" s="267"/>
    </row>
    <row r="184" spans="1:21" ht="18" customHeight="1">
      <c r="A184" s="204">
        <v>179</v>
      </c>
      <c r="B184" s="202" t="s">
        <v>1071</v>
      </c>
      <c r="C184" s="202"/>
      <c r="D184" s="202" t="s">
        <v>455</v>
      </c>
      <c r="E184" s="300">
        <v>420</v>
      </c>
      <c r="F184" s="210">
        <v>375</v>
      </c>
      <c r="G184" s="203" t="s">
        <v>511</v>
      </c>
      <c r="H184" s="203" t="s">
        <v>715</v>
      </c>
      <c r="I184" s="276"/>
      <c r="J184" s="263" t="str">
        <f t="shared" si="2"/>
        <v>도국</v>
      </c>
      <c r="K184" s="266"/>
      <c r="L184" s="265"/>
      <c r="M184" s="265"/>
      <c r="N184" s="265"/>
      <c r="O184" s="265"/>
      <c r="P184" s="265"/>
      <c r="Q184" s="265"/>
      <c r="R184" s="267"/>
    </row>
    <row r="185" spans="1:21" ht="18" customHeight="1">
      <c r="A185" s="204">
        <v>180</v>
      </c>
      <c r="B185" s="202" t="s">
        <v>1072</v>
      </c>
      <c r="C185" s="202"/>
      <c r="D185" s="202" t="s">
        <v>455</v>
      </c>
      <c r="E185" s="300">
        <v>17</v>
      </c>
      <c r="F185" s="210">
        <v>17</v>
      </c>
      <c r="G185" s="203" t="s">
        <v>511</v>
      </c>
      <c r="H185" s="203" t="s">
        <v>715</v>
      </c>
      <c r="I185" s="276"/>
      <c r="J185" s="263" t="str">
        <f t="shared" si="2"/>
        <v>도국</v>
      </c>
      <c r="K185" s="264"/>
      <c r="L185" s="265"/>
      <c r="M185" s="265"/>
      <c r="N185" s="265"/>
      <c r="O185" s="265"/>
      <c r="P185" s="265"/>
      <c r="Q185" s="265"/>
      <c r="R185" s="284"/>
      <c r="S185" s="265"/>
      <c r="T185" s="265"/>
      <c r="U185" s="265"/>
    </row>
    <row r="186" spans="1:21" ht="18" customHeight="1">
      <c r="A186" s="204">
        <v>181</v>
      </c>
      <c r="B186" s="202" t="s">
        <v>1073</v>
      </c>
      <c r="C186" s="202"/>
      <c r="D186" s="202" t="s">
        <v>455</v>
      </c>
      <c r="E186" s="300">
        <v>17</v>
      </c>
      <c r="F186" s="210">
        <v>17</v>
      </c>
      <c r="G186" s="203" t="s">
        <v>511</v>
      </c>
      <c r="H186" s="203" t="s">
        <v>715</v>
      </c>
      <c r="I186" s="276"/>
      <c r="J186" s="263" t="str">
        <f t="shared" si="2"/>
        <v>도국</v>
      </c>
      <c r="K186" s="264"/>
      <c r="L186" s="265"/>
      <c r="M186" s="265"/>
      <c r="N186" s="265"/>
      <c r="O186" s="265"/>
      <c r="P186" s="265"/>
      <c r="Q186" s="265"/>
      <c r="R186" s="265"/>
    </row>
    <row r="187" spans="1:21" ht="18" customHeight="1">
      <c r="A187" s="204">
        <v>182</v>
      </c>
      <c r="B187" s="202" t="s">
        <v>1074</v>
      </c>
      <c r="C187" s="202"/>
      <c r="D187" s="202" t="s">
        <v>455</v>
      </c>
      <c r="E187" s="300">
        <v>409</v>
      </c>
      <c r="F187" s="210">
        <v>409</v>
      </c>
      <c r="G187" s="203" t="s">
        <v>511</v>
      </c>
      <c r="H187" s="203" t="s">
        <v>715</v>
      </c>
      <c r="I187" s="276"/>
      <c r="J187" s="263" t="str">
        <f t="shared" si="2"/>
        <v>도국</v>
      </c>
      <c r="K187" s="264"/>
      <c r="L187" s="265"/>
      <c r="M187" s="265"/>
      <c r="N187" s="265"/>
      <c r="O187" s="265"/>
      <c r="P187" s="265"/>
      <c r="Q187" s="265"/>
      <c r="R187" s="265"/>
    </row>
    <row r="188" spans="1:21" ht="18" customHeight="1">
      <c r="A188" s="204">
        <v>183</v>
      </c>
      <c r="B188" s="202" t="s">
        <v>1075</v>
      </c>
      <c r="C188" s="202"/>
      <c r="D188" s="202" t="s">
        <v>455</v>
      </c>
      <c r="E188" s="300">
        <v>979</v>
      </c>
      <c r="F188" s="210">
        <v>979</v>
      </c>
      <c r="G188" s="203" t="s">
        <v>1121</v>
      </c>
      <c r="H188" s="203" t="s">
        <v>1121</v>
      </c>
      <c r="I188" s="276"/>
      <c r="J188" s="263" t="str">
        <f t="shared" si="2"/>
        <v>도지*국</v>
      </c>
      <c r="K188" s="264"/>
      <c r="L188" s="265"/>
      <c r="M188" s="265"/>
      <c r="N188" s="265"/>
      <c r="O188" s="265"/>
      <c r="P188" s="265"/>
      <c r="Q188" s="265"/>
      <c r="R188" s="265"/>
    </row>
    <row r="189" spans="1:21" ht="18" customHeight="1">
      <c r="A189" s="204">
        <v>184</v>
      </c>
      <c r="B189" s="202" t="s">
        <v>1076</v>
      </c>
      <c r="C189" s="202"/>
      <c r="D189" s="202" t="s">
        <v>455</v>
      </c>
      <c r="E189" s="300">
        <v>1124</v>
      </c>
      <c r="F189" s="210">
        <v>370</v>
      </c>
      <c r="G189" s="203" t="s">
        <v>451</v>
      </c>
      <c r="H189" s="203" t="s">
        <v>452</v>
      </c>
      <c r="I189" s="276"/>
      <c r="J189" s="263" t="str">
        <f t="shared" si="2"/>
        <v>도공</v>
      </c>
      <c r="K189" s="264"/>
      <c r="L189" s="265"/>
      <c r="M189" s="265"/>
      <c r="N189" s="265"/>
      <c r="O189" s="265"/>
      <c r="P189" s="265"/>
      <c r="Q189" s="265"/>
      <c r="R189" s="265"/>
    </row>
    <row r="190" spans="1:21" ht="18" customHeight="1">
      <c r="A190" s="204">
        <v>185</v>
      </c>
      <c r="B190" s="202" t="s">
        <v>1077</v>
      </c>
      <c r="C190" s="202"/>
      <c r="D190" s="202" t="s">
        <v>455</v>
      </c>
      <c r="E190" s="300">
        <v>66</v>
      </c>
      <c r="F190" s="210">
        <v>66</v>
      </c>
      <c r="G190" s="203" t="s">
        <v>511</v>
      </c>
      <c r="H190" s="203" t="s">
        <v>715</v>
      </c>
      <c r="I190" s="276"/>
      <c r="J190" s="263" t="str">
        <f t="shared" si="2"/>
        <v>도국</v>
      </c>
      <c r="K190" s="264"/>
      <c r="L190" s="265"/>
      <c r="M190" s="265"/>
      <c r="N190" s="265"/>
      <c r="O190" s="265"/>
      <c r="P190" s="265"/>
      <c r="Q190" s="265"/>
      <c r="R190" s="265"/>
    </row>
    <row r="191" spans="1:21" ht="18" customHeight="1">
      <c r="A191" s="204">
        <v>186</v>
      </c>
      <c r="B191" s="202" t="s">
        <v>1078</v>
      </c>
      <c r="C191" s="202"/>
      <c r="D191" s="202" t="s">
        <v>455</v>
      </c>
      <c r="E191" s="300">
        <v>67</v>
      </c>
      <c r="F191" s="210">
        <v>67</v>
      </c>
      <c r="G191" s="203" t="s">
        <v>451</v>
      </c>
      <c r="H191" s="203" t="s">
        <v>452</v>
      </c>
      <c r="I191" s="276"/>
      <c r="J191" s="263" t="str">
        <f t="shared" si="2"/>
        <v>도공</v>
      </c>
      <c r="K191" s="264"/>
      <c r="L191" s="265"/>
      <c r="M191" s="265"/>
      <c r="N191" s="265"/>
      <c r="O191" s="265"/>
      <c r="P191" s="265"/>
      <c r="Q191" s="265"/>
      <c r="R191" s="265"/>
    </row>
    <row r="192" spans="1:21" ht="18" customHeight="1">
      <c r="A192" s="204">
        <v>187</v>
      </c>
      <c r="B192" s="202" t="s">
        <v>1079</v>
      </c>
      <c r="C192" s="202"/>
      <c r="D192" s="202" t="s">
        <v>455</v>
      </c>
      <c r="E192" s="300">
        <v>23</v>
      </c>
      <c r="F192" s="210">
        <v>23</v>
      </c>
      <c r="G192" s="203" t="s">
        <v>511</v>
      </c>
      <c r="H192" s="203" t="s">
        <v>715</v>
      </c>
      <c r="I192" s="276"/>
      <c r="J192" s="263" t="str">
        <f t="shared" si="2"/>
        <v>도국</v>
      </c>
      <c r="K192" s="264"/>
      <c r="L192" s="265"/>
      <c r="M192" s="265"/>
      <c r="N192" s="265"/>
      <c r="O192" s="265"/>
      <c r="P192" s="265"/>
      <c r="Q192" s="265"/>
      <c r="R192" s="265"/>
    </row>
    <row r="193" spans="1:21" ht="18" customHeight="1">
      <c r="A193" s="204">
        <v>188</v>
      </c>
      <c r="B193" s="202" t="s">
        <v>1080</v>
      </c>
      <c r="C193" s="202"/>
      <c r="D193" s="202" t="s">
        <v>455</v>
      </c>
      <c r="E193" s="300">
        <v>127</v>
      </c>
      <c r="F193" s="210">
        <v>127</v>
      </c>
      <c r="G193" s="203" t="s">
        <v>451</v>
      </c>
      <c r="H193" s="203" t="s">
        <v>452</v>
      </c>
      <c r="I193" s="276"/>
      <c r="J193" s="263" t="str">
        <f t="shared" si="2"/>
        <v>도공</v>
      </c>
      <c r="K193" s="264"/>
      <c r="L193" s="265"/>
      <c r="M193" s="265"/>
      <c r="N193" s="265"/>
      <c r="O193" s="265"/>
      <c r="P193" s="265"/>
      <c r="Q193" s="265"/>
      <c r="R193" s="265"/>
    </row>
    <row r="194" spans="1:21" ht="18" customHeight="1">
      <c r="A194" s="204">
        <v>189</v>
      </c>
      <c r="B194" s="202" t="s">
        <v>1081</v>
      </c>
      <c r="C194" s="202"/>
      <c r="D194" s="202" t="s">
        <v>455</v>
      </c>
      <c r="E194" s="300">
        <v>3</v>
      </c>
      <c r="F194" s="210">
        <v>3</v>
      </c>
      <c r="G194" s="203" t="s">
        <v>451</v>
      </c>
      <c r="H194" s="203" t="s">
        <v>452</v>
      </c>
      <c r="I194" s="276"/>
      <c r="J194" s="263" t="str">
        <f t="shared" si="2"/>
        <v>도공</v>
      </c>
      <c r="K194" s="264"/>
      <c r="L194" s="265"/>
      <c r="M194" s="265"/>
      <c r="N194" s="265"/>
      <c r="O194" s="265"/>
      <c r="P194" s="265"/>
      <c r="Q194" s="265"/>
      <c r="R194" s="265"/>
    </row>
    <row r="195" spans="1:21" ht="18" customHeight="1">
      <c r="A195" s="204">
        <v>190</v>
      </c>
      <c r="B195" s="202" t="s">
        <v>1082</v>
      </c>
      <c r="C195" s="202"/>
      <c r="D195" s="202" t="s">
        <v>455</v>
      </c>
      <c r="E195" s="300">
        <v>225</v>
      </c>
      <c r="F195" s="210">
        <v>225</v>
      </c>
      <c r="G195" s="203" t="s">
        <v>451</v>
      </c>
      <c r="H195" s="203" t="s">
        <v>452</v>
      </c>
      <c r="I195" s="276"/>
      <c r="J195" s="263" t="str">
        <f t="shared" si="2"/>
        <v>도공</v>
      </c>
      <c r="K195" s="264"/>
      <c r="L195" s="265"/>
      <c r="M195" s="265"/>
      <c r="N195" s="265"/>
      <c r="O195" s="265"/>
      <c r="P195" s="265"/>
      <c r="Q195" s="265"/>
      <c r="R195" s="265"/>
    </row>
    <row r="196" spans="1:21" ht="18" customHeight="1">
      <c r="A196" s="204">
        <v>191</v>
      </c>
      <c r="B196" s="202" t="s">
        <v>1083</v>
      </c>
      <c r="C196" s="202"/>
      <c r="D196" s="202" t="s">
        <v>455</v>
      </c>
      <c r="E196" s="300">
        <v>433</v>
      </c>
      <c r="F196" s="210">
        <v>423</v>
      </c>
      <c r="G196" s="203" t="s">
        <v>451</v>
      </c>
      <c r="H196" s="203" t="s">
        <v>537</v>
      </c>
      <c r="I196" s="276"/>
      <c r="J196" s="263" t="str">
        <f t="shared" si="2"/>
        <v>도공</v>
      </c>
      <c r="K196" s="264"/>
      <c r="L196" s="265"/>
      <c r="M196" s="265"/>
      <c r="N196" s="265"/>
      <c r="O196" s="265"/>
      <c r="P196" s="265"/>
      <c r="Q196" s="265"/>
      <c r="R196" s="265"/>
    </row>
    <row r="197" spans="1:21" ht="18" customHeight="1">
      <c r="A197" s="204">
        <v>192</v>
      </c>
      <c r="B197" s="202" t="s">
        <v>1084</v>
      </c>
      <c r="C197" s="202"/>
      <c r="D197" s="202" t="s">
        <v>455</v>
      </c>
      <c r="E197" s="300">
        <v>116</v>
      </c>
      <c r="F197" s="210">
        <v>70</v>
      </c>
      <c r="G197" s="203" t="s">
        <v>451</v>
      </c>
      <c r="H197" s="203" t="s">
        <v>452</v>
      </c>
      <c r="I197" s="276"/>
      <c r="J197" s="263" t="str">
        <f t="shared" si="2"/>
        <v>도공</v>
      </c>
      <c r="K197" s="264"/>
      <c r="L197" s="265"/>
      <c r="M197" s="265"/>
      <c r="N197" s="265"/>
      <c r="O197" s="265"/>
      <c r="P197" s="265"/>
      <c r="Q197" s="265"/>
      <c r="R197" s="265"/>
    </row>
    <row r="198" spans="1:21" ht="18" customHeight="1">
      <c r="A198" s="204">
        <v>193</v>
      </c>
      <c r="B198" s="202" t="s">
        <v>821</v>
      </c>
      <c r="C198" s="202"/>
      <c r="D198" s="202" t="s">
        <v>455</v>
      </c>
      <c r="E198" s="300">
        <v>724</v>
      </c>
      <c r="F198" s="210">
        <v>724</v>
      </c>
      <c r="G198" s="203" t="s">
        <v>511</v>
      </c>
      <c r="H198" s="203" t="s">
        <v>715</v>
      </c>
      <c r="I198" s="276"/>
      <c r="J198" s="263" t="str">
        <f t="shared" si="2"/>
        <v>도국</v>
      </c>
      <c r="K198" s="264"/>
      <c r="L198" s="265"/>
      <c r="M198" s="265"/>
      <c r="N198" s="265"/>
      <c r="O198" s="265"/>
      <c r="P198" s="265"/>
      <c r="Q198" s="265"/>
      <c r="R198" s="265"/>
    </row>
    <row r="199" spans="1:21" ht="18" customHeight="1">
      <c r="A199" s="204">
        <v>194</v>
      </c>
      <c r="B199" s="202" t="s">
        <v>1085</v>
      </c>
      <c r="C199" s="202"/>
      <c r="D199" s="202" t="s">
        <v>455</v>
      </c>
      <c r="E199" s="300">
        <v>35</v>
      </c>
      <c r="F199" s="210">
        <v>35</v>
      </c>
      <c r="G199" s="203" t="s">
        <v>451</v>
      </c>
      <c r="H199" s="203" t="s">
        <v>452</v>
      </c>
      <c r="I199" s="276"/>
      <c r="J199" s="263" t="str">
        <f t="shared" ref="J199:J233" si="3">CONCATENATE(D199,G199)</f>
        <v>도공</v>
      </c>
      <c r="K199" s="264"/>
      <c r="L199" s="265"/>
      <c r="M199" s="265"/>
      <c r="N199" s="265"/>
      <c r="O199" s="265"/>
      <c r="P199" s="265"/>
      <c r="Q199" s="265"/>
      <c r="R199" s="265"/>
    </row>
    <row r="200" spans="1:21" ht="18" customHeight="1">
      <c r="A200" s="204">
        <v>195</v>
      </c>
      <c r="B200" s="202" t="s">
        <v>1006</v>
      </c>
      <c r="C200" s="202"/>
      <c r="D200" s="202" t="s">
        <v>455</v>
      </c>
      <c r="E200" s="300">
        <v>30</v>
      </c>
      <c r="F200" s="210">
        <v>4</v>
      </c>
      <c r="G200" s="203" t="s">
        <v>451</v>
      </c>
      <c r="H200" s="203" t="s">
        <v>452</v>
      </c>
      <c r="I200" s="276"/>
      <c r="J200" s="263" t="str">
        <f t="shared" si="3"/>
        <v>도공</v>
      </c>
      <c r="K200" s="264"/>
      <c r="L200" s="265"/>
      <c r="M200" s="265"/>
      <c r="N200" s="265"/>
      <c r="O200" s="265"/>
      <c r="P200" s="265"/>
      <c r="Q200" s="265"/>
      <c r="R200" s="265"/>
    </row>
    <row r="201" spans="1:21" ht="18" customHeight="1">
      <c r="A201" s="204">
        <v>196</v>
      </c>
      <c r="B201" s="202" t="s">
        <v>1008</v>
      </c>
      <c r="C201" s="202"/>
      <c r="D201" s="202" t="s">
        <v>455</v>
      </c>
      <c r="E201" s="300">
        <v>149</v>
      </c>
      <c r="F201" s="210">
        <v>18</v>
      </c>
      <c r="G201" s="203" t="s">
        <v>451</v>
      </c>
      <c r="H201" s="203" t="s">
        <v>452</v>
      </c>
      <c r="I201" s="276"/>
      <c r="J201" s="263" t="str">
        <f t="shared" si="3"/>
        <v>도공</v>
      </c>
      <c r="K201" s="266"/>
      <c r="L201" s="265"/>
      <c r="M201" s="265"/>
      <c r="N201" s="265"/>
      <c r="O201" s="265"/>
      <c r="P201" s="265"/>
      <c r="Q201" s="265"/>
      <c r="R201" s="267"/>
    </row>
    <row r="202" spans="1:21" ht="18" customHeight="1">
      <c r="A202" s="204">
        <v>197</v>
      </c>
      <c r="B202" s="202" t="s">
        <v>1086</v>
      </c>
      <c r="C202" s="202"/>
      <c r="D202" s="202" t="s">
        <v>455</v>
      </c>
      <c r="E202" s="300">
        <v>20</v>
      </c>
      <c r="F202" s="210">
        <v>20</v>
      </c>
      <c r="G202" s="203" t="s">
        <v>451</v>
      </c>
      <c r="H202" s="203" t="s">
        <v>452</v>
      </c>
      <c r="I202" s="276"/>
      <c r="J202" s="263" t="str">
        <f t="shared" si="3"/>
        <v>도공</v>
      </c>
      <c r="K202" s="266"/>
      <c r="L202" s="265"/>
      <c r="M202" s="265"/>
      <c r="N202" s="265"/>
      <c r="O202" s="265"/>
      <c r="P202" s="265"/>
      <c r="Q202" s="265"/>
      <c r="R202" s="267"/>
    </row>
    <row r="203" spans="1:21" ht="18" customHeight="1">
      <c r="A203" s="204">
        <v>198</v>
      </c>
      <c r="B203" s="202" t="s">
        <v>1087</v>
      </c>
      <c r="C203" s="202"/>
      <c r="D203" s="202" t="s">
        <v>455</v>
      </c>
      <c r="E203" s="300">
        <v>374</v>
      </c>
      <c r="F203" s="210">
        <v>219</v>
      </c>
      <c r="G203" s="203" t="s">
        <v>511</v>
      </c>
      <c r="H203" s="203" t="s">
        <v>715</v>
      </c>
      <c r="I203" s="276"/>
      <c r="J203" s="263" t="str">
        <f t="shared" si="3"/>
        <v>도국</v>
      </c>
      <c r="K203" s="266"/>
      <c r="L203" s="265"/>
      <c r="M203" s="265"/>
      <c r="N203" s="265"/>
      <c r="O203" s="265"/>
      <c r="P203" s="265"/>
      <c r="Q203" s="265"/>
      <c r="R203" s="267"/>
    </row>
    <row r="204" spans="1:21" ht="18" customHeight="1">
      <c r="A204" s="204">
        <v>199</v>
      </c>
      <c r="B204" s="202" t="s">
        <v>1088</v>
      </c>
      <c r="C204" s="202"/>
      <c r="D204" s="202" t="s">
        <v>455</v>
      </c>
      <c r="E204" s="300">
        <v>43</v>
      </c>
      <c r="F204" s="210">
        <v>43</v>
      </c>
      <c r="G204" s="203" t="s">
        <v>511</v>
      </c>
      <c r="H204" s="203" t="s">
        <v>715</v>
      </c>
      <c r="I204" s="276"/>
      <c r="J204" s="263" t="str">
        <f t="shared" si="3"/>
        <v>도국</v>
      </c>
      <c r="K204" s="266"/>
      <c r="L204" s="265"/>
      <c r="M204" s="265"/>
      <c r="N204" s="265"/>
      <c r="O204" s="265"/>
      <c r="P204" s="265"/>
      <c r="Q204" s="265"/>
      <c r="R204" s="267"/>
    </row>
    <row r="205" spans="1:21" ht="18" customHeight="1">
      <c r="A205" s="204">
        <v>200</v>
      </c>
      <c r="B205" s="202" t="s">
        <v>1089</v>
      </c>
      <c r="C205" s="202"/>
      <c r="D205" s="202" t="s">
        <v>455</v>
      </c>
      <c r="E205" s="300">
        <v>688</v>
      </c>
      <c r="F205" s="210">
        <v>688</v>
      </c>
      <c r="G205" s="203" t="s">
        <v>451</v>
      </c>
      <c r="H205" s="203" t="s">
        <v>452</v>
      </c>
      <c r="I205" s="276"/>
      <c r="J205" s="263" t="str">
        <f t="shared" si="3"/>
        <v>도공</v>
      </c>
      <c r="K205" s="264"/>
      <c r="L205" s="265"/>
      <c r="M205" s="265"/>
      <c r="N205" s="265"/>
      <c r="O205" s="265"/>
      <c r="P205" s="265"/>
      <c r="Q205" s="265"/>
      <c r="R205" s="284"/>
      <c r="S205" s="265"/>
      <c r="T205" s="265"/>
      <c r="U205" s="265"/>
    </row>
    <row r="206" spans="1:21" ht="18" customHeight="1">
      <c r="A206" s="204">
        <v>201</v>
      </c>
      <c r="B206" s="202" t="s">
        <v>1090</v>
      </c>
      <c r="C206" s="202"/>
      <c r="D206" s="202" t="s">
        <v>455</v>
      </c>
      <c r="E206" s="300">
        <v>21</v>
      </c>
      <c r="F206" s="210">
        <v>14</v>
      </c>
      <c r="G206" s="203" t="s">
        <v>451</v>
      </c>
      <c r="H206" s="203" t="s">
        <v>452</v>
      </c>
      <c r="I206" s="276"/>
      <c r="J206" s="263" t="str">
        <f t="shared" si="3"/>
        <v>도공</v>
      </c>
      <c r="K206" s="264"/>
      <c r="L206" s="265"/>
      <c r="M206" s="265"/>
      <c r="N206" s="265"/>
      <c r="O206" s="265"/>
      <c r="P206" s="265"/>
      <c r="Q206" s="265"/>
      <c r="R206" s="265"/>
    </row>
    <row r="207" spans="1:21" ht="18" customHeight="1">
      <c r="A207" s="204">
        <v>202</v>
      </c>
      <c r="B207" s="202" t="s">
        <v>1091</v>
      </c>
      <c r="C207" s="202"/>
      <c r="D207" s="202" t="s">
        <v>455</v>
      </c>
      <c r="E207" s="300">
        <v>696</v>
      </c>
      <c r="F207" s="210">
        <v>438</v>
      </c>
      <c r="G207" s="203" t="s">
        <v>511</v>
      </c>
      <c r="H207" s="203" t="s">
        <v>715</v>
      </c>
      <c r="I207" s="276"/>
      <c r="J207" s="263" t="str">
        <f t="shared" si="3"/>
        <v>도국</v>
      </c>
      <c r="K207" s="264"/>
      <c r="L207" s="265"/>
      <c r="M207" s="265"/>
      <c r="N207" s="265"/>
      <c r="O207" s="265"/>
      <c r="P207" s="265"/>
      <c r="Q207" s="265"/>
      <c r="R207" s="265"/>
    </row>
    <row r="208" spans="1:21" ht="18" customHeight="1">
      <c r="A208" s="204">
        <v>203</v>
      </c>
      <c r="B208" s="202" t="s">
        <v>1092</v>
      </c>
      <c r="C208" s="202"/>
      <c r="D208" s="202" t="s">
        <v>455</v>
      </c>
      <c r="E208" s="300">
        <v>87</v>
      </c>
      <c r="F208" s="210">
        <v>87</v>
      </c>
      <c r="G208" s="203" t="s">
        <v>451</v>
      </c>
      <c r="H208" s="203" t="s">
        <v>452</v>
      </c>
      <c r="I208" s="276"/>
      <c r="J208" s="263" t="str">
        <f t="shared" si="3"/>
        <v>도공</v>
      </c>
      <c r="K208" s="264"/>
      <c r="L208" s="265"/>
      <c r="M208" s="265"/>
      <c r="N208" s="265"/>
      <c r="O208" s="265"/>
      <c r="P208" s="265"/>
      <c r="Q208" s="265"/>
      <c r="R208" s="265"/>
    </row>
    <row r="209" spans="1:18" ht="18" customHeight="1">
      <c r="A209" s="204">
        <v>204</v>
      </c>
      <c r="B209" s="202" t="s">
        <v>1093</v>
      </c>
      <c r="C209" s="202"/>
      <c r="D209" s="202" t="s">
        <v>455</v>
      </c>
      <c r="E209" s="300">
        <v>37</v>
      </c>
      <c r="F209" s="210">
        <v>37</v>
      </c>
      <c r="G209" s="203" t="s">
        <v>451</v>
      </c>
      <c r="H209" s="203" t="s">
        <v>452</v>
      </c>
      <c r="I209" s="276"/>
      <c r="J209" s="263" t="str">
        <f t="shared" si="3"/>
        <v>도공</v>
      </c>
      <c r="K209" s="264"/>
      <c r="L209" s="265"/>
      <c r="M209" s="265"/>
      <c r="N209" s="265"/>
      <c r="O209" s="265"/>
      <c r="P209" s="265"/>
      <c r="Q209" s="265"/>
      <c r="R209" s="265"/>
    </row>
    <row r="210" spans="1:18" ht="18" customHeight="1">
      <c r="A210" s="204">
        <v>205</v>
      </c>
      <c r="B210" s="202" t="s">
        <v>1094</v>
      </c>
      <c r="C210" s="202"/>
      <c r="D210" s="202" t="s">
        <v>455</v>
      </c>
      <c r="E210" s="300">
        <v>380</v>
      </c>
      <c r="F210" s="210">
        <v>380</v>
      </c>
      <c r="G210" s="203" t="s">
        <v>511</v>
      </c>
      <c r="H210" s="203" t="s">
        <v>715</v>
      </c>
      <c r="I210" s="276"/>
      <c r="J210" s="263" t="str">
        <f t="shared" si="3"/>
        <v>도국</v>
      </c>
      <c r="K210" s="264"/>
      <c r="L210" s="265"/>
      <c r="M210" s="265"/>
      <c r="N210" s="265"/>
      <c r="O210" s="265"/>
      <c r="P210" s="265"/>
      <c r="Q210" s="265"/>
      <c r="R210" s="265"/>
    </row>
    <row r="211" spans="1:18" ht="18" customHeight="1">
      <c r="A211" s="204">
        <v>206</v>
      </c>
      <c r="B211" s="202" t="s">
        <v>1095</v>
      </c>
      <c r="C211" s="202"/>
      <c r="D211" s="202" t="s">
        <v>455</v>
      </c>
      <c r="E211" s="300">
        <v>23</v>
      </c>
      <c r="F211" s="210">
        <v>23</v>
      </c>
      <c r="G211" s="203" t="s">
        <v>451</v>
      </c>
      <c r="H211" s="203" t="s">
        <v>452</v>
      </c>
      <c r="I211" s="276"/>
      <c r="J211" s="263" t="str">
        <f t="shared" si="3"/>
        <v>도공</v>
      </c>
      <c r="K211" s="264"/>
      <c r="L211" s="265"/>
      <c r="M211" s="265"/>
      <c r="N211" s="265"/>
      <c r="O211" s="265"/>
      <c r="P211" s="265"/>
      <c r="Q211" s="265"/>
      <c r="R211" s="265"/>
    </row>
    <row r="212" spans="1:18" ht="18" customHeight="1">
      <c r="A212" s="204">
        <v>207</v>
      </c>
      <c r="B212" s="202" t="s">
        <v>1096</v>
      </c>
      <c r="C212" s="202"/>
      <c r="D212" s="202" t="s">
        <v>455</v>
      </c>
      <c r="E212" s="300">
        <v>301</v>
      </c>
      <c r="F212" s="210">
        <v>294</v>
      </c>
      <c r="G212" s="203" t="s">
        <v>511</v>
      </c>
      <c r="H212" s="203" t="s">
        <v>715</v>
      </c>
      <c r="I212" s="276"/>
      <c r="J212" s="263" t="str">
        <f t="shared" si="3"/>
        <v>도국</v>
      </c>
      <c r="K212" s="264"/>
      <c r="L212" s="265"/>
      <c r="M212" s="265"/>
      <c r="N212" s="265"/>
      <c r="O212" s="265"/>
      <c r="P212" s="265"/>
      <c r="Q212" s="265"/>
      <c r="R212" s="265"/>
    </row>
    <row r="213" spans="1:18" ht="18" customHeight="1">
      <c r="A213" s="204">
        <v>208</v>
      </c>
      <c r="B213" s="202" t="s">
        <v>1097</v>
      </c>
      <c r="C213" s="202"/>
      <c r="D213" s="202" t="s">
        <v>455</v>
      </c>
      <c r="E213" s="300">
        <v>144</v>
      </c>
      <c r="F213" s="210">
        <v>144</v>
      </c>
      <c r="G213" s="203" t="s">
        <v>451</v>
      </c>
      <c r="H213" s="203" t="s">
        <v>452</v>
      </c>
      <c r="I213" s="276"/>
      <c r="J213" s="263" t="str">
        <f t="shared" si="3"/>
        <v>도공</v>
      </c>
      <c r="K213" s="264"/>
      <c r="L213" s="265"/>
      <c r="M213" s="265"/>
      <c r="N213" s="265"/>
      <c r="O213" s="265"/>
      <c r="P213" s="265"/>
      <c r="Q213" s="265"/>
      <c r="R213" s="265"/>
    </row>
    <row r="214" spans="1:18" ht="18" customHeight="1">
      <c r="A214" s="204">
        <v>209</v>
      </c>
      <c r="B214" s="202" t="s">
        <v>1098</v>
      </c>
      <c r="C214" s="202"/>
      <c r="D214" s="202" t="s">
        <v>455</v>
      </c>
      <c r="E214" s="300">
        <v>43</v>
      </c>
      <c r="F214" s="210">
        <v>27</v>
      </c>
      <c r="G214" s="203" t="s">
        <v>511</v>
      </c>
      <c r="H214" s="203" t="s">
        <v>715</v>
      </c>
      <c r="I214" s="276"/>
      <c r="J214" s="263" t="str">
        <f t="shared" si="3"/>
        <v>도국</v>
      </c>
      <c r="K214" s="264"/>
      <c r="L214" s="265"/>
      <c r="M214" s="265"/>
      <c r="N214" s="265"/>
      <c r="O214" s="265"/>
      <c r="P214" s="265"/>
      <c r="Q214" s="265"/>
      <c r="R214" s="265"/>
    </row>
    <row r="215" spans="1:18" ht="18" customHeight="1">
      <c r="A215" s="204">
        <v>210</v>
      </c>
      <c r="B215" s="202" t="s">
        <v>1099</v>
      </c>
      <c r="C215" s="202"/>
      <c r="D215" s="202" t="s">
        <v>455</v>
      </c>
      <c r="E215" s="300">
        <v>48</v>
      </c>
      <c r="F215" s="210">
        <v>48</v>
      </c>
      <c r="G215" s="203" t="s">
        <v>451</v>
      </c>
      <c r="H215" s="203" t="s">
        <v>452</v>
      </c>
      <c r="I215" s="276"/>
      <c r="J215" s="263" t="str">
        <f t="shared" si="3"/>
        <v>도공</v>
      </c>
      <c r="K215" s="264"/>
      <c r="L215" s="265"/>
      <c r="M215" s="265"/>
      <c r="N215" s="265"/>
      <c r="O215" s="265"/>
      <c r="P215" s="265"/>
      <c r="Q215" s="265"/>
      <c r="R215" s="265"/>
    </row>
    <row r="216" spans="1:18" ht="18" customHeight="1">
      <c r="A216" s="204">
        <v>211</v>
      </c>
      <c r="B216" s="202" t="s">
        <v>1100</v>
      </c>
      <c r="C216" s="202"/>
      <c r="D216" s="202" t="s">
        <v>455</v>
      </c>
      <c r="E216" s="300">
        <v>240</v>
      </c>
      <c r="F216" s="210">
        <v>204</v>
      </c>
      <c r="G216" s="203" t="s">
        <v>451</v>
      </c>
      <c r="H216" s="203" t="s">
        <v>452</v>
      </c>
      <c r="I216" s="276"/>
      <c r="J216" s="263" t="str">
        <f t="shared" si="3"/>
        <v>도공</v>
      </c>
      <c r="K216" s="264"/>
      <c r="L216" s="265"/>
      <c r="M216" s="265"/>
      <c r="N216" s="265"/>
      <c r="O216" s="265"/>
      <c r="P216" s="265"/>
      <c r="Q216" s="265"/>
      <c r="R216" s="265"/>
    </row>
    <row r="217" spans="1:18" ht="18" customHeight="1">
      <c r="A217" s="204">
        <v>212</v>
      </c>
      <c r="B217" s="202" t="s">
        <v>1101</v>
      </c>
      <c r="C217" s="202"/>
      <c r="D217" s="202" t="s">
        <v>455</v>
      </c>
      <c r="E217" s="300">
        <v>485</v>
      </c>
      <c r="F217" s="210">
        <v>553</v>
      </c>
      <c r="G217" s="203" t="s">
        <v>451</v>
      </c>
      <c r="H217" s="203" t="s">
        <v>452</v>
      </c>
      <c r="I217" s="276"/>
      <c r="J217" s="263" t="str">
        <f t="shared" si="3"/>
        <v>도공</v>
      </c>
      <c r="K217" s="264"/>
      <c r="L217" s="265"/>
      <c r="M217" s="265"/>
      <c r="N217" s="265"/>
      <c r="O217" s="265"/>
      <c r="P217" s="265"/>
      <c r="Q217" s="265"/>
      <c r="R217" s="265"/>
    </row>
    <row r="218" spans="1:18" ht="18" customHeight="1">
      <c r="A218" s="204">
        <v>213</v>
      </c>
      <c r="B218" s="202" t="s">
        <v>1102</v>
      </c>
      <c r="C218" s="202"/>
      <c r="D218" s="202" t="s">
        <v>455</v>
      </c>
      <c r="E218" s="300">
        <v>1806</v>
      </c>
      <c r="F218" s="210">
        <v>272</v>
      </c>
      <c r="G218" s="203" t="s">
        <v>451</v>
      </c>
      <c r="H218" s="203" t="s">
        <v>452</v>
      </c>
      <c r="I218" s="276"/>
      <c r="J218" s="263" t="str">
        <f t="shared" si="3"/>
        <v>도공</v>
      </c>
      <c r="K218" s="264"/>
      <c r="L218" s="265"/>
      <c r="M218" s="265"/>
      <c r="N218" s="265"/>
      <c r="O218" s="265"/>
      <c r="P218" s="265"/>
      <c r="Q218" s="265"/>
      <c r="R218" s="265"/>
    </row>
    <row r="219" spans="1:18" ht="18" customHeight="1">
      <c r="A219" s="204">
        <v>214</v>
      </c>
      <c r="B219" s="202" t="s">
        <v>1103</v>
      </c>
      <c r="C219" s="202"/>
      <c r="D219" s="202" t="s">
        <v>455</v>
      </c>
      <c r="E219" s="300">
        <v>1631</v>
      </c>
      <c r="F219" s="210">
        <v>1499</v>
      </c>
      <c r="G219" s="203" t="s">
        <v>451</v>
      </c>
      <c r="H219" s="203" t="s">
        <v>452</v>
      </c>
      <c r="I219" s="276"/>
      <c r="J219" s="263" t="str">
        <f t="shared" si="3"/>
        <v>도공</v>
      </c>
      <c r="K219" s="264"/>
      <c r="L219" s="265"/>
      <c r="M219" s="265"/>
      <c r="N219" s="265"/>
      <c r="O219" s="265"/>
      <c r="P219" s="265"/>
      <c r="Q219" s="265"/>
      <c r="R219" s="265"/>
    </row>
    <row r="220" spans="1:18" ht="18" customHeight="1">
      <c r="A220" s="204">
        <v>215</v>
      </c>
      <c r="B220" s="202" t="s">
        <v>1104</v>
      </c>
      <c r="C220" s="202"/>
      <c r="D220" s="202" t="s">
        <v>455</v>
      </c>
      <c r="E220" s="300">
        <v>1617</v>
      </c>
      <c r="F220" s="210">
        <v>1387</v>
      </c>
      <c r="G220" s="203" t="s">
        <v>451</v>
      </c>
      <c r="H220" s="203" t="s">
        <v>452</v>
      </c>
      <c r="I220" s="276"/>
      <c r="J220" s="263" t="str">
        <f t="shared" si="3"/>
        <v>도공</v>
      </c>
      <c r="K220" s="264"/>
      <c r="L220" s="265"/>
      <c r="M220" s="265"/>
      <c r="N220" s="265"/>
      <c r="O220" s="265"/>
      <c r="P220" s="265"/>
      <c r="Q220" s="265"/>
      <c r="R220" s="265"/>
    </row>
    <row r="221" spans="1:18" ht="18" customHeight="1">
      <c r="A221" s="204">
        <v>216</v>
      </c>
      <c r="B221" s="202" t="s">
        <v>1105</v>
      </c>
      <c r="C221" s="202"/>
      <c r="D221" s="202" t="s">
        <v>455</v>
      </c>
      <c r="E221" s="300">
        <v>1357</v>
      </c>
      <c r="F221" s="210">
        <v>1028</v>
      </c>
      <c r="G221" s="203" t="s">
        <v>451</v>
      </c>
      <c r="H221" s="203" t="s">
        <v>452</v>
      </c>
      <c r="I221" s="276"/>
      <c r="J221" s="263" t="str">
        <f t="shared" si="3"/>
        <v>도공</v>
      </c>
      <c r="K221" s="266"/>
      <c r="L221" s="265"/>
      <c r="M221" s="265"/>
      <c r="N221" s="265"/>
      <c r="O221" s="265"/>
      <c r="P221" s="265"/>
      <c r="Q221" s="265"/>
      <c r="R221" s="267"/>
    </row>
    <row r="222" spans="1:18" ht="18" customHeight="1">
      <c r="A222" s="204">
        <v>217</v>
      </c>
      <c r="B222" s="202" t="s">
        <v>1106</v>
      </c>
      <c r="C222" s="202"/>
      <c r="D222" s="202" t="s">
        <v>455</v>
      </c>
      <c r="E222" s="300">
        <v>161</v>
      </c>
      <c r="F222" s="210">
        <v>91</v>
      </c>
      <c r="G222" s="203" t="s">
        <v>451</v>
      </c>
      <c r="H222" s="203" t="s">
        <v>452</v>
      </c>
      <c r="I222" s="276"/>
      <c r="J222" s="263" t="str">
        <f t="shared" si="3"/>
        <v>도공</v>
      </c>
      <c r="K222" s="266"/>
      <c r="L222" s="265"/>
      <c r="M222" s="265"/>
      <c r="N222" s="265"/>
      <c r="O222" s="265"/>
      <c r="P222" s="265"/>
      <c r="Q222" s="265"/>
      <c r="R222" s="267"/>
    </row>
    <row r="223" spans="1:18" ht="18" customHeight="1">
      <c r="A223" s="204">
        <v>218</v>
      </c>
      <c r="B223" s="202" t="s">
        <v>1107</v>
      </c>
      <c r="C223" s="202"/>
      <c r="D223" s="202" t="s">
        <v>455</v>
      </c>
      <c r="E223" s="300">
        <v>265</v>
      </c>
      <c r="F223" s="210">
        <v>265</v>
      </c>
      <c r="G223" s="203" t="s">
        <v>451</v>
      </c>
      <c r="H223" s="203" t="s">
        <v>452</v>
      </c>
      <c r="I223" s="276"/>
      <c r="J223" s="263" t="str">
        <f t="shared" si="3"/>
        <v>도공</v>
      </c>
      <c r="K223" s="266"/>
      <c r="L223" s="265"/>
      <c r="M223" s="265"/>
      <c r="N223" s="265"/>
      <c r="O223" s="265"/>
      <c r="P223" s="265"/>
      <c r="Q223" s="265"/>
      <c r="R223" s="267"/>
    </row>
    <row r="224" spans="1:18" ht="18" customHeight="1">
      <c r="A224" s="204">
        <v>219</v>
      </c>
      <c r="B224" s="202" t="s">
        <v>1108</v>
      </c>
      <c r="C224" s="202"/>
      <c r="D224" s="202" t="s">
        <v>455</v>
      </c>
      <c r="E224" s="300">
        <v>362</v>
      </c>
      <c r="F224" s="210">
        <v>223</v>
      </c>
      <c r="G224" s="203" t="s">
        <v>451</v>
      </c>
      <c r="H224" s="203" t="s">
        <v>452</v>
      </c>
      <c r="I224" s="276"/>
      <c r="J224" s="263" t="str">
        <f t="shared" si="3"/>
        <v>도공</v>
      </c>
      <c r="K224" s="266"/>
      <c r="L224" s="265"/>
      <c r="M224" s="265"/>
      <c r="N224" s="265"/>
      <c r="O224" s="265"/>
      <c r="P224" s="265"/>
      <c r="Q224" s="265"/>
      <c r="R224" s="267"/>
    </row>
    <row r="225" spans="1:21" ht="18" customHeight="1">
      <c r="A225" s="204">
        <v>220</v>
      </c>
      <c r="B225" s="202" t="s">
        <v>1038</v>
      </c>
      <c r="C225" s="202"/>
      <c r="D225" s="202" t="s">
        <v>455</v>
      </c>
      <c r="E225" s="300">
        <v>7230</v>
      </c>
      <c r="F225" s="210">
        <v>2355</v>
      </c>
      <c r="G225" s="203" t="s">
        <v>511</v>
      </c>
      <c r="H225" s="203" t="s">
        <v>715</v>
      </c>
      <c r="I225" s="276"/>
      <c r="J225" s="263" t="str">
        <f t="shared" si="3"/>
        <v>도국</v>
      </c>
      <c r="K225" s="264"/>
      <c r="L225" s="265"/>
      <c r="M225" s="265"/>
      <c r="N225" s="265"/>
      <c r="O225" s="265"/>
      <c r="P225" s="265"/>
      <c r="Q225" s="265"/>
      <c r="R225" s="284"/>
      <c r="S225" s="265"/>
      <c r="T225" s="265"/>
      <c r="U225" s="265"/>
    </row>
    <row r="226" spans="1:21" ht="18" customHeight="1">
      <c r="A226" s="204">
        <v>221</v>
      </c>
      <c r="B226" s="202" t="s">
        <v>1109</v>
      </c>
      <c r="C226" s="202"/>
      <c r="D226" s="202" t="s">
        <v>455</v>
      </c>
      <c r="E226" s="300">
        <v>2302</v>
      </c>
      <c r="F226" s="210">
        <v>1634</v>
      </c>
      <c r="G226" s="203" t="s">
        <v>451</v>
      </c>
      <c r="H226" s="203" t="s">
        <v>452</v>
      </c>
      <c r="I226" s="276"/>
      <c r="J226" s="263" t="str">
        <f t="shared" si="3"/>
        <v>도공</v>
      </c>
      <c r="K226" s="264"/>
      <c r="L226" s="265"/>
      <c r="M226" s="265"/>
      <c r="N226" s="265"/>
      <c r="O226" s="265"/>
      <c r="P226" s="265"/>
      <c r="Q226" s="265"/>
      <c r="R226" s="265"/>
    </row>
    <row r="227" spans="1:21" ht="18" customHeight="1">
      <c r="A227" s="204">
        <v>222</v>
      </c>
      <c r="B227" s="202" t="s">
        <v>1110</v>
      </c>
      <c r="C227" s="202"/>
      <c r="D227" s="202" t="s">
        <v>455</v>
      </c>
      <c r="E227" s="300">
        <v>48</v>
      </c>
      <c r="F227" s="210">
        <v>48</v>
      </c>
      <c r="G227" s="203" t="s">
        <v>451</v>
      </c>
      <c r="H227" s="203" t="s">
        <v>452</v>
      </c>
      <c r="I227" s="276"/>
      <c r="J227" s="263" t="str">
        <f t="shared" si="3"/>
        <v>도공</v>
      </c>
      <c r="K227" s="264"/>
      <c r="L227" s="265"/>
      <c r="M227" s="265"/>
      <c r="N227" s="265"/>
      <c r="O227" s="265"/>
      <c r="P227" s="265"/>
      <c r="Q227" s="265"/>
      <c r="R227" s="265"/>
    </row>
    <row r="228" spans="1:21" ht="18" customHeight="1">
      <c r="A228" s="204">
        <v>223</v>
      </c>
      <c r="B228" s="202" t="s">
        <v>1111</v>
      </c>
      <c r="C228" s="202"/>
      <c r="D228" s="202" t="s">
        <v>455</v>
      </c>
      <c r="E228" s="300">
        <v>165</v>
      </c>
      <c r="F228" s="210">
        <v>105</v>
      </c>
      <c r="G228" s="203" t="s">
        <v>511</v>
      </c>
      <c r="H228" s="203" t="s">
        <v>715</v>
      </c>
      <c r="I228" s="276"/>
      <c r="J228" s="263" t="str">
        <f t="shared" si="3"/>
        <v>도국</v>
      </c>
      <c r="K228" s="264"/>
      <c r="L228" s="265"/>
      <c r="M228" s="265"/>
      <c r="N228" s="265"/>
      <c r="O228" s="265"/>
      <c r="P228" s="265"/>
      <c r="Q228" s="265"/>
      <c r="R228" s="265"/>
    </row>
    <row r="229" spans="1:21" ht="18" customHeight="1">
      <c r="A229" s="204">
        <v>224</v>
      </c>
      <c r="B229" s="202" t="s">
        <v>1112</v>
      </c>
      <c r="C229" s="202"/>
      <c r="D229" s="202" t="s">
        <v>455</v>
      </c>
      <c r="E229" s="300">
        <v>204</v>
      </c>
      <c r="F229" s="210">
        <v>79</v>
      </c>
      <c r="G229" s="203" t="s">
        <v>451</v>
      </c>
      <c r="H229" s="203" t="s">
        <v>452</v>
      </c>
      <c r="I229" s="276"/>
      <c r="J229" s="263" t="str">
        <f t="shared" si="3"/>
        <v>도공</v>
      </c>
      <c r="K229" s="264"/>
      <c r="L229" s="265"/>
      <c r="M229" s="265"/>
      <c r="N229" s="265"/>
      <c r="O229" s="265"/>
      <c r="P229" s="265"/>
      <c r="Q229" s="265"/>
      <c r="R229" s="265"/>
    </row>
    <row r="230" spans="1:21" ht="18" customHeight="1">
      <c r="A230" s="204">
        <v>225</v>
      </c>
      <c r="B230" s="202" t="s">
        <v>1113</v>
      </c>
      <c r="C230" s="202"/>
      <c r="D230" s="202" t="s">
        <v>455</v>
      </c>
      <c r="E230" s="300">
        <v>87</v>
      </c>
      <c r="F230" s="210">
        <v>30</v>
      </c>
      <c r="G230" s="203" t="s">
        <v>451</v>
      </c>
      <c r="H230" s="203" t="s">
        <v>452</v>
      </c>
      <c r="I230" s="276"/>
      <c r="J230" s="263" t="str">
        <f t="shared" si="3"/>
        <v>도공</v>
      </c>
      <c r="K230" s="264"/>
      <c r="L230" s="265"/>
      <c r="M230" s="265"/>
      <c r="N230" s="265"/>
      <c r="O230" s="265"/>
      <c r="P230" s="265"/>
      <c r="Q230" s="265"/>
      <c r="R230" s="265"/>
    </row>
    <row r="231" spans="1:21" ht="18" customHeight="1">
      <c r="A231" s="204">
        <v>226</v>
      </c>
      <c r="B231" s="202" t="s">
        <v>1114</v>
      </c>
      <c r="C231" s="202"/>
      <c r="D231" s="202" t="s">
        <v>455</v>
      </c>
      <c r="E231" s="300">
        <v>162</v>
      </c>
      <c r="F231" s="210">
        <v>48</v>
      </c>
      <c r="G231" s="203" t="s">
        <v>451</v>
      </c>
      <c r="H231" s="203" t="s">
        <v>452</v>
      </c>
      <c r="I231" s="276"/>
      <c r="J231" s="263" t="str">
        <f t="shared" si="3"/>
        <v>도공</v>
      </c>
      <c r="K231" s="264"/>
      <c r="L231" s="265"/>
      <c r="M231" s="265"/>
      <c r="N231" s="265"/>
      <c r="O231" s="265"/>
      <c r="P231" s="265"/>
      <c r="Q231" s="265"/>
      <c r="R231" s="265"/>
    </row>
    <row r="232" spans="1:21" ht="18" customHeight="1">
      <c r="A232" s="204">
        <v>227</v>
      </c>
      <c r="B232" s="202" t="s">
        <v>1115</v>
      </c>
      <c r="C232" s="202"/>
      <c r="D232" s="202" t="s">
        <v>455</v>
      </c>
      <c r="E232" s="300">
        <v>196</v>
      </c>
      <c r="F232" s="210">
        <v>111</v>
      </c>
      <c r="G232" s="203" t="s">
        <v>451</v>
      </c>
      <c r="H232" s="203" t="s">
        <v>452</v>
      </c>
      <c r="I232" s="276"/>
      <c r="J232" s="263" t="str">
        <f t="shared" si="3"/>
        <v>도공</v>
      </c>
      <c r="K232" s="264"/>
      <c r="L232" s="265"/>
      <c r="M232" s="265"/>
      <c r="N232" s="265"/>
      <c r="O232" s="265"/>
      <c r="P232" s="265"/>
      <c r="Q232" s="265"/>
      <c r="R232" s="265"/>
    </row>
    <row r="233" spans="1:21" ht="18" customHeight="1">
      <c r="A233" s="204"/>
      <c r="B233" s="202" t="s">
        <v>1116</v>
      </c>
      <c r="C233" s="202"/>
      <c r="D233" s="202" t="s">
        <v>8</v>
      </c>
      <c r="E233" s="300">
        <v>104</v>
      </c>
      <c r="F233" s="210">
        <v>104</v>
      </c>
      <c r="G233" s="203" t="s">
        <v>451</v>
      </c>
      <c r="H233" s="203" t="s">
        <v>452</v>
      </c>
      <c r="I233" s="276"/>
      <c r="J233" s="263" t="str">
        <f t="shared" si="3"/>
        <v>답공</v>
      </c>
      <c r="K233" s="264"/>
      <c r="L233" s="265"/>
      <c r="M233" s="265"/>
      <c r="N233" s="265"/>
      <c r="O233" s="265"/>
      <c r="P233" s="265"/>
      <c r="Q233" s="265"/>
      <c r="R233" s="265"/>
    </row>
    <row r="234" spans="1:21" ht="18" customHeight="1">
      <c r="A234" s="204" t="str">
        <f>IF(ISBLANK(D234)," ",213-COUNTBLANK($D$6:D234))</f>
        <v xml:space="preserve"> </v>
      </c>
      <c r="B234" s="202"/>
      <c r="C234" s="202"/>
      <c r="D234" s="202"/>
      <c r="E234" s="300"/>
      <c r="F234" s="210"/>
      <c r="G234" s="203"/>
      <c r="H234" s="203"/>
      <c r="I234" s="276"/>
      <c r="J234" s="263"/>
      <c r="K234" s="264"/>
      <c r="L234" s="265"/>
      <c r="M234" s="265"/>
      <c r="N234" s="265"/>
      <c r="O234" s="265"/>
      <c r="P234" s="265"/>
      <c r="Q234" s="265"/>
      <c r="R234" s="265"/>
    </row>
    <row r="235" spans="1:21" ht="18" customHeight="1">
      <c r="A235" s="204" t="str">
        <f>IF(ISBLANK(D235)," ",214-COUNTBLANK($D$6:D235))</f>
        <v xml:space="preserve"> </v>
      </c>
      <c r="B235" s="202"/>
      <c r="C235" s="202"/>
      <c r="D235" s="202"/>
      <c r="E235" s="300"/>
      <c r="F235" s="210"/>
      <c r="G235" s="203"/>
      <c r="H235" s="203"/>
      <c r="I235" s="276"/>
      <c r="J235" s="263"/>
      <c r="K235" s="264"/>
      <c r="L235" s="265"/>
      <c r="M235" s="265"/>
      <c r="N235" s="265"/>
      <c r="O235" s="265"/>
      <c r="P235" s="265"/>
      <c r="Q235" s="265"/>
      <c r="R235" s="265"/>
    </row>
    <row r="236" spans="1:21" ht="18" customHeight="1">
      <c r="A236" s="270" t="s">
        <v>126</v>
      </c>
      <c r="B236" s="271"/>
      <c r="C236" s="271"/>
      <c r="D236" s="271"/>
      <c r="E236" s="272"/>
      <c r="F236" s="272">
        <f>SUM(F5:F235)</f>
        <v>92654.5</v>
      </c>
      <c r="G236" s="282"/>
      <c r="H236" s="282"/>
      <c r="I236" s="283"/>
      <c r="J236" s="263"/>
      <c r="K236" s="266"/>
      <c r="L236" s="265"/>
      <c r="M236" s="265"/>
      <c r="N236" s="265"/>
      <c r="O236" s="265"/>
      <c r="P236" s="265"/>
      <c r="Q236" s="265"/>
      <c r="R236" s="284"/>
      <c r="S236" s="265"/>
      <c r="T236" s="265"/>
      <c r="U236" s="265"/>
    </row>
    <row r="237" spans="1:21" ht="30" customHeight="1">
      <c r="A237" s="204" t="str">
        <f>IF(ISBLANK(D237)," ",232-COUNTBLANK($D$6:D237))</f>
        <v xml:space="preserve"> </v>
      </c>
      <c r="B237" s="202"/>
      <c r="C237" s="202"/>
      <c r="D237" s="202"/>
      <c r="E237" s="300"/>
      <c r="F237" s="210"/>
      <c r="G237" s="203"/>
      <c r="H237" s="203"/>
      <c r="I237" s="291"/>
      <c r="J237" s="263"/>
      <c r="K237" s="264"/>
      <c r="L237" s="265"/>
      <c r="M237" s="265"/>
      <c r="N237" s="265"/>
      <c r="O237" s="265"/>
      <c r="P237" s="265"/>
      <c r="Q237" s="265"/>
      <c r="R237" s="265"/>
    </row>
    <row r="238" spans="1:21" ht="30" customHeight="1">
      <c r="A238" s="204" t="str">
        <f>IF(ISBLANK(D238)," ",233-COUNTBLANK($D$6:D238))</f>
        <v xml:space="preserve"> </v>
      </c>
      <c r="B238" s="202"/>
      <c r="C238" s="202"/>
      <c r="D238" s="202"/>
      <c r="E238" s="300"/>
      <c r="F238" s="210"/>
      <c r="G238" s="203"/>
      <c r="H238" s="203"/>
      <c r="I238" s="291"/>
      <c r="J238" s="263"/>
      <c r="K238" s="264"/>
      <c r="L238" s="265"/>
      <c r="M238" s="265"/>
      <c r="N238" s="265"/>
      <c r="O238" s="265"/>
      <c r="P238" s="265"/>
      <c r="Q238" s="265"/>
      <c r="R238" s="265"/>
    </row>
    <row r="239" spans="1:21" ht="30" customHeight="1">
      <c r="A239" s="204" t="str">
        <f>IF(ISBLANK(D239)," ",234-COUNTBLANK($D$6:D239))</f>
        <v xml:space="preserve"> </v>
      </c>
      <c r="B239" s="202"/>
      <c r="C239" s="202"/>
      <c r="D239" s="202"/>
      <c r="E239" s="300"/>
      <c r="F239" s="210"/>
      <c r="G239" s="203"/>
      <c r="H239" s="203"/>
      <c r="I239" s="291"/>
      <c r="J239" s="263"/>
      <c r="K239" s="264"/>
      <c r="L239" s="265"/>
      <c r="M239" s="265"/>
      <c r="N239" s="265"/>
      <c r="O239" s="265"/>
      <c r="P239" s="265"/>
      <c r="Q239" s="265"/>
      <c r="R239" s="265"/>
    </row>
    <row r="240" spans="1:21" ht="30" customHeight="1">
      <c r="A240" s="204" t="str">
        <f>IF(ISBLANK(D240)," ",235-COUNTBLANK($D$6:D240))</f>
        <v xml:space="preserve"> </v>
      </c>
      <c r="B240" s="202"/>
      <c r="C240" s="202"/>
      <c r="D240" s="202"/>
      <c r="E240" s="300"/>
      <c r="F240" s="210"/>
      <c r="G240" s="203"/>
      <c r="H240" s="203"/>
      <c r="I240" s="291"/>
      <c r="J240" s="263"/>
      <c r="K240" s="264"/>
      <c r="L240" s="265"/>
      <c r="M240" s="265"/>
      <c r="N240" s="265"/>
      <c r="O240" s="265"/>
      <c r="P240" s="265"/>
      <c r="Q240" s="265"/>
      <c r="R240" s="265"/>
    </row>
    <row r="241" spans="1:21" ht="30" customHeight="1">
      <c r="A241" s="204" t="str">
        <f>IF(ISBLANK(D241)," ",236-COUNTBLANK($D$6:D241))</f>
        <v xml:space="preserve"> </v>
      </c>
      <c r="B241" s="202"/>
      <c r="C241" s="202"/>
      <c r="D241" s="202"/>
      <c r="E241" s="300"/>
      <c r="F241" s="210"/>
      <c r="G241" s="203"/>
      <c r="H241" s="203"/>
      <c r="I241" s="291"/>
      <c r="J241" s="263"/>
      <c r="K241" s="264"/>
      <c r="L241" s="265"/>
      <c r="M241" s="265"/>
      <c r="N241" s="265"/>
      <c r="O241" s="265"/>
      <c r="P241" s="265"/>
      <c r="Q241" s="265"/>
      <c r="R241" s="265"/>
    </row>
    <row r="242" spans="1:21" ht="30" customHeight="1">
      <c r="A242" s="204" t="str">
        <f>IF(ISBLANK(D242)," ",237-COUNTBLANK($D$6:D242))</f>
        <v xml:space="preserve"> </v>
      </c>
      <c r="B242" s="202"/>
      <c r="C242" s="202"/>
      <c r="D242" s="202"/>
      <c r="E242" s="300"/>
      <c r="F242" s="210"/>
      <c r="G242" s="203"/>
      <c r="H242" s="203"/>
      <c r="I242" s="291"/>
      <c r="J242" s="263"/>
      <c r="K242" s="264"/>
      <c r="L242" s="265"/>
      <c r="M242" s="265"/>
      <c r="N242" s="265"/>
      <c r="O242" s="265"/>
      <c r="P242" s="265"/>
      <c r="Q242" s="265"/>
      <c r="R242" s="265"/>
    </row>
    <row r="243" spans="1:21" ht="30" customHeight="1">
      <c r="A243" s="204" t="str">
        <f>IF(ISBLANK(D243)," ",238-COUNTBLANK($D$6:D243))</f>
        <v xml:space="preserve"> </v>
      </c>
      <c r="B243" s="202"/>
      <c r="C243" s="202"/>
      <c r="D243" s="202"/>
      <c r="E243" s="300"/>
      <c r="F243" s="210"/>
      <c r="G243" s="203"/>
      <c r="H243" s="203"/>
      <c r="I243" s="291"/>
      <c r="J243" s="263"/>
      <c r="K243" s="264"/>
      <c r="L243" s="265"/>
      <c r="M243" s="265"/>
      <c r="N243" s="265"/>
      <c r="O243" s="265"/>
      <c r="P243" s="265"/>
      <c r="Q243" s="265"/>
      <c r="R243" s="265"/>
    </row>
    <row r="244" spans="1:21" ht="30" customHeight="1">
      <c r="A244" s="204" t="str">
        <f>IF(ISBLANK(D244)," ",239-COUNTBLANK($D$6:D244))</f>
        <v xml:space="preserve"> </v>
      </c>
      <c r="B244" s="202"/>
      <c r="C244" s="202"/>
      <c r="D244" s="202"/>
      <c r="E244" s="300"/>
      <c r="F244" s="210"/>
      <c r="G244" s="203"/>
      <c r="H244" s="203"/>
      <c r="I244" s="291"/>
      <c r="J244" s="263"/>
      <c r="K244" s="264"/>
      <c r="L244" s="265"/>
      <c r="M244" s="265"/>
      <c r="N244" s="265"/>
      <c r="O244" s="265"/>
      <c r="P244" s="265"/>
      <c r="Q244" s="265"/>
      <c r="R244" s="265"/>
    </row>
    <row r="245" spans="1:21" ht="30" customHeight="1">
      <c r="A245" s="204" t="str">
        <f>IF(ISBLANK(D245)," ",240-COUNTBLANK($D$6:D245))</f>
        <v xml:space="preserve"> </v>
      </c>
      <c r="B245" s="202"/>
      <c r="C245" s="202"/>
      <c r="D245" s="202"/>
      <c r="E245" s="300"/>
      <c r="F245" s="210"/>
      <c r="G245" s="203"/>
      <c r="H245" s="203"/>
      <c r="I245" s="291"/>
      <c r="J245" s="263"/>
      <c r="K245" s="264"/>
      <c r="L245" s="265"/>
      <c r="M245" s="265"/>
      <c r="N245" s="265"/>
      <c r="O245" s="265"/>
      <c r="P245" s="265"/>
      <c r="Q245" s="265"/>
      <c r="R245" s="265"/>
    </row>
    <row r="246" spans="1:21" ht="30" customHeight="1">
      <c r="A246" s="204" t="str">
        <f>IF(ISBLANK(D246)," ",241-COUNTBLANK($D$6:D246))</f>
        <v xml:space="preserve"> </v>
      </c>
      <c r="B246" s="202"/>
      <c r="C246" s="202"/>
      <c r="D246" s="202"/>
      <c r="E246" s="300"/>
      <c r="F246" s="210"/>
      <c r="G246" s="203"/>
      <c r="H246" s="203"/>
      <c r="I246" s="291"/>
      <c r="J246" s="263"/>
      <c r="K246" s="264"/>
      <c r="L246" s="265"/>
      <c r="M246" s="265"/>
      <c r="N246" s="265"/>
      <c r="O246" s="265"/>
      <c r="P246" s="265"/>
      <c r="Q246" s="265"/>
      <c r="R246" s="265"/>
    </row>
    <row r="247" spans="1:21" ht="30" customHeight="1">
      <c r="A247" s="204" t="str">
        <f>IF(ISBLANK(D247)," ",242-COUNTBLANK($D$6:D247))</f>
        <v xml:space="preserve"> </v>
      </c>
      <c r="B247" s="202"/>
      <c r="C247" s="202"/>
      <c r="D247" s="202"/>
      <c r="E247" s="300"/>
      <c r="F247" s="210"/>
      <c r="G247" s="203"/>
      <c r="H247" s="203"/>
      <c r="I247" s="291"/>
      <c r="J247" s="263"/>
      <c r="K247" s="264"/>
      <c r="L247" s="265"/>
      <c r="M247" s="265"/>
      <c r="N247" s="265"/>
      <c r="O247" s="265"/>
      <c r="P247" s="265"/>
      <c r="Q247" s="265"/>
      <c r="R247" s="265"/>
    </row>
    <row r="248" spans="1:21" ht="30" customHeight="1">
      <c r="A248" s="204" t="str">
        <f>IF(ISBLANK(D248)," ",243-COUNTBLANK($D$6:D248))</f>
        <v xml:space="preserve"> </v>
      </c>
      <c r="B248" s="202"/>
      <c r="C248" s="202"/>
      <c r="D248" s="202"/>
      <c r="E248" s="300"/>
      <c r="F248" s="210"/>
      <c r="G248" s="203"/>
      <c r="H248" s="203"/>
      <c r="I248" s="291"/>
      <c r="J248" s="263"/>
      <c r="K248" s="264"/>
      <c r="L248" s="265"/>
      <c r="M248" s="265"/>
      <c r="N248" s="265"/>
      <c r="O248" s="265"/>
      <c r="P248" s="265"/>
      <c r="Q248" s="265"/>
      <c r="R248" s="265"/>
    </row>
    <row r="249" spans="1:21" ht="30" customHeight="1">
      <c r="A249" s="204" t="str">
        <f>IF(ISBLANK(D249)," ",244-COUNTBLANK($D$6:D249))</f>
        <v xml:space="preserve"> </v>
      </c>
      <c r="B249" s="202"/>
      <c r="C249" s="202"/>
      <c r="D249" s="202"/>
      <c r="E249" s="300"/>
      <c r="F249" s="210"/>
      <c r="G249" s="203"/>
      <c r="H249" s="203"/>
      <c r="I249" s="291"/>
      <c r="J249" s="263"/>
      <c r="K249" s="264"/>
      <c r="L249" s="265"/>
      <c r="M249" s="265"/>
      <c r="N249" s="265"/>
      <c r="O249" s="265"/>
      <c r="P249" s="265"/>
      <c r="Q249" s="265"/>
      <c r="R249" s="265"/>
    </row>
    <row r="250" spans="1:21" ht="30" customHeight="1">
      <c r="A250" s="204" t="str">
        <f>IF(ISBLANK(D250)," ",245-COUNTBLANK($D$6:D250))</f>
        <v xml:space="preserve"> </v>
      </c>
      <c r="B250" s="202"/>
      <c r="C250" s="202"/>
      <c r="D250" s="202"/>
      <c r="E250" s="300"/>
      <c r="F250" s="210"/>
      <c r="G250" s="203"/>
      <c r="H250" s="203"/>
      <c r="I250" s="291"/>
      <c r="J250" s="263"/>
      <c r="K250" s="264"/>
      <c r="L250" s="265"/>
      <c r="M250" s="265"/>
      <c r="N250" s="265"/>
      <c r="O250" s="265"/>
      <c r="P250" s="265"/>
      <c r="Q250" s="265"/>
      <c r="R250" s="265"/>
    </row>
    <row r="251" spans="1:21" ht="30" customHeight="1">
      <c r="A251" s="204" t="str">
        <f>IF(ISBLANK(D251)," ",246-COUNTBLANK($D$6:D251))</f>
        <v xml:space="preserve"> </v>
      </c>
      <c r="B251" s="202"/>
      <c r="C251" s="202"/>
      <c r="D251" s="202"/>
      <c r="E251" s="300"/>
      <c r="F251" s="210"/>
      <c r="G251" s="203"/>
      <c r="H251" s="203"/>
      <c r="I251" s="291"/>
      <c r="J251" s="263"/>
      <c r="K251" s="264"/>
      <c r="L251" s="265"/>
      <c r="M251" s="265"/>
      <c r="N251" s="265"/>
      <c r="O251" s="265"/>
      <c r="P251" s="265"/>
      <c r="Q251" s="265"/>
      <c r="R251" s="265"/>
    </row>
    <row r="252" spans="1:21" ht="30" customHeight="1">
      <c r="A252" s="204" t="str">
        <f>IF(ISBLANK(D252)," ",247-COUNTBLANK($D$6:D252))</f>
        <v xml:space="preserve"> </v>
      </c>
      <c r="B252" s="202"/>
      <c r="C252" s="202"/>
      <c r="D252" s="202"/>
      <c r="E252" s="300"/>
      <c r="F252" s="210"/>
      <c r="G252" s="203"/>
      <c r="H252" s="203"/>
      <c r="I252" s="291"/>
      <c r="J252" s="263"/>
      <c r="K252" s="266"/>
      <c r="L252" s="265"/>
      <c r="M252" s="265"/>
      <c r="N252" s="265"/>
      <c r="O252" s="265"/>
      <c r="P252" s="265"/>
      <c r="Q252" s="265"/>
      <c r="R252" s="267"/>
    </row>
    <row r="253" spans="1:21" ht="30" customHeight="1">
      <c r="A253" s="204" t="str">
        <f>IF(ISBLANK(D253)," ",248-COUNTBLANK($D$6:D253))</f>
        <v xml:space="preserve"> </v>
      </c>
      <c r="B253" s="202"/>
      <c r="C253" s="202"/>
      <c r="D253" s="202"/>
      <c r="E253" s="300"/>
      <c r="F253" s="210"/>
      <c r="G253" s="203"/>
      <c r="H253" s="203"/>
      <c r="I253" s="291"/>
      <c r="J253" s="263"/>
      <c r="K253" s="266"/>
      <c r="L253" s="265"/>
      <c r="M253" s="265"/>
      <c r="N253" s="265"/>
      <c r="O253" s="265"/>
      <c r="P253" s="265"/>
      <c r="Q253" s="265"/>
      <c r="R253" s="267"/>
    </row>
    <row r="254" spans="1:21" ht="30" customHeight="1">
      <c r="A254" s="204" t="str">
        <f>IF(ISBLANK(D254)," ",249-COUNTBLANK($D$6:D254))</f>
        <v xml:space="preserve"> </v>
      </c>
      <c r="B254" s="202"/>
      <c r="C254" s="202"/>
      <c r="D254" s="202"/>
      <c r="E254" s="300"/>
      <c r="F254" s="210"/>
      <c r="G254" s="203"/>
      <c r="H254" s="203"/>
      <c r="I254" s="291"/>
      <c r="J254" s="263"/>
      <c r="K254" s="266"/>
      <c r="L254" s="265"/>
      <c r="M254" s="265"/>
      <c r="N254" s="265"/>
      <c r="O254" s="265"/>
      <c r="P254" s="265"/>
      <c r="Q254" s="265"/>
      <c r="R254" s="267"/>
    </row>
    <row r="255" spans="1:21" ht="30" customHeight="1">
      <c r="A255" s="204" t="str">
        <f>IF(ISBLANK(D255)," ",250-COUNTBLANK($D$6:D255))</f>
        <v xml:space="preserve"> </v>
      </c>
      <c r="B255" s="202"/>
      <c r="C255" s="202"/>
      <c r="D255" s="202"/>
      <c r="E255" s="300"/>
      <c r="F255" s="210"/>
      <c r="G255" s="203"/>
      <c r="H255" s="203"/>
      <c r="I255" s="291"/>
      <c r="J255" s="263"/>
      <c r="K255" s="266"/>
      <c r="L255" s="265"/>
      <c r="M255" s="265"/>
      <c r="N255" s="265"/>
      <c r="O255" s="265"/>
      <c r="P255" s="265"/>
      <c r="Q255" s="265"/>
      <c r="R255" s="267"/>
    </row>
    <row r="256" spans="1:21" ht="30" customHeight="1">
      <c r="A256" s="304" t="str">
        <f>IF(ISBLANK(D256)," ",251-COUNTBLANK($D$6:D256))</f>
        <v xml:space="preserve"> </v>
      </c>
      <c r="B256" s="296"/>
      <c r="C256" s="305"/>
      <c r="D256" s="306"/>
      <c r="E256" s="297"/>
      <c r="F256" s="298"/>
      <c r="G256" s="282"/>
      <c r="H256" s="282"/>
      <c r="I256" s="303"/>
      <c r="J256" s="263"/>
      <c r="K256" s="264"/>
      <c r="L256" s="265"/>
      <c r="M256" s="265"/>
      <c r="N256" s="265"/>
      <c r="O256" s="265"/>
      <c r="P256" s="265"/>
      <c r="Q256" s="265"/>
      <c r="R256" s="284"/>
      <c r="S256" s="265"/>
      <c r="T256" s="265"/>
      <c r="U256" s="265"/>
    </row>
    <row r="257" spans="1:21" ht="30" customHeight="1">
      <c r="A257" s="260" t="s">
        <v>52</v>
      </c>
      <c r="B257" s="200"/>
      <c r="C257" s="200"/>
      <c r="D257" s="200"/>
      <c r="E257" s="299"/>
      <c r="F257" s="209">
        <f>SUM(F237:F256)</f>
        <v>0</v>
      </c>
      <c r="G257" s="201"/>
      <c r="H257" s="201"/>
      <c r="I257" s="291"/>
      <c r="J257" s="263"/>
      <c r="K257" s="266"/>
      <c r="L257" s="265"/>
      <c r="M257" s="265"/>
      <c r="N257" s="265"/>
      <c r="O257" s="265"/>
      <c r="P257" s="265"/>
      <c r="Q257" s="265"/>
      <c r="R257" s="284"/>
      <c r="S257" s="265"/>
      <c r="T257" s="265"/>
      <c r="U257" s="265"/>
    </row>
    <row r="258" spans="1:21" ht="30" customHeight="1">
      <c r="A258" s="204" t="str">
        <f>IF(ISBLANK(D258)," ",253-COUNTBLANK($D$6:D258))</f>
        <v xml:space="preserve"> </v>
      </c>
      <c r="B258" s="202"/>
      <c r="C258" s="202"/>
      <c r="D258" s="202"/>
      <c r="E258" s="300"/>
      <c r="F258" s="210"/>
      <c r="G258" s="203"/>
      <c r="H258" s="203"/>
      <c r="I258" s="291"/>
      <c r="J258" s="263"/>
      <c r="K258" s="264"/>
      <c r="L258" s="265"/>
      <c r="M258" s="265"/>
      <c r="N258" s="265"/>
      <c r="O258" s="265"/>
      <c r="P258" s="265"/>
      <c r="Q258" s="265"/>
      <c r="R258" s="265"/>
    </row>
    <row r="259" spans="1:21" ht="30" customHeight="1">
      <c r="A259" s="204" t="str">
        <f>IF(ISBLANK(D259)," ",254-COUNTBLANK($D$6:D259))</f>
        <v xml:space="preserve"> </v>
      </c>
      <c r="B259" s="202"/>
      <c r="C259" s="202"/>
      <c r="D259" s="202"/>
      <c r="E259" s="300"/>
      <c r="F259" s="210"/>
      <c r="G259" s="203"/>
      <c r="H259" s="203"/>
      <c r="I259" s="291"/>
      <c r="J259" s="263"/>
      <c r="K259" s="264"/>
      <c r="L259" s="265"/>
      <c r="M259" s="265"/>
      <c r="N259" s="265"/>
      <c r="O259" s="265"/>
      <c r="P259" s="265"/>
      <c r="Q259" s="265"/>
      <c r="R259" s="265"/>
    </row>
    <row r="260" spans="1:21" ht="30" customHeight="1">
      <c r="A260" s="204" t="str">
        <f>IF(ISBLANK(D260)," ",255-COUNTBLANK($D$6:D260))</f>
        <v xml:space="preserve"> </v>
      </c>
      <c r="B260" s="202"/>
      <c r="C260" s="202"/>
      <c r="D260" s="202"/>
      <c r="E260" s="300"/>
      <c r="F260" s="210"/>
      <c r="G260" s="203"/>
      <c r="H260" s="203"/>
      <c r="I260" s="291"/>
      <c r="J260" s="263"/>
      <c r="K260" s="264"/>
      <c r="L260" s="265"/>
      <c r="M260" s="265"/>
      <c r="N260" s="265"/>
      <c r="O260" s="265"/>
      <c r="P260" s="265"/>
      <c r="Q260" s="265"/>
      <c r="R260" s="265"/>
    </row>
    <row r="261" spans="1:21" ht="30" customHeight="1">
      <c r="A261" s="204" t="str">
        <f>IF(ISBLANK(D261)," ",256-COUNTBLANK($D$6:D261))</f>
        <v xml:space="preserve"> </v>
      </c>
      <c r="B261" s="202"/>
      <c r="C261" s="202"/>
      <c r="D261" s="202"/>
      <c r="E261" s="300"/>
      <c r="F261" s="210"/>
      <c r="G261" s="203"/>
      <c r="H261" s="203"/>
      <c r="I261" s="291"/>
      <c r="J261" s="263"/>
      <c r="K261" s="264"/>
      <c r="L261" s="265"/>
      <c r="M261" s="265"/>
      <c r="N261" s="265"/>
      <c r="O261" s="265"/>
      <c r="P261" s="265"/>
      <c r="Q261" s="265"/>
      <c r="R261" s="265"/>
    </row>
    <row r="262" spans="1:21" ht="30" customHeight="1">
      <c r="A262" s="204" t="str">
        <f>IF(ISBLANK(D262)," ",257-COUNTBLANK($D$6:D262))</f>
        <v xml:space="preserve"> </v>
      </c>
      <c r="B262" s="202"/>
      <c r="C262" s="202"/>
      <c r="D262" s="202"/>
      <c r="E262" s="300"/>
      <c r="F262" s="210"/>
      <c r="G262" s="203"/>
      <c r="H262" s="203"/>
      <c r="I262" s="291"/>
      <c r="J262" s="263"/>
      <c r="K262" s="264"/>
      <c r="L262" s="265"/>
      <c r="M262" s="265"/>
      <c r="N262" s="265"/>
      <c r="O262" s="265"/>
      <c r="P262" s="265"/>
      <c r="Q262" s="265"/>
      <c r="R262" s="265"/>
    </row>
    <row r="263" spans="1:21" ht="30" customHeight="1">
      <c r="A263" s="204" t="str">
        <f>IF(ISBLANK(D263)," ",258-COUNTBLANK($D$6:D263))</f>
        <v xml:space="preserve"> </v>
      </c>
      <c r="B263" s="202"/>
      <c r="C263" s="202"/>
      <c r="D263" s="202"/>
      <c r="E263" s="300"/>
      <c r="F263" s="210"/>
      <c r="G263" s="203"/>
      <c r="H263" s="203"/>
      <c r="I263" s="291"/>
      <c r="J263" s="263"/>
      <c r="K263" s="264"/>
      <c r="L263" s="265"/>
      <c r="M263" s="265"/>
      <c r="N263" s="265"/>
      <c r="O263" s="265"/>
      <c r="P263" s="265"/>
      <c r="Q263" s="265"/>
      <c r="R263" s="265"/>
    </row>
    <row r="264" spans="1:21" ht="30" customHeight="1">
      <c r="A264" s="204" t="str">
        <f>IF(ISBLANK(D264)," ",259-COUNTBLANK($D$6:D264))</f>
        <v xml:space="preserve"> </v>
      </c>
      <c r="B264" s="202"/>
      <c r="C264" s="202"/>
      <c r="D264" s="202"/>
      <c r="E264" s="300"/>
      <c r="F264" s="210"/>
      <c r="G264" s="203"/>
      <c r="H264" s="203"/>
      <c r="I264" s="291"/>
      <c r="J264" s="263"/>
      <c r="K264" s="264"/>
      <c r="L264" s="265"/>
      <c r="M264" s="265"/>
      <c r="N264" s="265"/>
      <c r="O264" s="265"/>
      <c r="P264" s="265"/>
      <c r="Q264" s="265"/>
      <c r="R264" s="265"/>
    </row>
    <row r="265" spans="1:21" ht="30" customHeight="1">
      <c r="A265" s="204" t="str">
        <f>IF(ISBLANK(D265)," ",260-COUNTBLANK($D$6:D265))</f>
        <v xml:space="preserve"> </v>
      </c>
      <c r="B265" s="202"/>
      <c r="C265" s="202"/>
      <c r="D265" s="202"/>
      <c r="E265" s="300"/>
      <c r="F265" s="210"/>
      <c r="G265" s="203"/>
      <c r="H265" s="203"/>
      <c r="I265" s="291"/>
      <c r="J265" s="263"/>
      <c r="K265" s="264"/>
      <c r="L265" s="265"/>
      <c r="M265" s="265"/>
      <c r="N265" s="265"/>
      <c r="O265" s="265"/>
      <c r="P265" s="265"/>
      <c r="Q265" s="265"/>
      <c r="R265" s="265"/>
    </row>
    <row r="266" spans="1:21" ht="30" customHeight="1">
      <c r="A266" s="204" t="str">
        <f>IF(ISBLANK(D266)," ",261-COUNTBLANK($D$6:D266))</f>
        <v xml:space="preserve"> </v>
      </c>
      <c r="B266" s="202"/>
      <c r="C266" s="202"/>
      <c r="D266" s="202"/>
      <c r="E266" s="300"/>
      <c r="F266" s="210"/>
      <c r="G266" s="203"/>
      <c r="H266" s="203"/>
      <c r="I266" s="291"/>
      <c r="J266" s="263"/>
      <c r="K266" s="264"/>
      <c r="L266" s="265"/>
      <c r="M266" s="265"/>
      <c r="N266" s="265"/>
      <c r="O266" s="265"/>
      <c r="P266" s="265"/>
      <c r="Q266" s="265"/>
      <c r="R266" s="265"/>
    </row>
    <row r="267" spans="1:21" ht="30" customHeight="1">
      <c r="A267" s="204" t="str">
        <f>IF(ISBLANK(D267)," ",262-COUNTBLANK($D$6:D267))</f>
        <v xml:space="preserve"> </v>
      </c>
      <c r="B267" s="202"/>
      <c r="C267" s="202"/>
      <c r="D267" s="202"/>
      <c r="E267" s="300"/>
      <c r="F267" s="210"/>
      <c r="G267" s="203"/>
      <c r="H267" s="203"/>
      <c r="I267" s="291"/>
      <c r="J267" s="263"/>
      <c r="K267" s="264"/>
      <c r="L267" s="265"/>
      <c r="M267" s="265"/>
      <c r="N267" s="265"/>
      <c r="O267" s="265"/>
      <c r="P267" s="265"/>
      <c r="Q267" s="265"/>
      <c r="R267" s="265"/>
    </row>
    <row r="268" spans="1:21" ht="30" customHeight="1">
      <c r="A268" s="204" t="str">
        <f>IF(ISBLANK(D268)," ",263-COUNTBLANK($D$6:D268))</f>
        <v xml:space="preserve"> </v>
      </c>
      <c r="B268" s="202"/>
      <c r="C268" s="202"/>
      <c r="D268" s="202"/>
      <c r="E268" s="300"/>
      <c r="F268" s="210"/>
      <c r="G268" s="203"/>
      <c r="H268" s="203"/>
      <c r="I268" s="291"/>
      <c r="J268" s="263"/>
      <c r="K268" s="264"/>
      <c r="L268" s="265"/>
      <c r="M268" s="265"/>
      <c r="N268" s="265"/>
      <c r="O268" s="265"/>
      <c r="P268" s="265"/>
      <c r="Q268" s="265"/>
      <c r="R268" s="265"/>
    </row>
    <row r="269" spans="1:21" ht="30" customHeight="1">
      <c r="A269" s="204" t="str">
        <f>IF(ISBLANK(D269)," ",264-COUNTBLANK($D$6:D269))</f>
        <v xml:space="preserve"> </v>
      </c>
      <c r="B269" s="202"/>
      <c r="C269" s="202"/>
      <c r="D269" s="202"/>
      <c r="E269" s="300"/>
      <c r="F269" s="210"/>
      <c r="G269" s="203"/>
      <c r="H269" s="203"/>
      <c r="I269" s="291"/>
      <c r="J269" s="263"/>
      <c r="K269" s="264"/>
      <c r="L269" s="265"/>
      <c r="M269" s="265"/>
      <c r="N269" s="265"/>
      <c r="O269" s="265"/>
      <c r="P269" s="265"/>
      <c r="Q269" s="265"/>
      <c r="R269" s="265"/>
    </row>
    <row r="270" spans="1:21" ht="30" customHeight="1">
      <c r="A270" s="204" t="str">
        <f>IF(ISBLANK(D270)," ",265-COUNTBLANK($D$6:D270))</f>
        <v xml:space="preserve"> </v>
      </c>
      <c r="B270" s="202"/>
      <c r="C270" s="202"/>
      <c r="D270" s="202"/>
      <c r="E270" s="300"/>
      <c r="F270" s="210"/>
      <c r="G270" s="203"/>
      <c r="H270" s="203"/>
      <c r="I270" s="291"/>
      <c r="J270" s="263"/>
      <c r="K270" s="264"/>
      <c r="L270" s="265"/>
      <c r="M270" s="265"/>
      <c r="N270" s="265"/>
      <c r="O270" s="265"/>
      <c r="P270" s="265"/>
      <c r="Q270" s="265"/>
      <c r="R270" s="265"/>
    </row>
    <row r="271" spans="1:21" ht="30" customHeight="1">
      <c r="A271" s="204" t="str">
        <f>IF(ISBLANK(D271)," ",266-COUNTBLANK($D$6:D271))</f>
        <v xml:space="preserve"> </v>
      </c>
      <c r="B271" s="202"/>
      <c r="C271" s="202"/>
      <c r="D271" s="202"/>
      <c r="E271" s="300"/>
      <c r="F271" s="210"/>
      <c r="G271" s="203"/>
      <c r="H271" s="203"/>
      <c r="I271" s="291"/>
      <c r="J271" s="263"/>
      <c r="K271" s="264"/>
      <c r="L271" s="265"/>
      <c r="M271" s="265"/>
      <c r="N271" s="265"/>
      <c r="O271" s="265"/>
      <c r="P271" s="265"/>
      <c r="Q271" s="265"/>
      <c r="R271" s="265"/>
    </row>
    <row r="272" spans="1:21" ht="30" customHeight="1">
      <c r="A272" s="204" t="str">
        <f>IF(ISBLANK(D272)," ",267-COUNTBLANK($D$6:D272))</f>
        <v xml:space="preserve"> </v>
      </c>
      <c r="B272" s="202"/>
      <c r="C272" s="202"/>
      <c r="D272" s="202"/>
      <c r="E272" s="300"/>
      <c r="F272" s="210"/>
      <c r="G272" s="203"/>
      <c r="H272" s="203"/>
      <c r="I272" s="291"/>
      <c r="J272" s="263"/>
      <c r="K272" s="264"/>
      <c r="L272" s="265"/>
      <c r="M272" s="265"/>
      <c r="N272" s="265"/>
      <c r="O272" s="265"/>
      <c r="P272" s="265"/>
      <c r="Q272" s="265"/>
      <c r="R272" s="265"/>
    </row>
    <row r="273" spans="1:21" ht="30" customHeight="1">
      <c r="A273" s="204" t="str">
        <f>IF(ISBLANK(D273)," ",268-COUNTBLANK($D$6:D273))</f>
        <v xml:space="preserve"> </v>
      </c>
      <c r="B273" s="202"/>
      <c r="C273" s="202"/>
      <c r="D273" s="202"/>
      <c r="E273" s="300"/>
      <c r="F273" s="210"/>
      <c r="G273" s="203"/>
      <c r="H273" s="203"/>
      <c r="I273" s="291"/>
      <c r="J273" s="263"/>
      <c r="K273" s="266"/>
      <c r="L273" s="265"/>
      <c r="M273" s="265"/>
      <c r="N273" s="265"/>
      <c r="O273" s="265"/>
      <c r="P273" s="265"/>
      <c r="Q273" s="265"/>
      <c r="R273" s="267"/>
    </row>
    <row r="274" spans="1:21" ht="30" customHeight="1">
      <c r="A274" s="204" t="str">
        <f>IF(ISBLANK(D274)," ",269-COUNTBLANK($D$6:D274))</f>
        <v xml:space="preserve"> </v>
      </c>
      <c r="B274" s="202"/>
      <c r="C274" s="202"/>
      <c r="D274" s="202"/>
      <c r="E274" s="300"/>
      <c r="F274" s="210"/>
      <c r="G274" s="203"/>
      <c r="H274" s="203"/>
      <c r="I274" s="291"/>
      <c r="J274" s="263"/>
      <c r="K274" s="266"/>
      <c r="L274" s="265"/>
      <c r="M274" s="265"/>
      <c r="N274" s="265"/>
      <c r="O274" s="265"/>
      <c r="P274" s="265"/>
      <c r="Q274" s="265"/>
      <c r="R274" s="267"/>
    </row>
    <row r="275" spans="1:21" ht="30" customHeight="1">
      <c r="A275" s="204" t="str">
        <f>IF(ISBLANK(D275)," ",270-COUNTBLANK($D$6:D275))</f>
        <v xml:space="preserve"> </v>
      </c>
      <c r="B275" s="202"/>
      <c r="C275" s="202"/>
      <c r="D275" s="202"/>
      <c r="E275" s="300"/>
      <c r="F275" s="210"/>
      <c r="G275" s="203"/>
      <c r="H275" s="203"/>
      <c r="I275" s="291"/>
      <c r="J275" s="263"/>
      <c r="K275" s="266"/>
      <c r="L275" s="265"/>
      <c r="M275" s="265"/>
      <c r="N275" s="265"/>
      <c r="O275" s="265"/>
      <c r="P275" s="265"/>
      <c r="Q275" s="265"/>
      <c r="R275" s="267"/>
    </row>
    <row r="276" spans="1:21" ht="30" customHeight="1">
      <c r="A276" s="204" t="str">
        <f>IF(ISBLANK(D276)," ",271-COUNTBLANK($D$6:D276))</f>
        <v xml:space="preserve"> </v>
      </c>
      <c r="B276" s="202"/>
      <c r="C276" s="202"/>
      <c r="D276" s="202"/>
      <c r="E276" s="300"/>
      <c r="F276" s="210"/>
      <c r="G276" s="203"/>
      <c r="H276" s="203"/>
      <c r="I276" s="291"/>
      <c r="J276" s="263"/>
      <c r="K276" s="266"/>
      <c r="L276" s="265"/>
      <c r="M276" s="265"/>
      <c r="N276" s="265"/>
      <c r="O276" s="265"/>
      <c r="P276" s="265"/>
      <c r="Q276" s="265"/>
      <c r="R276" s="267"/>
    </row>
    <row r="277" spans="1:21" ht="30" customHeight="1">
      <c r="A277" s="304" t="str">
        <f>IF(ISBLANK(D277)," ",272-COUNTBLANK($D$6:D277))</f>
        <v xml:space="preserve"> </v>
      </c>
      <c r="B277" s="296"/>
      <c r="C277" s="305"/>
      <c r="D277" s="306"/>
      <c r="E277" s="297"/>
      <c r="F277" s="298"/>
      <c r="G277" s="282"/>
      <c r="H277" s="282"/>
      <c r="I277" s="303"/>
      <c r="J277" s="263"/>
      <c r="K277" s="264"/>
      <c r="L277" s="265"/>
      <c r="M277" s="265"/>
      <c r="N277" s="265"/>
      <c r="O277" s="265"/>
      <c r="P277" s="265"/>
      <c r="Q277" s="265"/>
      <c r="R277" s="284"/>
      <c r="S277" s="265"/>
      <c r="T277" s="265"/>
      <c r="U277" s="265"/>
    </row>
    <row r="278" spans="1:21" ht="30" customHeight="1">
      <c r="A278" s="260" t="s">
        <v>52</v>
      </c>
      <c r="B278" s="200"/>
      <c r="C278" s="200"/>
      <c r="D278" s="200"/>
      <c r="E278" s="299"/>
      <c r="F278" s="209">
        <f>SUM(F258:F277)</f>
        <v>0</v>
      </c>
      <c r="G278" s="201"/>
      <c r="H278" s="201"/>
      <c r="I278" s="291"/>
      <c r="J278" s="263"/>
      <c r="K278" s="266"/>
      <c r="L278" s="265"/>
      <c r="M278" s="265"/>
      <c r="N278" s="265"/>
      <c r="O278" s="265"/>
      <c r="P278" s="265"/>
      <c r="Q278" s="265"/>
      <c r="R278" s="284"/>
      <c r="S278" s="265"/>
      <c r="T278" s="265"/>
      <c r="U278" s="265"/>
    </row>
    <row r="279" spans="1:21" ht="30" customHeight="1">
      <c r="A279" s="204" t="str">
        <f>IF(ISBLANK(D279)," ",274-COUNTBLANK($D$6:D279))</f>
        <v xml:space="preserve"> </v>
      </c>
      <c r="B279" s="202"/>
      <c r="C279" s="202"/>
      <c r="D279" s="202"/>
      <c r="E279" s="300"/>
      <c r="F279" s="210"/>
      <c r="G279" s="203"/>
      <c r="H279" s="203"/>
      <c r="I279" s="291"/>
      <c r="J279" s="263"/>
      <c r="K279" s="264"/>
      <c r="L279" s="265"/>
      <c r="M279" s="265"/>
      <c r="N279" s="265"/>
      <c r="O279" s="265"/>
      <c r="P279" s="265"/>
      <c r="Q279" s="265"/>
      <c r="R279" s="265"/>
    </row>
    <row r="280" spans="1:21" ht="30" customHeight="1">
      <c r="A280" s="204" t="str">
        <f>IF(ISBLANK(D280)," ",275-COUNTBLANK($D$6:D280))</f>
        <v xml:space="preserve"> </v>
      </c>
      <c r="B280" s="202"/>
      <c r="C280" s="202"/>
      <c r="D280" s="202"/>
      <c r="E280" s="300"/>
      <c r="F280" s="210"/>
      <c r="G280" s="203"/>
      <c r="H280" s="203"/>
      <c r="I280" s="291"/>
      <c r="J280" s="263"/>
      <c r="K280" s="264"/>
      <c r="L280" s="265"/>
      <c r="M280" s="265"/>
      <c r="N280" s="265"/>
      <c r="O280" s="265"/>
      <c r="P280" s="265"/>
      <c r="Q280" s="265"/>
      <c r="R280" s="265"/>
    </row>
    <row r="281" spans="1:21" ht="30" customHeight="1">
      <c r="A281" s="204" t="str">
        <f>IF(ISBLANK(D281)," ",276-COUNTBLANK($D$6:D281))</f>
        <v xml:space="preserve"> </v>
      </c>
      <c r="B281" s="202"/>
      <c r="C281" s="202"/>
      <c r="D281" s="202"/>
      <c r="E281" s="300"/>
      <c r="F281" s="210"/>
      <c r="G281" s="203"/>
      <c r="H281" s="203"/>
      <c r="I281" s="291"/>
      <c r="J281" s="263"/>
      <c r="K281" s="264"/>
      <c r="L281" s="265"/>
      <c r="M281" s="265"/>
      <c r="N281" s="265"/>
      <c r="O281" s="265"/>
      <c r="P281" s="265"/>
      <c r="Q281" s="265"/>
      <c r="R281" s="265"/>
    </row>
    <row r="282" spans="1:21" ht="30" customHeight="1">
      <c r="A282" s="204" t="str">
        <f>IF(ISBLANK(D282)," ",277-COUNTBLANK($D$6:D282))</f>
        <v xml:space="preserve"> </v>
      </c>
      <c r="B282" s="202"/>
      <c r="C282" s="202"/>
      <c r="D282" s="202"/>
      <c r="E282" s="300"/>
      <c r="F282" s="210"/>
      <c r="G282" s="203"/>
      <c r="H282" s="203"/>
      <c r="I282" s="291"/>
      <c r="J282" s="263"/>
      <c r="K282" s="264"/>
      <c r="L282" s="265"/>
      <c r="M282" s="265"/>
      <c r="N282" s="265"/>
      <c r="O282" s="265"/>
      <c r="P282" s="265"/>
      <c r="Q282" s="265"/>
      <c r="R282" s="265"/>
    </row>
    <row r="283" spans="1:21" ht="30" customHeight="1">
      <c r="A283" s="204" t="str">
        <f>IF(ISBLANK(D283)," ",278-COUNTBLANK($D$6:D283))</f>
        <v xml:space="preserve"> </v>
      </c>
      <c r="B283" s="202"/>
      <c r="C283" s="202"/>
      <c r="D283" s="202"/>
      <c r="E283" s="300"/>
      <c r="F283" s="210"/>
      <c r="G283" s="203"/>
      <c r="H283" s="203"/>
      <c r="I283" s="291"/>
      <c r="J283" s="263"/>
      <c r="K283" s="264"/>
      <c r="L283" s="265"/>
      <c r="M283" s="265"/>
      <c r="N283" s="265"/>
      <c r="O283" s="265"/>
      <c r="P283" s="265"/>
      <c r="Q283" s="265"/>
      <c r="R283" s="265"/>
    </row>
    <row r="284" spans="1:21" ht="30" customHeight="1">
      <c r="A284" s="204" t="str">
        <f>IF(ISBLANK(D284)," ",279-COUNTBLANK($D$6:D284))</f>
        <v xml:space="preserve"> </v>
      </c>
      <c r="B284" s="202"/>
      <c r="C284" s="202"/>
      <c r="D284" s="202"/>
      <c r="E284" s="300"/>
      <c r="F284" s="210"/>
      <c r="G284" s="203"/>
      <c r="H284" s="203"/>
      <c r="I284" s="291"/>
      <c r="J284" s="263"/>
      <c r="K284" s="264"/>
      <c r="L284" s="265"/>
      <c r="M284" s="265"/>
      <c r="N284" s="265"/>
      <c r="O284" s="265"/>
      <c r="P284" s="265"/>
      <c r="Q284" s="265"/>
      <c r="R284" s="265"/>
    </row>
    <row r="285" spans="1:21" ht="30" customHeight="1">
      <c r="A285" s="204" t="str">
        <f>IF(ISBLANK(D285)," ",280-COUNTBLANK($D$6:D285))</f>
        <v xml:space="preserve"> </v>
      </c>
      <c r="B285" s="202"/>
      <c r="C285" s="202"/>
      <c r="D285" s="202"/>
      <c r="E285" s="300"/>
      <c r="F285" s="210"/>
      <c r="G285" s="203"/>
      <c r="H285" s="203"/>
      <c r="I285" s="291"/>
      <c r="J285" s="263"/>
      <c r="K285" s="264"/>
      <c r="L285" s="265"/>
      <c r="M285" s="265"/>
      <c r="N285" s="265"/>
      <c r="O285" s="265"/>
      <c r="P285" s="265"/>
      <c r="Q285" s="265"/>
      <c r="R285" s="265"/>
    </row>
    <row r="286" spans="1:21" ht="30" customHeight="1">
      <c r="A286" s="204" t="str">
        <f>IF(ISBLANK(D286)," ",281-COUNTBLANK($D$6:D286))</f>
        <v xml:space="preserve"> </v>
      </c>
      <c r="B286" s="202"/>
      <c r="C286" s="202"/>
      <c r="D286" s="202"/>
      <c r="E286" s="300"/>
      <c r="F286" s="210"/>
      <c r="G286" s="203"/>
      <c r="H286" s="203"/>
      <c r="I286" s="291"/>
      <c r="J286" s="263"/>
      <c r="K286" s="264"/>
      <c r="L286" s="265"/>
      <c r="M286" s="265"/>
      <c r="N286" s="265"/>
      <c r="O286" s="265"/>
      <c r="P286" s="265"/>
      <c r="Q286" s="265"/>
      <c r="R286" s="265"/>
    </row>
    <row r="287" spans="1:21" ht="30" customHeight="1">
      <c r="A287" s="204" t="str">
        <f>IF(ISBLANK(D287)," ",282-COUNTBLANK($D$6:D287))</f>
        <v xml:space="preserve"> </v>
      </c>
      <c r="B287" s="202"/>
      <c r="C287" s="202"/>
      <c r="D287" s="202"/>
      <c r="E287" s="300"/>
      <c r="F287" s="210"/>
      <c r="G287" s="203"/>
      <c r="H287" s="203"/>
      <c r="I287" s="291"/>
      <c r="J287" s="263"/>
      <c r="K287" s="264"/>
      <c r="L287" s="265"/>
      <c r="M287" s="265"/>
      <c r="N287" s="265"/>
      <c r="O287" s="265"/>
      <c r="P287" s="265"/>
      <c r="Q287" s="265"/>
      <c r="R287" s="265"/>
    </row>
    <row r="288" spans="1:21" ht="30" customHeight="1">
      <c r="A288" s="204" t="str">
        <f>IF(ISBLANK(D288)," ",283-COUNTBLANK($D$6:D288))</f>
        <v xml:space="preserve"> </v>
      </c>
      <c r="B288" s="202"/>
      <c r="C288" s="202"/>
      <c r="D288" s="202"/>
      <c r="E288" s="300"/>
      <c r="F288" s="210"/>
      <c r="G288" s="203"/>
      <c r="H288" s="203"/>
      <c r="I288" s="291"/>
      <c r="J288" s="263"/>
      <c r="K288" s="264"/>
      <c r="L288" s="265"/>
      <c r="M288" s="265"/>
      <c r="N288" s="265"/>
      <c r="O288" s="265"/>
      <c r="P288" s="265"/>
      <c r="Q288" s="265"/>
      <c r="R288" s="265"/>
    </row>
    <row r="289" spans="1:21" ht="30" customHeight="1">
      <c r="A289" s="204" t="str">
        <f>IF(ISBLANK(D289)," ",284-COUNTBLANK($D$6:D289))</f>
        <v xml:space="preserve"> </v>
      </c>
      <c r="B289" s="202"/>
      <c r="C289" s="202"/>
      <c r="D289" s="202"/>
      <c r="E289" s="300"/>
      <c r="F289" s="210"/>
      <c r="G289" s="203"/>
      <c r="H289" s="203"/>
      <c r="I289" s="291"/>
      <c r="J289" s="263"/>
      <c r="K289" s="264"/>
      <c r="L289" s="265"/>
      <c r="M289" s="265"/>
      <c r="N289" s="265"/>
      <c r="O289" s="265"/>
      <c r="P289" s="265"/>
      <c r="Q289" s="265"/>
      <c r="R289" s="265"/>
    </row>
    <row r="290" spans="1:21" ht="30" customHeight="1">
      <c r="A290" s="204" t="str">
        <f>IF(ISBLANK(D290)," ",285-COUNTBLANK($D$6:D290))</f>
        <v xml:space="preserve"> </v>
      </c>
      <c r="B290" s="202"/>
      <c r="C290" s="202"/>
      <c r="D290" s="202"/>
      <c r="E290" s="300"/>
      <c r="F290" s="210"/>
      <c r="G290" s="203"/>
      <c r="H290" s="203"/>
      <c r="I290" s="291"/>
      <c r="J290" s="263"/>
      <c r="K290" s="264"/>
      <c r="L290" s="265"/>
      <c r="M290" s="265"/>
      <c r="N290" s="265"/>
      <c r="O290" s="265"/>
      <c r="P290" s="265"/>
      <c r="Q290" s="265"/>
      <c r="R290" s="265"/>
    </row>
    <row r="291" spans="1:21" ht="30" customHeight="1">
      <c r="A291" s="204" t="str">
        <f>IF(ISBLANK(D291)," ",286-COUNTBLANK($D$6:D291))</f>
        <v xml:space="preserve"> </v>
      </c>
      <c r="B291" s="202"/>
      <c r="C291" s="202"/>
      <c r="D291" s="202"/>
      <c r="E291" s="300"/>
      <c r="F291" s="210"/>
      <c r="G291" s="203"/>
      <c r="H291" s="203"/>
      <c r="I291" s="291"/>
      <c r="J291" s="263"/>
      <c r="K291" s="264"/>
      <c r="L291" s="265"/>
      <c r="M291" s="265"/>
      <c r="N291" s="265"/>
      <c r="O291" s="265"/>
      <c r="P291" s="265"/>
      <c r="Q291" s="265"/>
      <c r="R291" s="265"/>
    </row>
    <row r="292" spans="1:21" ht="30" customHeight="1">
      <c r="A292" s="204" t="str">
        <f>IF(ISBLANK(D292)," ",287-COUNTBLANK($D$6:D292))</f>
        <v xml:space="preserve"> </v>
      </c>
      <c r="B292" s="202"/>
      <c r="C292" s="202"/>
      <c r="D292" s="202"/>
      <c r="E292" s="300"/>
      <c r="F292" s="210"/>
      <c r="G292" s="203"/>
      <c r="H292" s="203"/>
      <c r="I292" s="291"/>
      <c r="J292" s="263"/>
      <c r="K292" s="264"/>
      <c r="L292" s="265"/>
      <c r="M292" s="265"/>
      <c r="N292" s="265"/>
      <c r="O292" s="265"/>
      <c r="P292" s="265"/>
      <c r="Q292" s="265"/>
      <c r="R292" s="265"/>
    </row>
    <row r="293" spans="1:21" ht="30" customHeight="1">
      <c r="A293" s="204" t="str">
        <f>IF(ISBLANK(D293)," ",288-COUNTBLANK($D$6:D293))</f>
        <v xml:space="preserve"> </v>
      </c>
      <c r="B293" s="202"/>
      <c r="C293" s="202"/>
      <c r="D293" s="202"/>
      <c r="E293" s="300"/>
      <c r="F293" s="210"/>
      <c r="G293" s="203"/>
      <c r="H293" s="203"/>
      <c r="I293" s="291"/>
      <c r="J293" s="263"/>
      <c r="K293" s="264"/>
      <c r="L293" s="265"/>
      <c r="M293" s="265"/>
      <c r="N293" s="265"/>
      <c r="O293" s="265"/>
      <c r="P293" s="265"/>
      <c r="Q293" s="265"/>
      <c r="R293" s="265"/>
    </row>
    <row r="294" spans="1:21" ht="30" customHeight="1">
      <c r="A294" s="204" t="str">
        <f>IF(ISBLANK(D294)," ",289-COUNTBLANK($D$6:D294))</f>
        <v xml:space="preserve"> </v>
      </c>
      <c r="B294" s="202"/>
      <c r="C294" s="202"/>
      <c r="D294" s="202"/>
      <c r="E294" s="300"/>
      <c r="F294" s="210"/>
      <c r="G294" s="203"/>
      <c r="H294" s="203"/>
      <c r="I294" s="291"/>
      <c r="J294" s="263"/>
      <c r="K294" s="266"/>
      <c r="L294" s="265"/>
      <c r="M294" s="265"/>
      <c r="N294" s="265"/>
      <c r="O294" s="265"/>
      <c r="P294" s="265"/>
      <c r="Q294" s="265"/>
      <c r="R294" s="267"/>
    </row>
    <row r="295" spans="1:21" ht="30" customHeight="1">
      <c r="A295" s="204" t="str">
        <f>IF(ISBLANK(D295)," ",290-COUNTBLANK($D$6:D295))</f>
        <v xml:space="preserve"> </v>
      </c>
      <c r="B295" s="202"/>
      <c r="C295" s="202"/>
      <c r="D295" s="202"/>
      <c r="E295" s="300"/>
      <c r="F295" s="210"/>
      <c r="G295" s="203"/>
      <c r="H295" s="203"/>
      <c r="I295" s="291"/>
      <c r="J295" s="263"/>
      <c r="K295" s="266"/>
      <c r="L295" s="265"/>
      <c r="M295" s="265"/>
      <c r="N295" s="265"/>
      <c r="O295" s="265"/>
      <c r="P295" s="265"/>
      <c r="Q295" s="265"/>
      <c r="R295" s="267"/>
    </row>
    <row r="296" spans="1:21" ht="30" customHeight="1">
      <c r="A296" s="204" t="str">
        <f>IF(ISBLANK(D296)," ",291-COUNTBLANK($D$6:D296))</f>
        <v xml:space="preserve"> </v>
      </c>
      <c r="B296" s="202"/>
      <c r="C296" s="202"/>
      <c r="D296" s="202"/>
      <c r="E296" s="300"/>
      <c r="F296" s="210"/>
      <c r="G296" s="203"/>
      <c r="H296" s="203"/>
      <c r="I296" s="291"/>
      <c r="J296" s="263"/>
      <c r="K296" s="266"/>
      <c r="L296" s="265"/>
      <c r="M296" s="265"/>
      <c r="N296" s="265"/>
      <c r="O296" s="265"/>
      <c r="P296" s="265"/>
      <c r="Q296" s="265"/>
      <c r="R296" s="267"/>
    </row>
    <row r="297" spans="1:21" ht="30" customHeight="1">
      <c r="A297" s="204" t="str">
        <f>IF(ISBLANK(D297)," ",292-COUNTBLANK($D$6:D297))</f>
        <v xml:space="preserve"> </v>
      </c>
      <c r="B297" s="202"/>
      <c r="C297" s="202"/>
      <c r="D297" s="202"/>
      <c r="E297" s="300"/>
      <c r="F297" s="210"/>
      <c r="G297" s="203"/>
      <c r="H297" s="203"/>
      <c r="I297" s="291"/>
      <c r="J297" s="263"/>
      <c r="K297" s="266"/>
      <c r="L297" s="265"/>
      <c r="M297" s="265"/>
      <c r="N297" s="265"/>
      <c r="O297" s="265"/>
      <c r="P297" s="265"/>
      <c r="Q297" s="265"/>
      <c r="R297" s="267"/>
    </row>
    <row r="298" spans="1:21" ht="30" customHeight="1">
      <c r="A298" s="304" t="str">
        <f>IF(ISBLANK(D298)," ",293-COUNTBLANK($D$6:D298))</f>
        <v xml:space="preserve"> </v>
      </c>
      <c r="B298" s="296"/>
      <c r="C298" s="305"/>
      <c r="D298" s="306"/>
      <c r="E298" s="297"/>
      <c r="F298" s="298"/>
      <c r="G298" s="282"/>
      <c r="H298" s="282"/>
      <c r="I298" s="303"/>
      <c r="J298" s="263"/>
      <c r="K298" s="264"/>
      <c r="L298" s="265"/>
      <c r="M298" s="265"/>
      <c r="N298" s="265"/>
      <c r="O298" s="265"/>
      <c r="P298" s="265"/>
      <c r="Q298" s="265"/>
      <c r="R298" s="284"/>
      <c r="S298" s="265"/>
      <c r="T298" s="265"/>
      <c r="U298" s="265"/>
    </row>
    <row r="299" spans="1:21" ht="30" customHeight="1">
      <c r="A299" s="260" t="s">
        <v>52</v>
      </c>
      <c r="B299" s="200"/>
      <c r="C299" s="200"/>
      <c r="D299" s="200"/>
      <c r="E299" s="299"/>
      <c r="F299" s="209">
        <f>SUM(F279:F298)</f>
        <v>0</v>
      </c>
      <c r="G299" s="201"/>
      <c r="H299" s="201"/>
      <c r="I299" s="291"/>
      <c r="J299" s="263"/>
      <c r="K299" s="266"/>
      <c r="L299" s="265"/>
      <c r="M299" s="265"/>
      <c r="N299" s="265"/>
      <c r="O299" s="265"/>
      <c r="P299" s="265"/>
      <c r="Q299" s="265"/>
      <c r="R299" s="284"/>
      <c r="S299" s="265"/>
      <c r="T299" s="265"/>
      <c r="U299" s="265"/>
    </row>
    <row r="300" spans="1:21" ht="30" customHeight="1">
      <c r="A300" s="204" t="str">
        <f>IF(ISBLANK(D300)," ",295-COUNTBLANK($D$6:D300))</f>
        <v xml:space="preserve"> </v>
      </c>
      <c r="B300" s="202"/>
      <c r="C300" s="202"/>
      <c r="D300" s="202"/>
      <c r="E300" s="300"/>
      <c r="F300" s="210"/>
      <c r="G300" s="203"/>
      <c r="H300" s="203"/>
      <c r="I300" s="291"/>
      <c r="J300" s="263"/>
      <c r="K300" s="264"/>
      <c r="L300" s="265"/>
      <c r="M300" s="265"/>
      <c r="N300" s="265"/>
      <c r="O300" s="265"/>
      <c r="P300" s="265"/>
      <c r="Q300" s="265"/>
      <c r="R300" s="265"/>
    </row>
    <row r="301" spans="1:21" ht="30" customHeight="1">
      <c r="A301" s="204" t="str">
        <f>IF(ISBLANK(D301)," ",296-COUNTBLANK($D$6:D301))</f>
        <v xml:space="preserve"> </v>
      </c>
      <c r="B301" s="202"/>
      <c r="C301" s="202"/>
      <c r="D301" s="202"/>
      <c r="E301" s="300"/>
      <c r="F301" s="210"/>
      <c r="G301" s="203"/>
      <c r="H301" s="203"/>
      <c r="I301" s="291"/>
      <c r="J301" s="263"/>
      <c r="K301" s="264"/>
      <c r="L301" s="265"/>
      <c r="M301" s="265"/>
      <c r="N301" s="265"/>
      <c r="O301" s="265"/>
      <c r="P301" s="265"/>
      <c r="Q301" s="265"/>
      <c r="R301" s="265"/>
    </row>
    <row r="302" spans="1:21" ht="30" customHeight="1">
      <c r="A302" s="204" t="str">
        <f>IF(ISBLANK(D302)," ",297-COUNTBLANK($D$6:D302))</f>
        <v xml:space="preserve"> </v>
      </c>
      <c r="B302" s="202"/>
      <c r="C302" s="202"/>
      <c r="D302" s="202"/>
      <c r="E302" s="300"/>
      <c r="F302" s="210"/>
      <c r="G302" s="203"/>
      <c r="H302" s="203"/>
      <c r="I302" s="291"/>
      <c r="J302" s="263"/>
      <c r="K302" s="264"/>
      <c r="L302" s="265"/>
      <c r="M302" s="265"/>
      <c r="N302" s="265"/>
      <c r="O302" s="265"/>
      <c r="P302" s="265"/>
      <c r="Q302" s="265"/>
      <c r="R302" s="265"/>
    </row>
    <row r="303" spans="1:21" ht="30" customHeight="1">
      <c r="A303" s="204" t="str">
        <f>IF(ISBLANK(D303)," ",298-COUNTBLANK($D$6:D303))</f>
        <v xml:space="preserve"> </v>
      </c>
      <c r="B303" s="202"/>
      <c r="C303" s="202"/>
      <c r="D303" s="202"/>
      <c r="E303" s="300"/>
      <c r="F303" s="210"/>
      <c r="G303" s="203"/>
      <c r="H303" s="203"/>
      <c r="I303" s="291"/>
      <c r="J303" s="263"/>
      <c r="K303" s="264"/>
      <c r="L303" s="265"/>
      <c r="M303" s="265"/>
      <c r="N303" s="265"/>
      <c r="O303" s="265"/>
      <c r="P303" s="265"/>
      <c r="Q303" s="265"/>
      <c r="R303" s="265"/>
    </row>
    <row r="304" spans="1:21" ht="30" customHeight="1">
      <c r="A304" s="204" t="str">
        <f>IF(ISBLANK(D304)," ",299-COUNTBLANK($D$6:D304))</f>
        <v xml:space="preserve"> </v>
      </c>
      <c r="B304" s="202"/>
      <c r="C304" s="202"/>
      <c r="D304" s="202"/>
      <c r="E304" s="300"/>
      <c r="F304" s="210"/>
      <c r="G304" s="203"/>
      <c r="H304" s="203"/>
      <c r="I304" s="291"/>
      <c r="J304" s="263"/>
      <c r="K304" s="264"/>
      <c r="L304" s="265"/>
      <c r="M304" s="265"/>
      <c r="N304" s="265"/>
      <c r="O304" s="265"/>
      <c r="P304" s="265"/>
      <c r="Q304" s="265"/>
      <c r="R304" s="265"/>
    </row>
    <row r="305" spans="1:21" ht="30" customHeight="1">
      <c r="A305" s="204" t="str">
        <f>IF(ISBLANK(D305)," ",300-COUNTBLANK($D$6:D305))</f>
        <v xml:space="preserve"> </v>
      </c>
      <c r="B305" s="202"/>
      <c r="C305" s="202"/>
      <c r="D305" s="202"/>
      <c r="E305" s="300"/>
      <c r="F305" s="210"/>
      <c r="G305" s="203"/>
      <c r="H305" s="203"/>
      <c r="I305" s="291"/>
      <c r="J305" s="263"/>
      <c r="K305" s="264"/>
      <c r="L305" s="265"/>
      <c r="M305" s="265"/>
      <c r="N305" s="265"/>
      <c r="O305" s="265"/>
      <c r="P305" s="265"/>
      <c r="Q305" s="265"/>
      <c r="R305" s="265"/>
    </row>
    <row r="306" spans="1:21" ht="30" customHeight="1">
      <c r="A306" s="204" t="str">
        <f>IF(ISBLANK(D306)," ",301-COUNTBLANK($D$6:D306))</f>
        <v xml:space="preserve"> </v>
      </c>
      <c r="B306" s="202"/>
      <c r="C306" s="202"/>
      <c r="D306" s="202"/>
      <c r="E306" s="300"/>
      <c r="F306" s="210"/>
      <c r="G306" s="203"/>
      <c r="H306" s="203"/>
      <c r="I306" s="291"/>
      <c r="J306" s="263"/>
      <c r="K306" s="264"/>
      <c r="L306" s="265"/>
      <c r="M306" s="265"/>
      <c r="N306" s="265"/>
      <c r="O306" s="265"/>
      <c r="P306" s="265"/>
      <c r="Q306" s="265"/>
      <c r="R306" s="265"/>
    </row>
    <row r="307" spans="1:21" ht="30" customHeight="1">
      <c r="A307" s="204" t="str">
        <f>IF(ISBLANK(D307)," ",302-COUNTBLANK($D$6:D307))</f>
        <v xml:space="preserve"> </v>
      </c>
      <c r="B307" s="202"/>
      <c r="C307" s="202"/>
      <c r="D307" s="202"/>
      <c r="E307" s="300"/>
      <c r="F307" s="210"/>
      <c r="G307" s="203"/>
      <c r="H307" s="203"/>
      <c r="I307" s="291"/>
      <c r="J307" s="263"/>
      <c r="K307" s="264"/>
      <c r="L307" s="265"/>
      <c r="M307" s="265"/>
      <c r="N307" s="265"/>
      <c r="O307" s="265"/>
      <c r="P307" s="265"/>
      <c r="Q307" s="265"/>
      <c r="R307" s="265"/>
    </row>
    <row r="308" spans="1:21" ht="30" customHeight="1">
      <c r="A308" s="204" t="str">
        <f>IF(ISBLANK(D308)," ",303-COUNTBLANK($D$6:D308))</f>
        <v xml:space="preserve"> </v>
      </c>
      <c r="B308" s="202"/>
      <c r="C308" s="202"/>
      <c r="D308" s="202"/>
      <c r="E308" s="300"/>
      <c r="F308" s="210"/>
      <c r="G308" s="203"/>
      <c r="H308" s="203"/>
      <c r="I308" s="291"/>
      <c r="J308" s="263"/>
      <c r="K308" s="264"/>
      <c r="L308" s="265"/>
      <c r="M308" s="265"/>
      <c r="N308" s="265"/>
      <c r="O308" s="265"/>
      <c r="P308" s="265"/>
      <c r="Q308" s="265"/>
      <c r="R308" s="265"/>
    </row>
    <row r="309" spans="1:21" ht="30" customHeight="1">
      <c r="A309" s="204" t="str">
        <f>IF(ISBLANK(D309)," ",304-COUNTBLANK($D$6:D309))</f>
        <v xml:space="preserve"> </v>
      </c>
      <c r="B309" s="202"/>
      <c r="C309" s="202"/>
      <c r="D309" s="202"/>
      <c r="E309" s="300"/>
      <c r="F309" s="210"/>
      <c r="G309" s="203"/>
      <c r="H309" s="203"/>
      <c r="I309" s="291"/>
      <c r="J309" s="263"/>
      <c r="K309" s="264"/>
      <c r="L309" s="265"/>
      <c r="M309" s="265"/>
      <c r="N309" s="265"/>
      <c r="O309" s="265"/>
      <c r="P309" s="265"/>
      <c r="Q309" s="265"/>
      <c r="R309" s="265"/>
    </row>
    <row r="310" spans="1:21" ht="30" customHeight="1">
      <c r="A310" s="204" t="str">
        <f>IF(ISBLANK(D310)," ",305-COUNTBLANK($D$6:D310))</f>
        <v xml:space="preserve"> </v>
      </c>
      <c r="B310" s="202"/>
      <c r="C310" s="202"/>
      <c r="D310" s="202"/>
      <c r="E310" s="300"/>
      <c r="F310" s="210"/>
      <c r="G310" s="203"/>
      <c r="H310" s="203"/>
      <c r="I310" s="291"/>
      <c r="J310" s="263"/>
      <c r="K310" s="264"/>
      <c r="L310" s="265"/>
      <c r="M310" s="265"/>
      <c r="N310" s="265"/>
      <c r="O310" s="265"/>
      <c r="P310" s="265"/>
      <c r="Q310" s="265"/>
      <c r="R310" s="265"/>
    </row>
    <row r="311" spans="1:21" ht="30" customHeight="1">
      <c r="A311" s="204" t="str">
        <f>IF(ISBLANK(D311)," ",306-COUNTBLANK($D$6:D311))</f>
        <v xml:space="preserve"> </v>
      </c>
      <c r="B311" s="202"/>
      <c r="C311" s="202"/>
      <c r="D311" s="202"/>
      <c r="E311" s="300"/>
      <c r="F311" s="210"/>
      <c r="G311" s="203"/>
      <c r="H311" s="203"/>
      <c r="I311" s="291"/>
      <c r="J311" s="263"/>
      <c r="K311" s="264"/>
      <c r="L311" s="265"/>
      <c r="M311" s="265"/>
      <c r="N311" s="265"/>
      <c r="O311" s="265"/>
      <c r="P311" s="265"/>
      <c r="Q311" s="265"/>
      <c r="R311" s="265"/>
    </row>
    <row r="312" spans="1:21" ht="30" customHeight="1">
      <c r="A312" s="204" t="str">
        <f>IF(ISBLANK(D312)," ",307-COUNTBLANK($D$6:D312))</f>
        <v xml:space="preserve"> </v>
      </c>
      <c r="B312" s="202"/>
      <c r="C312" s="202"/>
      <c r="D312" s="202"/>
      <c r="E312" s="300"/>
      <c r="F312" s="210"/>
      <c r="G312" s="203"/>
      <c r="H312" s="203"/>
      <c r="I312" s="291"/>
      <c r="J312" s="263"/>
      <c r="K312" s="264"/>
      <c r="L312" s="265"/>
      <c r="M312" s="265"/>
      <c r="N312" s="265"/>
      <c r="O312" s="265"/>
      <c r="P312" s="265"/>
      <c r="Q312" s="265"/>
      <c r="R312" s="265"/>
    </row>
    <row r="313" spans="1:21" ht="30" customHeight="1">
      <c r="A313" s="204" t="str">
        <f>IF(ISBLANK(D313)," ",308-COUNTBLANK($D$6:D313))</f>
        <v xml:space="preserve"> </v>
      </c>
      <c r="B313" s="202"/>
      <c r="C313" s="202"/>
      <c r="D313" s="202"/>
      <c r="E313" s="300"/>
      <c r="F313" s="210"/>
      <c r="G313" s="203"/>
      <c r="H313" s="203"/>
      <c r="I313" s="291"/>
      <c r="J313" s="263"/>
      <c r="K313" s="264"/>
      <c r="L313" s="265"/>
      <c r="M313" s="265"/>
      <c r="N313" s="265"/>
      <c r="O313" s="265"/>
      <c r="P313" s="265"/>
      <c r="Q313" s="265"/>
      <c r="R313" s="265"/>
    </row>
    <row r="314" spans="1:21" ht="30" customHeight="1">
      <c r="A314" s="204" t="str">
        <f>IF(ISBLANK(D314)," ",309-COUNTBLANK($D$6:D314))</f>
        <v xml:space="preserve"> </v>
      </c>
      <c r="B314" s="202"/>
      <c r="C314" s="202"/>
      <c r="D314" s="202"/>
      <c r="E314" s="300"/>
      <c r="F314" s="210"/>
      <c r="G314" s="203"/>
      <c r="H314" s="203"/>
      <c r="I314" s="291"/>
      <c r="J314" s="263"/>
      <c r="K314" s="264"/>
      <c r="L314" s="265"/>
      <c r="M314" s="265"/>
      <c r="N314" s="265"/>
      <c r="O314" s="265"/>
      <c r="P314" s="265"/>
      <c r="Q314" s="265"/>
      <c r="R314" s="265"/>
    </row>
    <row r="315" spans="1:21" ht="30" customHeight="1">
      <c r="A315" s="204" t="str">
        <f>IF(ISBLANK(D315)," ",310-COUNTBLANK($D$6:D315))</f>
        <v xml:space="preserve"> </v>
      </c>
      <c r="B315" s="202"/>
      <c r="C315" s="202"/>
      <c r="D315" s="202"/>
      <c r="E315" s="300"/>
      <c r="F315" s="210"/>
      <c r="G315" s="203"/>
      <c r="H315" s="203"/>
      <c r="I315" s="291"/>
      <c r="J315" s="263"/>
      <c r="K315" s="266"/>
      <c r="L315" s="265"/>
      <c r="M315" s="265"/>
      <c r="N315" s="265"/>
      <c r="O315" s="265"/>
      <c r="P315" s="265"/>
      <c r="Q315" s="265"/>
      <c r="R315" s="267"/>
    </row>
    <row r="316" spans="1:21" ht="30" customHeight="1">
      <c r="A316" s="204" t="str">
        <f>IF(ISBLANK(D316)," ",311-COUNTBLANK($D$6:D316))</f>
        <v xml:space="preserve"> </v>
      </c>
      <c r="B316" s="202"/>
      <c r="C316" s="202"/>
      <c r="D316" s="202"/>
      <c r="E316" s="300"/>
      <c r="F316" s="210"/>
      <c r="G316" s="203"/>
      <c r="H316" s="203"/>
      <c r="I316" s="291"/>
      <c r="J316" s="263"/>
      <c r="K316" s="266"/>
      <c r="L316" s="265"/>
      <c r="M316" s="265"/>
      <c r="N316" s="265"/>
      <c r="O316" s="265"/>
      <c r="P316" s="265"/>
      <c r="Q316" s="265"/>
      <c r="R316" s="267"/>
    </row>
    <row r="317" spans="1:21" ht="30" customHeight="1">
      <c r="A317" s="204" t="str">
        <f>IF(ISBLANK(D317)," ",312-COUNTBLANK($D$6:D317))</f>
        <v xml:space="preserve"> </v>
      </c>
      <c r="B317" s="202"/>
      <c r="C317" s="202"/>
      <c r="D317" s="202"/>
      <c r="E317" s="300"/>
      <c r="F317" s="210"/>
      <c r="G317" s="203"/>
      <c r="H317" s="203"/>
      <c r="I317" s="291"/>
      <c r="J317" s="263"/>
      <c r="K317" s="266"/>
      <c r="L317" s="265"/>
      <c r="M317" s="265"/>
      <c r="N317" s="265"/>
      <c r="O317" s="265"/>
      <c r="P317" s="265"/>
      <c r="Q317" s="265"/>
      <c r="R317" s="267"/>
    </row>
    <row r="318" spans="1:21" ht="30" customHeight="1">
      <c r="A318" s="204" t="str">
        <f>IF(ISBLANK(D318)," ",313-COUNTBLANK($D$6:D318))</f>
        <v xml:space="preserve"> </v>
      </c>
      <c r="B318" s="202"/>
      <c r="C318" s="202"/>
      <c r="D318" s="202"/>
      <c r="E318" s="300"/>
      <c r="F318" s="210"/>
      <c r="G318" s="203"/>
      <c r="H318" s="203"/>
      <c r="I318" s="291"/>
      <c r="J318" s="263"/>
      <c r="K318" s="266"/>
      <c r="L318" s="265"/>
      <c r="M318" s="265"/>
      <c r="N318" s="265"/>
      <c r="O318" s="265"/>
      <c r="P318" s="265"/>
      <c r="Q318" s="265"/>
      <c r="R318" s="267"/>
    </row>
    <row r="319" spans="1:21" ht="30" customHeight="1">
      <c r="A319" s="304" t="str">
        <f>IF(ISBLANK(D319)," ",314-COUNTBLANK($D$6:D319))</f>
        <v xml:space="preserve"> </v>
      </c>
      <c r="B319" s="296"/>
      <c r="C319" s="305"/>
      <c r="D319" s="306"/>
      <c r="E319" s="297"/>
      <c r="F319" s="298"/>
      <c r="G319" s="282"/>
      <c r="H319" s="282"/>
      <c r="I319" s="303"/>
      <c r="J319" s="263"/>
      <c r="K319" s="264"/>
      <c r="L319" s="265"/>
      <c r="M319" s="265"/>
      <c r="N319" s="265"/>
      <c r="O319" s="265"/>
      <c r="P319" s="265"/>
      <c r="Q319" s="265"/>
      <c r="R319" s="284"/>
      <c r="S319" s="265"/>
      <c r="T319" s="265"/>
      <c r="U319" s="265"/>
    </row>
    <row r="320" spans="1:21" ht="30" customHeight="1">
      <c r="A320" s="260" t="s">
        <v>52</v>
      </c>
      <c r="B320" s="200"/>
      <c r="C320" s="200"/>
      <c r="D320" s="200"/>
      <c r="E320" s="299"/>
      <c r="F320" s="209">
        <f>SUM(F300:F319)</f>
        <v>0</v>
      </c>
      <c r="G320" s="201"/>
      <c r="H320" s="201"/>
      <c r="I320" s="291"/>
      <c r="J320" s="263"/>
      <c r="K320" s="266"/>
      <c r="L320" s="265"/>
      <c r="M320" s="265"/>
      <c r="N320" s="265"/>
      <c r="O320" s="265"/>
      <c r="P320" s="265"/>
      <c r="Q320" s="265"/>
      <c r="R320" s="284"/>
      <c r="S320" s="265"/>
      <c r="T320" s="265"/>
      <c r="U320" s="265"/>
    </row>
    <row r="321" spans="1:18" ht="30" customHeight="1">
      <c r="A321" s="204" t="str">
        <f>IF(ISBLANK(D321)," ",316-COUNTBLANK($D$6:D321))</f>
        <v xml:space="preserve"> </v>
      </c>
      <c r="B321" s="202"/>
      <c r="C321" s="202"/>
      <c r="D321" s="202"/>
      <c r="E321" s="300"/>
      <c r="F321" s="210"/>
      <c r="G321" s="203"/>
      <c r="H321" s="203"/>
      <c r="I321" s="291"/>
      <c r="J321" s="263"/>
      <c r="K321" s="264"/>
      <c r="L321" s="265"/>
      <c r="M321" s="265"/>
      <c r="N321" s="265"/>
      <c r="O321" s="265"/>
      <c r="P321" s="265"/>
      <c r="Q321" s="265"/>
      <c r="R321" s="265"/>
    </row>
    <row r="322" spans="1:18" ht="30" customHeight="1">
      <c r="A322" s="204" t="str">
        <f>IF(ISBLANK(D322)," ",317-COUNTBLANK($D$6:D322))</f>
        <v xml:space="preserve"> </v>
      </c>
      <c r="B322" s="202"/>
      <c r="C322" s="202"/>
      <c r="D322" s="202"/>
      <c r="E322" s="300"/>
      <c r="F322" s="210"/>
      <c r="G322" s="203"/>
      <c r="H322" s="203"/>
      <c r="I322" s="291"/>
      <c r="J322" s="263"/>
      <c r="K322" s="264"/>
      <c r="L322" s="265"/>
      <c r="M322" s="265"/>
      <c r="N322" s="265"/>
      <c r="O322" s="265"/>
      <c r="P322" s="265"/>
      <c r="Q322" s="265"/>
      <c r="R322" s="265"/>
    </row>
    <row r="323" spans="1:18" ht="30" customHeight="1">
      <c r="A323" s="204" t="str">
        <f>IF(ISBLANK(D323)," ",318-COUNTBLANK($D$6:D323))</f>
        <v xml:space="preserve"> </v>
      </c>
      <c r="B323" s="202"/>
      <c r="C323" s="202"/>
      <c r="D323" s="202"/>
      <c r="E323" s="300"/>
      <c r="F323" s="210"/>
      <c r="G323" s="203"/>
      <c r="H323" s="203"/>
      <c r="I323" s="291"/>
      <c r="J323" s="263"/>
      <c r="K323" s="264"/>
      <c r="L323" s="265"/>
      <c r="M323" s="265"/>
      <c r="N323" s="265"/>
      <c r="O323" s="265"/>
      <c r="P323" s="265"/>
      <c r="Q323" s="265"/>
      <c r="R323" s="265"/>
    </row>
    <row r="324" spans="1:18" ht="30" customHeight="1">
      <c r="A324" s="204" t="str">
        <f>IF(ISBLANK(D324)," ",319-COUNTBLANK($D$6:D324))</f>
        <v xml:space="preserve"> </v>
      </c>
      <c r="B324" s="202"/>
      <c r="C324" s="202"/>
      <c r="D324" s="202"/>
      <c r="E324" s="300"/>
      <c r="F324" s="210"/>
      <c r="G324" s="203"/>
      <c r="H324" s="203"/>
      <c r="I324" s="291"/>
      <c r="J324" s="263"/>
      <c r="K324" s="264"/>
      <c r="L324" s="265"/>
      <c r="M324" s="265"/>
      <c r="N324" s="265"/>
      <c r="O324" s="265"/>
      <c r="P324" s="265"/>
      <c r="Q324" s="265"/>
      <c r="R324" s="265"/>
    </row>
    <row r="325" spans="1:18" ht="30" customHeight="1">
      <c r="A325" s="204" t="str">
        <f>IF(ISBLANK(D325)," ",320-COUNTBLANK($D$6:D325))</f>
        <v xml:space="preserve"> </v>
      </c>
      <c r="B325" s="202"/>
      <c r="C325" s="202"/>
      <c r="D325" s="202"/>
      <c r="E325" s="300"/>
      <c r="F325" s="210"/>
      <c r="G325" s="203"/>
      <c r="H325" s="203"/>
      <c r="I325" s="291"/>
      <c r="J325" s="263"/>
      <c r="K325" s="264"/>
      <c r="L325" s="265"/>
      <c r="M325" s="265"/>
      <c r="N325" s="265"/>
      <c r="O325" s="265"/>
      <c r="P325" s="265"/>
      <c r="Q325" s="265"/>
      <c r="R325" s="265"/>
    </row>
    <row r="326" spans="1:18" ht="30" customHeight="1">
      <c r="A326" s="204" t="str">
        <f>IF(ISBLANK(D326)," ",321-COUNTBLANK($D$6:D326))</f>
        <v xml:space="preserve"> </v>
      </c>
      <c r="B326" s="202"/>
      <c r="C326" s="202"/>
      <c r="D326" s="202"/>
      <c r="E326" s="300"/>
      <c r="F326" s="210"/>
      <c r="G326" s="203"/>
      <c r="H326" s="203"/>
      <c r="I326" s="291"/>
      <c r="J326" s="263"/>
      <c r="K326" s="264"/>
      <c r="L326" s="265"/>
      <c r="M326" s="265"/>
      <c r="N326" s="265"/>
      <c r="O326" s="265"/>
      <c r="P326" s="265"/>
      <c r="Q326" s="265"/>
      <c r="R326" s="265"/>
    </row>
    <row r="327" spans="1:18" ht="30" customHeight="1">
      <c r="A327" s="204" t="str">
        <f>IF(ISBLANK(D327)," ",322-COUNTBLANK($D$6:D327))</f>
        <v xml:space="preserve"> </v>
      </c>
      <c r="B327" s="202"/>
      <c r="C327" s="202"/>
      <c r="D327" s="202"/>
      <c r="E327" s="300"/>
      <c r="F327" s="210"/>
      <c r="G327" s="203"/>
      <c r="H327" s="203"/>
      <c r="I327" s="291"/>
      <c r="J327" s="263"/>
      <c r="K327" s="264"/>
      <c r="L327" s="265"/>
      <c r="M327" s="265"/>
      <c r="N327" s="265"/>
      <c r="O327" s="265"/>
      <c r="P327" s="265"/>
      <c r="Q327" s="265"/>
      <c r="R327" s="265"/>
    </row>
    <row r="328" spans="1:18" ht="30" customHeight="1">
      <c r="A328" s="204" t="str">
        <f>IF(ISBLANK(D328)," ",323-COUNTBLANK($D$6:D328))</f>
        <v xml:space="preserve"> </v>
      </c>
      <c r="B328" s="202"/>
      <c r="C328" s="202"/>
      <c r="D328" s="202"/>
      <c r="E328" s="300"/>
      <c r="F328" s="210"/>
      <c r="G328" s="203"/>
      <c r="H328" s="203"/>
      <c r="I328" s="291"/>
      <c r="J328" s="263"/>
      <c r="K328" s="264"/>
      <c r="L328" s="265"/>
      <c r="M328" s="265"/>
      <c r="N328" s="265"/>
      <c r="O328" s="265"/>
      <c r="P328" s="265"/>
      <c r="Q328" s="265"/>
      <c r="R328" s="265"/>
    </row>
    <row r="329" spans="1:18" ht="30" customHeight="1">
      <c r="A329" s="204" t="str">
        <f>IF(ISBLANK(D329)," ",324-COUNTBLANK($D$6:D329))</f>
        <v xml:space="preserve"> </v>
      </c>
      <c r="B329" s="202"/>
      <c r="C329" s="202"/>
      <c r="D329" s="202"/>
      <c r="E329" s="300"/>
      <c r="F329" s="210"/>
      <c r="G329" s="203"/>
      <c r="H329" s="203"/>
      <c r="I329" s="291"/>
      <c r="J329" s="263"/>
      <c r="K329" s="264"/>
      <c r="L329" s="265"/>
      <c r="M329" s="265"/>
      <c r="N329" s="265"/>
      <c r="O329" s="265"/>
      <c r="P329" s="265"/>
      <c r="Q329" s="265"/>
      <c r="R329" s="265"/>
    </row>
    <row r="330" spans="1:18" ht="30" customHeight="1">
      <c r="A330" s="204" t="str">
        <f>IF(ISBLANK(D330)," ",325-COUNTBLANK($D$6:D330))</f>
        <v xml:space="preserve"> </v>
      </c>
      <c r="B330" s="202"/>
      <c r="C330" s="202"/>
      <c r="D330" s="202"/>
      <c r="E330" s="300"/>
      <c r="F330" s="210"/>
      <c r="G330" s="203"/>
      <c r="H330" s="203"/>
      <c r="I330" s="291"/>
      <c r="J330" s="263"/>
      <c r="K330" s="264"/>
      <c r="L330" s="265"/>
      <c r="M330" s="265"/>
      <c r="N330" s="265"/>
      <c r="O330" s="265"/>
      <c r="P330" s="265"/>
      <c r="Q330" s="265"/>
      <c r="R330" s="265"/>
    </row>
    <row r="331" spans="1:18" ht="30" customHeight="1">
      <c r="A331" s="204" t="str">
        <f>IF(ISBLANK(D331)," ",326-COUNTBLANK($D$6:D331))</f>
        <v xml:space="preserve"> </v>
      </c>
      <c r="B331" s="202"/>
      <c r="C331" s="202"/>
      <c r="D331" s="202"/>
      <c r="E331" s="300"/>
      <c r="F331" s="210"/>
      <c r="G331" s="203"/>
      <c r="H331" s="203"/>
      <c r="I331" s="291"/>
      <c r="J331" s="263"/>
      <c r="K331" s="264"/>
      <c r="L331" s="265"/>
      <c r="M331" s="265"/>
      <c r="N331" s="265"/>
      <c r="O331" s="265"/>
      <c r="P331" s="265"/>
      <c r="Q331" s="265"/>
      <c r="R331" s="265"/>
    </row>
    <row r="332" spans="1:18" ht="30" customHeight="1">
      <c r="A332" s="204" t="str">
        <f>IF(ISBLANK(D332)," ",327-COUNTBLANK($D$6:D332))</f>
        <v xml:space="preserve"> </v>
      </c>
      <c r="B332" s="202"/>
      <c r="C332" s="202"/>
      <c r="D332" s="202"/>
      <c r="E332" s="300"/>
      <c r="F332" s="210"/>
      <c r="G332" s="203"/>
      <c r="H332" s="203"/>
      <c r="I332" s="291"/>
      <c r="J332" s="263"/>
      <c r="K332" s="264"/>
      <c r="L332" s="265"/>
      <c r="M332" s="265"/>
      <c r="N332" s="265"/>
      <c r="O332" s="265"/>
      <c r="P332" s="265"/>
      <c r="Q332" s="265"/>
      <c r="R332" s="265"/>
    </row>
    <row r="333" spans="1:18" ht="30" customHeight="1">
      <c r="A333" s="204" t="str">
        <f>IF(ISBLANK(D333)," ",328-COUNTBLANK($D$6:D333))</f>
        <v xml:space="preserve"> </v>
      </c>
      <c r="B333" s="202"/>
      <c r="C333" s="202"/>
      <c r="D333" s="202"/>
      <c r="E333" s="300"/>
      <c r="F333" s="210"/>
      <c r="G333" s="203"/>
      <c r="H333" s="203"/>
      <c r="I333" s="291"/>
      <c r="J333" s="263"/>
      <c r="K333" s="264"/>
      <c r="L333" s="265"/>
      <c r="M333" s="265"/>
      <c r="N333" s="265"/>
      <c r="O333" s="265"/>
      <c r="P333" s="265"/>
      <c r="Q333" s="265"/>
      <c r="R333" s="265"/>
    </row>
    <row r="334" spans="1:18" ht="30" customHeight="1">
      <c r="A334" s="204" t="str">
        <f>IF(ISBLANK(D334)," ",329-COUNTBLANK($D$6:D334))</f>
        <v xml:space="preserve"> </v>
      </c>
      <c r="B334" s="202"/>
      <c r="C334" s="202"/>
      <c r="D334" s="202"/>
      <c r="E334" s="300"/>
      <c r="F334" s="210"/>
      <c r="G334" s="203"/>
      <c r="H334" s="203"/>
      <c r="I334" s="291"/>
      <c r="J334" s="263"/>
      <c r="K334" s="264"/>
      <c r="L334" s="265"/>
      <c r="M334" s="265"/>
      <c r="N334" s="265"/>
      <c r="O334" s="265"/>
      <c r="P334" s="265"/>
      <c r="Q334" s="265"/>
      <c r="R334" s="265"/>
    </row>
    <row r="335" spans="1:18" ht="30" customHeight="1">
      <c r="A335" s="204" t="str">
        <f>IF(ISBLANK(D335)," ",330-COUNTBLANK($D$6:D335))</f>
        <v xml:space="preserve"> </v>
      </c>
      <c r="B335" s="202"/>
      <c r="C335" s="202"/>
      <c r="D335" s="202"/>
      <c r="E335" s="300"/>
      <c r="F335" s="210"/>
      <c r="G335" s="203"/>
      <c r="H335" s="203"/>
      <c r="I335" s="291"/>
      <c r="J335" s="263"/>
      <c r="K335" s="264"/>
      <c r="L335" s="265"/>
      <c r="M335" s="265"/>
      <c r="N335" s="265"/>
      <c r="O335" s="265"/>
      <c r="P335" s="265"/>
      <c r="Q335" s="265"/>
      <c r="R335" s="265"/>
    </row>
    <row r="336" spans="1:18" ht="30" customHeight="1">
      <c r="A336" s="204" t="str">
        <f>IF(ISBLANK(D336)," ",331-COUNTBLANK($D$6:D336))</f>
        <v xml:space="preserve"> </v>
      </c>
      <c r="B336" s="202"/>
      <c r="C336" s="202"/>
      <c r="D336" s="202"/>
      <c r="E336" s="300"/>
      <c r="F336" s="210"/>
      <c r="G336" s="203"/>
      <c r="H336" s="203"/>
      <c r="I336" s="291"/>
      <c r="J336" s="263"/>
      <c r="K336" s="266"/>
      <c r="L336" s="265"/>
      <c r="M336" s="265"/>
      <c r="N336" s="265"/>
      <c r="O336" s="265"/>
      <c r="P336" s="265"/>
      <c r="Q336" s="265"/>
      <c r="R336" s="267"/>
    </row>
    <row r="337" spans="1:21" ht="30" customHeight="1">
      <c r="A337" s="204" t="str">
        <f>IF(ISBLANK(D337)," ",332-COUNTBLANK($D$6:D337))</f>
        <v xml:space="preserve"> </v>
      </c>
      <c r="B337" s="202"/>
      <c r="C337" s="202"/>
      <c r="D337" s="202"/>
      <c r="E337" s="300"/>
      <c r="F337" s="210"/>
      <c r="G337" s="203"/>
      <c r="H337" s="203"/>
      <c r="I337" s="291"/>
      <c r="J337" s="263"/>
      <c r="K337" s="266"/>
      <c r="L337" s="265"/>
      <c r="M337" s="265"/>
      <c r="N337" s="265"/>
      <c r="O337" s="265"/>
      <c r="P337" s="265"/>
      <c r="Q337" s="265"/>
      <c r="R337" s="267"/>
    </row>
    <row r="338" spans="1:21" ht="30" customHeight="1">
      <c r="A338" s="204" t="str">
        <f>IF(ISBLANK(D338)," ",333-COUNTBLANK($D$6:D338))</f>
        <v xml:space="preserve"> </v>
      </c>
      <c r="B338" s="202"/>
      <c r="C338" s="202"/>
      <c r="D338" s="202"/>
      <c r="E338" s="300"/>
      <c r="F338" s="210"/>
      <c r="G338" s="203"/>
      <c r="H338" s="203"/>
      <c r="I338" s="291"/>
      <c r="J338" s="263"/>
      <c r="K338" s="266"/>
      <c r="L338" s="265"/>
      <c r="M338" s="265"/>
      <c r="N338" s="265"/>
      <c r="O338" s="265"/>
      <c r="P338" s="265"/>
      <c r="Q338" s="265"/>
      <c r="R338" s="267"/>
    </row>
    <row r="339" spans="1:21" ht="30" customHeight="1">
      <c r="A339" s="204" t="str">
        <f>IF(ISBLANK(D339)," ",334-COUNTBLANK($D$6:D339))</f>
        <v xml:space="preserve"> </v>
      </c>
      <c r="B339" s="202"/>
      <c r="C339" s="202"/>
      <c r="D339" s="202"/>
      <c r="E339" s="300"/>
      <c r="F339" s="210"/>
      <c r="G339" s="203"/>
      <c r="H339" s="203"/>
      <c r="I339" s="291"/>
      <c r="J339" s="263"/>
      <c r="K339" s="266"/>
      <c r="L339" s="265"/>
      <c r="M339" s="265"/>
      <c r="N339" s="265"/>
      <c r="O339" s="265"/>
      <c r="P339" s="265"/>
      <c r="Q339" s="265"/>
      <c r="R339" s="267"/>
    </row>
    <row r="340" spans="1:21" ht="30" customHeight="1">
      <c r="A340" s="304" t="str">
        <f>IF(ISBLANK(D340)," ",335-COUNTBLANK($D$6:D340))</f>
        <v xml:space="preserve"> </v>
      </c>
      <c r="B340" s="296"/>
      <c r="C340" s="305"/>
      <c r="D340" s="306"/>
      <c r="E340" s="297"/>
      <c r="F340" s="298"/>
      <c r="G340" s="282"/>
      <c r="H340" s="282"/>
      <c r="I340" s="303"/>
      <c r="J340" s="263"/>
      <c r="K340" s="264"/>
      <c r="L340" s="265"/>
      <c r="M340" s="265"/>
      <c r="N340" s="265"/>
      <c r="O340" s="265"/>
      <c r="P340" s="265"/>
      <c r="Q340" s="265"/>
      <c r="R340" s="284"/>
      <c r="S340" s="265"/>
      <c r="T340" s="265"/>
      <c r="U340" s="265"/>
    </row>
    <row r="341" spans="1:21" ht="30" customHeight="1">
      <c r="A341" s="260" t="s">
        <v>52</v>
      </c>
      <c r="B341" s="200"/>
      <c r="C341" s="200"/>
      <c r="D341" s="200"/>
      <c r="E341" s="299"/>
      <c r="F341" s="209">
        <f>SUM(F321:F340)</f>
        <v>0</v>
      </c>
      <c r="G341" s="201"/>
      <c r="H341" s="201"/>
      <c r="I341" s="291"/>
      <c r="J341" s="263"/>
      <c r="K341" s="266"/>
      <c r="L341" s="265"/>
      <c r="M341" s="265"/>
      <c r="N341" s="265"/>
      <c r="O341" s="265"/>
      <c r="P341" s="265"/>
      <c r="Q341" s="265"/>
      <c r="R341" s="284"/>
      <c r="S341" s="265"/>
      <c r="T341" s="265"/>
      <c r="U341" s="265"/>
    </row>
    <row r="342" spans="1:21" ht="30" customHeight="1">
      <c r="A342" s="204" t="str">
        <f>IF(ISBLANK(D342)," ",337-COUNTBLANK($D$6:D342))</f>
        <v xml:space="preserve"> </v>
      </c>
      <c r="B342" s="202"/>
      <c r="C342" s="202"/>
      <c r="D342" s="202"/>
      <c r="E342" s="300"/>
      <c r="F342" s="210"/>
      <c r="G342" s="203"/>
      <c r="H342" s="203"/>
      <c r="I342" s="291"/>
      <c r="J342" s="263"/>
      <c r="K342" s="264"/>
      <c r="L342" s="265"/>
      <c r="M342" s="265"/>
      <c r="N342" s="265"/>
      <c r="O342" s="265"/>
      <c r="P342" s="265"/>
      <c r="Q342" s="265"/>
      <c r="R342" s="265"/>
    </row>
    <row r="343" spans="1:21" ht="30" customHeight="1">
      <c r="A343" s="204" t="str">
        <f>IF(ISBLANK(D343)," ",338-COUNTBLANK($D$6:D343))</f>
        <v xml:space="preserve"> </v>
      </c>
      <c r="B343" s="202"/>
      <c r="C343" s="202"/>
      <c r="D343" s="202"/>
      <c r="E343" s="300"/>
      <c r="F343" s="210"/>
      <c r="G343" s="203"/>
      <c r="H343" s="203"/>
      <c r="I343" s="291"/>
      <c r="J343" s="263"/>
      <c r="K343" s="264"/>
      <c r="L343" s="265"/>
      <c r="M343" s="265"/>
      <c r="N343" s="265"/>
      <c r="O343" s="265"/>
      <c r="P343" s="265"/>
      <c r="Q343" s="265"/>
      <c r="R343" s="265"/>
    </row>
    <row r="344" spans="1:21" ht="30" customHeight="1">
      <c r="A344" s="204" t="str">
        <f>IF(ISBLANK(D344)," ",339-COUNTBLANK($D$6:D344))</f>
        <v xml:space="preserve"> </v>
      </c>
      <c r="B344" s="202"/>
      <c r="C344" s="202"/>
      <c r="D344" s="202"/>
      <c r="E344" s="300"/>
      <c r="F344" s="210"/>
      <c r="G344" s="203"/>
      <c r="H344" s="203"/>
      <c r="I344" s="291"/>
      <c r="J344" s="263"/>
      <c r="K344" s="264"/>
      <c r="L344" s="265"/>
      <c r="M344" s="265"/>
      <c r="N344" s="265"/>
      <c r="O344" s="265"/>
      <c r="P344" s="265"/>
      <c r="Q344" s="265"/>
      <c r="R344" s="265"/>
    </row>
    <row r="345" spans="1:21" ht="30" customHeight="1">
      <c r="A345" s="204" t="str">
        <f>IF(ISBLANK(D345)," ",340-COUNTBLANK($D$6:D345))</f>
        <v xml:space="preserve"> </v>
      </c>
      <c r="B345" s="202"/>
      <c r="C345" s="202"/>
      <c r="D345" s="202"/>
      <c r="E345" s="300"/>
      <c r="F345" s="210"/>
      <c r="G345" s="203"/>
      <c r="H345" s="203"/>
      <c r="I345" s="291"/>
      <c r="J345" s="263"/>
      <c r="K345" s="264"/>
      <c r="L345" s="265"/>
      <c r="M345" s="265"/>
      <c r="N345" s="265"/>
      <c r="O345" s="265"/>
      <c r="P345" s="265"/>
      <c r="Q345" s="265"/>
      <c r="R345" s="265"/>
    </row>
    <row r="346" spans="1:21" ht="30" customHeight="1">
      <c r="A346" s="204" t="str">
        <f>IF(ISBLANK(D346)," ",341-COUNTBLANK($D$6:D346))</f>
        <v xml:space="preserve"> </v>
      </c>
      <c r="B346" s="202"/>
      <c r="C346" s="202"/>
      <c r="D346" s="202"/>
      <c r="E346" s="300"/>
      <c r="F346" s="210"/>
      <c r="G346" s="203"/>
      <c r="H346" s="203"/>
      <c r="I346" s="291"/>
      <c r="J346" s="263"/>
      <c r="K346" s="264"/>
      <c r="L346" s="265"/>
      <c r="M346" s="265"/>
      <c r="N346" s="265"/>
      <c r="O346" s="265"/>
      <c r="P346" s="265"/>
      <c r="Q346" s="265"/>
      <c r="R346" s="265"/>
    </row>
    <row r="347" spans="1:21" ht="30" customHeight="1">
      <c r="A347" s="204" t="str">
        <f>IF(ISBLANK(D347)," ",342-COUNTBLANK($D$6:D347))</f>
        <v xml:space="preserve"> </v>
      </c>
      <c r="B347" s="202"/>
      <c r="C347" s="202"/>
      <c r="D347" s="202"/>
      <c r="E347" s="300"/>
      <c r="F347" s="210"/>
      <c r="G347" s="203"/>
      <c r="H347" s="203"/>
      <c r="I347" s="291"/>
      <c r="J347" s="263"/>
      <c r="K347" s="264"/>
      <c r="L347" s="265"/>
      <c r="M347" s="265"/>
      <c r="N347" s="265"/>
      <c r="O347" s="265"/>
      <c r="P347" s="265"/>
      <c r="Q347" s="265"/>
      <c r="R347" s="265"/>
    </row>
    <row r="348" spans="1:21" ht="30" customHeight="1">
      <c r="A348" s="204" t="str">
        <f>IF(ISBLANK(D348)," ",343-COUNTBLANK($D$6:D348))</f>
        <v xml:space="preserve"> </v>
      </c>
      <c r="B348" s="202"/>
      <c r="C348" s="202"/>
      <c r="D348" s="202"/>
      <c r="E348" s="300"/>
      <c r="F348" s="210"/>
      <c r="G348" s="203"/>
      <c r="H348" s="203"/>
      <c r="I348" s="291"/>
      <c r="J348" s="263"/>
      <c r="K348" s="264"/>
      <c r="L348" s="265"/>
      <c r="M348" s="265"/>
      <c r="N348" s="265"/>
      <c r="O348" s="265"/>
      <c r="P348" s="265"/>
      <c r="Q348" s="265"/>
      <c r="R348" s="265"/>
    </row>
    <row r="349" spans="1:21" ht="30" customHeight="1">
      <c r="A349" s="204" t="str">
        <f>IF(ISBLANK(D349)," ",344-COUNTBLANK($D$6:D349))</f>
        <v xml:space="preserve"> </v>
      </c>
      <c r="B349" s="202"/>
      <c r="C349" s="202"/>
      <c r="D349" s="202"/>
      <c r="E349" s="300"/>
      <c r="F349" s="210"/>
      <c r="G349" s="203"/>
      <c r="H349" s="203"/>
      <c r="I349" s="291"/>
      <c r="J349" s="263"/>
      <c r="K349" s="264"/>
      <c r="L349" s="265"/>
      <c r="M349" s="265"/>
      <c r="N349" s="265"/>
      <c r="O349" s="265"/>
      <c r="P349" s="265"/>
      <c r="Q349" s="265"/>
      <c r="R349" s="265"/>
    </row>
    <row r="350" spans="1:21" ht="30" customHeight="1">
      <c r="A350" s="204" t="str">
        <f>IF(ISBLANK(D350)," ",345-COUNTBLANK($D$6:D350))</f>
        <v xml:space="preserve"> </v>
      </c>
      <c r="B350" s="202"/>
      <c r="C350" s="202"/>
      <c r="D350" s="202"/>
      <c r="E350" s="300"/>
      <c r="F350" s="210"/>
      <c r="G350" s="203"/>
      <c r="H350" s="203"/>
      <c r="I350" s="291"/>
      <c r="J350" s="263"/>
      <c r="K350" s="264"/>
      <c r="L350" s="265"/>
      <c r="M350" s="265"/>
      <c r="N350" s="265"/>
      <c r="O350" s="265"/>
      <c r="P350" s="265"/>
      <c r="Q350" s="265"/>
      <c r="R350" s="265"/>
    </row>
    <row r="351" spans="1:21" ht="30" customHeight="1">
      <c r="A351" s="204" t="str">
        <f>IF(ISBLANK(D351)," ",346-COUNTBLANK($D$6:D351))</f>
        <v xml:space="preserve"> </v>
      </c>
      <c r="B351" s="202"/>
      <c r="C351" s="202"/>
      <c r="D351" s="202"/>
      <c r="E351" s="300"/>
      <c r="F351" s="210"/>
      <c r="G351" s="203"/>
      <c r="H351" s="203"/>
      <c r="I351" s="291"/>
      <c r="J351" s="263"/>
      <c r="K351" s="264"/>
      <c r="L351" s="265"/>
      <c r="M351" s="265"/>
      <c r="N351" s="265"/>
      <c r="O351" s="265"/>
      <c r="P351" s="265"/>
      <c r="Q351" s="265"/>
      <c r="R351" s="265"/>
    </row>
    <row r="352" spans="1:21" ht="30" customHeight="1">
      <c r="A352" s="204" t="str">
        <f>IF(ISBLANK(D352)," ",347-COUNTBLANK($D$6:D352))</f>
        <v xml:space="preserve"> </v>
      </c>
      <c r="B352" s="202"/>
      <c r="C352" s="202"/>
      <c r="D352" s="202"/>
      <c r="E352" s="300"/>
      <c r="F352" s="210"/>
      <c r="G352" s="203"/>
      <c r="H352" s="203"/>
      <c r="I352" s="291"/>
      <c r="J352" s="263"/>
      <c r="K352" s="264"/>
      <c r="L352" s="265"/>
      <c r="M352" s="265"/>
      <c r="N352" s="265"/>
      <c r="O352" s="265"/>
      <c r="P352" s="265"/>
      <c r="Q352" s="265"/>
      <c r="R352" s="265"/>
    </row>
    <row r="353" spans="1:21" ht="30" customHeight="1">
      <c r="A353" s="204" t="str">
        <f>IF(ISBLANK(D353)," ",348-COUNTBLANK($D$6:D353))</f>
        <v xml:space="preserve"> </v>
      </c>
      <c r="B353" s="202"/>
      <c r="C353" s="202"/>
      <c r="D353" s="202"/>
      <c r="E353" s="300"/>
      <c r="F353" s="210"/>
      <c r="G353" s="203"/>
      <c r="H353" s="203"/>
      <c r="I353" s="291"/>
      <c r="J353" s="263"/>
      <c r="K353" s="264"/>
      <c r="L353" s="265"/>
      <c r="M353" s="265"/>
      <c r="N353" s="265"/>
      <c r="O353" s="265"/>
      <c r="P353" s="265"/>
      <c r="Q353" s="265"/>
      <c r="R353" s="265"/>
    </row>
    <row r="354" spans="1:21" ht="30" customHeight="1">
      <c r="A354" s="204" t="str">
        <f>IF(ISBLANK(D354)," ",349-COUNTBLANK($D$6:D354))</f>
        <v xml:space="preserve"> </v>
      </c>
      <c r="B354" s="202"/>
      <c r="C354" s="202"/>
      <c r="D354" s="202"/>
      <c r="E354" s="300"/>
      <c r="F354" s="210"/>
      <c r="G354" s="203"/>
      <c r="H354" s="203"/>
      <c r="I354" s="291"/>
      <c r="J354" s="263"/>
      <c r="K354" s="264"/>
      <c r="L354" s="265"/>
      <c r="M354" s="265"/>
      <c r="N354" s="265"/>
      <c r="O354" s="265"/>
      <c r="P354" s="265"/>
      <c r="Q354" s="265"/>
      <c r="R354" s="265"/>
    </row>
    <row r="355" spans="1:21" ht="30" customHeight="1">
      <c r="A355" s="204" t="str">
        <f>IF(ISBLANK(D355)," ",350-COUNTBLANK($D$6:D355))</f>
        <v xml:space="preserve"> </v>
      </c>
      <c r="B355" s="202"/>
      <c r="C355" s="202"/>
      <c r="D355" s="202"/>
      <c r="E355" s="300"/>
      <c r="F355" s="210"/>
      <c r="G355" s="203"/>
      <c r="H355" s="203"/>
      <c r="I355" s="291"/>
      <c r="J355" s="263"/>
      <c r="K355" s="264"/>
      <c r="L355" s="265"/>
      <c r="M355" s="265"/>
      <c r="N355" s="265"/>
      <c r="O355" s="265"/>
      <c r="P355" s="265"/>
      <c r="Q355" s="265"/>
      <c r="R355" s="265"/>
    </row>
    <row r="356" spans="1:21" ht="30" customHeight="1">
      <c r="A356" s="204" t="str">
        <f>IF(ISBLANK(D356)," ",351-COUNTBLANK($D$6:D356))</f>
        <v xml:space="preserve"> </v>
      </c>
      <c r="B356" s="202"/>
      <c r="C356" s="202"/>
      <c r="D356" s="202"/>
      <c r="E356" s="300"/>
      <c r="F356" s="210"/>
      <c r="G356" s="203"/>
      <c r="H356" s="203"/>
      <c r="I356" s="291"/>
      <c r="J356" s="263"/>
      <c r="K356" s="264"/>
      <c r="L356" s="265"/>
      <c r="M356" s="265"/>
      <c r="N356" s="265"/>
      <c r="O356" s="265"/>
      <c r="P356" s="265"/>
      <c r="Q356" s="265"/>
      <c r="R356" s="265"/>
    </row>
    <row r="357" spans="1:21" ht="30" customHeight="1">
      <c r="A357" s="204" t="str">
        <f>IF(ISBLANK(D357)," ",352-COUNTBLANK($D$6:D357))</f>
        <v xml:space="preserve"> </v>
      </c>
      <c r="B357" s="202"/>
      <c r="C357" s="202"/>
      <c r="D357" s="202"/>
      <c r="E357" s="300"/>
      <c r="F357" s="210"/>
      <c r="G357" s="203"/>
      <c r="H357" s="203"/>
      <c r="I357" s="291"/>
      <c r="J357" s="263"/>
      <c r="K357" s="266"/>
      <c r="L357" s="265"/>
      <c r="M357" s="265"/>
      <c r="N357" s="265"/>
      <c r="O357" s="265"/>
      <c r="P357" s="265"/>
      <c r="Q357" s="265"/>
      <c r="R357" s="267"/>
    </row>
    <row r="358" spans="1:21" ht="30" customHeight="1">
      <c r="A358" s="204" t="str">
        <f>IF(ISBLANK(D358)," ",353-COUNTBLANK($D$6:D358))</f>
        <v xml:space="preserve"> </v>
      </c>
      <c r="B358" s="202"/>
      <c r="C358" s="202"/>
      <c r="D358" s="202"/>
      <c r="E358" s="300"/>
      <c r="F358" s="210"/>
      <c r="G358" s="203"/>
      <c r="H358" s="203"/>
      <c r="I358" s="291"/>
      <c r="J358" s="263"/>
      <c r="K358" s="266"/>
      <c r="L358" s="265"/>
      <c r="M358" s="265"/>
      <c r="N358" s="265"/>
      <c r="O358" s="265"/>
      <c r="P358" s="265"/>
      <c r="Q358" s="265"/>
      <c r="R358" s="267"/>
    </row>
    <row r="359" spans="1:21" ht="30" customHeight="1">
      <c r="A359" s="204" t="str">
        <f>IF(ISBLANK(D359)," ",354-COUNTBLANK($D$6:D359))</f>
        <v xml:space="preserve"> </v>
      </c>
      <c r="B359" s="202"/>
      <c r="C359" s="202"/>
      <c r="D359" s="202"/>
      <c r="E359" s="300"/>
      <c r="F359" s="210"/>
      <c r="G359" s="203"/>
      <c r="H359" s="203"/>
      <c r="I359" s="291"/>
      <c r="J359" s="263"/>
      <c r="K359" s="266"/>
      <c r="L359" s="265"/>
      <c r="M359" s="265"/>
      <c r="N359" s="265"/>
      <c r="O359" s="265"/>
      <c r="P359" s="265"/>
      <c r="Q359" s="265"/>
      <c r="R359" s="267"/>
    </row>
    <row r="360" spans="1:21" ht="30" customHeight="1">
      <c r="A360" s="204" t="str">
        <f>IF(ISBLANK(D360)," ",355-COUNTBLANK($D$6:D360))</f>
        <v xml:space="preserve"> </v>
      </c>
      <c r="B360" s="202"/>
      <c r="C360" s="202"/>
      <c r="D360" s="202"/>
      <c r="E360" s="300"/>
      <c r="F360" s="210"/>
      <c r="G360" s="203"/>
      <c r="H360" s="203"/>
      <c r="I360" s="291"/>
      <c r="J360" s="263"/>
      <c r="K360" s="266"/>
      <c r="L360" s="265"/>
      <c r="M360" s="265"/>
      <c r="N360" s="265"/>
      <c r="O360" s="265"/>
      <c r="P360" s="265"/>
      <c r="Q360" s="265"/>
      <c r="R360" s="267"/>
    </row>
    <row r="361" spans="1:21" ht="30" customHeight="1">
      <c r="A361" s="304" t="str">
        <f>IF(ISBLANK(D361)," ",356-COUNTBLANK($D$6:D361))</f>
        <v xml:space="preserve"> </v>
      </c>
      <c r="B361" s="296"/>
      <c r="C361" s="305"/>
      <c r="D361" s="306"/>
      <c r="E361" s="297"/>
      <c r="F361" s="298"/>
      <c r="G361" s="282"/>
      <c r="H361" s="282"/>
      <c r="I361" s="303"/>
      <c r="J361" s="263"/>
      <c r="K361" s="264"/>
      <c r="L361" s="265"/>
      <c r="M361" s="265"/>
      <c r="N361" s="265"/>
      <c r="O361" s="265"/>
      <c r="P361" s="265"/>
      <c r="Q361" s="265"/>
      <c r="R361" s="284"/>
      <c r="S361" s="265"/>
      <c r="T361" s="265"/>
      <c r="U361" s="265"/>
    </row>
    <row r="362" spans="1:21" ht="30" customHeight="1">
      <c r="A362" s="260" t="s">
        <v>52</v>
      </c>
      <c r="B362" s="200"/>
      <c r="C362" s="200"/>
      <c r="D362" s="200"/>
      <c r="E362" s="299"/>
      <c r="F362" s="209">
        <f>SUM(F342:F361)</f>
        <v>0</v>
      </c>
      <c r="G362" s="201"/>
      <c r="H362" s="201"/>
      <c r="I362" s="291"/>
      <c r="J362" s="263"/>
      <c r="K362" s="266"/>
      <c r="L362" s="265"/>
      <c r="M362" s="265"/>
      <c r="N362" s="265"/>
      <c r="O362" s="265"/>
      <c r="P362" s="265"/>
      <c r="Q362" s="265"/>
      <c r="R362" s="284"/>
      <c r="S362" s="265"/>
      <c r="T362" s="265"/>
      <c r="U362" s="265"/>
    </row>
    <row r="363" spans="1:21" ht="30" customHeight="1">
      <c r="A363" s="204" t="str">
        <f>IF(ISBLANK(D363)," ",358-COUNTBLANK($D$6:D363))</f>
        <v xml:space="preserve"> </v>
      </c>
      <c r="B363" s="202"/>
      <c r="C363" s="202"/>
      <c r="D363" s="202"/>
      <c r="E363" s="300"/>
      <c r="F363" s="210"/>
      <c r="G363" s="203"/>
      <c r="H363" s="203"/>
      <c r="I363" s="291"/>
      <c r="J363" s="263"/>
      <c r="K363" s="264"/>
      <c r="L363" s="265"/>
      <c r="M363" s="265"/>
      <c r="N363" s="265"/>
      <c r="O363" s="265"/>
      <c r="P363" s="265"/>
      <c r="Q363" s="265"/>
      <c r="R363" s="265"/>
    </row>
    <row r="364" spans="1:21" ht="30" customHeight="1">
      <c r="A364" s="204" t="str">
        <f>IF(ISBLANK(D364)," ",359-COUNTBLANK($D$6:D364))</f>
        <v xml:space="preserve"> </v>
      </c>
      <c r="B364" s="202"/>
      <c r="C364" s="202"/>
      <c r="D364" s="202"/>
      <c r="E364" s="300"/>
      <c r="F364" s="210"/>
      <c r="G364" s="203"/>
      <c r="H364" s="203"/>
      <c r="I364" s="291"/>
      <c r="J364" s="263"/>
      <c r="K364" s="264"/>
      <c r="L364" s="265"/>
      <c r="M364" s="265"/>
      <c r="N364" s="265"/>
      <c r="O364" s="265"/>
      <c r="P364" s="265"/>
      <c r="Q364" s="265"/>
      <c r="R364" s="265"/>
    </row>
    <row r="365" spans="1:21" ht="30" customHeight="1">
      <c r="A365" s="204" t="str">
        <f>IF(ISBLANK(D365)," ",360-COUNTBLANK($D$6:D365))</f>
        <v xml:space="preserve"> </v>
      </c>
      <c r="B365" s="202"/>
      <c r="C365" s="202"/>
      <c r="D365" s="202"/>
      <c r="E365" s="300"/>
      <c r="F365" s="210"/>
      <c r="G365" s="203"/>
      <c r="H365" s="203"/>
      <c r="I365" s="291"/>
      <c r="J365" s="263"/>
      <c r="K365" s="264"/>
      <c r="L365" s="265"/>
      <c r="M365" s="265"/>
      <c r="N365" s="265"/>
      <c r="O365" s="265"/>
      <c r="P365" s="265"/>
      <c r="Q365" s="265"/>
      <c r="R365" s="265"/>
    </row>
    <row r="366" spans="1:21" ht="30" customHeight="1">
      <c r="A366" s="204" t="str">
        <f>IF(ISBLANK(D366)," ",361-COUNTBLANK($D$6:D366))</f>
        <v xml:space="preserve"> </v>
      </c>
      <c r="B366" s="202"/>
      <c r="C366" s="202"/>
      <c r="D366" s="202"/>
      <c r="E366" s="300"/>
      <c r="F366" s="210"/>
      <c r="G366" s="203"/>
      <c r="H366" s="203"/>
      <c r="I366" s="291"/>
      <c r="J366" s="263"/>
      <c r="K366" s="264"/>
      <c r="L366" s="265"/>
      <c r="M366" s="265"/>
      <c r="N366" s="265"/>
      <c r="O366" s="265"/>
      <c r="P366" s="265"/>
      <c r="Q366" s="265"/>
      <c r="R366" s="265"/>
    </row>
    <row r="367" spans="1:21" ht="30" customHeight="1">
      <c r="A367" s="204" t="str">
        <f>IF(ISBLANK(D367)," ",362-COUNTBLANK($D$6:D367))</f>
        <v xml:space="preserve"> </v>
      </c>
      <c r="B367" s="202"/>
      <c r="C367" s="202"/>
      <c r="D367" s="202"/>
      <c r="E367" s="300"/>
      <c r="F367" s="210"/>
      <c r="G367" s="203"/>
      <c r="H367" s="203"/>
      <c r="I367" s="291"/>
      <c r="J367" s="263"/>
      <c r="K367" s="264"/>
      <c r="L367" s="265"/>
      <c r="M367" s="265"/>
      <c r="N367" s="265"/>
      <c r="O367" s="265"/>
      <c r="P367" s="265"/>
      <c r="Q367" s="265"/>
      <c r="R367" s="265"/>
    </row>
    <row r="368" spans="1:21" ht="30" customHeight="1">
      <c r="A368" s="204" t="str">
        <f>IF(ISBLANK(D368)," ",363-COUNTBLANK($D$6:D368))</f>
        <v xml:space="preserve"> </v>
      </c>
      <c r="B368" s="202"/>
      <c r="C368" s="202"/>
      <c r="D368" s="202"/>
      <c r="E368" s="300"/>
      <c r="F368" s="210"/>
      <c r="G368" s="203"/>
      <c r="H368" s="203"/>
      <c r="I368" s="291"/>
      <c r="J368" s="263"/>
      <c r="K368" s="264"/>
      <c r="L368" s="265"/>
      <c r="M368" s="265"/>
      <c r="N368" s="265"/>
      <c r="O368" s="265"/>
      <c r="P368" s="265"/>
      <c r="Q368" s="265"/>
      <c r="R368" s="265"/>
    </row>
    <row r="369" spans="1:21" ht="30" customHeight="1">
      <c r="A369" s="204" t="str">
        <f>IF(ISBLANK(D369)," ",364-COUNTBLANK($D$6:D369))</f>
        <v xml:space="preserve"> </v>
      </c>
      <c r="B369" s="202"/>
      <c r="C369" s="202"/>
      <c r="D369" s="202"/>
      <c r="E369" s="300"/>
      <c r="F369" s="210"/>
      <c r="G369" s="203"/>
      <c r="H369" s="203"/>
      <c r="I369" s="291"/>
      <c r="J369" s="263"/>
      <c r="K369" s="264"/>
      <c r="L369" s="265"/>
      <c r="M369" s="265"/>
      <c r="N369" s="265"/>
      <c r="O369" s="265"/>
      <c r="P369" s="265"/>
      <c r="Q369" s="265"/>
      <c r="R369" s="265"/>
    </row>
    <row r="370" spans="1:21" ht="30" customHeight="1">
      <c r="A370" s="204" t="str">
        <f>IF(ISBLANK(D370)," ",365-COUNTBLANK($D$6:D370))</f>
        <v xml:space="preserve"> </v>
      </c>
      <c r="B370" s="202"/>
      <c r="C370" s="202"/>
      <c r="D370" s="202"/>
      <c r="E370" s="300"/>
      <c r="F370" s="210"/>
      <c r="G370" s="203"/>
      <c r="H370" s="203"/>
      <c r="I370" s="291"/>
      <c r="J370" s="263"/>
      <c r="K370" s="264"/>
      <c r="L370" s="265"/>
      <c r="M370" s="265"/>
      <c r="N370" s="265"/>
      <c r="O370" s="265"/>
      <c r="P370" s="265"/>
      <c r="Q370" s="265"/>
      <c r="R370" s="265"/>
    </row>
    <row r="371" spans="1:21" ht="30" customHeight="1">
      <c r="A371" s="204" t="str">
        <f>IF(ISBLANK(D371)," ",366-COUNTBLANK($D$6:D371))</f>
        <v xml:space="preserve"> </v>
      </c>
      <c r="B371" s="202"/>
      <c r="C371" s="202"/>
      <c r="D371" s="202"/>
      <c r="E371" s="300"/>
      <c r="F371" s="210"/>
      <c r="G371" s="203"/>
      <c r="H371" s="203"/>
      <c r="I371" s="291"/>
      <c r="J371" s="263"/>
      <c r="K371" s="264"/>
      <c r="L371" s="265"/>
      <c r="M371" s="265"/>
      <c r="N371" s="265"/>
      <c r="O371" s="265"/>
      <c r="P371" s="265"/>
      <c r="Q371" s="265"/>
      <c r="R371" s="265"/>
    </row>
    <row r="372" spans="1:21" ht="30" customHeight="1">
      <c r="A372" s="204" t="str">
        <f>IF(ISBLANK(D372)," ",367-COUNTBLANK($D$6:D372))</f>
        <v xml:space="preserve"> </v>
      </c>
      <c r="B372" s="202"/>
      <c r="C372" s="202"/>
      <c r="D372" s="202"/>
      <c r="E372" s="300"/>
      <c r="F372" s="210"/>
      <c r="G372" s="203"/>
      <c r="H372" s="203"/>
      <c r="I372" s="291"/>
      <c r="J372" s="263"/>
      <c r="K372" s="264"/>
      <c r="L372" s="265"/>
      <c r="M372" s="265"/>
      <c r="N372" s="265"/>
      <c r="O372" s="265"/>
      <c r="P372" s="265"/>
      <c r="Q372" s="265"/>
      <c r="R372" s="265"/>
    </row>
    <row r="373" spans="1:21" ht="30" customHeight="1">
      <c r="A373" s="204" t="str">
        <f>IF(ISBLANK(D373)," ",368-COUNTBLANK($D$6:D373))</f>
        <v xml:space="preserve"> </v>
      </c>
      <c r="B373" s="202"/>
      <c r="C373" s="202"/>
      <c r="D373" s="202"/>
      <c r="E373" s="300"/>
      <c r="F373" s="210"/>
      <c r="G373" s="203"/>
      <c r="H373" s="203"/>
      <c r="I373" s="291"/>
      <c r="J373" s="263"/>
      <c r="K373" s="264"/>
      <c r="L373" s="265"/>
      <c r="M373" s="265"/>
      <c r="N373" s="265"/>
      <c r="O373" s="265"/>
      <c r="P373" s="265"/>
      <c r="Q373" s="265"/>
      <c r="R373" s="265"/>
    </row>
    <row r="374" spans="1:21" ht="30" customHeight="1">
      <c r="A374" s="204" t="str">
        <f>IF(ISBLANK(D374)," ",369-COUNTBLANK($D$6:D374))</f>
        <v xml:space="preserve"> </v>
      </c>
      <c r="B374" s="202"/>
      <c r="C374" s="202"/>
      <c r="D374" s="202"/>
      <c r="E374" s="300"/>
      <c r="F374" s="210"/>
      <c r="G374" s="203"/>
      <c r="H374" s="203"/>
      <c r="I374" s="291"/>
      <c r="J374" s="263"/>
      <c r="K374" s="264"/>
      <c r="L374" s="265"/>
      <c r="M374" s="265"/>
      <c r="N374" s="265"/>
      <c r="O374" s="265"/>
      <c r="P374" s="265"/>
      <c r="Q374" s="265"/>
      <c r="R374" s="265"/>
    </row>
    <row r="375" spans="1:21" ht="30" customHeight="1">
      <c r="A375" s="204" t="str">
        <f>IF(ISBLANK(D375)," ",370-COUNTBLANK($D$6:D375))</f>
        <v xml:space="preserve"> </v>
      </c>
      <c r="B375" s="202"/>
      <c r="C375" s="202"/>
      <c r="D375" s="202"/>
      <c r="E375" s="300"/>
      <c r="F375" s="210"/>
      <c r="G375" s="203"/>
      <c r="H375" s="203"/>
      <c r="I375" s="291"/>
      <c r="J375" s="263"/>
      <c r="K375" s="264"/>
      <c r="L375" s="265"/>
      <c r="M375" s="265"/>
      <c r="N375" s="265"/>
      <c r="O375" s="265"/>
      <c r="P375" s="265"/>
      <c r="Q375" s="265"/>
      <c r="R375" s="265"/>
    </row>
    <row r="376" spans="1:21" ht="30" customHeight="1">
      <c r="A376" s="204" t="str">
        <f>IF(ISBLANK(D376)," ",371-COUNTBLANK($D$6:D376))</f>
        <v xml:space="preserve"> </v>
      </c>
      <c r="B376" s="202"/>
      <c r="C376" s="202"/>
      <c r="D376" s="202"/>
      <c r="E376" s="300"/>
      <c r="F376" s="210"/>
      <c r="G376" s="203"/>
      <c r="H376" s="203"/>
      <c r="I376" s="291"/>
      <c r="J376" s="263"/>
      <c r="K376" s="264"/>
      <c r="L376" s="265"/>
      <c r="M376" s="265"/>
      <c r="N376" s="265"/>
      <c r="O376" s="265"/>
      <c r="P376" s="265"/>
      <c r="Q376" s="265"/>
      <c r="R376" s="265"/>
    </row>
    <row r="377" spans="1:21" ht="30" customHeight="1">
      <c r="A377" s="204" t="str">
        <f>IF(ISBLANK(D377)," ",372-COUNTBLANK($D$6:D377))</f>
        <v xml:space="preserve"> </v>
      </c>
      <c r="B377" s="202"/>
      <c r="C377" s="202"/>
      <c r="D377" s="202"/>
      <c r="E377" s="300"/>
      <c r="F377" s="210"/>
      <c r="G377" s="203"/>
      <c r="H377" s="203"/>
      <c r="I377" s="291"/>
      <c r="J377" s="263"/>
      <c r="K377" s="264"/>
      <c r="L377" s="265"/>
      <c r="M377" s="265"/>
      <c r="N377" s="265"/>
      <c r="O377" s="265"/>
      <c r="P377" s="265"/>
      <c r="Q377" s="265"/>
      <c r="R377" s="265"/>
    </row>
    <row r="378" spans="1:21" ht="30" customHeight="1">
      <c r="A378" s="204" t="str">
        <f>IF(ISBLANK(D378)," ",373-COUNTBLANK($D$6:D378))</f>
        <v xml:space="preserve"> </v>
      </c>
      <c r="B378" s="202"/>
      <c r="C378" s="202"/>
      <c r="D378" s="202"/>
      <c r="E378" s="300"/>
      <c r="F378" s="210"/>
      <c r="G378" s="203"/>
      <c r="H378" s="203"/>
      <c r="I378" s="291"/>
      <c r="J378" s="263"/>
      <c r="K378" s="266"/>
      <c r="L378" s="265"/>
      <c r="M378" s="265"/>
      <c r="N378" s="265"/>
      <c r="O378" s="265"/>
      <c r="P378" s="265"/>
      <c r="Q378" s="265"/>
      <c r="R378" s="267"/>
    </row>
    <row r="379" spans="1:21" ht="30" customHeight="1">
      <c r="A379" s="204" t="str">
        <f>IF(ISBLANK(D379)," ",374-COUNTBLANK($D$6:D379))</f>
        <v xml:space="preserve"> </v>
      </c>
      <c r="B379" s="202"/>
      <c r="C379" s="202"/>
      <c r="D379" s="202"/>
      <c r="E379" s="300"/>
      <c r="F379" s="210"/>
      <c r="G379" s="203"/>
      <c r="H379" s="203"/>
      <c r="I379" s="291"/>
      <c r="J379" s="263"/>
      <c r="K379" s="266"/>
      <c r="L379" s="265"/>
      <c r="M379" s="265"/>
      <c r="N379" s="265"/>
      <c r="O379" s="265"/>
      <c r="P379" s="265"/>
      <c r="Q379" s="265"/>
      <c r="R379" s="267"/>
    </row>
    <row r="380" spans="1:21" ht="30" customHeight="1">
      <c r="A380" s="204" t="str">
        <f>IF(ISBLANK(D380)," ",375-COUNTBLANK($D$6:D380))</f>
        <v xml:space="preserve"> </v>
      </c>
      <c r="B380" s="202"/>
      <c r="C380" s="202"/>
      <c r="D380" s="202"/>
      <c r="E380" s="300"/>
      <c r="F380" s="210"/>
      <c r="G380" s="203"/>
      <c r="H380" s="203"/>
      <c r="I380" s="291"/>
      <c r="J380" s="263"/>
      <c r="K380" s="266"/>
      <c r="L380" s="265"/>
      <c r="M380" s="265"/>
      <c r="N380" s="265"/>
      <c r="O380" s="265"/>
      <c r="P380" s="265"/>
      <c r="Q380" s="265"/>
      <c r="R380" s="267"/>
    </row>
    <row r="381" spans="1:21" ht="30" customHeight="1">
      <c r="A381" s="204" t="str">
        <f>IF(ISBLANK(D381)," ",376-COUNTBLANK($D$6:D381))</f>
        <v xml:space="preserve"> </v>
      </c>
      <c r="B381" s="202"/>
      <c r="C381" s="202"/>
      <c r="D381" s="202"/>
      <c r="E381" s="300"/>
      <c r="F381" s="210"/>
      <c r="G381" s="203"/>
      <c r="H381" s="203"/>
      <c r="I381" s="291"/>
      <c r="J381" s="263"/>
      <c r="K381" s="266"/>
      <c r="L381" s="265"/>
      <c r="M381" s="265"/>
      <c r="N381" s="265"/>
      <c r="O381" s="265"/>
      <c r="P381" s="265"/>
      <c r="Q381" s="265"/>
      <c r="R381" s="267"/>
    </row>
    <row r="382" spans="1:21" ht="30" customHeight="1">
      <c r="A382" s="304" t="str">
        <f>IF(ISBLANK(D382)," ",377-COUNTBLANK($D$6:D382))</f>
        <v xml:space="preserve"> </v>
      </c>
      <c r="B382" s="296"/>
      <c r="C382" s="305"/>
      <c r="D382" s="306"/>
      <c r="E382" s="297"/>
      <c r="F382" s="298"/>
      <c r="G382" s="282"/>
      <c r="H382" s="282"/>
      <c r="I382" s="303"/>
      <c r="J382" s="263"/>
      <c r="K382" s="264"/>
      <c r="L382" s="265"/>
      <c r="M382" s="265"/>
      <c r="N382" s="265"/>
      <c r="O382" s="265"/>
      <c r="P382" s="265"/>
      <c r="Q382" s="265"/>
      <c r="R382" s="284"/>
      <c r="S382" s="265"/>
      <c r="T382" s="265"/>
      <c r="U382" s="265"/>
    </row>
    <row r="383" spans="1:21" ht="30" customHeight="1">
      <c r="A383" s="260" t="s">
        <v>52</v>
      </c>
      <c r="B383" s="200"/>
      <c r="C383" s="200"/>
      <c r="D383" s="200"/>
      <c r="E383" s="299"/>
      <c r="F383" s="209">
        <f>SUM(F363:F382)</f>
        <v>0</v>
      </c>
      <c r="G383" s="201"/>
      <c r="H383" s="201"/>
      <c r="I383" s="291"/>
      <c r="J383" s="263"/>
      <c r="K383" s="266"/>
      <c r="L383" s="265"/>
      <c r="M383" s="265"/>
      <c r="N383" s="265"/>
      <c r="O383" s="265"/>
      <c r="P383" s="265"/>
      <c r="Q383" s="265"/>
      <c r="R383" s="284"/>
      <c r="S383" s="265"/>
      <c r="T383" s="265"/>
      <c r="U383" s="265"/>
    </row>
    <row r="384" spans="1:21" ht="30" customHeight="1">
      <c r="A384" s="204" t="str">
        <f>IF(ISBLANK(D384)," ",379-COUNTBLANK($D$6:D384))</f>
        <v xml:space="preserve"> </v>
      </c>
      <c r="B384" s="202"/>
      <c r="C384" s="202"/>
      <c r="D384" s="202"/>
      <c r="E384" s="300"/>
      <c r="F384" s="210"/>
      <c r="G384" s="203"/>
      <c r="H384" s="203"/>
      <c r="I384" s="291"/>
      <c r="J384" s="263"/>
      <c r="K384" s="264"/>
      <c r="L384" s="265"/>
      <c r="M384" s="265"/>
      <c r="N384" s="265"/>
      <c r="O384" s="265"/>
      <c r="P384" s="265"/>
      <c r="Q384" s="265"/>
      <c r="R384" s="265"/>
    </row>
    <row r="385" spans="1:18" ht="30" customHeight="1">
      <c r="A385" s="204" t="str">
        <f>IF(ISBLANK(D385)," ",380-COUNTBLANK($D$6:D385))</f>
        <v xml:space="preserve"> </v>
      </c>
      <c r="B385" s="202"/>
      <c r="C385" s="202"/>
      <c r="D385" s="202"/>
      <c r="E385" s="300"/>
      <c r="F385" s="210"/>
      <c r="G385" s="203"/>
      <c r="H385" s="203"/>
      <c r="I385" s="291"/>
      <c r="J385" s="263"/>
      <c r="K385" s="264"/>
      <c r="L385" s="265"/>
      <c r="M385" s="265"/>
      <c r="N385" s="265"/>
      <c r="O385" s="265"/>
      <c r="P385" s="265"/>
      <c r="Q385" s="265"/>
      <c r="R385" s="265"/>
    </row>
    <row r="386" spans="1:18" ht="30" customHeight="1">
      <c r="A386" s="204" t="str">
        <f>IF(ISBLANK(D386)," ",381-COUNTBLANK($D$6:D386))</f>
        <v xml:space="preserve"> </v>
      </c>
      <c r="B386" s="202"/>
      <c r="C386" s="202"/>
      <c r="D386" s="202"/>
      <c r="E386" s="300"/>
      <c r="F386" s="210"/>
      <c r="G386" s="203"/>
      <c r="H386" s="203"/>
      <c r="I386" s="291"/>
      <c r="J386" s="263"/>
      <c r="K386" s="264"/>
      <c r="L386" s="265"/>
      <c r="M386" s="265"/>
      <c r="N386" s="265"/>
      <c r="O386" s="265"/>
      <c r="P386" s="265"/>
      <c r="Q386" s="265"/>
      <c r="R386" s="265"/>
    </row>
    <row r="387" spans="1:18" ht="30" customHeight="1">
      <c r="A387" s="204" t="str">
        <f>IF(ISBLANK(D387)," ",382-COUNTBLANK($D$6:D387))</f>
        <v xml:space="preserve"> </v>
      </c>
      <c r="B387" s="202"/>
      <c r="C387" s="202"/>
      <c r="D387" s="202"/>
      <c r="E387" s="300"/>
      <c r="F387" s="210"/>
      <c r="G387" s="203"/>
      <c r="H387" s="203"/>
      <c r="I387" s="291"/>
      <c r="J387" s="263"/>
      <c r="K387" s="264"/>
      <c r="L387" s="265"/>
      <c r="M387" s="265"/>
      <c r="N387" s="265"/>
      <c r="O387" s="265"/>
      <c r="P387" s="265"/>
      <c r="Q387" s="265"/>
      <c r="R387" s="265"/>
    </row>
    <row r="388" spans="1:18" ht="30" customHeight="1">
      <c r="A388" s="204" t="str">
        <f>IF(ISBLANK(D388)," ",383-COUNTBLANK($D$6:D388))</f>
        <v xml:space="preserve"> </v>
      </c>
      <c r="B388" s="202"/>
      <c r="C388" s="202"/>
      <c r="D388" s="202"/>
      <c r="E388" s="300"/>
      <c r="F388" s="210"/>
      <c r="G388" s="203"/>
      <c r="H388" s="203"/>
      <c r="I388" s="291"/>
      <c r="J388" s="263"/>
      <c r="K388" s="264"/>
      <c r="L388" s="265"/>
      <c r="M388" s="265"/>
      <c r="N388" s="265"/>
      <c r="O388" s="265"/>
      <c r="P388" s="265"/>
      <c r="Q388" s="265"/>
      <c r="R388" s="265"/>
    </row>
    <row r="389" spans="1:18" ht="30" customHeight="1">
      <c r="A389" s="204" t="str">
        <f>IF(ISBLANK(D389)," ",384-COUNTBLANK($D$6:D389))</f>
        <v xml:space="preserve"> </v>
      </c>
      <c r="B389" s="202"/>
      <c r="C389" s="202"/>
      <c r="D389" s="202"/>
      <c r="E389" s="300"/>
      <c r="F389" s="210"/>
      <c r="G389" s="203"/>
      <c r="H389" s="203"/>
      <c r="I389" s="291"/>
      <c r="J389" s="263"/>
      <c r="K389" s="264"/>
      <c r="L389" s="265"/>
      <c r="M389" s="265"/>
      <c r="N389" s="265"/>
      <c r="O389" s="265"/>
      <c r="P389" s="265"/>
      <c r="Q389" s="265"/>
      <c r="R389" s="265"/>
    </row>
    <row r="390" spans="1:18" ht="30" customHeight="1">
      <c r="A390" s="204" t="str">
        <f>IF(ISBLANK(D390)," ",385-COUNTBLANK($D$6:D390))</f>
        <v xml:space="preserve"> </v>
      </c>
      <c r="B390" s="202"/>
      <c r="C390" s="202"/>
      <c r="D390" s="202"/>
      <c r="E390" s="300"/>
      <c r="F390" s="210"/>
      <c r="G390" s="203"/>
      <c r="H390" s="203"/>
      <c r="I390" s="291"/>
      <c r="J390" s="263"/>
      <c r="K390" s="264"/>
      <c r="L390" s="265"/>
      <c r="M390" s="265"/>
      <c r="N390" s="265"/>
      <c r="O390" s="265"/>
      <c r="P390" s="265"/>
      <c r="Q390" s="265"/>
      <c r="R390" s="265"/>
    </row>
    <row r="391" spans="1:18" ht="30" customHeight="1">
      <c r="A391" s="204" t="str">
        <f>IF(ISBLANK(D391)," ",386-COUNTBLANK($D$6:D391))</f>
        <v xml:space="preserve"> </v>
      </c>
      <c r="B391" s="202"/>
      <c r="C391" s="202"/>
      <c r="D391" s="202"/>
      <c r="E391" s="300"/>
      <c r="F391" s="210"/>
      <c r="G391" s="203"/>
      <c r="H391" s="203"/>
      <c r="I391" s="291"/>
      <c r="J391" s="263"/>
      <c r="K391" s="264"/>
      <c r="L391" s="265"/>
      <c r="M391" s="265"/>
      <c r="N391" s="265"/>
      <c r="O391" s="265"/>
      <c r="P391" s="265"/>
      <c r="Q391" s="265"/>
      <c r="R391" s="265"/>
    </row>
    <row r="392" spans="1:18" ht="30" customHeight="1">
      <c r="A392" s="204" t="str">
        <f>IF(ISBLANK(D392)," ",387-COUNTBLANK($D$6:D392))</f>
        <v xml:space="preserve"> </v>
      </c>
      <c r="B392" s="202"/>
      <c r="C392" s="202"/>
      <c r="D392" s="202"/>
      <c r="E392" s="300"/>
      <c r="F392" s="210"/>
      <c r="G392" s="203"/>
      <c r="H392" s="203"/>
      <c r="I392" s="291"/>
      <c r="J392" s="263"/>
      <c r="K392" s="264"/>
      <c r="L392" s="265"/>
      <c r="M392" s="265"/>
      <c r="N392" s="265"/>
      <c r="O392" s="265"/>
      <c r="P392" s="265"/>
      <c r="Q392" s="265"/>
      <c r="R392" s="265"/>
    </row>
    <row r="393" spans="1:18" ht="30" customHeight="1">
      <c r="A393" s="204" t="str">
        <f>IF(ISBLANK(D393)," ",388-COUNTBLANK($D$6:D393))</f>
        <v xml:space="preserve"> </v>
      </c>
      <c r="B393" s="202"/>
      <c r="C393" s="202"/>
      <c r="D393" s="202"/>
      <c r="E393" s="300"/>
      <c r="F393" s="210"/>
      <c r="G393" s="203"/>
      <c r="H393" s="203"/>
      <c r="I393" s="291"/>
      <c r="J393" s="263"/>
      <c r="K393" s="264"/>
      <c r="L393" s="265"/>
      <c r="M393" s="265"/>
      <c r="N393" s="265"/>
      <c r="O393" s="265"/>
      <c r="P393" s="265"/>
      <c r="Q393" s="265"/>
      <c r="R393" s="265"/>
    </row>
    <row r="394" spans="1:18" ht="30" customHeight="1">
      <c r="A394" s="204" t="str">
        <f>IF(ISBLANK(D394)," ",389-COUNTBLANK($D$6:D394))</f>
        <v xml:space="preserve"> </v>
      </c>
      <c r="B394" s="202"/>
      <c r="C394" s="202"/>
      <c r="D394" s="202"/>
      <c r="E394" s="300"/>
      <c r="F394" s="210"/>
      <c r="G394" s="203"/>
      <c r="H394" s="203"/>
      <c r="I394" s="291"/>
      <c r="J394" s="263"/>
      <c r="K394" s="264"/>
      <c r="L394" s="265"/>
      <c r="M394" s="265"/>
      <c r="N394" s="265"/>
      <c r="O394" s="265"/>
      <c r="P394" s="265"/>
      <c r="Q394" s="265"/>
      <c r="R394" s="265"/>
    </row>
    <row r="395" spans="1:18" ht="30" customHeight="1">
      <c r="A395" s="204" t="str">
        <f>IF(ISBLANK(D395)," ",390-COUNTBLANK($D$6:D395))</f>
        <v xml:space="preserve"> </v>
      </c>
      <c r="B395" s="202"/>
      <c r="C395" s="202"/>
      <c r="D395" s="202"/>
      <c r="E395" s="300"/>
      <c r="F395" s="210"/>
      <c r="G395" s="203"/>
      <c r="H395" s="203"/>
      <c r="I395" s="291"/>
      <c r="J395" s="263"/>
      <c r="K395" s="264"/>
      <c r="L395" s="265"/>
      <c r="M395" s="265"/>
      <c r="N395" s="265"/>
      <c r="O395" s="265"/>
      <c r="P395" s="265"/>
      <c r="Q395" s="265"/>
      <c r="R395" s="265"/>
    </row>
    <row r="396" spans="1:18" ht="30" customHeight="1">
      <c r="A396" s="204" t="str">
        <f>IF(ISBLANK(D396)," ",391-COUNTBLANK($D$6:D396))</f>
        <v xml:space="preserve"> </v>
      </c>
      <c r="B396" s="202"/>
      <c r="C396" s="202"/>
      <c r="D396" s="202"/>
      <c r="E396" s="300"/>
      <c r="F396" s="210"/>
      <c r="G396" s="203"/>
      <c r="H396" s="203"/>
      <c r="I396" s="291"/>
      <c r="J396" s="263"/>
      <c r="K396" s="264"/>
      <c r="L396" s="265"/>
      <c r="M396" s="265"/>
      <c r="N396" s="265"/>
      <c r="O396" s="265"/>
      <c r="P396" s="265"/>
      <c r="Q396" s="265"/>
      <c r="R396" s="265"/>
    </row>
    <row r="397" spans="1:18" ht="30" customHeight="1">
      <c r="A397" s="204" t="str">
        <f>IF(ISBLANK(D397)," ",392-COUNTBLANK($D$6:D397))</f>
        <v xml:space="preserve"> </v>
      </c>
      <c r="B397" s="202"/>
      <c r="C397" s="202"/>
      <c r="D397" s="202"/>
      <c r="E397" s="300"/>
      <c r="F397" s="210"/>
      <c r="G397" s="203"/>
      <c r="H397" s="203"/>
      <c r="I397" s="291"/>
      <c r="J397" s="263"/>
      <c r="K397" s="264"/>
      <c r="L397" s="265"/>
      <c r="M397" s="265"/>
      <c r="N397" s="265"/>
      <c r="O397" s="265"/>
      <c r="P397" s="265"/>
      <c r="Q397" s="265"/>
      <c r="R397" s="265"/>
    </row>
    <row r="398" spans="1:18" ht="30" customHeight="1">
      <c r="A398" s="204" t="str">
        <f>IF(ISBLANK(D398)," ",393-COUNTBLANK($D$6:D398))</f>
        <v xml:space="preserve"> </v>
      </c>
      <c r="B398" s="202"/>
      <c r="C398" s="202"/>
      <c r="D398" s="202"/>
      <c r="E398" s="300"/>
      <c r="F398" s="210"/>
      <c r="G398" s="203"/>
      <c r="H398" s="203"/>
      <c r="I398" s="291"/>
      <c r="J398" s="263"/>
      <c r="K398" s="264"/>
      <c r="L398" s="265"/>
      <c r="M398" s="265"/>
      <c r="N398" s="265"/>
      <c r="O398" s="265"/>
      <c r="P398" s="265"/>
      <c r="Q398" s="265"/>
      <c r="R398" s="265"/>
    </row>
    <row r="399" spans="1:18" ht="30" customHeight="1">
      <c r="A399" s="204" t="str">
        <f>IF(ISBLANK(D399)," ",394-COUNTBLANK($D$6:D399))</f>
        <v xml:space="preserve"> </v>
      </c>
      <c r="B399" s="202"/>
      <c r="C399" s="202"/>
      <c r="D399" s="202"/>
      <c r="E399" s="300"/>
      <c r="F399" s="210"/>
      <c r="G399" s="203"/>
      <c r="H399" s="203"/>
      <c r="I399" s="291"/>
      <c r="J399" s="263"/>
      <c r="K399" s="266"/>
      <c r="L399" s="265"/>
      <c r="M399" s="265"/>
      <c r="N399" s="265"/>
      <c r="O399" s="265"/>
      <c r="P399" s="265"/>
      <c r="Q399" s="265"/>
      <c r="R399" s="267"/>
    </row>
    <row r="400" spans="1:18" ht="30" customHeight="1">
      <c r="A400" s="204" t="str">
        <f>IF(ISBLANK(D400)," ",395-COUNTBLANK($D$6:D400))</f>
        <v xml:space="preserve"> </v>
      </c>
      <c r="B400" s="202"/>
      <c r="C400" s="202"/>
      <c r="D400" s="202"/>
      <c r="E400" s="300"/>
      <c r="F400" s="210"/>
      <c r="G400" s="203"/>
      <c r="H400" s="203"/>
      <c r="I400" s="291"/>
      <c r="J400" s="263"/>
      <c r="K400" s="266"/>
      <c r="L400" s="265"/>
      <c r="M400" s="265"/>
      <c r="N400" s="265"/>
      <c r="O400" s="265"/>
      <c r="P400" s="265"/>
      <c r="Q400" s="265"/>
      <c r="R400" s="267"/>
    </row>
    <row r="401" spans="1:21" ht="30" customHeight="1">
      <c r="A401" s="204" t="str">
        <f>IF(ISBLANK(D401)," ",396-COUNTBLANK($D$6:D401))</f>
        <v xml:space="preserve"> </v>
      </c>
      <c r="B401" s="202"/>
      <c r="C401" s="202"/>
      <c r="D401" s="202"/>
      <c r="E401" s="300"/>
      <c r="F401" s="210"/>
      <c r="G401" s="203"/>
      <c r="H401" s="203"/>
      <c r="I401" s="291"/>
      <c r="J401" s="263"/>
      <c r="K401" s="266"/>
      <c r="L401" s="265"/>
      <c r="M401" s="265"/>
      <c r="N401" s="265"/>
      <c r="O401" s="265"/>
      <c r="P401" s="265"/>
      <c r="Q401" s="265"/>
      <c r="R401" s="267"/>
    </row>
    <row r="402" spans="1:21" ht="30" customHeight="1">
      <c r="A402" s="204" t="str">
        <f>IF(ISBLANK(D402)," ",397-COUNTBLANK($D$6:D402))</f>
        <v xml:space="preserve"> </v>
      </c>
      <c r="B402" s="202"/>
      <c r="C402" s="202"/>
      <c r="D402" s="202"/>
      <c r="E402" s="300"/>
      <c r="F402" s="210"/>
      <c r="G402" s="203"/>
      <c r="H402" s="203"/>
      <c r="I402" s="291"/>
      <c r="J402" s="263"/>
      <c r="K402" s="266"/>
      <c r="L402" s="265"/>
      <c r="M402" s="265"/>
      <c r="N402" s="265"/>
      <c r="O402" s="265"/>
      <c r="P402" s="265"/>
      <c r="Q402" s="265"/>
      <c r="R402" s="267"/>
    </row>
    <row r="403" spans="1:21" ht="30" customHeight="1">
      <c r="A403" s="304" t="str">
        <f>IF(ISBLANK(D403)," ",398-COUNTBLANK($D$6:D403))</f>
        <v xml:space="preserve"> </v>
      </c>
      <c r="B403" s="296"/>
      <c r="C403" s="305"/>
      <c r="D403" s="306"/>
      <c r="E403" s="297"/>
      <c r="F403" s="298"/>
      <c r="G403" s="282"/>
      <c r="H403" s="282"/>
      <c r="I403" s="303"/>
      <c r="J403" s="263"/>
      <c r="K403" s="264"/>
      <c r="L403" s="265"/>
      <c r="M403" s="265"/>
      <c r="N403" s="265"/>
      <c r="O403" s="265"/>
      <c r="P403" s="265"/>
      <c r="Q403" s="265"/>
      <c r="R403" s="284"/>
      <c r="S403" s="265"/>
      <c r="T403" s="265"/>
      <c r="U403" s="265"/>
    </row>
    <row r="404" spans="1:21" ht="30" customHeight="1">
      <c r="A404" s="260" t="s">
        <v>52</v>
      </c>
      <c r="B404" s="200"/>
      <c r="C404" s="200"/>
      <c r="D404" s="200"/>
      <c r="E404" s="299"/>
      <c r="F404" s="209">
        <f>SUM(F384:F403)</f>
        <v>0</v>
      </c>
      <c r="G404" s="201"/>
      <c r="H404" s="201"/>
      <c r="I404" s="291"/>
      <c r="J404" s="263"/>
      <c r="K404" s="266"/>
      <c r="L404" s="265"/>
      <c r="M404" s="265"/>
      <c r="N404" s="265"/>
      <c r="O404" s="265"/>
      <c r="P404" s="265"/>
      <c r="Q404" s="265"/>
      <c r="R404" s="284"/>
      <c r="S404" s="265"/>
      <c r="T404" s="265"/>
      <c r="U404" s="265"/>
    </row>
    <row r="405" spans="1:21" ht="30" customHeight="1">
      <c r="A405" s="204" t="str">
        <f>IF(ISBLANK(D405)," ",400-COUNTBLANK($D$6:D405))</f>
        <v xml:space="preserve"> </v>
      </c>
      <c r="B405" s="202"/>
      <c r="C405" s="202"/>
      <c r="D405" s="202"/>
      <c r="E405" s="300"/>
      <c r="F405" s="210"/>
      <c r="G405" s="203"/>
      <c r="H405" s="203"/>
      <c r="I405" s="291"/>
      <c r="J405" s="263"/>
      <c r="K405" s="264"/>
      <c r="L405" s="265"/>
      <c r="M405" s="265"/>
      <c r="N405" s="265"/>
      <c r="O405" s="265"/>
      <c r="P405" s="265"/>
      <c r="Q405" s="265"/>
      <c r="R405" s="265"/>
    </row>
    <row r="406" spans="1:21" ht="30" customHeight="1">
      <c r="A406" s="204" t="str">
        <f>IF(ISBLANK(D406)," ",401-COUNTBLANK($D$6:D406))</f>
        <v xml:space="preserve"> </v>
      </c>
      <c r="B406" s="202"/>
      <c r="C406" s="202"/>
      <c r="D406" s="202"/>
      <c r="E406" s="300"/>
      <c r="F406" s="210"/>
      <c r="G406" s="203"/>
      <c r="H406" s="203"/>
      <c r="I406" s="291"/>
      <c r="J406" s="263"/>
      <c r="K406" s="264"/>
      <c r="L406" s="265"/>
      <c r="M406" s="265"/>
      <c r="N406" s="265"/>
      <c r="O406" s="265"/>
      <c r="P406" s="265"/>
      <c r="Q406" s="265"/>
      <c r="R406" s="265"/>
    </row>
    <row r="407" spans="1:21" ht="30" customHeight="1">
      <c r="A407" s="204" t="str">
        <f>IF(ISBLANK(D407)," ",402-COUNTBLANK($D$6:D407))</f>
        <v xml:space="preserve"> </v>
      </c>
      <c r="B407" s="202"/>
      <c r="C407" s="202"/>
      <c r="D407" s="202"/>
      <c r="E407" s="300"/>
      <c r="F407" s="210"/>
      <c r="G407" s="203"/>
      <c r="H407" s="203"/>
      <c r="I407" s="291"/>
      <c r="J407" s="263"/>
      <c r="K407" s="264"/>
      <c r="L407" s="265"/>
      <c r="M407" s="265"/>
      <c r="N407" s="265"/>
      <c r="O407" s="265"/>
      <c r="P407" s="265"/>
      <c r="Q407" s="265"/>
      <c r="R407" s="265"/>
    </row>
    <row r="408" spans="1:21" ht="30" customHeight="1">
      <c r="A408" s="204" t="str">
        <f>IF(ISBLANK(D408)," ",403-COUNTBLANK($D$6:D408))</f>
        <v xml:space="preserve"> </v>
      </c>
      <c r="B408" s="202"/>
      <c r="C408" s="202"/>
      <c r="D408" s="202"/>
      <c r="E408" s="300"/>
      <c r="F408" s="210"/>
      <c r="G408" s="203"/>
      <c r="H408" s="203"/>
      <c r="I408" s="291"/>
      <c r="J408" s="263"/>
      <c r="K408" s="264"/>
      <c r="L408" s="265"/>
      <c r="M408" s="265"/>
      <c r="N408" s="265"/>
      <c r="O408" s="265"/>
      <c r="P408" s="265"/>
      <c r="Q408" s="265"/>
      <c r="R408" s="265"/>
    </row>
    <row r="409" spans="1:21" ht="30" customHeight="1">
      <c r="A409" s="204" t="str">
        <f>IF(ISBLANK(D409)," ",404-COUNTBLANK($D$6:D409))</f>
        <v xml:space="preserve"> </v>
      </c>
      <c r="B409" s="202"/>
      <c r="C409" s="202"/>
      <c r="D409" s="202"/>
      <c r="E409" s="300"/>
      <c r="F409" s="210"/>
      <c r="G409" s="203"/>
      <c r="H409" s="203"/>
      <c r="I409" s="291"/>
      <c r="J409" s="263"/>
      <c r="K409" s="264"/>
      <c r="L409" s="265"/>
      <c r="M409" s="265"/>
      <c r="N409" s="265"/>
      <c r="O409" s="265"/>
      <c r="P409" s="265"/>
      <c r="Q409" s="265"/>
      <c r="R409" s="265"/>
    </row>
    <row r="410" spans="1:21" ht="30" customHeight="1">
      <c r="A410" s="204" t="str">
        <f>IF(ISBLANK(D410)," ",405-COUNTBLANK($D$6:D410))</f>
        <v xml:space="preserve"> </v>
      </c>
      <c r="B410" s="202"/>
      <c r="C410" s="202"/>
      <c r="D410" s="202"/>
      <c r="E410" s="300"/>
      <c r="F410" s="210"/>
      <c r="G410" s="203"/>
      <c r="H410" s="203"/>
      <c r="I410" s="291"/>
      <c r="J410" s="263"/>
      <c r="K410" s="264"/>
      <c r="L410" s="265"/>
      <c r="M410" s="265"/>
      <c r="N410" s="265"/>
      <c r="O410" s="265"/>
      <c r="P410" s="265"/>
      <c r="Q410" s="265"/>
      <c r="R410" s="265"/>
    </row>
    <row r="411" spans="1:21" ht="30" customHeight="1">
      <c r="A411" s="204" t="str">
        <f>IF(ISBLANK(D411)," ",406-COUNTBLANK($D$6:D411))</f>
        <v xml:space="preserve"> </v>
      </c>
      <c r="B411" s="202"/>
      <c r="C411" s="202"/>
      <c r="D411" s="202"/>
      <c r="E411" s="300"/>
      <c r="F411" s="210"/>
      <c r="G411" s="203"/>
      <c r="H411" s="203"/>
      <c r="I411" s="291"/>
      <c r="J411" s="263"/>
      <c r="K411" s="264"/>
      <c r="L411" s="265"/>
      <c r="M411" s="265"/>
      <c r="N411" s="265"/>
      <c r="O411" s="265"/>
      <c r="P411" s="265"/>
      <c r="Q411" s="265"/>
      <c r="R411" s="265"/>
    </row>
    <row r="412" spans="1:21" ht="30" customHeight="1">
      <c r="A412" s="204" t="str">
        <f>IF(ISBLANK(D412)," ",407-COUNTBLANK($D$6:D412))</f>
        <v xml:space="preserve"> </v>
      </c>
      <c r="B412" s="202"/>
      <c r="C412" s="202"/>
      <c r="D412" s="202"/>
      <c r="E412" s="300"/>
      <c r="F412" s="210"/>
      <c r="G412" s="203"/>
      <c r="H412" s="203"/>
      <c r="I412" s="291"/>
      <c r="J412" s="263"/>
      <c r="K412" s="264"/>
      <c r="L412" s="265"/>
      <c r="M412" s="265"/>
      <c r="N412" s="265"/>
      <c r="O412" s="265"/>
      <c r="P412" s="265"/>
      <c r="Q412" s="265"/>
      <c r="R412" s="265"/>
    </row>
    <row r="413" spans="1:21" ht="30" customHeight="1">
      <c r="A413" s="204" t="str">
        <f>IF(ISBLANK(D413)," ",408-COUNTBLANK($D$6:D413))</f>
        <v xml:space="preserve"> </v>
      </c>
      <c r="B413" s="202"/>
      <c r="C413" s="202"/>
      <c r="D413" s="202"/>
      <c r="E413" s="300"/>
      <c r="F413" s="210"/>
      <c r="G413" s="203"/>
      <c r="H413" s="203"/>
      <c r="I413" s="291"/>
      <c r="J413" s="263"/>
      <c r="K413" s="264"/>
      <c r="L413" s="265"/>
      <c r="M413" s="265"/>
      <c r="N413" s="265"/>
      <c r="O413" s="265"/>
      <c r="P413" s="265"/>
      <c r="Q413" s="265"/>
      <c r="R413" s="265"/>
    </row>
    <row r="414" spans="1:21" ht="30" customHeight="1">
      <c r="A414" s="204" t="str">
        <f>IF(ISBLANK(D414)," ",409-COUNTBLANK($D$6:D414))</f>
        <v xml:space="preserve"> </v>
      </c>
      <c r="B414" s="202"/>
      <c r="C414" s="202"/>
      <c r="D414" s="202"/>
      <c r="E414" s="300"/>
      <c r="F414" s="210"/>
      <c r="G414" s="203"/>
      <c r="H414" s="203"/>
      <c r="I414" s="291"/>
      <c r="J414" s="263"/>
      <c r="K414" s="264"/>
      <c r="L414" s="265"/>
      <c r="M414" s="265"/>
      <c r="N414" s="265"/>
      <c r="O414" s="265"/>
      <c r="P414" s="265"/>
      <c r="Q414" s="265"/>
      <c r="R414" s="265"/>
    </row>
    <row r="415" spans="1:21" ht="30" customHeight="1">
      <c r="A415" s="204" t="str">
        <f>IF(ISBLANK(D415)," ",410-COUNTBLANK($D$6:D415))</f>
        <v xml:space="preserve"> </v>
      </c>
      <c r="B415" s="202"/>
      <c r="C415" s="202"/>
      <c r="D415" s="202"/>
      <c r="E415" s="300"/>
      <c r="F415" s="210"/>
      <c r="G415" s="203"/>
      <c r="H415" s="203"/>
      <c r="I415" s="291"/>
      <c r="J415" s="263"/>
      <c r="K415" s="264"/>
      <c r="L415" s="265"/>
      <c r="M415" s="265"/>
      <c r="N415" s="265"/>
      <c r="O415" s="265"/>
      <c r="P415" s="265"/>
      <c r="Q415" s="265"/>
      <c r="R415" s="265"/>
    </row>
    <row r="416" spans="1:21" ht="30" customHeight="1">
      <c r="A416" s="204" t="str">
        <f>IF(ISBLANK(D416)," ",411-COUNTBLANK($D$6:D416))</f>
        <v xml:space="preserve"> </v>
      </c>
      <c r="B416" s="202"/>
      <c r="C416" s="202"/>
      <c r="D416" s="202"/>
      <c r="E416" s="300"/>
      <c r="F416" s="210"/>
      <c r="G416" s="203"/>
      <c r="H416" s="203"/>
      <c r="I416" s="291"/>
      <c r="J416" s="263"/>
      <c r="K416" s="264"/>
      <c r="L416" s="265"/>
      <c r="M416" s="265"/>
      <c r="N416" s="265"/>
      <c r="O416" s="265"/>
      <c r="P416" s="265"/>
      <c r="Q416" s="265"/>
      <c r="R416" s="265"/>
    </row>
    <row r="417" spans="1:21" ht="30" customHeight="1">
      <c r="A417" s="204" t="str">
        <f>IF(ISBLANK(D417)," ",412-COUNTBLANK($D$6:D417))</f>
        <v xml:space="preserve"> </v>
      </c>
      <c r="B417" s="202"/>
      <c r="C417" s="202"/>
      <c r="D417" s="202"/>
      <c r="E417" s="300"/>
      <c r="F417" s="210"/>
      <c r="G417" s="203"/>
      <c r="H417" s="203"/>
      <c r="I417" s="291"/>
      <c r="J417" s="263"/>
      <c r="K417" s="264"/>
      <c r="L417" s="265"/>
      <c r="M417" s="265"/>
      <c r="N417" s="265"/>
      <c r="O417" s="265"/>
      <c r="P417" s="265"/>
      <c r="Q417" s="265"/>
      <c r="R417" s="265"/>
    </row>
    <row r="418" spans="1:21" ht="30" customHeight="1">
      <c r="A418" s="204" t="str">
        <f>IF(ISBLANK(D418)," ",413-COUNTBLANK($D$6:D418))</f>
        <v xml:space="preserve"> </v>
      </c>
      <c r="B418" s="202"/>
      <c r="C418" s="202"/>
      <c r="D418" s="202"/>
      <c r="E418" s="300"/>
      <c r="F418" s="210"/>
      <c r="G418" s="203"/>
      <c r="H418" s="203"/>
      <c r="I418" s="291"/>
      <c r="J418" s="263"/>
      <c r="K418" s="264"/>
      <c r="L418" s="265"/>
      <c r="M418" s="265"/>
      <c r="N418" s="265"/>
      <c r="O418" s="265"/>
      <c r="P418" s="265"/>
      <c r="Q418" s="265"/>
      <c r="R418" s="265"/>
    </row>
    <row r="419" spans="1:21" ht="27.75" customHeight="1">
      <c r="A419" s="204" t="str">
        <f>IF(ISBLANK(D419)," ",414-COUNTBLANK($D$6:D419))</f>
        <v xml:space="preserve"> </v>
      </c>
      <c r="B419" s="202"/>
      <c r="C419" s="202"/>
      <c r="D419" s="202"/>
      <c r="E419" s="300"/>
      <c r="F419" s="210"/>
      <c r="G419" s="203"/>
      <c r="H419" s="203"/>
      <c r="I419" s="291"/>
      <c r="J419" s="263"/>
      <c r="K419" s="264"/>
      <c r="L419" s="265"/>
      <c r="M419" s="265"/>
      <c r="N419" s="265"/>
      <c r="O419" s="265"/>
      <c r="P419" s="265"/>
      <c r="Q419" s="265"/>
      <c r="R419" s="265"/>
    </row>
    <row r="420" spans="1:21" ht="27.75" customHeight="1">
      <c r="A420" s="204" t="str">
        <f>IF(ISBLANK(D420)," ",415-COUNTBLANK($D$6:D420))</f>
        <v xml:space="preserve"> </v>
      </c>
      <c r="B420" s="202"/>
      <c r="C420" s="202"/>
      <c r="D420" s="202"/>
      <c r="E420" s="300"/>
      <c r="F420" s="210"/>
      <c r="G420" s="203"/>
      <c r="H420" s="203"/>
      <c r="I420" s="291"/>
      <c r="J420" s="263"/>
      <c r="K420" s="266"/>
      <c r="L420" s="265"/>
      <c r="M420" s="265"/>
      <c r="N420" s="265"/>
      <c r="O420" s="265"/>
      <c r="P420" s="265"/>
      <c r="Q420" s="265"/>
      <c r="R420" s="267"/>
    </row>
    <row r="421" spans="1:21" ht="27.75" customHeight="1">
      <c r="A421" s="204" t="str">
        <f>IF(ISBLANK(D421)," ",416-COUNTBLANK($D$6:D421))</f>
        <v xml:space="preserve"> </v>
      </c>
      <c r="B421" s="202"/>
      <c r="C421" s="202"/>
      <c r="D421" s="202"/>
      <c r="E421" s="300"/>
      <c r="F421" s="210"/>
      <c r="G421" s="203"/>
      <c r="H421" s="203"/>
      <c r="I421" s="291"/>
      <c r="J421" s="263"/>
      <c r="K421" s="266"/>
      <c r="L421" s="265"/>
      <c r="M421" s="265"/>
      <c r="N421" s="265"/>
      <c r="O421" s="265"/>
      <c r="P421" s="265"/>
      <c r="Q421" s="265"/>
      <c r="R421" s="267"/>
    </row>
    <row r="422" spans="1:21" ht="27.75" customHeight="1">
      <c r="A422" s="204" t="str">
        <f>IF(ISBLANK(D422)," ",417-COUNTBLANK($D$6:D422))</f>
        <v xml:space="preserve"> </v>
      </c>
      <c r="B422" s="202"/>
      <c r="C422" s="202"/>
      <c r="D422" s="202"/>
      <c r="E422" s="300"/>
      <c r="F422" s="210"/>
      <c r="G422" s="203"/>
      <c r="H422" s="203"/>
      <c r="I422" s="291"/>
      <c r="J422" s="263"/>
      <c r="K422" s="266"/>
      <c r="L422" s="265"/>
      <c r="M422" s="265"/>
      <c r="N422" s="265"/>
      <c r="O422" s="265"/>
      <c r="P422" s="265"/>
      <c r="Q422" s="265"/>
      <c r="R422" s="267"/>
    </row>
    <row r="423" spans="1:21" ht="27.75" customHeight="1">
      <c r="A423" s="204" t="str">
        <f>IF(ISBLANK(D423)," ",418-COUNTBLANK($D$6:D423))</f>
        <v xml:space="preserve"> </v>
      </c>
      <c r="B423" s="202"/>
      <c r="C423" s="202"/>
      <c r="D423" s="202"/>
      <c r="E423" s="300"/>
      <c r="F423" s="210"/>
      <c r="G423" s="203"/>
      <c r="H423" s="203"/>
      <c r="I423" s="291"/>
      <c r="J423" s="263"/>
      <c r="K423" s="266"/>
      <c r="L423" s="265"/>
      <c r="M423" s="265"/>
      <c r="N423" s="265"/>
      <c r="O423" s="265"/>
      <c r="P423" s="265"/>
      <c r="Q423" s="265"/>
      <c r="R423" s="267"/>
    </row>
    <row r="424" spans="1:21" ht="27.75" customHeight="1">
      <c r="A424" s="304" t="str">
        <f>IF(ISBLANK(D424)," ",419-COUNTBLANK($D$6:D424))</f>
        <v xml:space="preserve"> </v>
      </c>
      <c r="B424" s="296"/>
      <c r="C424" s="305"/>
      <c r="D424" s="306"/>
      <c r="E424" s="297"/>
      <c r="F424" s="298"/>
      <c r="G424" s="282"/>
      <c r="H424" s="282"/>
      <c r="I424" s="303"/>
      <c r="J424" s="263"/>
      <c r="K424" s="264"/>
      <c r="L424" s="265"/>
      <c r="M424" s="265"/>
      <c r="N424" s="265"/>
      <c r="O424" s="265"/>
      <c r="P424" s="265"/>
      <c r="Q424" s="265"/>
      <c r="R424" s="284"/>
      <c r="S424" s="265"/>
      <c r="T424" s="265"/>
      <c r="U424" s="265"/>
    </row>
    <row r="425" spans="1:21" ht="27.75" customHeight="1">
      <c r="A425" s="260" t="s">
        <v>52</v>
      </c>
      <c r="B425" s="200"/>
      <c r="C425" s="200"/>
      <c r="D425" s="200"/>
      <c r="E425" s="299"/>
      <c r="F425" s="209">
        <f>SUM(F405:F424)</f>
        <v>0</v>
      </c>
      <c r="G425" s="201"/>
      <c r="H425" s="201"/>
      <c r="I425" s="291"/>
      <c r="J425" s="263"/>
      <c r="K425" s="266"/>
      <c r="L425" s="265"/>
      <c r="M425" s="265"/>
      <c r="N425" s="265"/>
      <c r="O425" s="265"/>
      <c r="P425" s="265"/>
      <c r="Q425" s="265"/>
      <c r="R425" s="284"/>
      <c r="S425" s="265"/>
      <c r="T425" s="265"/>
      <c r="U425" s="265"/>
    </row>
    <row r="426" spans="1:21" ht="27.75" customHeight="1">
      <c r="A426" s="204" t="str">
        <f>IF(ISBLANK(D426)," ",421-COUNTBLANK($D$6:D426))</f>
        <v xml:space="preserve"> </v>
      </c>
      <c r="B426" s="202"/>
      <c r="C426" s="202"/>
      <c r="D426" s="202"/>
      <c r="E426" s="300"/>
      <c r="F426" s="210"/>
      <c r="G426" s="203"/>
      <c r="H426" s="203"/>
      <c r="I426" s="291"/>
      <c r="J426" s="263"/>
      <c r="K426" s="264"/>
      <c r="L426" s="265"/>
      <c r="M426" s="265"/>
      <c r="N426" s="265"/>
      <c r="O426" s="265"/>
      <c r="P426" s="265"/>
      <c r="Q426" s="265"/>
      <c r="R426" s="265"/>
    </row>
    <row r="427" spans="1:21" ht="27.75" customHeight="1">
      <c r="A427" s="204" t="str">
        <f>IF(ISBLANK(D427)," ",422-COUNTBLANK($D$6:D427))</f>
        <v xml:space="preserve"> </v>
      </c>
      <c r="B427" s="202"/>
      <c r="C427" s="202"/>
      <c r="D427" s="202"/>
      <c r="E427" s="300"/>
      <c r="F427" s="210"/>
      <c r="G427" s="203"/>
      <c r="H427" s="203"/>
      <c r="I427" s="291"/>
      <c r="J427" s="263"/>
      <c r="K427" s="264"/>
      <c r="L427" s="265"/>
      <c r="M427" s="265"/>
      <c r="N427" s="265"/>
      <c r="O427" s="265"/>
      <c r="P427" s="265"/>
      <c r="Q427" s="265"/>
      <c r="R427" s="265"/>
    </row>
    <row r="428" spans="1:21" ht="27.75" customHeight="1">
      <c r="A428" s="204" t="str">
        <f>IF(ISBLANK(D428)," ",423-COUNTBLANK($D$6:D428))</f>
        <v xml:space="preserve"> </v>
      </c>
      <c r="B428" s="202"/>
      <c r="C428" s="202"/>
      <c r="D428" s="202"/>
      <c r="E428" s="300"/>
      <c r="F428" s="210"/>
      <c r="G428" s="203"/>
      <c r="H428" s="203"/>
      <c r="I428" s="291"/>
      <c r="J428" s="263"/>
      <c r="K428" s="264"/>
      <c r="L428" s="265"/>
      <c r="M428" s="265"/>
      <c r="N428" s="265"/>
      <c r="O428" s="265"/>
      <c r="P428" s="265"/>
      <c r="Q428" s="265"/>
      <c r="R428" s="265"/>
    </row>
    <row r="429" spans="1:21" ht="27.75" customHeight="1">
      <c r="A429" s="204" t="str">
        <f>IF(ISBLANK(D429)," ",424-COUNTBLANK($D$6:D429))</f>
        <v xml:space="preserve"> </v>
      </c>
      <c r="B429" s="202"/>
      <c r="C429" s="202"/>
      <c r="D429" s="202"/>
      <c r="E429" s="300"/>
      <c r="F429" s="210"/>
      <c r="G429" s="203"/>
      <c r="H429" s="203"/>
      <c r="I429" s="291"/>
      <c r="J429" s="263"/>
      <c r="K429" s="264"/>
      <c r="L429" s="265"/>
      <c r="M429" s="265"/>
      <c r="N429" s="265"/>
      <c r="O429" s="265"/>
      <c r="P429" s="265"/>
      <c r="Q429" s="265"/>
      <c r="R429" s="265"/>
    </row>
    <row r="430" spans="1:21" ht="27.75" customHeight="1">
      <c r="A430" s="204" t="str">
        <f>IF(ISBLANK(D430)," ",425-COUNTBLANK($D$6:D430))</f>
        <v xml:space="preserve"> </v>
      </c>
      <c r="B430" s="202"/>
      <c r="C430" s="202"/>
      <c r="D430" s="202"/>
      <c r="E430" s="300"/>
      <c r="F430" s="210"/>
      <c r="G430" s="203"/>
      <c r="H430" s="203"/>
      <c r="I430" s="291"/>
      <c r="J430" s="263"/>
      <c r="K430" s="264"/>
      <c r="L430" s="265"/>
      <c r="M430" s="265"/>
      <c r="N430" s="265"/>
      <c r="O430" s="265"/>
      <c r="P430" s="265"/>
      <c r="Q430" s="265"/>
      <c r="R430" s="265"/>
    </row>
    <row r="431" spans="1:21" ht="27.75" customHeight="1">
      <c r="A431" s="204" t="str">
        <f>IF(ISBLANK(D431)," ",426-COUNTBLANK($D$6:D431))</f>
        <v xml:space="preserve"> </v>
      </c>
      <c r="B431" s="202"/>
      <c r="C431" s="202"/>
      <c r="D431" s="202"/>
      <c r="E431" s="300"/>
      <c r="F431" s="210"/>
      <c r="G431" s="203"/>
      <c r="H431" s="203"/>
      <c r="I431" s="291"/>
      <c r="J431" s="263"/>
      <c r="K431" s="264"/>
      <c r="L431" s="265"/>
      <c r="M431" s="265"/>
      <c r="N431" s="265"/>
      <c r="O431" s="265"/>
      <c r="P431" s="265"/>
      <c r="Q431" s="265"/>
      <c r="R431" s="265"/>
    </row>
    <row r="432" spans="1:21" ht="27.75" customHeight="1">
      <c r="A432" s="204" t="str">
        <f>IF(ISBLANK(D432)," ",427-COUNTBLANK($D$6:D432))</f>
        <v xml:space="preserve"> </v>
      </c>
      <c r="B432" s="202"/>
      <c r="C432" s="202"/>
      <c r="D432" s="202"/>
      <c r="E432" s="300"/>
      <c r="F432" s="210"/>
      <c r="G432" s="203"/>
      <c r="H432" s="203"/>
      <c r="I432" s="291"/>
      <c r="J432" s="263"/>
      <c r="K432" s="264"/>
      <c r="L432" s="265"/>
      <c r="M432" s="265"/>
      <c r="N432" s="265"/>
      <c r="O432" s="265"/>
      <c r="P432" s="265"/>
      <c r="Q432" s="265"/>
      <c r="R432" s="265"/>
    </row>
    <row r="433" spans="1:21" ht="27.75" customHeight="1">
      <c r="A433" s="204" t="str">
        <f>IF(ISBLANK(D433)," ",428-COUNTBLANK($D$6:D433))</f>
        <v xml:space="preserve"> </v>
      </c>
      <c r="B433" s="202"/>
      <c r="C433" s="202"/>
      <c r="D433" s="202"/>
      <c r="E433" s="300"/>
      <c r="F433" s="210"/>
      <c r="G433" s="203"/>
      <c r="H433" s="203"/>
      <c r="I433" s="291"/>
      <c r="J433" s="263"/>
      <c r="K433" s="264"/>
      <c r="L433" s="265"/>
      <c r="M433" s="265"/>
      <c r="N433" s="265"/>
      <c r="O433" s="265"/>
      <c r="P433" s="265"/>
      <c r="Q433" s="265"/>
      <c r="R433" s="265"/>
    </row>
    <row r="434" spans="1:21" ht="27.75" customHeight="1">
      <c r="A434" s="204" t="str">
        <f>IF(ISBLANK(D434)," ",429-COUNTBLANK($D$6:D434))</f>
        <v xml:space="preserve"> </v>
      </c>
      <c r="B434" s="202"/>
      <c r="C434" s="202"/>
      <c r="D434" s="202"/>
      <c r="E434" s="300"/>
      <c r="F434" s="210"/>
      <c r="G434" s="203"/>
      <c r="H434" s="203"/>
      <c r="I434" s="291"/>
      <c r="J434" s="263"/>
      <c r="K434" s="264"/>
      <c r="L434" s="265"/>
      <c r="M434" s="265"/>
      <c r="N434" s="265"/>
      <c r="O434" s="265"/>
      <c r="P434" s="265"/>
      <c r="Q434" s="265"/>
      <c r="R434" s="265"/>
    </row>
    <row r="435" spans="1:21" ht="27.75" customHeight="1">
      <c r="A435" s="204" t="str">
        <f>IF(ISBLANK(D435)," ",430-COUNTBLANK($D$6:D435))</f>
        <v xml:space="preserve"> </v>
      </c>
      <c r="B435" s="202"/>
      <c r="C435" s="202"/>
      <c r="D435" s="202"/>
      <c r="E435" s="300"/>
      <c r="F435" s="210"/>
      <c r="G435" s="203"/>
      <c r="H435" s="203"/>
      <c r="I435" s="291"/>
      <c r="J435" s="263"/>
      <c r="K435" s="264"/>
      <c r="L435" s="265"/>
      <c r="M435" s="265"/>
      <c r="N435" s="265"/>
      <c r="O435" s="265"/>
      <c r="P435" s="265"/>
      <c r="Q435" s="265"/>
      <c r="R435" s="265"/>
    </row>
    <row r="436" spans="1:21" ht="27.75" customHeight="1">
      <c r="A436" s="204" t="str">
        <f>IF(ISBLANK(D436)," ",431-COUNTBLANK($D$6:D436))</f>
        <v xml:space="preserve"> </v>
      </c>
      <c r="B436" s="202"/>
      <c r="C436" s="202"/>
      <c r="D436" s="202"/>
      <c r="E436" s="300"/>
      <c r="F436" s="210"/>
      <c r="G436" s="203"/>
      <c r="H436" s="203"/>
      <c r="I436" s="291"/>
      <c r="J436" s="263"/>
      <c r="K436" s="264"/>
      <c r="L436" s="265"/>
      <c r="M436" s="265"/>
      <c r="N436" s="265"/>
      <c r="O436" s="265"/>
      <c r="P436" s="265"/>
      <c r="Q436" s="265"/>
      <c r="R436" s="265"/>
    </row>
    <row r="437" spans="1:21" ht="27.75" customHeight="1">
      <c r="A437" s="204" t="str">
        <f>IF(ISBLANK(D437)," ",432-COUNTBLANK($D$6:D437))</f>
        <v xml:space="preserve"> </v>
      </c>
      <c r="B437" s="202"/>
      <c r="C437" s="202"/>
      <c r="D437" s="202"/>
      <c r="E437" s="300"/>
      <c r="F437" s="210"/>
      <c r="G437" s="203"/>
      <c r="H437" s="203"/>
      <c r="I437" s="291"/>
      <c r="J437" s="263"/>
      <c r="K437" s="264"/>
      <c r="L437" s="265"/>
      <c r="M437" s="265"/>
      <c r="N437" s="265"/>
      <c r="O437" s="265"/>
      <c r="P437" s="265"/>
      <c r="Q437" s="265"/>
      <c r="R437" s="265"/>
    </row>
    <row r="438" spans="1:21" ht="27.75" customHeight="1">
      <c r="A438" s="204" t="str">
        <f>IF(ISBLANK(D438)," ",433-COUNTBLANK($D$6:D438))</f>
        <v xml:space="preserve"> </v>
      </c>
      <c r="B438" s="202"/>
      <c r="C438" s="202"/>
      <c r="D438" s="202"/>
      <c r="E438" s="300"/>
      <c r="F438" s="210"/>
      <c r="G438" s="203"/>
      <c r="H438" s="203"/>
      <c r="I438" s="291"/>
      <c r="J438" s="263"/>
      <c r="K438" s="264"/>
      <c r="L438" s="265"/>
      <c r="M438" s="265"/>
      <c r="N438" s="265"/>
      <c r="O438" s="265"/>
      <c r="P438" s="265"/>
      <c r="Q438" s="265"/>
      <c r="R438" s="265"/>
    </row>
    <row r="439" spans="1:21" ht="27.75" customHeight="1">
      <c r="A439" s="204" t="str">
        <f>IF(ISBLANK(D439)," ",434-COUNTBLANK($D$6:D439))</f>
        <v xml:space="preserve"> </v>
      </c>
      <c r="B439" s="202"/>
      <c r="C439" s="202"/>
      <c r="D439" s="202"/>
      <c r="E439" s="300"/>
      <c r="F439" s="210"/>
      <c r="G439" s="203"/>
      <c r="H439" s="203"/>
      <c r="I439" s="291"/>
      <c r="J439" s="263"/>
      <c r="K439" s="264"/>
      <c r="L439" s="265"/>
      <c r="M439" s="265"/>
      <c r="N439" s="265"/>
      <c r="O439" s="265"/>
      <c r="P439" s="265"/>
      <c r="Q439" s="265"/>
      <c r="R439" s="265"/>
    </row>
    <row r="440" spans="1:21" ht="27.75" customHeight="1">
      <c r="A440" s="204" t="str">
        <f>IF(ISBLANK(D440)," ",435-COUNTBLANK($D$6:D440))</f>
        <v xml:space="preserve"> </v>
      </c>
      <c r="B440" s="202"/>
      <c r="C440" s="202"/>
      <c r="D440" s="202"/>
      <c r="E440" s="300"/>
      <c r="F440" s="210"/>
      <c r="G440" s="203"/>
      <c r="H440" s="203"/>
      <c r="I440" s="291"/>
      <c r="J440" s="263"/>
      <c r="K440" s="264"/>
      <c r="L440" s="265"/>
      <c r="M440" s="265"/>
      <c r="N440" s="265"/>
      <c r="O440" s="265"/>
      <c r="P440" s="265"/>
      <c r="Q440" s="265"/>
      <c r="R440" s="265"/>
    </row>
    <row r="441" spans="1:21" ht="27.75" customHeight="1">
      <c r="A441" s="204" t="str">
        <f>IF(ISBLANK(D441)," ",436-COUNTBLANK($D$6:D441))</f>
        <v xml:space="preserve"> </v>
      </c>
      <c r="B441" s="202"/>
      <c r="C441" s="202"/>
      <c r="D441" s="202"/>
      <c r="E441" s="300"/>
      <c r="F441" s="210"/>
      <c r="G441" s="203"/>
      <c r="H441" s="203"/>
      <c r="I441" s="291"/>
      <c r="J441" s="263"/>
      <c r="K441" s="266"/>
      <c r="L441" s="265"/>
      <c r="M441" s="265"/>
      <c r="N441" s="265"/>
      <c r="O441" s="265"/>
      <c r="P441" s="265"/>
      <c r="Q441" s="265"/>
      <c r="R441" s="267"/>
    </row>
    <row r="442" spans="1:21" ht="27.75" customHeight="1">
      <c r="A442" s="204" t="str">
        <f>IF(ISBLANK(D442)," ",437-COUNTBLANK($D$6:D442))</f>
        <v xml:space="preserve"> </v>
      </c>
      <c r="B442" s="202"/>
      <c r="C442" s="202"/>
      <c r="D442" s="202"/>
      <c r="E442" s="300"/>
      <c r="F442" s="210"/>
      <c r="G442" s="203"/>
      <c r="H442" s="203"/>
      <c r="I442" s="291"/>
      <c r="J442" s="263"/>
      <c r="K442" s="266"/>
      <c r="L442" s="265"/>
      <c r="M442" s="265"/>
      <c r="N442" s="265"/>
      <c r="O442" s="265"/>
      <c r="P442" s="265"/>
      <c r="Q442" s="265"/>
      <c r="R442" s="267"/>
    </row>
    <row r="443" spans="1:21" ht="27.75" customHeight="1">
      <c r="A443" s="204" t="str">
        <f>IF(ISBLANK(D443)," ",438-COUNTBLANK($D$6:D443))</f>
        <v xml:space="preserve"> </v>
      </c>
      <c r="B443" s="202"/>
      <c r="C443" s="202"/>
      <c r="D443" s="202"/>
      <c r="E443" s="300"/>
      <c r="F443" s="210"/>
      <c r="G443" s="203"/>
      <c r="H443" s="203"/>
      <c r="I443" s="291"/>
      <c r="J443" s="263"/>
      <c r="K443" s="266"/>
      <c r="L443" s="265"/>
      <c r="M443" s="265"/>
      <c r="N443" s="265"/>
      <c r="O443" s="265"/>
      <c r="P443" s="265"/>
      <c r="Q443" s="265"/>
      <c r="R443" s="267"/>
    </row>
    <row r="444" spans="1:21" ht="27.75" customHeight="1">
      <c r="A444" s="204" t="str">
        <f>IF(ISBLANK(D444)," ",439-COUNTBLANK($D$6:D444))</f>
        <v xml:space="preserve"> </v>
      </c>
      <c r="B444" s="202"/>
      <c r="C444" s="202"/>
      <c r="D444" s="202"/>
      <c r="E444" s="300"/>
      <c r="F444" s="210"/>
      <c r="G444" s="203"/>
      <c r="H444" s="203"/>
      <c r="I444" s="291"/>
      <c r="J444" s="263"/>
      <c r="K444" s="266"/>
      <c r="L444" s="265"/>
      <c r="M444" s="265"/>
      <c r="N444" s="265"/>
      <c r="O444" s="265"/>
      <c r="P444" s="265"/>
      <c r="Q444" s="265"/>
      <c r="R444" s="267"/>
    </row>
    <row r="445" spans="1:21" ht="27.75" customHeight="1">
      <c r="A445" s="304" t="str">
        <f>IF(ISBLANK(D445)," ",440-COUNTBLANK($D$6:D445))</f>
        <v xml:space="preserve"> </v>
      </c>
      <c r="B445" s="296"/>
      <c r="C445" s="305"/>
      <c r="D445" s="306"/>
      <c r="E445" s="297"/>
      <c r="F445" s="298"/>
      <c r="G445" s="282"/>
      <c r="H445" s="282"/>
      <c r="I445" s="303"/>
      <c r="J445" s="263"/>
      <c r="K445" s="264"/>
      <c r="L445" s="265"/>
      <c r="M445" s="265"/>
      <c r="N445" s="265"/>
      <c r="O445" s="265"/>
      <c r="P445" s="265"/>
      <c r="Q445" s="265"/>
      <c r="R445" s="284"/>
      <c r="S445" s="265"/>
      <c r="T445" s="265"/>
      <c r="U445" s="265"/>
    </row>
    <row r="446" spans="1:21" ht="27.75" customHeight="1">
      <c r="A446" s="260" t="s">
        <v>52</v>
      </c>
      <c r="B446" s="200"/>
      <c r="C446" s="200"/>
      <c r="D446" s="200"/>
      <c r="E446" s="299"/>
      <c r="F446" s="209">
        <f>SUM(F426:F445)</f>
        <v>0</v>
      </c>
      <c r="G446" s="201"/>
      <c r="H446" s="201"/>
      <c r="I446" s="291"/>
      <c r="J446" s="263"/>
      <c r="K446" s="266"/>
      <c r="L446" s="265"/>
      <c r="M446" s="265"/>
      <c r="N446" s="265"/>
      <c r="O446" s="265"/>
      <c r="P446" s="265"/>
      <c r="Q446" s="265"/>
      <c r="R446" s="284"/>
      <c r="S446" s="265"/>
      <c r="T446" s="265"/>
      <c r="U446" s="265"/>
    </row>
    <row r="447" spans="1:21" ht="27.75" customHeight="1">
      <c r="A447" s="204" t="str">
        <f>IF(ISBLANK(D447)," ",442-COUNTBLANK($D$6:D447))</f>
        <v xml:space="preserve"> </v>
      </c>
      <c r="B447" s="202"/>
      <c r="C447" s="202"/>
      <c r="D447" s="202"/>
      <c r="E447" s="300"/>
      <c r="F447" s="210"/>
      <c r="G447" s="203"/>
      <c r="H447" s="203"/>
      <c r="I447" s="291"/>
      <c r="J447" s="263"/>
      <c r="K447" s="264"/>
      <c r="L447" s="265"/>
      <c r="M447" s="265"/>
      <c r="N447" s="265"/>
      <c r="O447" s="265"/>
      <c r="P447" s="265"/>
      <c r="Q447" s="265"/>
      <c r="R447" s="265"/>
    </row>
    <row r="448" spans="1:21" ht="27.75" customHeight="1">
      <c r="A448" s="204" t="str">
        <f>IF(ISBLANK(D448)," ",443-COUNTBLANK($D$6:D448))</f>
        <v xml:space="preserve"> </v>
      </c>
      <c r="B448" s="202"/>
      <c r="C448" s="202"/>
      <c r="D448" s="202"/>
      <c r="E448" s="300"/>
      <c r="F448" s="210"/>
      <c r="G448" s="203"/>
      <c r="H448" s="203"/>
      <c r="I448" s="291"/>
      <c r="J448" s="263"/>
      <c r="K448" s="264"/>
      <c r="L448" s="265"/>
      <c r="M448" s="265"/>
      <c r="N448" s="265"/>
      <c r="O448" s="265"/>
      <c r="P448" s="265"/>
      <c r="Q448" s="265"/>
      <c r="R448" s="265"/>
    </row>
    <row r="449" spans="1:18" ht="27.75" customHeight="1">
      <c r="A449" s="204" t="str">
        <f>IF(ISBLANK(D449)," ",444-COUNTBLANK($D$6:D449))</f>
        <v xml:space="preserve"> </v>
      </c>
      <c r="B449" s="202"/>
      <c r="C449" s="202"/>
      <c r="D449" s="202"/>
      <c r="E449" s="300"/>
      <c r="F449" s="210"/>
      <c r="G449" s="203"/>
      <c r="H449" s="203"/>
      <c r="I449" s="291"/>
      <c r="J449" s="263"/>
      <c r="K449" s="264"/>
      <c r="L449" s="265"/>
      <c r="M449" s="265"/>
      <c r="N449" s="265"/>
      <c r="O449" s="265"/>
      <c r="P449" s="265"/>
      <c r="Q449" s="265"/>
      <c r="R449" s="265"/>
    </row>
    <row r="450" spans="1:18" ht="27.75" customHeight="1">
      <c r="A450" s="204" t="str">
        <f>IF(ISBLANK(D450)," ",445-COUNTBLANK($D$6:D450))</f>
        <v xml:space="preserve"> </v>
      </c>
      <c r="B450" s="202"/>
      <c r="C450" s="202"/>
      <c r="D450" s="202"/>
      <c r="E450" s="300"/>
      <c r="F450" s="210"/>
      <c r="G450" s="203"/>
      <c r="H450" s="203"/>
      <c r="I450" s="291"/>
      <c r="J450" s="263"/>
      <c r="K450" s="264"/>
      <c r="L450" s="265"/>
      <c r="M450" s="265"/>
      <c r="N450" s="265"/>
      <c r="O450" s="265"/>
      <c r="P450" s="265"/>
      <c r="Q450" s="265"/>
      <c r="R450" s="265"/>
    </row>
    <row r="451" spans="1:18" ht="27.75" customHeight="1">
      <c r="A451" s="204" t="str">
        <f>IF(ISBLANK(D451)," ",446-COUNTBLANK($D$6:D451))</f>
        <v xml:space="preserve"> </v>
      </c>
      <c r="B451" s="202"/>
      <c r="C451" s="202"/>
      <c r="D451" s="202"/>
      <c r="E451" s="300"/>
      <c r="F451" s="210"/>
      <c r="G451" s="203"/>
      <c r="H451" s="203"/>
      <c r="I451" s="291"/>
      <c r="J451" s="263"/>
      <c r="K451" s="264"/>
      <c r="L451" s="265"/>
      <c r="M451" s="265"/>
      <c r="N451" s="265"/>
      <c r="O451" s="265"/>
      <c r="P451" s="265"/>
      <c r="Q451" s="265"/>
      <c r="R451" s="265"/>
    </row>
    <row r="452" spans="1:18" ht="27.75" customHeight="1">
      <c r="A452" s="204" t="str">
        <f>IF(ISBLANK(D452)," ",447-COUNTBLANK($D$6:D452))</f>
        <v xml:space="preserve"> </v>
      </c>
      <c r="B452" s="202"/>
      <c r="C452" s="202"/>
      <c r="D452" s="202"/>
      <c r="E452" s="300"/>
      <c r="F452" s="210"/>
      <c r="G452" s="203"/>
      <c r="H452" s="203"/>
      <c r="I452" s="291"/>
      <c r="J452" s="263"/>
      <c r="K452" s="264"/>
      <c r="L452" s="265"/>
      <c r="M452" s="265"/>
      <c r="N452" s="265"/>
      <c r="O452" s="265"/>
      <c r="P452" s="265"/>
      <c r="Q452" s="265"/>
      <c r="R452" s="265"/>
    </row>
    <row r="453" spans="1:18" ht="27.75" customHeight="1">
      <c r="A453" s="204" t="str">
        <f>IF(ISBLANK(D453)," ",448-COUNTBLANK($D$6:D453))</f>
        <v xml:space="preserve"> </v>
      </c>
      <c r="B453" s="202"/>
      <c r="C453" s="202"/>
      <c r="D453" s="202"/>
      <c r="E453" s="300"/>
      <c r="F453" s="210"/>
      <c r="G453" s="203"/>
      <c r="H453" s="203"/>
      <c r="I453" s="291"/>
      <c r="J453" s="263"/>
      <c r="K453" s="264"/>
      <c r="L453" s="265"/>
      <c r="M453" s="265"/>
      <c r="N453" s="265"/>
      <c r="O453" s="265"/>
      <c r="P453" s="265"/>
      <c r="Q453" s="265"/>
      <c r="R453" s="265"/>
    </row>
    <row r="454" spans="1:18" ht="27.75" customHeight="1">
      <c r="A454" s="204" t="str">
        <f>IF(ISBLANK(D454)," ",449-COUNTBLANK($D$6:D454))</f>
        <v xml:space="preserve"> </v>
      </c>
      <c r="B454" s="202"/>
      <c r="C454" s="202"/>
      <c r="D454" s="202"/>
      <c r="E454" s="300"/>
      <c r="F454" s="210"/>
      <c r="G454" s="203"/>
      <c r="H454" s="203"/>
      <c r="I454" s="291"/>
      <c r="J454" s="263"/>
      <c r="K454" s="264"/>
      <c r="L454" s="265"/>
      <c r="M454" s="265"/>
      <c r="N454" s="265"/>
      <c r="O454" s="265"/>
      <c r="P454" s="265"/>
      <c r="Q454" s="265"/>
      <c r="R454" s="265"/>
    </row>
    <row r="455" spans="1:18" ht="27.75" customHeight="1">
      <c r="A455" s="204" t="str">
        <f>IF(ISBLANK(D455)," ",450-COUNTBLANK($D$6:D455))</f>
        <v xml:space="preserve"> </v>
      </c>
      <c r="B455" s="202"/>
      <c r="C455" s="202"/>
      <c r="D455" s="202"/>
      <c r="E455" s="300"/>
      <c r="F455" s="210"/>
      <c r="G455" s="203"/>
      <c r="H455" s="203"/>
      <c r="I455" s="291"/>
      <c r="J455" s="263"/>
      <c r="K455" s="264"/>
      <c r="L455" s="265"/>
      <c r="M455" s="265"/>
      <c r="N455" s="265"/>
      <c r="O455" s="265"/>
      <c r="P455" s="265"/>
      <c r="Q455" s="265"/>
      <c r="R455" s="265"/>
    </row>
    <row r="456" spans="1:18" ht="27.75" customHeight="1">
      <c r="A456" s="204" t="str">
        <f>IF(ISBLANK(D456)," ",451-COUNTBLANK($D$6:D456))</f>
        <v xml:space="preserve"> </v>
      </c>
      <c r="B456" s="202"/>
      <c r="C456" s="202"/>
      <c r="D456" s="202"/>
      <c r="E456" s="300"/>
      <c r="F456" s="210"/>
      <c r="G456" s="203"/>
      <c r="H456" s="203"/>
      <c r="I456" s="291"/>
      <c r="J456" s="263"/>
      <c r="K456" s="264"/>
      <c r="L456" s="265"/>
      <c r="M456" s="265"/>
      <c r="N456" s="265"/>
      <c r="O456" s="265"/>
      <c r="P456" s="265"/>
      <c r="Q456" s="265"/>
      <c r="R456" s="265"/>
    </row>
    <row r="457" spans="1:18" ht="27.75" customHeight="1">
      <c r="A457" s="204" t="str">
        <f>IF(ISBLANK(D457)," ",452-COUNTBLANK($D$6:D457))</f>
        <v xml:space="preserve"> </v>
      </c>
      <c r="B457" s="202"/>
      <c r="C457" s="202"/>
      <c r="D457" s="202"/>
      <c r="E457" s="300"/>
      <c r="F457" s="210"/>
      <c r="G457" s="203"/>
      <c r="H457" s="203"/>
      <c r="I457" s="291"/>
      <c r="J457" s="263"/>
      <c r="K457" s="264"/>
      <c r="L457" s="265"/>
      <c r="M457" s="265"/>
      <c r="N457" s="265"/>
      <c r="O457" s="265"/>
      <c r="P457" s="265"/>
      <c r="Q457" s="265"/>
      <c r="R457" s="265"/>
    </row>
    <row r="458" spans="1:18" ht="27.75" customHeight="1">
      <c r="A458" s="204" t="str">
        <f>IF(ISBLANK(D458)," ",453-COUNTBLANK($D$6:D458))</f>
        <v xml:space="preserve"> </v>
      </c>
      <c r="B458" s="202"/>
      <c r="C458" s="202"/>
      <c r="D458" s="202"/>
      <c r="E458" s="300"/>
      <c r="F458" s="210"/>
      <c r="G458" s="203"/>
      <c r="H458" s="203"/>
      <c r="I458" s="291"/>
      <c r="J458" s="263"/>
      <c r="K458" s="264"/>
      <c r="L458" s="265"/>
      <c r="M458" s="265"/>
      <c r="N458" s="265"/>
      <c r="O458" s="265"/>
      <c r="P458" s="265"/>
      <c r="Q458" s="265"/>
      <c r="R458" s="265"/>
    </row>
    <row r="459" spans="1:18" ht="27.75" customHeight="1">
      <c r="A459" s="204" t="str">
        <f>IF(ISBLANK(D459)," ",454-COUNTBLANK($D$6:D459))</f>
        <v xml:space="preserve"> </v>
      </c>
      <c r="B459" s="202"/>
      <c r="C459" s="202"/>
      <c r="D459" s="202"/>
      <c r="E459" s="300"/>
      <c r="F459" s="210"/>
      <c r="G459" s="203"/>
      <c r="H459" s="203"/>
      <c r="I459" s="291"/>
      <c r="J459" s="263"/>
      <c r="K459" s="264"/>
      <c r="L459" s="265"/>
      <c r="M459" s="265"/>
      <c r="N459" s="265"/>
      <c r="O459" s="265"/>
      <c r="P459" s="265"/>
      <c r="Q459" s="265"/>
      <c r="R459" s="265"/>
    </row>
    <row r="460" spans="1:18" ht="27.75" customHeight="1">
      <c r="A460" s="204" t="str">
        <f>IF(ISBLANK(D460)," ",455-COUNTBLANK($D$6:D460))</f>
        <v xml:space="preserve"> </v>
      </c>
      <c r="B460" s="202"/>
      <c r="C460" s="202"/>
      <c r="D460" s="202"/>
      <c r="E460" s="300"/>
      <c r="F460" s="210"/>
      <c r="G460" s="203"/>
      <c r="H460" s="203"/>
      <c r="I460" s="291"/>
      <c r="J460" s="263"/>
      <c r="K460" s="264"/>
      <c r="L460" s="265"/>
      <c r="M460" s="265"/>
      <c r="N460" s="265"/>
      <c r="O460" s="265"/>
      <c r="P460" s="265"/>
      <c r="Q460" s="265"/>
      <c r="R460" s="265"/>
    </row>
    <row r="461" spans="1:18" ht="27.75" customHeight="1">
      <c r="A461" s="204" t="str">
        <f>IF(ISBLANK(D461)," ",456-COUNTBLANK($D$6:D461))</f>
        <v xml:space="preserve"> </v>
      </c>
      <c r="B461" s="202"/>
      <c r="C461" s="202"/>
      <c r="D461" s="202"/>
      <c r="E461" s="300"/>
      <c r="F461" s="210"/>
      <c r="G461" s="203"/>
      <c r="H461" s="203"/>
      <c r="I461" s="291"/>
      <c r="J461" s="263"/>
      <c r="K461" s="264"/>
      <c r="L461" s="265"/>
      <c r="M461" s="265"/>
      <c r="N461" s="265"/>
      <c r="O461" s="265"/>
      <c r="P461" s="265"/>
      <c r="Q461" s="265"/>
      <c r="R461" s="265"/>
    </row>
    <row r="462" spans="1:18" ht="27.75" customHeight="1">
      <c r="A462" s="204" t="str">
        <f>IF(ISBLANK(D462)," ",457-COUNTBLANK($D$6:D462))</f>
        <v xml:space="preserve"> </v>
      </c>
      <c r="B462" s="202"/>
      <c r="C462" s="202"/>
      <c r="D462" s="202"/>
      <c r="E462" s="300"/>
      <c r="F462" s="210"/>
      <c r="G462" s="203"/>
      <c r="H462" s="203"/>
      <c r="I462" s="291"/>
      <c r="J462" s="263"/>
      <c r="K462" s="266"/>
      <c r="L462" s="265"/>
      <c r="M462" s="265"/>
      <c r="N462" s="265"/>
      <c r="O462" s="265"/>
      <c r="P462" s="265"/>
      <c r="Q462" s="265"/>
      <c r="R462" s="267"/>
    </row>
    <row r="463" spans="1:18" ht="27.75" customHeight="1">
      <c r="A463" s="204" t="str">
        <f>IF(ISBLANK(D463)," ",458-COUNTBLANK($D$6:D463))</f>
        <v xml:space="preserve"> </v>
      </c>
      <c r="B463" s="202"/>
      <c r="C463" s="202"/>
      <c r="D463" s="202"/>
      <c r="E463" s="300"/>
      <c r="F463" s="210"/>
      <c r="G463" s="203"/>
      <c r="H463" s="203"/>
      <c r="I463" s="291"/>
      <c r="J463" s="263"/>
      <c r="K463" s="266"/>
      <c r="L463" s="265"/>
      <c r="M463" s="265"/>
      <c r="N463" s="265"/>
      <c r="O463" s="265"/>
      <c r="P463" s="265"/>
      <c r="Q463" s="265"/>
      <c r="R463" s="267"/>
    </row>
    <row r="464" spans="1:18" ht="27.75" customHeight="1">
      <c r="A464" s="204" t="str">
        <f>IF(ISBLANK(D464)," ",459-COUNTBLANK($D$6:D464))</f>
        <v xml:space="preserve"> </v>
      </c>
      <c r="B464" s="202"/>
      <c r="C464" s="202"/>
      <c r="D464" s="202"/>
      <c r="E464" s="300"/>
      <c r="F464" s="210"/>
      <c r="G464" s="203"/>
      <c r="H464" s="203"/>
      <c r="I464" s="291"/>
      <c r="J464" s="263"/>
      <c r="K464" s="266"/>
      <c r="L464" s="265"/>
      <c r="M464" s="265"/>
      <c r="N464" s="265"/>
      <c r="O464" s="265"/>
      <c r="P464" s="265"/>
      <c r="Q464" s="265"/>
      <c r="R464" s="267"/>
    </row>
    <row r="465" spans="1:21" ht="27.75" customHeight="1">
      <c r="A465" s="204" t="str">
        <f>IF(ISBLANK(D465)," ",460-COUNTBLANK($D$6:D465))</f>
        <v xml:space="preserve"> </v>
      </c>
      <c r="B465" s="202"/>
      <c r="C465" s="202"/>
      <c r="D465" s="202"/>
      <c r="E465" s="300"/>
      <c r="F465" s="210"/>
      <c r="G465" s="203"/>
      <c r="H465" s="203"/>
      <c r="I465" s="291"/>
      <c r="J465" s="263"/>
      <c r="K465" s="266"/>
      <c r="L465" s="265"/>
      <c r="M465" s="265"/>
      <c r="N465" s="265"/>
      <c r="O465" s="265"/>
      <c r="P465" s="265"/>
      <c r="Q465" s="265"/>
      <c r="R465" s="267"/>
    </row>
    <row r="466" spans="1:21" ht="27.75" customHeight="1">
      <c r="A466" s="304" t="str">
        <f>IF(ISBLANK(D466)," ",461-COUNTBLANK($D$6:D466))</f>
        <v xml:space="preserve"> </v>
      </c>
      <c r="B466" s="296"/>
      <c r="C466" s="305"/>
      <c r="D466" s="306"/>
      <c r="E466" s="297"/>
      <c r="F466" s="298"/>
      <c r="G466" s="282"/>
      <c r="H466" s="282"/>
      <c r="I466" s="303"/>
      <c r="J466" s="263"/>
      <c r="K466" s="264"/>
      <c r="L466" s="265"/>
      <c r="M466" s="265"/>
      <c r="N466" s="265"/>
      <c r="O466" s="265"/>
      <c r="P466" s="265"/>
      <c r="Q466" s="265"/>
      <c r="R466" s="284"/>
      <c r="S466" s="265"/>
      <c r="T466" s="265"/>
      <c r="U466" s="265"/>
    </row>
    <row r="467" spans="1:21" ht="27.75" customHeight="1">
      <c r="A467" s="260" t="s">
        <v>52</v>
      </c>
      <c r="B467" s="200"/>
      <c r="C467" s="200"/>
      <c r="D467" s="200"/>
      <c r="E467" s="299"/>
      <c r="F467" s="209">
        <f>SUM(F447:F466)</f>
        <v>0</v>
      </c>
      <c r="G467" s="201"/>
      <c r="H467" s="201"/>
      <c r="I467" s="291"/>
      <c r="J467" s="263"/>
      <c r="K467" s="266"/>
      <c r="L467" s="265"/>
      <c r="M467" s="265"/>
      <c r="N467" s="265"/>
      <c r="O467" s="265"/>
      <c r="P467" s="265"/>
      <c r="Q467" s="265"/>
      <c r="R467" s="284"/>
      <c r="S467" s="265"/>
      <c r="T467" s="265"/>
      <c r="U467" s="265"/>
    </row>
    <row r="468" spans="1:21" ht="27.75" customHeight="1">
      <c r="A468" s="204" t="str">
        <f>IF(ISBLANK(D468)," ",463-COUNTBLANK($D$6:D468))</f>
        <v xml:space="preserve"> </v>
      </c>
      <c r="B468" s="202"/>
      <c r="C468" s="202"/>
      <c r="D468" s="202"/>
      <c r="E468" s="300"/>
      <c r="F468" s="210"/>
      <c r="G468" s="203"/>
      <c r="H468" s="203"/>
      <c r="I468" s="291"/>
      <c r="J468" s="263"/>
      <c r="K468" s="264"/>
      <c r="L468" s="265"/>
      <c r="M468" s="265"/>
      <c r="N468" s="265"/>
      <c r="O468" s="265"/>
      <c r="P468" s="265"/>
      <c r="Q468" s="265"/>
      <c r="R468" s="265"/>
    </row>
    <row r="469" spans="1:21" ht="27.75" customHeight="1">
      <c r="A469" s="204" t="str">
        <f>IF(ISBLANK(D469)," ",464-COUNTBLANK($D$6:D469))</f>
        <v xml:space="preserve"> </v>
      </c>
      <c r="B469" s="202"/>
      <c r="C469" s="202"/>
      <c r="D469" s="202"/>
      <c r="E469" s="300"/>
      <c r="F469" s="210"/>
      <c r="G469" s="203"/>
      <c r="H469" s="203"/>
      <c r="I469" s="291"/>
      <c r="J469" s="263"/>
      <c r="K469" s="264"/>
      <c r="L469" s="265"/>
      <c r="M469" s="265"/>
      <c r="N469" s="265"/>
      <c r="O469" s="265"/>
      <c r="P469" s="265"/>
      <c r="Q469" s="265"/>
      <c r="R469" s="265"/>
    </row>
    <row r="470" spans="1:21" ht="27.75" customHeight="1">
      <c r="A470" s="204" t="str">
        <f>IF(ISBLANK(D470)," ",465-COUNTBLANK($D$6:D470))</f>
        <v xml:space="preserve"> </v>
      </c>
      <c r="B470" s="202"/>
      <c r="C470" s="202"/>
      <c r="D470" s="202"/>
      <c r="E470" s="300"/>
      <c r="F470" s="210"/>
      <c r="G470" s="203"/>
      <c r="H470" s="203"/>
      <c r="I470" s="291"/>
      <c r="J470" s="263"/>
      <c r="K470" s="264"/>
      <c r="L470" s="265"/>
      <c r="M470" s="265"/>
      <c r="N470" s="265"/>
      <c r="O470" s="265"/>
      <c r="P470" s="265"/>
      <c r="Q470" s="265"/>
      <c r="R470" s="265"/>
    </row>
    <row r="471" spans="1:21" ht="27.75" customHeight="1">
      <c r="A471" s="204" t="str">
        <f>IF(ISBLANK(D471)," ",466-COUNTBLANK($D$6:D471))</f>
        <v xml:space="preserve"> </v>
      </c>
      <c r="B471" s="202"/>
      <c r="C471" s="202"/>
      <c r="D471" s="202"/>
      <c r="E471" s="300"/>
      <c r="F471" s="210"/>
      <c r="G471" s="203"/>
      <c r="H471" s="203"/>
      <c r="I471" s="291"/>
      <c r="J471" s="263"/>
      <c r="K471" s="264"/>
      <c r="L471" s="265"/>
      <c r="M471" s="265"/>
      <c r="N471" s="265"/>
      <c r="O471" s="265"/>
      <c r="P471" s="265"/>
      <c r="Q471" s="265"/>
      <c r="R471" s="265"/>
    </row>
    <row r="472" spans="1:21" ht="27.75" customHeight="1">
      <c r="A472" s="204" t="str">
        <f>IF(ISBLANK(D472)," ",467-COUNTBLANK($D$6:D472))</f>
        <v xml:space="preserve"> </v>
      </c>
      <c r="B472" s="202"/>
      <c r="C472" s="202"/>
      <c r="D472" s="202"/>
      <c r="E472" s="300"/>
      <c r="F472" s="210"/>
      <c r="G472" s="203"/>
      <c r="H472" s="203"/>
      <c r="I472" s="291"/>
      <c r="J472" s="263"/>
      <c r="K472" s="264"/>
      <c r="L472" s="265"/>
      <c r="M472" s="265"/>
      <c r="N472" s="265"/>
      <c r="O472" s="265"/>
      <c r="P472" s="265"/>
      <c r="Q472" s="265"/>
      <c r="R472" s="265"/>
    </row>
    <row r="473" spans="1:21" ht="27.75" customHeight="1">
      <c r="A473" s="204" t="str">
        <f>IF(ISBLANK(D473)," ",468-COUNTBLANK($D$6:D473))</f>
        <v xml:space="preserve"> </v>
      </c>
      <c r="B473" s="202"/>
      <c r="C473" s="202"/>
      <c r="D473" s="202"/>
      <c r="E473" s="300"/>
      <c r="F473" s="210"/>
      <c r="G473" s="203"/>
      <c r="H473" s="203"/>
      <c r="I473" s="291"/>
      <c r="J473" s="263"/>
      <c r="K473" s="264"/>
      <c r="L473" s="265"/>
      <c r="M473" s="265"/>
      <c r="N473" s="265"/>
      <c r="O473" s="265"/>
      <c r="P473" s="265"/>
      <c r="Q473" s="265"/>
      <c r="R473" s="265"/>
    </row>
    <row r="474" spans="1:21" ht="27.75" customHeight="1">
      <c r="A474" s="204" t="str">
        <f>IF(ISBLANK(D474)," ",469-COUNTBLANK($D$6:D474))</f>
        <v xml:space="preserve"> </v>
      </c>
      <c r="B474" s="202"/>
      <c r="C474" s="202"/>
      <c r="D474" s="202"/>
      <c r="E474" s="300"/>
      <c r="F474" s="210"/>
      <c r="G474" s="203"/>
      <c r="H474" s="203"/>
      <c r="I474" s="291"/>
      <c r="J474" s="263"/>
      <c r="K474" s="264"/>
      <c r="L474" s="265"/>
      <c r="M474" s="265"/>
      <c r="N474" s="265"/>
      <c r="O474" s="265"/>
      <c r="P474" s="265"/>
      <c r="Q474" s="265"/>
      <c r="R474" s="265"/>
    </row>
    <row r="475" spans="1:21" ht="27.75" customHeight="1">
      <c r="A475" s="204" t="str">
        <f>IF(ISBLANK(D475)," ",470-COUNTBLANK($D$6:D475))</f>
        <v xml:space="preserve"> </v>
      </c>
      <c r="B475" s="202"/>
      <c r="C475" s="202"/>
      <c r="D475" s="202"/>
      <c r="E475" s="300"/>
      <c r="F475" s="210"/>
      <c r="G475" s="203"/>
      <c r="H475" s="203"/>
      <c r="I475" s="291"/>
      <c r="J475" s="263"/>
      <c r="K475" s="264"/>
      <c r="L475" s="265"/>
      <c r="M475" s="265"/>
      <c r="N475" s="265"/>
      <c r="O475" s="265"/>
      <c r="P475" s="265"/>
      <c r="Q475" s="265"/>
      <c r="R475" s="265"/>
    </row>
    <row r="476" spans="1:21" ht="27.75" customHeight="1">
      <c r="A476" s="204" t="str">
        <f>IF(ISBLANK(D476)," ",471-COUNTBLANK($D$6:D476))</f>
        <v xml:space="preserve"> </v>
      </c>
      <c r="B476" s="202"/>
      <c r="C476" s="202"/>
      <c r="D476" s="202"/>
      <c r="E476" s="300"/>
      <c r="F476" s="210"/>
      <c r="G476" s="203"/>
      <c r="H476" s="203"/>
      <c r="I476" s="291"/>
      <c r="J476" s="263"/>
      <c r="K476" s="264"/>
      <c r="L476" s="265"/>
      <c r="M476" s="265"/>
      <c r="N476" s="265"/>
      <c r="O476" s="265"/>
      <c r="P476" s="265"/>
      <c r="Q476" s="265"/>
      <c r="R476" s="265"/>
    </row>
    <row r="477" spans="1:21" ht="27.75" customHeight="1">
      <c r="A477" s="204" t="str">
        <f>IF(ISBLANK(D477)," ",472-COUNTBLANK($D$6:D477))</f>
        <v xml:space="preserve"> </v>
      </c>
      <c r="B477" s="202"/>
      <c r="C477" s="202"/>
      <c r="D477" s="202"/>
      <c r="E477" s="300"/>
      <c r="F477" s="210"/>
      <c r="G477" s="203"/>
      <c r="H477" s="203"/>
      <c r="I477" s="291"/>
      <c r="J477" s="263"/>
      <c r="K477" s="264"/>
      <c r="L477" s="265"/>
      <c r="M477" s="265"/>
      <c r="N477" s="265"/>
      <c r="O477" s="265"/>
      <c r="P477" s="265"/>
      <c r="Q477" s="265"/>
      <c r="R477" s="265"/>
    </row>
    <row r="478" spans="1:21" ht="27.75" customHeight="1">
      <c r="A478" s="204" t="str">
        <f>IF(ISBLANK(D478)," ",473-COUNTBLANK($D$6:D478))</f>
        <v xml:space="preserve"> </v>
      </c>
      <c r="B478" s="202"/>
      <c r="C478" s="202"/>
      <c r="D478" s="202"/>
      <c r="E478" s="300"/>
      <c r="F478" s="210"/>
      <c r="G478" s="203"/>
      <c r="H478" s="203"/>
      <c r="I478" s="291"/>
      <c r="J478" s="263"/>
      <c r="K478" s="264"/>
      <c r="L478" s="265"/>
      <c r="M478" s="265"/>
      <c r="N478" s="265"/>
      <c r="O478" s="265"/>
      <c r="P478" s="265"/>
      <c r="Q478" s="265"/>
      <c r="R478" s="265"/>
    </row>
    <row r="479" spans="1:21" ht="27.75" customHeight="1">
      <c r="A479" s="204" t="str">
        <f>IF(ISBLANK(D479)," ",474-COUNTBLANK($D$6:D479))</f>
        <v xml:space="preserve"> </v>
      </c>
      <c r="B479" s="202"/>
      <c r="C479" s="202"/>
      <c r="D479" s="202"/>
      <c r="E479" s="300"/>
      <c r="F479" s="210"/>
      <c r="G479" s="203"/>
      <c r="H479" s="203"/>
      <c r="I479" s="291"/>
      <c r="J479" s="263"/>
      <c r="K479" s="264"/>
      <c r="L479" s="265"/>
      <c r="M479" s="265"/>
      <c r="N479" s="265"/>
      <c r="O479" s="265"/>
      <c r="P479" s="265"/>
      <c r="Q479" s="265"/>
      <c r="R479" s="265"/>
    </row>
    <row r="480" spans="1:21" ht="27.75" customHeight="1">
      <c r="A480" s="204" t="str">
        <f>IF(ISBLANK(D480)," ",475-COUNTBLANK($D$6:D480))</f>
        <v xml:space="preserve"> </v>
      </c>
      <c r="B480" s="202"/>
      <c r="C480" s="202"/>
      <c r="D480" s="202"/>
      <c r="E480" s="300"/>
      <c r="F480" s="210"/>
      <c r="G480" s="203"/>
      <c r="H480" s="203"/>
      <c r="I480" s="291"/>
      <c r="J480" s="263"/>
      <c r="K480" s="264"/>
      <c r="L480" s="265"/>
      <c r="M480" s="265"/>
      <c r="N480" s="265"/>
      <c r="O480" s="265"/>
      <c r="P480" s="265"/>
      <c r="Q480" s="265"/>
      <c r="R480" s="265"/>
    </row>
    <row r="481" spans="1:21" ht="27.75" customHeight="1">
      <c r="A481" s="204" t="str">
        <f>IF(ISBLANK(D481)," ",476-COUNTBLANK($D$6:D481))</f>
        <v xml:space="preserve"> </v>
      </c>
      <c r="B481" s="202"/>
      <c r="C481" s="202"/>
      <c r="D481" s="202"/>
      <c r="E481" s="300"/>
      <c r="F481" s="210"/>
      <c r="G481" s="203"/>
      <c r="H481" s="203"/>
      <c r="I481" s="291"/>
      <c r="J481" s="263"/>
      <c r="K481" s="264"/>
      <c r="L481" s="265"/>
      <c r="M481" s="265"/>
      <c r="N481" s="265"/>
      <c r="O481" s="265"/>
      <c r="P481" s="265"/>
      <c r="Q481" s="265"/>
      <c r="R481" s="265"/>
    </row>
    <row r="482" spans="1:21" ht="27.75" customHeight="1">
      <c r="A482" s="204" t="str">
        <f>IF(ISBLANK(D482)," ",477-COUNTBLANK($D$6:D482))</f>
        <v xml:space="preserve"> </v>
      </c>
      <c r="B482" s="202"/>
      <c r="C482" s="202"/>
      <c r="D482" s="202"/>
      <c r="E482" s="300"/>
      <c r="F482" s="210"/>
      <c r="G482" s="203"/>
      <c r="H482" s="203"/>
      <c r="I482" s="291"/>
      <c r="J482" s="263"/>
      <c r="K482" s="264"/>
      <c r="L482" s="265"/>
      <c r="M482" s="265"/>
      <c r="N482" s="265"/>
      <c r="O482" s="265"/>
      <c r="P482" s="265"/>
      <c r="Q482" s="265"/>
      <c r="R482" s="265"/>
    </row>
    <row r="483" spans="1:21" ht="27.75" customHeight="1">
      <c r="A483" s="204" t="str">
        <f>IF(ISBLANK(D483)," ",478-COUNTBLANK($D$6:D483))</f>
        <v xml:space="preserve"> </v>
      </c>
      <c r="B483" s="202"/>
      <c r="C483" s="202"/>
      <c r="D483" s="202"/>
      <c r="E483" s="300"/>
      <c r="F483" s="210"/>
      <c r="G483" s="203"/>
      <c r="H483" s="203"/>
      <c r="I483" s="291"/>
      <c r="J483" s="263"/>
      <c r="K483" s="266"/>
      <c r="L483" s="265"/>
      <c r="M483" s="265"/>
      <c r="N483" s="265"/>
      <c r="O483" s="265"/>
      <c r="P483" s="265"/>
      <c r="Q483" s="265"/>
      <c r="R483" s="267"/>
    </row>
    <row r="484" spans="1:21" ht="27.75" customHeight="1">
      <c r="A484" s="204" t="str">
        <f>IF(ISBLANK(D484)," ",479-COUNTBLANK($D$6:D484))</f>
        <v xml:space="preserve"> </v>
      </c>
      <c r="B484" s="202"/>
      <c r="C484" s="202"/>
      <c r="D484" s="202"/>
      <c r="E484" s="300"/>
      <c r="F484" s="210"/>
      <c r="G484" s="203"/>
      <c r="H484" s="203"/>
      <c r="I484" s="291"/>
      <c r="J484" s="263"/>
      <c r="K484" s="266"/>
      <c r="L484" s="265"/>
      <c r="M484" s="265"/>
      <c r="N484" s="265"/>
      <c r="O484" s="265"/>
      <c r="P484" s="265"/>
      <c r="Q484" s="265"/>
      <c r="R484" s="267"/>
    </row>
    <row r="485" spans="1:21" ht="27.75" customHeight="1">
      <c r="A485" s="204" t="str">
        <f>IF(ISBLANK(D485)," ",480-COUNTBLANK($D$6:D485))</f>
        <v xml:space="preserve"> </v>
      </c>
      <c r="B485" s="202"/>
      <c r="C485" s="202"/>
      <c r="D485" s="202"/>
      <c r="E485" s="300"/>
      <c r="F485" s="210"/>
      <c r="G485" s="203"/>
      <c r="H485" s="203"/>
      <c r="I485" s="291"/>
      <c r="J485" s="263"/>
      <c r="K485" s="266"/>
      <c r="L485" s="265"/>
      <c r="M485" s="265"/>
      <c r="N485" s="265"/>
      <c r="O485" s="265"/>
      <c r="P485" s="265"/>
      <c r="Q485" s="265"/>
      <c r="R485" s="267"/>
    </row>
    <row r="486" spans="1:21" ht="27.75" customHeight="1">
      <c r="A486" s="204" t="str">
        <f>IF(ISBLANK(D486)," ",481-COUNTBLANK($D$6:D486))</f>
        <v xml:space="preserve"> </v>
      </c>
      <c r="B486" s="202"/>
      <c r="C486" s="202"/>
      <c r="D486" s="202"/>
      <c r="E486" s="300"/>
      <c r="F486" s="210"/>
      <c r="G486" s="203"/>
      <c r="H486" s="203"/>
      <c r="I486" s="291"/>
      <c r="J486" s="263"/>
      <c r="K486" s="266"/>
      <c r="L486" s="265"/>
      <c r="M486" s="265"/>
      <c r="N486" s="265"/>
      <c r="O486" s="265"/>
      <c r="P486" s="265"/>
      <c r="Q486" s="265"/>
      <c r="R486" s="267"/>
    </row>
    <row r="487" spans="1:21" ht="27.75" customHeight="1">
      <c r="A487" s="304" t="str">
        <f>IF(ISBLANK(D487)," ",482-COUNTBLANK($D$6:D487))</f>
        <v xml:space="preserve"> </v>
      </c>
      <c r="B487" s="296"/>
      <c r="C487" s="305"/>
      <c r="D487" s="306"/>
      <c r="E487" s="297"/>
      <c r="F487" s="298"/>
      <c r="G487" s="282"/>
      <c r="H487" s="282"/>
      <c r="I487" s="303"/>
      <c r="J487" s="263"/>
      <c r="K487" s="264"/>
      <c r="L487" s="265"/>
      <c r="M487" s="265"/>
      <c r="N487" s="265"/>
      <c r="O487" s="265"/>
      <c r="P487" s="265"/>
      <c r="Q487" s="265"/>
      <c r="R487" s="284"/>
      <c r="S487" s="265"/>
      <c r="T487" s="265"/>
      <c r="U487" s="265"/>
    </row>
    <row r="488" spans="1:21" ht="27.75" customHeight="1">
      <c r="A488" s="260" t="s">
        <v>52</v>
      </c>
      <c r="B488" s="200"/>
      <c r="C488" s="200"/>
      <c r="D488" s="200"/>
      <c r="E488" s="299"/>
      <c r="F488" s="209">
        <f>SUM(F468:F487)</f>
        <v>0</v>
      </c>
      <c r="G488" s="201"/>
      <c r="H488" s="201"/>
      <c r="I488" s="291"/>
      <c r="J488" s="263"/>
      <c r="K488" s="266"/>
      <c r="L488" s="265"/>
      <c r="M488" s="265"/>
      <c r="N488" s="265"/>
      <c r="O488" s="265"/>
      <c r="P488" s="265"/>
      <c r="Q488" s="265"/>
      <c r="R488" s="284"/>
      <c r="S488" s="265"/>
      <c r="T488" s="265"/>
      <c r="U488" s="265"/>
    </row>
    <row r="489" spans="1:21" ht="27.75" customHeight="1">
      <c r="A489" s="204" t="str">
        <f>IF(ISBLANK(D489)," ",484-COUNTBLANK($D$6:D489))</f>
        <v xml:space="preserve"> </v>
      </c>
      <c r="B489" s="202"/>
      <c r="C489" s="202"/>
      <c r="D489" s="202"/>
      <c r="E489" s="300"/>
      <c r="F489" s="210"/>
      <c r="G489" s="203"/>
      <c r="H489" s="203"/>
      <c r="I489" s="291"/>
      <c r="J489" s="263"/>
      <c r="K489" s="264"/>
      <c r="L489" s="265"/>
      <c r="M489" s="265"/>
      <c r="N489" s="265"/>
      <c r="O489" s="265"/>
      <c r="P489" s="265"/>
      <c r="Q489" s="265"/>
      <c r="R489" s="265"/>
    </row>
    <row r="490" spans="1:21" ht="27.75" customHeight="1">
      <c r="A490" s="204" t="str">
        <f>IF(ISBLANK(D490)," ",485-COUNTBLANK($D$6:D490))</f>
        <v xml:space="preserve"> </v>
      </c>
      <c r="B490" s="202"/>
      <c r="C490" s="202"/>
      <c r="D490" s="202"/>
      <c r="E490" s="300"/>
      <c r="F490" s="210"/>
      <c r="G490" s="203"/>
      <c r="H490" s="203"/>
      <c r="I490" s="291"/>
      <c r="J490" s="263"/>
      <c r="K490" s="264"/>
      <c r="L490" s="265"/>
      <c r="M490" s="265"/>
      <c r="N490" s="265"/>
      <c r="O490" s="265"/>
      <c r="P490" s="265"/>
      <c r="Q490" s="265"/>
      <c r="R490" s="265"/>
    </row>
    <row r="491" spans="1:21" ht="27.75" customHeight="1">
      <c r="A491" s="204" t="str">
        <f>IF(ISBLANK(D491)," ",486-COUNTBLANK($D$6:D491))</f>
        <v xml:space="preserve"> </v>
      </c>
      <c r="B491" s="202"/>
      <c r="C491" s="202"/>
      <c r="D491" s="202"/>
      <c r="E491" s="300"/>
      <c r="F491" s="210"/>
      <c r="G491" s="203"/>
      <c r="H491" s="203"/>
      <c r="I491" s="291"/>
      <c r="J491" s="263"/>
      <c r="K491" s="264"/>
      <c r="L491" s="265"/>
      <c r="M491" s="265"/>
      <c r="N491" s="265"/>
      <c r="O491" s="265"/>
      <c r="P491" s="265"/>
      <c r="Q491" s="265"/>
      <c r="R491" s="265"/>
    </row>
    <row r="492" spans="1:21" ht="27.75" customHeight="1">
      <c r="A492" s="204" t="str">
        <f>IF(ISBLANK(D492)," ",487-COUNTBLANK($D$6:D492))</f>
        <v xml:space="preserve"> </v>
      </c>
      <c r="B492" s="202"/>
      <c r="C492" s="202"/>
      <c r="D492" s="202"/>
      <c r="E492" s="300"/>
      <c r="F492" s="210"/>
      <c r="G492" s="203"/>
      <c r="H492" s="203"/>
      <c r="I492" s="291"/>
      <c r="J492" s="263"/>
      <c r="K492" s="264"/>
      <c r="L492" s="265"/>
      <c r="M492" s="265"/>
      <c r="N492" s="265"/>
      <c r="O492" s="265"/>
      <c r="P492" s="265"/>
      <c r="Q492" s="265"/>
      <c r="R492" s="265"/>
    </row>
    <row r="493" spans="1:21" ht="27.75" customHeight="1">
      <c r="A493" s="204" t="str">
        <f>IF(ISBLANK(D493)," ",488-COUNTBLANK($D$6:D493))</f>
        <v xml:space="preserve"> </v>
      </c>
      <c r="B493" s="202"/>
      <c r="C493" s="202"/>
      <c r="D493" s="202"/>
      <c r="E493" s="300"/>
      <c r="F493" s="210"/>
      <c r="G493" s="203"/>
      <c r="H493" s="203"/>
      <c r="I493" s="291"/>
      <c r="J493" s="263"/>
      <c r="K493" s="264"/>
      <c r="L493" s="265"/>
      <c r="M493" s="265"/>
      <c r="N493" s="265"/>
      <c r="O493" s="265"/>
      <c r="P493" s="265"/>
      <c r="Q493" s="265"/>
      <c r="R493" s="265"/>
    </row>
    <row r="494" spans="1:21" ht="27.75" customHeight="1">
      <c r="A494" s="204" t="str">
        <f>IF(ISBLANK(D494)," ",489-COUNTBLANK($D$6:D494))</f>
        <v xml:space="preserve"> </v>
      </c>
      <c r="B494" s="202"/>
      <c r="C494" s="202"/>
      <c r="D494" s="202"/>
      <c r="E494" s="300"/>
      <c r="F494" s="210"/>
      <c r="G494" s="203"/>
      <c r="H494" s="203"/>
      <c r="I494" s="291"/>
      <c r="J494" s="263"/>
      <c r="K494" s="264"/>
      <c r="L494" s="265"/>
      <c r="M494" s="265"/>
      <c r="N494" s="265"/>
      <c r="O494" s="265"/>
      <c r="P494" s="265"/>
      <c r="Q494" s="265"/>
      <c r="R494" s="265"/>
    </row>
    <row r="495" spans="1:21" ht="27.75" customHeight="1">
      <c r="A495" s="204" t="str">
        <f>IF(ISBLANK(D495)," ",490-COUNTBLANK($D$6:D495))</f>
        <v xml:space="preserve"> </v>
      </c>
      <c r="B495" s="202"/>
      <c r="C495" s="202"/>
      <c r="D495" s="202"/>
      <c r="E495" s="300"/>
      <c r="F495" s="210"/>
      <c r="G495" s="203"/>
      <c r="H495" s="203"/>
      <c r="I495" s="291"/>
      <c r="J495" s="263"/>
      <c r="K495" s="264"/>
      <c r="L495" s="265"/>
      <c r="M495" s="265"/>
      <c r="N495" s="265"/>
      <c r="O495" s="265"/>
      <c r="P495" s="265"/>
      <c r="Q495" s="265"/>
      <c r="R495" s="265"/>
    </row>
    <row r="496" spans="1:21" ht="27.75" customHeight="1">
      <c r="A496" s="204" t="str">
        <f>IF(ISBLANK(D496)," ",491-COUNTBLANK($D$6:D496))</f>
        <v xml:space="preserve"> </v>
      </c>
      <c r="B496" s="202"/>
      <c r="C496" s="202"/>
      <c r="D496" s="202"/>
      <c r="E496" s="300"/>
      <c r="F496" s="210"/>
      <c r="G496" s="203"/>
      <c r="H496" s="203"/>
      <c r="I496" s="291"/>
      <c r="J496" s="263"/>
      <c r="K496" s="264"/>
      <c r="L496" s="265"/>
      <c r="M496" s="265"/>
      <c r="N496" s="265"/>
      <c r="O496" s="265"/>
      <c r="P496" s="265"/>
      <c r="Q496" s="265"/>
      <c r="R496" s="265"/>
    </row>
    <row r="497" spans="1:21" ht="27.75" customHeight="1">
      <c r="A497" s="204" t="str">
        <f>IF(ISBLANK(D497)," ",492-COUNTBLANK($D$6:D497))</f>
        <v xml:space="preserve"> </v>
      </c>
      <c r="B497" s="202"/>
      <c r="C497" s="202"/>
      <c r="D497" s="202"/>
      <c r="E497" s="300"/>
      <c r="F497" s="210"/>
      <c r="G497" s="203"/>
      <c r="H497" s="203"/>
      <c r="I497" s="291"/>
      <c r="J497" s="263"/>
      <c r="K497" s="264"/>
      <c r="L497" s="265"/>
      <c r="M497" s="265"/>
      <c r="N497" s="265"/>
      <c r="O497" s="265"/>
      <c r="P497" s="265"/>
      <c r="Q497" s="265"/>
      <c r="R497" s="265"/>
    </row>
    <row r="498" spans="1:21" ht="27.75" customHeight="1">
      <c r="A498" s="204" t="str">
        <f>IF(ISBLANK(D498)," ",493-COUNTBLANK($D$6:D498))</f>
        <v xml:space="preserve"> </v>
      </c>
      <c r="B498" s="202"/>
      <c r="C498" s="202"/>
      <c r="D498" s="202"/>
      <c r="E498" s="300"/>
      <c r="F498" s="210"/>
      <c r="G498" s="203"/>
      <c r="H498" s="203"/>
      <c r="I498" s="291"/>
      <c r="J498" s="263"/>
      <c r="K498" s="264"/>
      <c r="L498" s="265"/>
      <c r="M498" s="265"/>
      <c r="N498" s="265"/>
      <c r="O498" s="265"/>
      <c r="P498" s="265"/>
      <c r="Q498" s="265"/>
      <c r="R498" s="265"/>
    </row>
    <row r="499" spans="1:21" ht="27.75" customHeight="1">
      <c r="A499" s="204" t="str">
        <f>IF(ISBLANK(D499)," ",494-COUNTBLANK($D$6:D499))</f>
        <v xml:space="preserve"> </v>
      </c>
      <c r="B499" s="202"/>
      <c r="C499" s="202"/>
      <c r="D499" s="202"/>
      <c r="E499" s="300"/>
      <c r="F499" s="210"/>
      <c r="G499" s="203"/>
      <c r="H499" s="203"/>
      <c r="I499" s="291"/>
      <c r="J499" s="263"/>
      <c r="K499" s="264"/>
      <c r="L499" s="265"/>
      <c r="M499" s="265"/>
      <c r="N499" s="265"/>
      <c r="O499" s="265"/>
      <c r="P499" s="265"/>
      <c r="Q499" s="265"/>
      <c r="R499" s="265"/>
    </row>
    <row r="500" spans="1:21" ht="27.75" customHeight="1">
      <c r="A500" s="204" t="str">
        <f>IF(ISBLANK(D500)," ",495-COUNTBLANK($D$6:D500))</f>
        <v xml:space="preserve"> </v>
      </c>
      <c r="B500" s="202"/>
      <c r="C500" s="202"/>
      <c r="D500" s="202"/>
      <c r="E500" s="300"/>
      <c r="F500" s="210"/>
      <c r="G500" s="203"/>
      <c r="H500" s="203"/>
      <c r="I500" s="291"/>
      <c r="J500" s="263"/>
      <c r="K500" s="264"/>
      <c r="L500" s="265"/>
      <c r="M500" s="265"/>
      <c r="N500" s="265"/>
      <c r="O500" s="265"/>
      <c r="P500" s="265"/>
      <c r="Q500" s="265"/>
      <c r="R500" s="265"/>
    </row>
    <row r="501" spans="1:21" ht="27.75" customHeight="1">
      <c r="A501" s="204" t="str">
        <f>IF(ISBLANK(D501)," ",496-COUNTBLANK($D$6:D501))</f>
        <v xml:space="preserve"> </v>
      </c>
      <c r="B501" s="202"/>
      <c r="C501" s="202"/>
      <c r="D501" s="202"/>
      <c r="E501" s="300"/>
      <c r="F501" s="210"/>
      <c r="G501" s="203"/>
      <c r="H501" s="203"/>
      <c r="I501" s="291"/>
      <c r="J501" s="263"/>
      <c r="K501" s="264"/>
      <c r="L501" s="265"/>
      <c r="M501" s="265"/>
      <c r="N501" s="265"/>
      <c r="O501" s="265"/>
      <c r="P501" s="265"/>
      <c r="Q501" s="265"/>
      <c r="R501" s="265"/>
    </row>
    <row r="502" spans="1:21" ht="27.75" customHeight="1">
      <c r="A502" s="204" t="str">
        <f>IF(ISBLANK(D502)," ",497-COUNTBLANK($D$6:D502))</f>
        <v xml:space="preserve"> </v>
      </c>
      <c r="B502" s="202"/>
      <c r="C502" s="202"/>
      <c r="D502" s="202"/>
      <c r="E502" s="300"/>
      <c r="F502" s="210"/>
      <c r="G502" s="203"/>
      <c r="H502" s="203"/>
      <c r="I502" s="291"/>
      <c r="J502" s="263"/>
      <c r="K502" s="264"/>
      <c r="L502" s="265"/>
      <c r="M502" s="265"/>
      <c r="N502" s="265"/>
      <c r="O502" s="265"/>
      <c r="P502" s="265"/>
      <c r="Q502" s="265"/>
      <c r="R502" s="265"/>
    </row>
    <row r="503" spans="1:21" ht="27.75" customHeight="1">
      <c r="A503" s="204" t="str">
        <f>IF(ISBLANK(D503)," ",498-COUNTBLANK($D$6:D503))</f>
        <v xml:space="preserve"> </v>
      </c>
      <c r="B503" s="202"/>
      <c r="C503" s="202"/>
      <c r="D503" s="202"/>
      <c r="E503" s="300"/>
      <c r="F503" s="210"/>
      <c r="G503" s="203"/>
      <c r="H503" s="203"/>
      <c r="I503" s="291"/>
      <c r="J503" s="263"/>
      <c r="K503" s="264"/>
      <c r="L503" s="265"/>
      <c r="M503" s="265"/>
      <c r="N503" s="265"/>
      <c r="O503" s="265"/>
      <c r="P503" s="265"/>
      <c r="Q503" s="265"/>
      <c r="R503" s="265"/>
    </row>
    <row r="504" spans="1:21" ht="27.75" customHeight="1">
      <c r="A504" s="204" t="str">
        <f>IF(ISBLANK(D504)," ",499-COUNTBLANK($D$6:D504))</f>
        <v xml:space="preserve"> </v>
      </c>
      <c r="B504" s="202"/>
      <c r="C504" s="202"/>
      <c r="D504" s="202"/>
      <c r="E504" s="300"/>
      <c r="F504" s="210"/>
      <c r="G504" s="203"/>
      <c r="H504" s="203"/>
      <c r="I504" s="291"/>
      <c r="J504" s="263"/>
      <c r="K504" s="266"/>
      <c r="L504" s="265"/>
      <c r="M504" s="265"/>
      <c r="N504" s="265"/>
      <c r="O504" s="265"/>
      <c r="P504" s="265"/>
      <c r="Q504" s="265"/>
      <c r="R504" s="267"/>
    </row>
    <row r="505" spans="1:21" ht="27.75" customHeight="1">
      <c r="A505" s="204" t="str">
        <f>IF(ISBLANK(D505)," ",500-COUNTBLANK($D$6:D505))</f>
        <v xml:space="preserve"> </v>
      </c>
      <c r="B505" s="202"/>
      <c r="C505" s="202"/>
      <c r="D505" s="202"/>
      <c r="E505" s="300"/>
      <c r="F505" s="210"/>
      <c r="G505" s="203"/>
      <c r="H505" s="203"/>
      <c r="I505" s="291"/>
      <c r="J505" s="263"/>
      <c r="K505" s="266"/>
      <c r="L505" s="265"/>
      <c r="M505" s="265"/>
      <c r="N505" s="265"/>
      <c r="O505" s="265"/>
      <c r="P505" s="265"/>
      <c r="Q505" s="265"/>
      <c r="R505" s="267"/>
    </row>
    <row r="506" spans="1:21" ht="27.75" customHeight="1">
      <c r="A506" s="204" t="str">
        <f>IF(ISBLANK(D506)," ",501-COUNTBLANK($D$6:D506))</f>
        <v xml:space="preserve"> </v>
      </c>
      <c r="B506" s="202"/>
      <c r="C506" s="202"/>
      <c r="D506" s="202"/>
      <c r="E506" s="300"/>
      <c r="F506" s="210"/>
      <c r="G506" s="203"/>
      <c r="H506" s="203"/>
      <c r="I506" s="291"/>
      <c r="J506" s="263"/>
      <c r="K506" s="266"/>
      <c r="L506" s="265"/>
      <c r="M506" s="265"/>
      <c r="N506" s="265"/>
      <c r="O506" s="265"/>
      <c r="P506" s="265"/>
      <c r="Q506" s="265"/>
      <c r="R506" s="267"/>
    </row>
    <row r="507" spans="1:21" ht="27.75" customHeight="1">
      <c r="A507" s="204" t="str">
        <f>IF(ISBLANK(D507)," ",502-COUNTBLANK($D$6:D507))</f>
        <v xml:space="preserve"> </v>
      </c>
      <c r="B507" s="202"/>
      <c r="C507" s="202"/>
      <c r="D507" s="202"/>
      <c r="E507" s="300"/>
      <c r="F507" s="210"/>
      <c r="G507" s="203"/>
      <c r="H507" s="203"/>
      <c r="I507" s="291"/>
      <c r="J507" s="263"/>
      <c r="K507" s="266"/>
      <c r="L507" s="265"/>
      <c r="M507" s="265"/>
      <c r="N507" s="265"/>
      <c r="O507" s="265"/>
      <c r="P507" s="265"/>
      <c r="Q507" s="265"/>
      <c r="R507" s="267"/>
    </row>
    <row r="508" spans="1:21" ht="27.75" customHeight="1">
      <c r="A508" s="304" t="str">
        <f>IF(ISBLANK(D508)," ",503-COUNTBLANK($D$6:D508))</f>
        <v xml:space="preserve"> </v>
      </c>
      <c r="B508" s="296"/>
      <c r="C508" s="305"/>
      <c r="D508" s="306"/>
      <c r="E508" s="297"/>
      <c r="F508" s="298"/>
      <c r="G508" s="282"/>
      <c r="H508" s="282"/>
      <c r="I508" s="303"/>
      <c r="J508" s="263"/>
      <c r="K508" s="264"/>
      <c r="L508" s="265"/>
      <c r="M508" s="265"/>
      <c r="N508" s="265"/>
      <c r="O508" s="265"/>
      <c r="P508" s="265"/>
      <c r="Q508" s="265"/>
      <c r="R508" s="284"/>
      <c r="S508" s="265"/>
      <c r="T508" s="265"/>
      <c r="U508" s="265"/>
    </row>
    <row r="509" spans="1:21" ht="27.75" customHeight="1">
      <c r="A509" s="240" t="s">
        <v>52</v>
      </c>
      <c r="F509" s="309">
        <f>SUM(F489:F508)</f>
        <v>0</v>
      </c>
      <c r="J509" s="263"/>
      <c r="K509" s="266"/>
      <c r="L509" s="265"/>
      <c r="M509" s="265"/>
      <c r="N509" s="265"/>
      <c r="O509" s="265"/>
      <c r="P509" s="265"/>
      <c r="Q509" s="265"/>
      <c r="R509" s="284"/>
      <c r="S509" s="265"/>
      <c r="T509" s="265"/>
      <c r="U509" s="265"/>
    </row>
    <row r="510" spans="1:21" ht="27.75" customHeight="1">
      <c r="A510" s="240" t="str">
        <f>IF(ISBLANK(D510)," ",505-COUNTBLANK($D$6:D510))</f>
        <v xml:space="preserve"> </v>
      </c>
      <c r="J510" s="263"/>
      <c r="K510" s="264"/>
      <c r="L510" s="265"/>
      <c r="M510" s="265"/>
      <c r="N510" s="265"/>
      <c r="O510" s="265"/>
      <c r="P510" s="265"/>
      <c r="Q510" s="265"/>
      <c r="R510" s="265"/>
    </row>
    <row r="511" spans="1:21" ht="27.75" customHeight="1">
      <c r="A511" s="240" t="str">
        <f>IF(ISBLANK(D511)," ",506-COUNTBLANK($D$6:D511))</f>
        <v xml:space="preserve"> </v>
      </c>
      <c r="J511" s="263"/>
      <c r="K511" s="264"/>
      <c r="L511" s="265"/>
      <c r="M511" s="265"/>
      <c r="N511" s="265"/>
      <c r="O511" s="265"/>
      <c r="P511" s="265"/>
      <c r="Q511" s="265"/>
      <c r="R511" s="265"/>
    </row>
    <row r="512" spans="1:21" ht="27.75" customHeight="1">
      <c r="A512" s="240" t="str">
        <f>IF(ISBLANK(D512)," ",507-COUNTBLANK($D$6:D512))</f>
        <v xml:space="preserve"> </v>
      </c>
      <c r="J512" s="263"/>
      <c r="K512" s="264"/>
      <c r="L512" s="265"/>
      <c r="M512" s="265"/>
      <c r="N512" s="265"/>
      <c r="O512" s="265"/>
      <c r="P512" s="265"/>
      <c r="Q512" s="265"/>
      <c r="R512" s="265"/>
    </row>
    <row r="513" spans="1:18" ht="27.75" customHeight="1">
      <c r="A513" s="240" t="str">
        <f>IF(ISBLANK(D513)," ",508-COUNTBLANK($D$6:D513))</f>
        <v xml:space="preserve"> </v>
      </c>
      <c r="J513" s="263"/>
      <c r="K513" s="264"/>
      <c r="L513" s="265"/>
      <c r="M513" s="265"/>
      <c r="N513" s="265"/>
      <c r="O513" s="265"/>
      <c r="P513" s="265"/>
      <c r="Q513" s="265"/>
      <c r="R513" s="265"/>
    </row>
    <row r="514" spans="1:18" ht="27.75" customHeight="1">
      <c r="A514" s="240" t="str">
        <f>IF(ISBLANK(D514)," ",509-COUNTBLANK($D$6:D514))</f>
        <v xml:space="preserve"> </v>
      </c>
      <c r="J514" s="263"/>
      <c r="K514" s="264"/>
      <c r="L514" s="265"/>
      <c r="M514" s="265"/>
      <c r="N514" s="265"/>
      <c r="O514" s="265"/>
      <c r="P514" s="265"/>
      <c r="Q514" s="265"/>
      <c r="R514" s="265"/>
    </row>
    <row r="515" spans="1:18" ht="27.75" customHeight="1">
      <c r="A515" s="240" t="str">
        <f>IF(ISBLANK(D515)," ",510-COUNTBLANK($D$6:D515))</f>
        <v xml:space="preserve"> </v>
      </c>
      <c r="J515" s="263"/>
      <c r="K515" s="264"/>
      <c r="L515" s="265"/>
      <c r="M515" s="265"/>
      <c r="N515" s="265"/>
      <c r="O515" s="265"/>
      <c r="P515" s="265"/>
      <c r="Q515" s="265"/>
      <c r="R515" s="265"/>
    </row>
    <row r="516" spans="1:18" ht="27.75" customHeight="1">
      <c r="A516" s="240" t="str">
        <f>IF(ISBLANK(D516)," ",511-COUNTBLANK($D$6:D516))</f>
        <v xml:space="preserve"> </v>
      </c>
      <c r="J516" s="263"/>
      <c r="K516" s="264"/>
      <c r="L516" s="265"/>
      <c r="M516" s="265"/>
      <c r="N516" s="265"/>
      <c r="O516" s="265"/>
      <c r="P516" s="265"/>
      <c r="Q516" s="265"/>
      <c r="R516" s="265"/>
    </row>
    <row r="517" spans="1:18" ht="27.75" customHeight="1">
      <c r="A517" s="240" t="str">
        <f>IF(ISBLANK(D517)," ",512-COUNTBLANK($D$6:D517))</f>
        <v xml:space="preserve"> </v>
      </c>
      <c r="J517" s="263"/>
      <c r="K517" s="264"/>
      <c r="L517" s="265"/>
      <c r="M517" s="265"/>
      <c r="N517" s="265"/>
      <c r="O517" s="265"/>
      <c r="P517" s="265"/>
      <c r="Q517" s="265"/>
      <c r="R517" s="265"/>
    </row>
    <row r="518" spans="1:18" ht="27.75" customHeight="1">
      <c r="A518" s="240" t="str">
        <f>IF(ISBLANK(D518)," ",513-COUNTBLANK($D$6:D518))</f>
        <v xml:space="preserve"> </v>
      </c>
      <c r="J518" s="263"/>
      <c r="K518" s="264"/>
      <c r="L518" s="265"/>
      <c r="M518" s="265"/>
      <c r="N518" s="265"/>
      <c r="O518" s="265"/>
      <c r="P518" s="265"/>
      <c r="Q518" s="265"/>
      <c r="R518" s="265"/>
    </row>
    <row r="519" spans="1:18" ht="27.75" customHeight="1">
      <c r="A519" s="240" t="str">
        <f>IF(ISBLANK(D519)," ",514-COUNTBLANK($D$6:D519))</f>
        <v xml:space="preserve"> </v>
      </c>
      <c r="J519" s="263"/>
      <c r="K519" s="264"/>
      <c r="L519" s="265"/>
      <c r="M519" s="265"/>
      <c r="N519" s="265"/>
      <c r="O519" s="265"/>
      <c r="P519" s="265"/>
      <c r="Q519" s="265"/>
      <c r="R519" s="265"/>
    </row>
    <row r="520" spans="1:18" ht="27.75" customHeight="1">
      <c r="A520" s="240" t="str">
        <f>IF(ISBLANK(D520)," ",515-COUNTBLANK($D$6:D520))</f>
        <v xml:space="preserve"> </v>
      </c>
      <c r="J520" s="263"/>
      <c r="K520" s="264"/>
      <c r="L520" s="265"/>
      <c r="M520" s="265"/>
      <c r="N520" s="265"/>
      <c r="O520" s="265"/>
      <c r="P520" s="265"/>
      <c r="Q520" s="265"/>
      <c r="R520" s="265"/>
    </row>
    <row r="521" spans="1:18" ht="27.75" customHeight="1">
      <c r="A521" s="240" t="str">
        <f>IF(ISBLANK(D521)," ",516-COUNTBLANK($D$6:D521))</f>
        <v xml:space="preserve"> </v>
      </c>
      <c r="J521" s="263"/>
      <c r="K521" s="264"/>
      <c r="L521" s="265"/>
      <c r="M521" s="265"/>
      <c r="N521" s="265"/>
      <c r="O521" s="265"/>
      <c r="P521" s="265"/>
      <c r="Q521" s="265"/>
      <c r="R521" s="265"/>
    </row>
    <row r="522" spans="1:18" ht="27.75" customHeight="1">
      <c r="A522" s="240" t="str">
        <f>IF(ISBLANK(D522)," ",517-COUNTBLANK($D$6:D522))</f>
        <v xml:space="preserve"> </v>
      </c>
      <c r="J522" s="263"/>
      <c r="K522" s="264"/>
      <c r="L522" s="265"/>
      <c r="M522" s="265"/>
      <c r="N522" s="265"/>
      <c r="O522" s="265"/>
      <c r="P522" s="265"/>
      <c r="Q522" s="265"/>
      <c r="R522" s="265"/>
    </row>
    <row r="523" spans="1:18" ht="27.75" customHeight="1">
      <c r="A523" s="240" t="str">
        <f>IF(ISBLANK(D523)," ",518-COUNTBLANK($D$6:D523))</f>
        <v xml:space="preserve"> </v>
      </c>
      <c r="J523" s="263"/>
      <c r="K523" s="264"/>
      <c r="L523" s="265"/>
      <c r="M523" s="265"/>
      <c r="N523" s="265"/>
      <c r="O523" s="265"/>
      <c r="P523" s="265"/>
      <c r="Q523" s="265"/>
      <c r="R523" s="265"/>
    </row>
    <row r="524" spans="1:18" ht="27.75" customHeight="1">
      <c r="A524" s="240" t="str">
        <f>IF(ISBLANK(D524)," ",519-COUNTBLANK($D$6:D524))</f>
        <v xml:space="preserve"> </v>
      </c>
      <c r="J524" s="263"/>
      <c r="K524" s="264"/>
      <c r="L524" s="265"/>
      <c r="M524" s="265"/>
      <c r="N524" s="265"/>
      <c r="O524" s="265"/>
      <c r="P524" s="265"/>
      <c r="Q524" s="265"/>
      <c r="R524" s="265"/>
    </row>
    <row r="525" spans="1:18" ht="27.75" customHeight="1">
      <c r="A525" s="240" t="str">
        <f>IF(ISBLANK(D525)," ",520-COUNTBLANK($D$6:D525))</f>
        <v xml:space="preserve"> </v>
      </c>
      <c r="J525" s="263"/>
      <c r="K525" s="266"/>
      <c r="L525" s="265"/>
      <c r="M525" s="265"/>
      <c r="N525" s="265"/>
      <c r="O525" s="265"/>
      <c r="P525" s="265"/>
      <c r="Q525" s="265"/>
      <c r="R525" s="267"/>
    </row>
    <row r="526" spans="1:18" ht="27.75" customHeight="1">
      <c r="A526" s="240" t="str">
        <f>IF(ISBLANK(D526)," ",521-COUNTBLANK($D$6:D526))</f>
        <v xml:space="preserve"> </v>
      </c>
      <c r="J526" s="263"/>
      <c r="K526" s="266"/>
      <c r="L526" s="265"/>
      <c r="M526" s="265"/>
      <c r="N526" s="265"/>
      <c r="O526" s="265"/>
      <c r="P526" s="265"/>
      <c r="Q526" s="265"/>
      <c r="R526" s="267"/>
    </row>
    <row r="527" spans="1:18" ht="27.75" customHeight="1">
      <c r="A527" s="240" t="str">
        <f>IF(ISBLANK(D527)," ",522-COUNTBLANK($D$6:D527))</f>
        <v xml:space="preserve"> </v>
      </c>
      <c r="J527" s="263"/>
      <c r="K527" s="266"/>
      <c r="L527" s="265"/>
      <c r="M527" s="265"/>
      <c r="N527" s="265"/>
      <c r="O527" s="265"/>
      <c r="P527" s="265"/>
      <c r="Q527" s="265"/>
      <c r="R527" s="267"/>
    </row>
    <row r="528" spans="1:18" ht="27.75" customHeight="1">
      <c r="A528" s="240" t="str">
        <f>IF(ISBLANK(D528)," ",523-COUNTBLANK($D$6:D528))</f>
        <v xml:space="preserve"> </v>
      </c>
      <c r="J528" s="263"/>
      <c r="K528" s="266"/>
      <c r="L528" s="265"/>
      <c r="M528" s="265"/>
      <c r="N528" s="265"/>
      <c r="O528" s="265"/>
      <c r="P528" s="265"/>
      <c r="Q528" s="265"/>
      <c r="R528" s="267"/>
    </row>
    <row r="529" spans="1:21" ht="27.75" customHeight="1">
      <c r="A529" s="240" t="str">
        <f>IF(ISBLANK(D529)," ",524-COUNTBLANK($D$6:D529))</f>
        <v xml:space="preserve"> </v>
      </c>
      <c r="J529" s="263"/>
      <c r="K529" s="264"/>
      <c r="L529" s="265"/>
      <c r="M529" s="265"/>
      <c r="N529" s="265"/>
      <c r="O529" s="265"/>
      <c r="P529" s="265"/>
      <c r="Q529" s="265"/>
      <c r="R529" s="284"/>
      <c r="S529" s="265"/>
      <c r="T529" s="265"/>
      <c r="U529" s="265"/>
    </row>
    <row r="530" spans="1:21" ht="27.75" customHeight="1">
      <c r="A530" s="240" t="s">
        <v>52</v>
      </c>
      <c r="F530" s="309">
        <f>SUM(F510:F529)</f>
        <v>0</v>
      </c>
      <c r="J530" s="263"/>
      <c r="K530" s="266"/>
      <c r="L530" s="265"/>
      <c r="M530" s="265"/>
      <c r="N530" s="265"/>
      <c r="O530" s="265"/>
      <c r="P530" s="265"/>
      <c r="Q530" s="265"/>
      <c r="R530" s="284"/>
      <c r="S530" s="265"/>
      <c r="T530" s="265"/>
      <c r="U530" s="265"/>
    </row>
    <row r="531" spans="1:21" ht="27.75" customHeight="1">
      <c r="J531" s="263"/>
      <c r="K531" s="264"/>
      <c r="L531" s="265"/>
      <c r="M531" s="265"/>
      <c r="N531" s="265"/>
      <c r="O531" s="265"/>
      <c r="P531" s="265"/>
      <c r="Q531" s="265"/>
      <c r="R531" s="265"/>
    </row>
    <row r="532" spans="1:21" ht="27.75" customHeight="1">
      <c r="J532" s="263"/>
      <c r="K532" s="264"/>
      <c r="L532" s="265"/>
      <c r="M532" s="265"/>
      <c r="N532" s="265"/>
      <c r="O532" s="265"/>
      <c r="P532" s="265"/>
      <c r="Q532" s="265"/>
      <c r="R532" s="265"/>
    </row>
    <row r="533" spans="1:21" ht="27.75" customHeight="1">
      <c r="J533" s="263"/>
      <c r="K533" s="264"/>
      <c r="L533" s="265"/>
      <c r="M533" s="265"/>
      <c r="N533" s="265"/>
      <c r="O533" s="265"/>
      <c r="P533" s="265"/>
      <c r="Q533" s="265"/>
      <c r="R533" s="265"/>
    </row>
    <row r="534" spans="1:21" ht="27.75" customHeight="1">
      <c r="J534" s="263"/>
      <c r="K534" s="264"/>
      <c r="L534" s="265"/>
      <c r="M534" s="265"/>
      <c r="N534" s="265"/>
      <c r="O534" s="265"/>
      <c r="P534" s="265"/>
      <c r="Q534" s="265"/>
      <c r="R534" s="265"/>
    </row>
    <row r="535" spans="1:21" ht="27.75" customHeight="1">
      <c r="J535" s="263"/>
      <c r="K535" s="264"/>
      <c r="L535" s="265"/>
      <c r="M535" s="265"/>
      <c r="N535" s="265"/>
      <c r="O535" s="265"/>
      <c r="P535" s="265"/>
      <c r="Q535" s="265"/>
      <c r="R535" s="265"/>
    </row>
    <row r="536" spans="1:21" ht="27.75" customHeight="1">
      <c r="J536" s="263"/>
      <c r="K536" s="264"/>
      <c r="L536" s="265"/>
      <c r="M536" s="265"/>
      <c r="N536" s="265"/>
      <c r="O536" s="265"/>
      <c r="P536" s="265"/>
      <c r="Q536" s="265"/>
      <c r="R536" s="265"/>
    </row>
    <row r="537" spans="1:21" ht="27.75" customHeight="1">
      <c r="J537" s="263"/>
      <c r="K537" s="264"/>
      <c r="L537" s="265"/>
      <c r="M537" s="265"/>
      <c r="N537" s="265"/>
      <c r="O537" s="265"/>
      <c r="P537" s="265"/>
      <c r="Q537" s="265"/>
      <c r="R537" s="265"/>
    </row>
    <row r="538" spans="1:21" ht="27.75" customHeight="1">
      <c r="J538" s="263"/>
      <c r="K538" s="264"/>
      <c r="L538" s="265"/>
      <c r="M538" s="265"/>
      <c r="N538" s="265"/>
      <c r="O538" s="265"/>
      <c r="P538" s="265"/>
      <c r="Q538" s="265"/>
      <c r="R538" s="265"/>
    </row>
    <row r="539" spans="1:21" ht="27.75" customHeight="1">
      <c r="J539" s="263"/>
      <c r="K539" s="264"/>
      <c r="L539" s="265"/>
      <c r="M539" s="265"/>
      <c r="N539" s="265"/>
      <c r="O539" s="265"/>
      <c r="P539" s="265"/>
      <c r="Q539" s="265"/>
      <c r="R539" s="265"/>
    </row>
    <row r="540" spans="1:21" ht="27.75" customHeight="1">
      <c r="J540" s="263"/>
      <c r="K540" s="264"/>
      <c r="L540" s="265"/>
      <c r="M540" s="265"/>
      <c r="N540" s="265"/>
      <c r="O540" s="265"/>
      <c r="P540" s="265"/>
      <c r="Q540" s="265"/>
      <c r="R540" s="265"/>
    </row>
    <row r="541" spans="1:21" ht="27.75" customHeight="1">
      <c r="J541" s="263"/>
      <c r="K541" s="264"/>
      <c r="L541" s="265"/>
      <c r="M541" s="265"/>
      <c r="N541" s="265"/>
      <c r="O541" s="265"/>
      <c r="P541" s="265"/>
      <c r="Q541" s="265"/>
      <c r="R541" s="265"/>
    </row>
    <row r="542" spans="1:21" ht="27.75" customHeight="1">
      <c r="J542" s="263"/>
      <c r="K542" s="264"/>
      <c r="L542" s="265"/>
      <c r="M542" s="265"/>
      <c r="N542" s="265"/>
      <c r="O542" s="265"/>
      <c r="P542" s="265"/>
      <c r="Q542" s="265"/>
      <c r="R542" s="265"/>
    </row>
    <row r="543" spans="1:21" ht="27.75" customHeight="1">
      <c r="J543" s="263"/>
      <c r="K543" s="264"/>
      <c r="L543" s="265"/>
      <c r="M543" s="265"/>
      <c r="N543" s="265"/>
      <c r="O543" s="265"/>
      <c r="P543" s="265"/>
      <c r="Q543" s="265"/>
      <c r="R543" s="265"/>
    </row>
    <row r="544" spans="1:21" ht="27.75" customHeight="1">
      <c r="J544" s="263"/>
      <c r="K544" s="264"/>
      <c r="L544" s="265"/>
      <c r="M544" s="265"/>
      <c r="N544" s="265"/>
      <c r="O544" s="265"/>
      <c r="P544" s="265"/>
      <c r="Q544" s="265"/>
      <c r="R544" s="265"/>
    </row>
    <row r="545" spans="10:21" ht="27.75" customHeight="1">
      <c r="J545" s="263"/>
      <c r="K545" s="264"/>
      <c r="L545" s="265"/>
      <c r="M545" s="265"/>
      <c r="N545" s="265"/>
      <c r="O545" s="265"/>
      <c r="P545" s="265"/>
      <c r="Q545" s="265"/>
      <c r="R545" s="265"/>
    </row>
    <row r="546" spans="10:21" ht="27.75" customHeight="1">
      <c r="J546" s="263"/>
      <c r="K546" s="266"/>
      <c r="L546" s="265"/>
      <c r="M546" s="265"/>
      <c r="N546" s="265"/>
      <c r="O546" s="265"/>
      <c r="P546" s="265"/>
      <c r="Q546" s="265"/>
      <c r="R546" s="267"/>
    </row>
    <row r="547" spans="10:21" ht="27.75" customHeight="1">
      <c r="J547" s="263"/>
      <c r="K547" s="266"/>
      <c r="L547" s="265"/>
      <c r="M547" s="265"/>
      <c r="N547" s="265"/>
      <c r="O547" s="265"/>
      <c r="P547" s="265"/>
      <c r="Q547" s="265"/>
      <c r="R547" s="267"/>
    </row>
    <row r="548" spans="10:21" ht="27.75" customHeight="1">
      <c r="J548" s="263"/>
      <c r="K548" s="266"/>
      <c r="L548" s="265"/>
      <c r="M548" s="265"/>
      <c r="N548" s="265"/>
      <c r="O548" s="265"/>
      <c r="P548" s="265"/>
      <c r="Q548" s="265"/>
      <c r="R548" s="267"/>
    </row>
    <row r="549" spans="10:21" ht="27.75" customHeight="1">
      <c r="J549" s="263"/>
      <c r="K549" s="266"/>
      <c r="L549" s="265"/>
      <c r="M549" s="265"/>
      <c r="N549" s="265"/>
      <c r="O549" s="265"/>
      <c r="P549" s="265"/>
      <c r="Q549" s="265"/>
      <c r="R549" s="267"/>
    </row>
    <row r="550" spans="10:21" ht="27.75" customHeight="1">
      <c r="J550" s="263"/>
      <c r="K550" s="264"/>
      <c r="L550" s="265"/>
      <c r="M550" s="265"/>
      <c r="N550" s="265"/>
      <c r="O550" s="265"/>
      <c r="P550" s="265"/>
      <c r="Q550" s="265"/>
      <c r="R550" s="284"/>
      <c r="S550" s="265"/>
      <c r="T550" s="265"/>
      <c r="U550" s="265"/>
    </row>
    <row r="551" spans="10:21" ht="27.75" customHeight="1">
      <c r="J551" s="263"/>
      <c r="K551" s="266"/>
      <c r="L551" s="265"/>
      <c r="M551" s="265"/>
      <c r="N551" s="265"/>
      <c r="O551" s="265"/>
      <c r="P551" s="265"/>
      <c r="Q551" s="265"/>
      <c r="R551" s="284"/>
      <c r="S551" s="265"/>
      <c r="T551" s="265"/>
      <c r="U551" s="265"/>
    </row>
    <row r="552" spans="10:21" ht="27.75" customHeight="1">
      <c r="J552" s="263"/>
      <c r="K552" s="264"/>
      <c r="L552" s="265"/>
      <c r="M552" s="265"/>
      <c r="N552" s="265"/>
      <c r="O552" s="265"/>
      <c r="P552" s="265"/>
      <c r="Q552" s="265"/>
      <c r="R552" s="265"/>
    </row>
    <row r="553" spans="10:21" ht="27.75" customHeight="1">
      <c r="J553" s="263"/>
      <c r="K553" s="264"/>
      <c r="L553" s="265"/>
      <c r="M553" s="265"/>
      <c r="N553" s="265"/>
      <c r="O553" s="265"/>
      <c r="P553" s="265"/>
      <c r="Q553" s="265"/>
      <c r="R553" s="265"/>
    </row>
    <row r="554" spans="10:21" ht="27.75" customHeight="1">
      <c r="J554" s="263"/>
      <c r="K554" s="264"/>
      <c r="L554" s="265"/>
      <c r="M554" s="265"/>
      <c r="N554" s="265"/>
      <c r="O554" s="265"/>
      <c r="P554" s="265"/>
      <c r="Q554" s="265"/>
      <c r="R554" s="265"/>
    </row>
    <row r="555" spans="10:21" ht="27.75" customHeight="1">
      <c r="J555" s="263"/>
      <c r="K555" s="264"/>
      <c r="L555" s="265"/>
      <c r="M555" s="265"/>
      <c r="N555" s="265"/>
      <c r="O555" s="265"/>
      <c r="P555" s="265"/>
      <c r="Q555" s="265"/>
      <c r="R555" s="265"/>
    </row>
    <row r="556" spans="10:21" ht="27.75" customHeight="1">
      <c r="J556" s="263"/>
      <c r="K556" s="264"/>
      <c r="L556" s="265"/>
      <c r="M556" s="265"/>
      <c r="N556" s="265"/>
      <c r="O556" s="265"/>
      <c r="P556" s="265"/>
      <c r="Q556" s="265"/>
      <c r="R556" s="265"/>
    </row>
    <row r="557" spans="10:21" ht="27.75" customHeight="1">
      <c r="J557" s="263"/>
      <c r="K557" s="264"/>
      <c r="L557" s="265"/>
      <c r="M557" s="265"/>
      <c r="N557" s="265"/>
      <c r="O557" s="265"/>
      <c r="P557" s="265"/>
      <c r="Q557" s="265"/>
      <c r="R557" s="265"/>
    </row>
    <row r="558" spans="10:21" ht="27.75" customHeight="1">
      <c r="J558" s="263"/>
      <c r="K558" s="264"/>
      <c r="L558" s="265"/>
      <c r="M558" s="265"/>
      <c r="N558" s="265"/>
      <c r="O558" s="265"/>
      <c r="P558" s="265"/>
      <c r="Q558" s="265"/>
      <c r="R558" s="265"/>
    </row>
    <row r="559" spans="10:21" ht="27.75" customHeight="1">
      <c r="J559" s="263"/>
      <c r="K559" s="264"/>
      <c r="L559" s="265"/>
      <c r="M559" s="265"/>
      <c r="N559" s="265"/>
      <c r="O559" s="265"/>
      <c r="P559" s="265"/>
      <c r="Q559" s="265"/>
      <c r="R559" s="265"/>
    </row>
    <row r="560" spans="10:21" ht="27.75" customHeight="1">
      <c r="J560" s="263"/>
      <c r="K560" s="264"/>
      <c r="L560" s="265"/>
      <c r="M560" s="265"/>
      <c r="N560" s="265"/>
      <c r="O560" s="265"/>
      <c r="P560" s="265"/>
      <c r="Q560" s="265"/>
      <c r="R560" s="265"/>
    </row>
    <row r="561" spans="10:21" ht="27.75" customHeight="1">
      <c r="J561" s="263"/>
      <c r="K561" s="264"/>
      <c r="L561" s="265"/>
      <c r="M561" s="265"/>
      <c r="N561" s="265"/>
      <c r="O561" s="265"/>
      <c r="P561" s="265"/>
      <c r="Q561" s="265"/>
      <c r="R561" s="265"/>
    </row>
    <row r="562" spans="10:21" ht="27.75" customHeight="1">
      <c r="J562" s="263"/>
      <c r="K562" s="264"/>
      <c r="L562" s="265"/>
      <c r="M562" s="265"/>
      <c r="N562" s="265"/>
      <c r="O562" s="265"/>
      <c r="P562" s="265"/>
      <c r="Q562" s="265"/>
      <c r="R562" s="265"/>
    </row>
    <row r="563" spans="10:21" ht="27.75" customHeight="1">
      <c r="J563" s="263"/>
      <c r="K563" s="264"/>
      <c r="L563" s="265"/>
      <c r="M563" s="265"/>
      <c r="N563" s="265"/>
      <c r="O563" s="265"/>
      <c r="P563" s="265"/>
      <c r="Q563" s="265"/>
      <c r="R563" s="265"/>
    </row>
    <row r="564" spans="10:21" ht="27.75" customHeight="1">
      <c r="J564" s="263"/>
      <c r="K564" s="264"/>
      <c r="L564" s="265"/>
      <c r="M564" s="265"/>
      <c r="N564" s="265"/>
      <c r="O564" s="265"/>
      <c r="P564" s="265"/>
      <c r="Q564" s="265"/>
      <c r="R564" s="265"/>
    </row>
    <row r="565" spans="10:21" ht="27.75" customHeight="1">
      <c r="J565" s="263"/>
      <c r="K565" s="264"/>
      <c r="L565" s="265"/>
      <c r="M565" s="265"/>
      <c r="N565" s="265"/>
      <c r="O565" s="265"/>
      <c r="P565" s="265"/>
      <c r="Q565" s="265"/>
      <c r="R565" s="265"/>
    </row>
    <row r="566" spans="10:21" ht="27.75" customHeight="1">
      <c r="J566" s="263"/>
      <c r="K566" s="264"/>
      <c r="L566" s="265"/>
      <c r="M566" s="265"/>
      <c r="N566" s="265"/>
      <c r="O566" s="265"/>
      <c r="P566" s="265"/>
      <c r="Q566" s="265"/>
      <c r="R566" s="265"/>
    </row>
    <row r="567" spans="10:21" ht="27.75" customHeight="1">
      <c r="J567" s="263"/>
      <c r="K567" s="266"/>
      <c r="L567" s="265"/>
      <c r="M567" s="265"/>
      <c r="N567" s="265"/>
      <c r="O567" s="265"/>
      <c r="P567" s="265"/>
      <c r="Q567" s="265"/>
      <c r="R567" s="267"/>
    </row>
    <row r="568" spans="10:21" ht="27.75" customHeight="1">
      <c r="J568" s="263"/>
      <c r="K568" s="266"/>
      <c r="L568" s="265"/>
      <c r="M568" s="265"/>
      <c r="N568" s="265"/>
      <c r="O568" s="265"/>
      <c r="P568" s="265"/>
      <c r="Q568" s="265"/>
      <c r="R568" s="267"/>
    </row>
    <row r="569" spans="10:21" ht="27.75" customHeight="1">
      <c r="J569" s="263"/>
      <c r="K569" s="266"/>
      <c r="L569" s="265"/>
      <c r="M569" s="265"/>
      <c r="N569" s="265"/>
      <c r="O569" s="265"/>
      <c r="P569" s="265"/>
      <c r="Q569" s="265"/>
      <c r="R569" s="267"/>
    </row>
    <row r="570" spans="10:21" ht="27.75" customHeight="1">
      <c r="J570" s="263"/>
      <c r="K570" s="266"/>
      <c r="L570" s="265"/>
      <c r="M570" s="265"/>
      <c r="N570" s="265"/>
      <c r="O570" s="265"/>
      <c r="P570" s="265"/>
      <c r="Q570" s="265"/>
      <c r="R570" s="267"/>
    </row>
    <row r="571" spans="10:21" ht="27.75" customHeight="1">
      <c r="J571" s="263"/>
      <c r="K571" s="264"/>
      <c r="L571" s="265"/>
      <c r="M571" s="265"/>
      <c r="N571" s="265"/>
      <c r="O571" s="265"/>
      <c r="P571" s="265"/>
      <c r="Q571" s="265"/>
      <c r="R571" s="284"/>
      <c r="S571" s="265"/>
      <c r="T571" s="265"/>
      <c r="U571" s="265"/>
    </row>
    <row r="572" spans="10:21" ht="27.75" customHeight="1">
      <c r="J572" s="263"/>
      <c r="K572" s="266"/>
      <c r="L572" s="265"/>
      <c r="M572" s="265"/>
      <c r="N572" s="265"/>
      <c r="O572" s="265"/>
      <c r="P572" s="265"/>
      <c r="Q572" s="265"/>
      <c r="R572" s="284"/>
      <c r="S572" s="265"/>
      <c r="T572" s="265"/>
      <c r="U572" s="265"/>
    </row>
    <row r="573" spans="10:21" ht="27.75" customHeight="1">
      <c r="J573" s="263"/>
      <c r="K573" s="264"/>
      <c r="L573" s="265"/>
      <c r="M573" s="265"/>
      <c r="N573" s="265"/>
      <c r="O573" s="265"/>
      <c r="P573" s="265"/>
      <c r="Q573" s="265"/>
      <c r="R573" s="265"/>
    </row>
    <row r="574" spans="10:21" ht="27.75" customHeight="1">
      <c r="J574" s="263"/>
      <c r="K574" s="264"/>
      <c r="L574" s="265"/>
      <c r="M574" s="265"/>
      <c r="N574" s="265"/>
      <c r="O574" s="265"/>
      <c r="P574" s="265"/>
      <c r="Q574" s="265"/>
      <c r="R574" s="265"/>
    </row>
    <row r="575" spans="10:21" ht="27.75" customHeight="1">
      <c r="J575" s="263"/>
      <c r="K575" s="264"/>
      <c r="L575" s="265"/>
      <c r="M575" s="265"/>
      <c r="N575" s="265"/>
      <c r="O575" s="265"/>
      <c r="P575" s="265"/>
      <c r="Q575" s="265"/>
      <c r="R575" s="265"/>
    </row>
    <row r="576" spans="10:21" ht="27.75" customHeight="1">
      <c r="J576" s="263"/>
      <c r="K576" s="264"/>
      <c r="L576" s="265"/>
      <c r="M576" s="265"/>
      <c r="N576" s="265"/>
      <c r="O576" s="265"/>
      <c r="P576" s="265"/>
      <c r="Q576" s="265"/>
      <c r="R576" s="265"/>
    </row>
    <row r="577" spans="10:21" ht="27.75" customHeight="1">
      <c r="J577" s="263"/>
      <c r="K577" s="264"/>
      <c r="L577" s="265"/>
      <c r="M577" s="265"/>
      <c r="N577" s="265"/>
      <c r="O577" s="265"/>
      <c r="P577" s="265"/>
      <c r="Q577" s="265"/>
      <c r="R577" s="265"/>
    </row>
    <row r="578" spans="10:21" ht="27.75" customHeight="1">
      <c r="J578" s="263"/>
      <c r="K578" s="264"/>
      <c r="L578" s="265"/>
      <c r="M578" s="265"/>
      <c r="N578" s="265"/>
      <c r="O578" s="265"/>
      <c r="P578" s="265"/>
      <c r="Q578" s="265"/>
      <c r="R578" s="265"/>
    </row>
    <row r="579" spans="10:21" ht="27.75" customHeight="1">
      <c r="J579" s="263"/>
      <c r="K579" s="264"/>
      <c r="L579" s="265"/>
      <c r="M579" s="265"/>
      <c r="N579" s="265"/>
      <c r="O579" s="265"/>
      <c r="P579" s="265"/>
      <c r="Q579" s="265"/>
      <c r="R579" s="265"/>
    </row>
    <row r="580" spans="10:21" ht="27.75" customHeight="1">
      <c r="J580" s="263"/>
      <c r="K580" s="264"/>
      <c r="L580" s="265"/>
      <c r="M580" s="265"/>
      <c r="N580" s="265"/>
      <c r="O580" s="265"/>
      <c r="P580" s="265"/>
      <c r="Q580" s="265"/>
      <c r="R580" s="265"/>
    </row>
    <row r="581" spans="10:21" ht="27.75" customHeight="1">
      <c r="J581" s="263"/>
      <c r="K581" s="264"/>
      <c r="L581" s="265"/>
      <c r="M581" s="265"/>
      <c r="N581" s="265"/>
      <c r="O581" s="265"/>
      <c r="P581" s="265"/>
      <c r="Q581" s="265"/>
      <c r="R581" s="265"/>
    </row>
    <row r="582" spans="10:21" ht="27.75" customHeight="1">
      <c r="J582" s="263"/>
      <c r="K582" s="264"/>
      <c r="L582" s="265"/>
      <c r="M582" s="265"/>
      <c r="N582" s="265"/>
      <c r="O582" s="265"/>
      <c r="P582" s="265"/>
      <c r="Q582" s="265"/>
      <c r="R582" s="265"/>
    </row>
    <row r="583" spans="10:21" ht="27.75" customHeight="1">
      <c r="J583" s="263"/>
      <c r="K583" s="264"/>
      <c r="L583" s="265"/>
      <c r="M583" s="265"/>
      <c r="N583" s="265"/>
      <c r="O583" s="265"/>
      <c r="P583" s="265"/>
      <c r="Q583" s="265"/>
      <c r="R583" s="265"/>
    </row>
    <row r="584" spans="10:21" ht="27.75" customHeight="1">
      <c r="J584" s="263"/>
      <c r="K584" s="264"/>
      <c r="L584" s="265"/>
      <c r="M584" s="265"/>
      <c r="N584" s="265"/>
      <c r="O584" s="265"/>
      <c r="P584" s="265"/>
      <c r="Q584" s="265"/>
      <c r="R584" s="265"/>
    </row>
    <row r="585" spans="10:21" ht="27.75" customHeight="1">
      <c r="J585" s="263"/>
      <c r="K585" s="264"/>
      <c r="L585" s="265"/>
      <c r="M585" s="265"/>
      <c r="N585" s="265"/>
      <c r="O585" s="265"/>
      <c r="P585" s="265"/>
      <c r="Q585" s="265"/>
      <c r="R585" s="265"/>
    </row>
    <row r="586" spans="10:21" ht="27.75" customHeight="1">
      <c r="J586" s="263"/>
      <c r="K586" s="264"/>
      <c r="L586" s="265"/>
      <c r="M586" s="265"/>
      <c r="N586" s="265"/>
      <c r="O586" s="265"/>
      <c r="P586" s="265"/>
      <c r="Q586" s="265"/>
      <c r="R586" s="265"/>
    </row>
    <row r="587" spans="10:21" ht="27.75" customHeight="1">
      <c r="J587" s="263"/>
      <c r="K587" s="264"/>
      <c r="L587" s="265"/>
      <c r="M587" s="265"/>
      <c r="N587" s="265"/>
      <c r="O587" s="265"/>
      <c r="P587" s="265"/>
      <c r="Q587" s="265"/>
      <c r="R587" s="265"/>
    </row>
    <row r="588" spans="10:21" ht="27.75" customHeight="1">
      <c r="J588" s="263"/>
      <c r="K588" s="266"/>
      <c r="L588" s="265"/>
      <c r="M588" s="265"/>
      <c r="N588" s="265"/>
      <c r="O588" s="265"/>
      <c r="P588" s="265"/>
      <c r="Q588" s="265"/>
      <c r="R588" s="267"/>
    </row>
    <row r="589" spans="10:21" ht="27.75" customHeight="1">
      <c r="J589" s="263"/>
      <c r="K589" s="266"/>
      <c r="L589" s="265"/>
      <c r="M589" s="265"/>
      <c r="N589" s="265"/>
      <c r="O589" s="265"/>
      <c r="P589" s="265"/>
      <c r="Q589" s="265"/>
      <c r="R589" s="267"/>
    </row>
    <row r="590" spans="10:21" ht="27.75" customHeight="1">
      <c r="J590" s="263"/>
      <c r="K590" s="266"/>
      <c r="L590" s="265"/>
      <c r="M590" s="265"/>
      <c r="N590" s="265"/>
      <c r="O590" s="265"/>
      <c r="P590" s="265"/>
      <c r="Q590" s="265"/>
      <c r="R590" s="267"/>
    </row>
    <row r="591" spans="10:21" ht="27.75" customHeight="1">
      <c r="J591" s="263"/>
      <c r="K591" s="266"/>
      <c r="L591" s="265"/>
      <c r="M591" s="265"/>
      <c r="N591" s="265"/>
      <c r="O591" s="265"/>
      <c r="P591" s="265"/>
      <c r="Q591" s="265"/>
      <c r="R591" s="267"/>
    </row>
    <row r="592" spans="10:21" ht="27.75" customHeight="1">
      <c r="J592" s="263"/>
      <c r="K592" s="264"/>
      <c r="L592" s="265"/>
      <c r="M592" s="265"/>
      <c r="N592" s="265"/>
      <c r="O592" s="265"/>
      <c r="P592" s="265"/>
      <c r="Q592" s="265"/>
      <c r="R592" s="284"/>
      <c r="S592" s="265"/>
      <c r="T592" s="265"/>
      <c r="U592" s="265"/>
    </row>
    <row r="593" spans="10:21" ht="27.75" customHeight="1">
      <c r="J593" s="263"/>
      <c r="K593" s="266"/>
      <c r="L593" s="265"/>
      <c r="M593" s="265"/>
      <c r="N593" s="265"/>
      <c r="O593" s="265"/>
      <c r="P593" s="265"/>
      <c r="Q593" s="265"/>
      <c r="R593" s="284"/>
      <c r="S593" s="265"/>
      <c r="T593" s="265"/>
      <c r="U593" s="265"/>
    </row>
    <row r="594" spans="10:21">
      <c r="K594" s="312"/>
      <c r="L594" s="311"/>
      <c r="M594" s="311"/>
      <c r="N594" s="311"/>
      <c r="O594" s="311"/>
      <c r="P594" s="311"/>
      <c r="Q594" s="311"/>
      <c r="R594" s="311"/>
    </row>
    <row r="595" spans="10:21">
      <c r="K595" s="312"/>
      <c r="L595" s="311"/>
      <c r="M595" s="311"/>
      <c r="N595" s="311"/>
      <c r="O595" s="311"/>
      <c r="P595" s="311"/>
      <c r="Q595" s="311"/>
      <c r="R595" s="311"/>
    </row>
  </sheetData>
  <mergeCells count="6">
    <mergeCell ref="J4:J5"/>
    <mergeCell ref="K4:K5"/>
    <mergeCell ref="B4:C4"/>
    <mergeCell ref="D4:D5"/>
    <mergeCell ref="G4:H4"/>
    <mergeCell ref="I4:I5"/>
  </mergeCells>
  <phoneticPr fontId="5" type="noConversion"/>
  <printOptions horizontalCentered="1" verticalCentered="1"/>
  <pageMargins left="0.19685039370078741" right="0.19685039370078741" top="1.3779527559055118" bottom="0.59055118110236227" header="0.59055118110236227" footer="0.19685039370078741"/>
  <pageSetup paperSize="9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592"/>
  <sheetViews>
    <sheetView showGridLines="0" showZeros="0" view="pageBreakPreview" zoomScale="98" zoomScaleNormal="55" zoomScaleSheetLayoutView="98" workbookViewId="0">
      <selection activeCell="S7" sqref="S7"/>
    </sheetView>
  </sheetViews>
  <sheetFormatPr defaultRowHeight="11.25"/>
  <cols>
    <col min="1" max="1" width="4.33203125" style="240" customWidth="1"/>
    <col min="2" max="3" width="6.33203125" style="307" customWidth="1"/>
    <col min="4" max="4" width="3.77734375" style="240" customWidth="1"/>
    <col min="5" max="5" width="7.77734375" style="308" customWidth="1"/>
    <col min="6" max="7" width="7.77734375" style="309" customWidth="1"/>
    <col min="8" max="8" width="5.77734375" style="240" customWidth="1"/>
    <col min="9" max="9" width="8.33203125" style="310" hidden="1" customWidth="1"/>
    <col min="10" max="10" width="17.44140625" style="240" hidden="1" customWidth="1"/>
    <col min="11" max="11" width="14.77734375" style="310" customWidth="1"/>
    <col min="12" max="12" width="17.44140625" style="240" customWidth="1"/>
    <col min="13" max="13" width="6.77734375" style="240" customWidth="1"/>
    <col min="14" max="14" width="12.77734375" style="240" customWidth="1"/>
    <col min="15" max="16" width="6.77734375" style="240" customWidth="1"/>
    <col min="17" max="20" width="9.77734375" style="240" customWidth="1"/>
    <col min="21" max="21" width="10.77734375" style="240" customWidth="1"/>
    <col min="22" max="16384" width="8.88671875" style="240"/>
  </cols>
  <sheetData>
    <row r="1" spans="1:21" ht="27" customHeight="1">
      <c r="A1" s="314" t="s">
        <v>139</v>
      </c>
      <c r="B1" s="315"/>
      <c r="C1" s="315"/>
      <c r="D1" s="248"/>
      <c r="E1" s="316"/>
      <c r="F1" s="317"/>
      <c r="G1" s="317"/>
      <c r="H1" s="248"/>
      <c r="I1" s="248"/>
      <c r="J1" s="248"/>
      <c r="K1" s="248"/>
      <c r="L1" s="248"/>
      <c r="M1" s="248"/>
      <c r="N1" s="248"/>
      <c r="O1" s="249"/>
      <c r="P1" s="248"/>
      <c r="Q1" s="239"/>
      <c r="R1" s="239"/>
      <c r="S1" s="239"/>
      <c r="T1" s="239"/>
      <c r="U1" s="239"/>
    </row>
    <row r="2" spans="1:21" ht="19.899999999999999" customHeight="1">
      <c r="A2" s="239"/>
      <c r="B2" s="242"/>
      <c r="C2" s="242"/>
      <c r="D2" s="239"/>
      <c r="E2" s="243"/>
      <c r="F2" s="244"/>
      <c r="G2" s="244"/>
      <c r="H2" s="239"/>
      <c r="I2" s="245"/>
      <c r="J2" s="246"/>
      <c r="K2" s="245"/>
      <c r="L2" s="246"/>
      <c r="M2" s="247" t="s">
        <v>161</v>
      </c>
      <c r="N2" s="248"/>
      <c r="O2" s="249"/>
      <c r="P2" s="248"/>
      <c r="Q2" s="239"/>
      <c r="R2" s="239"/>
      <c r="S2" s="239"/>
      <c r="T2" s="239"/>
      <c r="U2" s="239"/>
    </row>
    <row r="3" spans="1:21" ht="18" customHeight="1">
      <c r="A3" s="444" t="s">
        <v>39</v>
      </c>
      <c r="B3" s="508" t="s">
        <v>40</v>
      </c>
      <c r="C3" s="509"/>
      <c r="D3" s="511" t="s">
        <v>41</v>
      </c>
      <c r="E3" s="445" t="s">
        <v>42</v>
      </c>
      <c r="F3" s="508" t="s">
        <v>1451</v>
      </c>
      <c r="G3" s="510"/>
      <c r="H3" s="509"/>
      <c r="I3" s="508" t="s">
        <v>131</v>
      </c>
      <c r="J3" s="509"/>
      <c r="K3" s="508" t="s">
        <v>1463</v>
      </c>
      <c r="L3" s="509"/>
      <c r="M3" s="446" t="s">
        <v>46</v>
      </c>
      <c r="N3" s="447"/>
      <c r="O3" s="448"/>
      <c r="P3" s="513" t="s">
        <v>31</v>
      </c>
      <c r="Q3" s="258"/>
      <c r="R3" s="258"/>
      <c r="S3" s="258"/>
      <c r="T3" s="258"/>
      <c r="U3" s="258"/>
    </row>
    <row r="4" spans="1:21" ht="18" customHeight="1">
      <c r="A4" s="449" t="s">
        <v>47</v>
      </c>
      <c r="B4" s="450" t="s">
        <v>1467</v>
      </c>
      <c r="C4" s="450" t="s">
        <v>130</v>
      </c>
      <c r="D4" s="512"/>
      <c r="E4" s="451" t="s">
        <v>59</v>
      </c>
      <c r="F4" s="450" t="s">
        <v>1438</v>
      </c>
      <c r="G4" s="450" t="s">
        <v>141</v>
      </c>
      <c r="H4" s="450" t="s">
        <v>138</v>
      </c>
      <c r="I4" s="450" t="s">
        <v>49</v>
      </c>
      <c r="J4" s="452" t="s">
        <v>50</v>
      </c>
      <c r="K4" s="450" t="s">
        <v>49</v>
      </c>
      <c r="L4" s="452" t="s">
        <v>50</v>
      </c>
      <c r="M4" s="450" t="s">
        <v>49</v>
      </c>
      <c r="N4" s="450" t="s">
        <v>50</v>
      </c>
      <c r="O4" s="453" t="s">
        <v>51</v>
      </c>
      <c r="P4" s="514"/>
      <c r="Q4" s="259"/>
      <c r="R4" s="259"/>
      <c r="S4" s="259"/>
      <c r="T4" s="259"/>
      <c r="U4" s="239"/>
    </row>
    <row r="5" spans="1:21" ht="18" customHeight="1">
      <c r="A5" s="204">
        <v>1</v>
      </c>
      <c r="B5" s="202" t="s">
        <v>902</v>
      </c>
      <c r="C5" s="202" t="s">
        <v>902</v>
      </c>
      <c r="D5" s="202" t="s">
        <v>484</v>
      </c>
      <c r="E5" s="300">
        <v>5</v>
      </c>
      <c r="F5" s="210">
        <v>5</v>
      </c>
      <c r="G5" s="210">
        <v>5</v>
      </c>
      <c r="H5" s="210">
        <f>G5-F5</f>
        <v>0</v>
      </c>
      <c r="I5" s="203" t="s">
        <v>431</v>
      </c>
      <c r="J5" s="203" t="s">
        <v>712</v>
      </c>
      <c r="K5" s="203" t="s">
        <v>712</v>
      </c>
      <c r="L5" s="203" t="s">
        <v>511</v>
      </c>
      <c r="M5" s="203"/>
      <c r="N5" s="203"/>
      <c r="O5" s="203"/>
      <c r="P5" s="276"/>
      <c r="Q5" s="265"/>
      <c r="R5" s="265"/>
      <c r="S5" s="265"/>
      <c r="T5" s="265"/>
      <c r="U5" s="265"/>
    </row>
    <row r="6" spans="1:21" ht="18" customHeight="1">
      <c r="A6" s="204">
        <v>2</v>
      </c>
      <c r="B6" s="202" t="s">
        <v>903</v>
      </c>
      <c r="C6" s="202" t="s">
        <v>903</v>
      </c>
      <c r="D6" s="202" t="s">
        <v>7</v>
      </c>
      <c r="E6" s="300">
        <v>1514</v>
      </c>
      <c r="F6" s="210">
        <v>1514</v>
      </c>
      <c r="G6" s="210">
        <v>1514</v>
      </c>
      <c r="H6" s="210">
        <f t="shared" ref="H6:H69" si="0">G6-F6</f>
        <v>0</v>
      </c>
      <c r="I6" s="203" t="s">
        <v>451</v>
      </c>
      <c r="J6" s="203" t="s">
        <v>452</v>
      </c>
      <c r="K6" s="203" t="s">
        <v>452</v>
      </c>
      <c r="L6" s="203" t="s">
        <v>451</v>
      </c>
      <c r="M6" s="203"/>
      <c r="N6" s="203"/>
      <c r="O6" s="203"/>
      <c r="P6" s="276"/>
      <c r="Q6" s="265"/>
      <c r="R6" s="265"/>
      <c r="S6" s="265"/>
      <c r="T6" s="265"/>
      <c r="U6" s="265"/>
    </row>
    <row r="7" spans="1:21" ht="18" customHeight="1">
      <c r="A7" s="204">
        <v>3</v>
      </c>
      <c r="B7" s="202" t="s">
        <v>904</v>
      </c>
      <c r="C7" s="202" t="s">
        <v>904</v>
      </c>
      <c r="D7" s="202" t="s">
        <v>93</v>
      </c>
      <c r="E7" s="300">
        <v>1116</v>
      </c>
      <c r="F7" s="210">
        <v>1116</v>
      </c>
      <c r="G7" s="210">
        <v>1116</v>
      </c>
      <c r="H7" s="210">
        <f t="shared" si="0"/>
        <v>0</v>
      </c>
      <c r="I7" s="203" t="s">
        <v>1117</v>
      </c>
      <c r="J7" s="203" t="s">
        <v>1117</v>
      </c>
      <c r="K7" s="203" t="s">
        <v>452</v>
      </c>
      <c r="L7" s="203" t="s">
        <v>451</v>
      </c>
      <c r="M7" s="203"/>
      <c r="N7" s="318"/>
      <c r="O7" s="203"/>
      <c r="P7" s="276"/>
      <c r="Q7" s="265"/>
      <c r="R7" s="265"/>
      <c r="S7" s="265"/>
      <c r="T7" s="265"/>
      <c r="U7" s="265"/>
    </row>
    <row r="8" spans="1:21" ht="18" customHeight="1">
      <c r="A8" s="204">
        <v>4</v>
      </c>
      <c r="B8" s="202" t="s">
        <v>905</v>
      </c>
      <c r="C8" s="202" t="s">
        <v>905</v>
      </c>
      <c r="D8" s="202" t="s">
        <v>93</v>
      </c>
      <c r="E8" s="300">
        <v>188</v>
      </c>
      <c r="F8" s="210">
        <v>99</v>
      </c>
      <c r="G8" s="210">
        <v>99</v>
      </c>
      <c r="H8" s="210">
        <f t="shared" si="0"/>
        <v>0</v>
      </c>
      <c r="I8" s="203" t="s">
        <v>143</v>
      </c>
      <c r="J8" s="203" t="s">
        <v>452</v>
      </c>
      <c r="K8" s="203" t="s">
        <v>452</v>
      </c>
      <c r="L8" s="203" t="s">
        <v>451</v>
      </c>
      <c r="M8" s="203"/>
      <c r="N8" s="203"/>
      <c r="O8" s="203"/>
      <c r="P8" s="276"/>
      <c r="Q8" s="265"/>
      <c r="R8" s="265"/>
      <c r="S8" s="265"/>
      <c r="T8" s="265"/>
      <c r="U8" s="265"/>
    </row>
    <row r="9" spans="1:21" ht="18" customHeight="1">
      <c r="A9" s="204">
        <v>5</v>
      </c>
      <c r="B9" s="202" t="s">
        <v>906</v>
      </c>
      <c r="C9" s="202" t="s">
        <v>906</v>
      </c>
      <c r="D9" s="202" t="s">
        <v>93</v>
      </c>
      <c r="E9" s="300">
        <v>1222</v>
      </c>
      <c r="F9" s="210">
        <v>1222</v>
      </c>
      <c r="G9" s="210">
        <v>1222</v>
      </c>
      <c r="H9" s="210">
        <f t="shared" si="0"/>
        <v>0</v>
      </c>
      <c r="I9" s="203" t="s">
        <v>451</v>
      </c>
      <c r="J9" s="203" t="s">
        <v>452</v>
      </c>
      <c r="K9" s="203" t="s">
        <v>452</v>
      </c>
      <c r="L9" s="203" t="s">
        <v>451</v>
      </c>
      <c r="M9" s="203"/>
      <c r="N9" s="203"/>
      <c r="O9" s="203"/>
      <c r="P9" s="276"/>
      <c r="Q9" s="265"/>
      <c r="R9" s="265"/>
      <c r="S9" s="265"/>
      <c r="T9" s="265"/>
      <c r="U9" s="265"/>
    </row>
    <row r="10" spans="1:21" ht="18" customHeight="1">
      <c r="A10" s="204">
        <v>6</v>
      </c>
      <c r="B10" s="202" t="s">
        <v>907</v>
      </c>
      <c r="C10" s="202" t="s">
        <v>907</v>
      </c>
      <c r="D10" s="202" t="s">
        <v>459</v>
      </c>
      <c r="E10" s="300">
        <v>424</v>
      </c>
      <c r="F10" s="210">
        <v>424</v>
      </c>
      <c r="G10" s="210">
        <v>424</v>
      </c>
      <c r="H10" s="210">
        <f t="shared" si="0"/>
        <v>0</v>
      </c>
      <c r="I10" s="203" t="s">
        <v>451</v>
      </c>
      <c r="J10" s="203" t="s">
        <v>452</v>
      </c>
      <c r="K10" s="203" t="s">
        <v>452</v>
      </c>
      <c r="L10" s="203" t="s">
        <v>451</v>
      </c>
      <c r="M10" s="203"/>
      <c r="N10" s="203"/>
      <c r="O10" s="203"/>
      <c r="P10" s="276"/>
      <c r="Q10" s="265"/>
      <c r="R10" s="265"/>
      <c r="S10" s="265"/>
      <c r="T10" s="265"/>
      <c r="U10" s="267"/>
    </row>
    <row r="11" spans="1:21" ht="18" customHeight="1">
      <c r="A11" s="204">
        <v>7</v>
      </c>
      <c r="B11" s="202" t="s">
        <v>908</v>
      </c>
      <c r="C11" s="202" t="s">
        <v>908</v>
      </c>
      <c r="D11" s="202" t="s">
        <v>7</v>
      </c>
      <c r="E11" s="300">
        <v>584</v>
      </c>
      <c r="F11" s="210">
        <v>584</v>
      </c>
      <c r="G11" s="210">
        <v>584</v>
      </c>
      <c r="H11" s="210">
        <f t="shared" si="0"/>
        <v>0</v>
      </c>
      <c r="I11" s="203" t="s">
        <v>451</v>
      </c>
      <c r="J11" s="203" t="s">
        <v>452</v>
      </c>
      <c r="K11" s="203" t="s">
        <v>452</v>
      </c>
      <c r="L11" s="203" t="s">
        <v>451</v>
      </c>
      <c r="M11" s="203"/>
      <c r="N11" s="203"/>
      <c r="O11" s="203"/>
      <c r="P11" s="276"/>
      <c r="Q11" s="265"/>
      <c r="R11" s="265"/>
      <c r="S11" s="265"/>
      <c r="T11" s="265"/>
      <c r="U11" s="267"/>
    </row>
    <row r="12" spans="1:21" ht="18" customHeight="1">
      <c r="A12" s="204">
        <v>8</v>
      </c>
      <c r="B12" s="202" t="s">
        <v>909</v>
      </c>
      <c r="C12" s="202" t="s">
        <v>909</v>
      </c>
      <c r="D12" s="202" t="s">
        <v>462</v>
      </c>
      <c r="E12" s="300">
        <v>318.10000000000002</v>
      </c>
      <c r="F12" s="210">
        <v>318.10000000000002</v>
      </c>
      <c r="G12" s="210">
        <v>318.10000000000002</v>
      </c>
      <c r="H12" s="210">
        <f t="shared" si="0"/>
        <v>0</v>
      </c>
      <c r="I12" s="203" t="s">
        <v>145</v>
      </c>
      <c r="J12" s="203" t="s">
        <v>712</v>
      </c>
      <c r="K12" s="203" t="s">
        <v>712</v>
      </c>
      <c r="L12" s="203" t="s">
        <v>511</v>
      </c>
      <c r="M12" s="203"/>
      <c r="N12" s="203"/>
      <c r="O12" s="203"/>
      <c r="P12" s="276"/>
      <c r="Q12" s="265"/>
      <c r="R12" s="265"/>
      <c r="S12" s="265"/>
      <c r="T12" s="265"/>
      <c r="U12" s="267"/>
    </row>
    <row r="13" spans="1:21" ht="18" customHeight="1">
      <c r="A13" s="204">
        <v>9</v>
      </c>
      <c r="B13" s="202" t="s">
        <v>910</v>
      </c>
      <c r="C13" s="202" t="s">
        <v>910</v>
      </c>
      <c r="D13" s="202" t="s">
        <v>8</v>
      </c>
      <c r="E13" s="300">
        <v>2974.7</v>
      </c>
      <c r="F13" s="210">
        <v>2974.7</v>
      </c>
      <c r="G13" s="210">
        <v>2974.7</v>
      </c>
      <c r="H13" s="210">
        <f t="shared" si="0"/>
        <v>0</v>
      </c>
      <c r="I13" s="203" t="s">
        <v>419</v>
      </c>
      <c r="J13" s="203" t="s">
        <v>452</v>
      </c>
      <c r="K13" s="203" t="s">
        <v>452</v>
      </c>
      <c r="L13" s="203" t="s">
        <v>451</v>
      </c>
      <c r="M13" s="203"/>
      <c r="N13" s="203"/>
      <c r="O13" s="203"/>
      <c r="P13" s="276"/>
      <c r="Q13" s="265"/>
      <c r="R13" s="265"/>
      <c r="S13" s="265"/>
      <c r="T13" s="265"/>
      <c r="U13" s="267"/>
    </row>
    <row r="14" spans="1:21" ht="18" customHeight="1">
      <c r="A14" s="204">
        <v>10</v>
      </c>
      <c r="B14" s="202" t="s">
        <v>911</v>
      </c>
      <c r="C14" s="202" t="s">
        <v>911</v>
      </c>
      <c r="D14" s="202" t="s">
        <v>8</v>
      </c>
      <c r="E14" s="300">
        <v>742.6</v>
      </c>
      <c r="F14" s="210">
        <v>742.6</v>
      </c>
      <c r="G14" s="210">
        <v>742.6</v>
      </c>
      <c r="H14" s="210">
        <f t="shared" si="0"/>
        <v>0</v>
      </c>
      <c r="I14" s="203" t="s">
        <v>451</v>
      </c>
      <c r="J14" s="203" t="s">
        <v>452</v>
      </c>
      <c r="K14" s="203" t="s">
        <v>452</v>
      </c>
      <c r="L14" s="203" t="s">
        <v>451</v>
      </c>
      <c r="M14" s="203"/>
      <c r="N14" s="203"/>
      <c r="O14" s="203"/>
      <c r="P14" s="276"/>
      <c r="Q14" s="265"/>
      <c r="R14" s="265"/>
      <c r="S14" s="265"/>
      <c r="T14" s="265"/>
      <c r="U14" s="267"/>
    </row>
    <row r="15" spans="1:21" ht="18" customHeight="1">
      <c r="A15" s="204">
        <v>11</v>
      </c>
      <c r="B15" s="202" t="s">
        <v>912</v>
      </c>
      <c r="C15" s="202" t="s">
        <v>912</v>
      </c>
      <c r="D15" s="202" t="s">
        <v>455</v>
      </c>
      <c r="E15" s="300">
        <v>394.1</v>
      </c>
      <c r="F15" s="210">
        <v>394.1</v>
      </c>
      <c r="G15" s="210">
        <v>394.1</v>
      </c>
      <c r="H15" s="210">
        <f t="shared" si="0"/>
        <v>0</v>
      </c>
      <c r="I15" s="203" t="s">
        <v>431</v>
      </c>
      <c r="J15" s="203" t="s">
        <v>712</v>
      </c>
      <c r="K15" s="203" t="s">
        <v>712</v>
      </c>
      <c r="L15" s="203" t="s">
        <v>511</v>
      </c>
      <c r="M15" s="203"/>
      <c r="N15" s="203"/>
      <c r="O15" s="203"/>
      <c r="P15" s="276"/>
      <c r="Q15" s="265"/>
      <c r="R15" s="265"/>
      <c r="S15" s="265"/>
      <c r="T15" s="265"/>
      <c r="U15" s="267"/>
    </row>
    <row r="16" spans="1:21" ht="18" customHeight="1">
      <c r="A16" s="204">
        <v>12</v>
      </c>
      <c r="B16" s="202" t="s">
        <v>913</v>
      </c>
      <c r="C16" s="202" t="s">
        <v>913</v>
      </c>
      <c r="D16" s="202" t="s">
        <v>8</v>
      </c>
      <c r="E16" s="300">
        <v>43</v>
      </c>
      <c r="F16" s="210">
        <v>43</v>
      </c>
      <c r="G16" s="210">
        <v>43</v>
      </c>
      <c r="H16" s="210">
        <f t="shared" si="0"/>
        <v>0</v>
      </c>
      <c r="I16" s="203" t="s">
        <v>1118</v>
      </c>
      <c r="J16" s="203" t="s">
        <v>1118</v>
      </c>
      <c r="K16" s="203" t="s">
        <v>1118</v>
      </c>
      <c r="L16" s="203" t="s">
        <v>1464</v>
      </c>
      <c r="M16" s="203"/>
      <c r="N16" s="203"/>
      <c r="O16" s="203"/>
      <c r="P16" s="276"/>
      <c r="Q16" s="265"/>
      <c r="R16" s="265"/>
      <c r="S16" s="265"/>
      <c r="T16" s="265"/>
      <c r="U16" s="267"/>
    </row>
    <row r="17" spans="1:21" ht="18" customHeight="1">
      <c r="A17" s="204">
        <v>13</v>
      </c>
      <c r="B17" s="202" t="s">
        <v>914</v>
      </c>
      <c r="C17" s="202" t="s">
        <v>914</v>
      </c>
      <c r="D17" s="202" t="s">
        <v>93</v>
      </c>
      <c r="E17" s="300">
        <v>2514</v>
      </c>
      <c r="F17" s="210">
        <v>2514</v>
      </c>
      <c r="G17" s="210">
        <v>2514</v>
      </c>
      <c r="H17" s="210">
        <f t="shared" si="0"/>
        <v>0</v>
      </c>
      <c r="I17" s="203" t="s">
        <v>451</v>
      </c>
      <c r="J17" s="203" t="s">
        <v>452</v>
      </c>
      <c r="K17" s="203" t="s">
        <v>452</v>
      </c>
      <c r="L17" s="203" t="s">
        <v>451</v>
      </c>
      <c r="M17" s="203"/>
      <c r="N17" s="203"/>
      <c r="O17" s="203"/>
      <c r="P17" s="276"/>
      <c r="Q17" s="265"/>
      <c r="R17" s="265"/>
      <c r="S17" s="265"/>
      <c r="T17" s="265"/>
      <c r="U17" s="267"/>
    </row>
    <row r="18" spans="1:21" ht="18" customHeight="1">
      <c r="A18" s="204">
        <v>14</v>
      </c>
      <c r="B18" s="202" t="s">
        <v>915</v>
      </c>
      <c r="C18" s="202" t="s">
        <v>915</v>
      </c>
      <c r="D18" s="202" t="s">
        <v>7</v>
      </c>
      <c r="E18" s="300">
        <v>721</v>
      </c>
      <c r="F18" s="210">
        <v>721</v>
      </c>
      <c r="G18" s="210">
        <v>721</v>
      </c>
      <c r="H18" s="210">
        <f t="shared" si="0"/>
        <v>0</v>
      </c>
      <c r="I18" s="203" t="s">
        <v>451</v>
      </c>
      <c r="J18" s="203" t="s">
        <v>452</v>
      </c>
      <c r="K18" s="203" t="s">
        <v>452</v>
      </c>
      <c r="L18" s="203" t="s">
        <v>451</v>
      </c>
      <c r="M18" s="203"/>
      <c r="N18" s="203"/>
      <c r="O18" s="203"/>
      <c r="P18" s="276"/>
      <c r="Q18" s="265"/>
      <c r="R18" s="265"/>
      <c r="S18" s="265"/>
      <c r="T18" s="265"/>
      <c r="U18" s="267"/>
    </row>
    <row r="19" spans="1:21" ht="18" customHeight="1">
      <c r="A19" s="204">
        <v>15</v>
      </c>
      <c r="B19" s="202" t="s">
        <v>916</v>
      </c>
      <c r="C19" s="202" t="s">
        <v>916</v>
      </c>
      <c r="D19" s="202" t="s">
        <v>7</v>
      </c>
      <c r="E19" s="300">
        <v>1146</v>
      </c>
      <c r="F19" s="210">
        <v>1146</v>
      </c>
      <c r="G19" s="210">
        <v>1146</v>
      </c>
      <c r="H19" s="210">
        <f t="shared" si="0"/>
        <v>0</v>
      </c>
      <c r="I19" s="203" t="s">
        <v>451</v>
      </c>
      <c r="J19" s="203" t="s">
        <v>452</v>
      </c>
      <c r="K19" s="203" t="s">
        <v>452</v>
      </c>
      <c r="L19" s="203" t="s">
        <v>451</v>
      </c>
      <c r="M19" s="203"/>
      <c r="N19" s="203"/>
      <c r="O19" s="203"/>
      <c r="P19" s="276"/>
      <c r="Q19" s="265"/>
      <c r="R19" s="265"/>
      <c r="S19" s="265"/>
      <c r="T19" s="265"/>
      <c r="U19" s="267"/>
    </row>
    <row r="20" spans="1:21" ht="18" customHeight="1">
      <c r="A20" s="204">
        <v>16</v>
      </c>
      <c r="B20" s="202" t="s">
        <v>917</v>
      </c>
      <c r="C20" s="202" t="s">
        <v>917</v>
      </c>
      <c r="D20" s="202" t="s">
        <v>7</v>
      </c>
      <c r="E20" s="300">
        <v>1474</v>
      </c>
      <c r="F20" s="210">
        <v>1474</v>
      </c>
      <c r="G20" s="210">
        <v>1474</v>
      </c>
      <c r="H20" s="210">
        <f t="shared" si="0"/>
        <v>0</v>
      </c>
      <c r="I20" s="203" t="s">
        <v>536</v>
      </c>
      <c r="J20" s="203" t="s">
        <v>452</v>
      </c>
      <c r="K20" s="463" t="s">
        <v>452</v>
      </c>
      <c r="L20" s="463" t="s">
        <v>451</v>
      </c>
      <c r="M20" s="203"/>
      <c r="N20" s="203"/>
      <c r="O20" s="203"/>
      <c r="P20" s="276"/>
      <c r="Q20" s="265"/>
      <c r="R20" s="265"/>
      <c r="S20" s="265"/>
      <c r="T20" s="265"/>
      <c r="U20" s="267"/>
    </row>
    <row r="21" spans="1:21" ht="18" customHeight="1">
      <c r="A21" s="204">
        <v>17</v>
      </c>
      <c r="B21" s="202" t="s">
        <v>918</v>
      </c>
      <c r="C21" s="202" t="s">
        <v>918</v>
      </c>
      <c r="D21" s="202" t="s">
        <v>93</v>
      </c>
      <c r="E21" s="300">
        <v>324</v>
      </c>
      <c r="F21" s="210">
        <v>324</v>
      </c>
      <c r="G21" s="210">
        <v>324</v>
      </c>
      <c r="H21" s="210">
        <f t="shared" si="0"/>
        <v>0</v>
      </c>
      <c r="I21" s="203" t="s">
        <v>536</v>
      </c>
      <c r="J21" s="203" t="s">
        <v>452</v>
      </c>
      <c r="K21" s="463" t="s">
        <v>452</v>
      </c>
      <c r="L21" s="463" t="s">
        <v>451</v>
      </c>
      <c r="M21" s="203"/>
      <c r="N21" s="203"/>
      <c r="O21" s="203"/>
      <c r="P21" s="276"/>
      <c r="Q21" s="265"/>
      <c r="R21" s="265"/>
      <c r="S21" s="265"/>
      <c r="T21" s="265"/>
      <c r="U21" s="267"/>
    </row>
    <row r="22" spans="1:21" ht="18" customHeight="1">
      <c r="A22" s="204">
        <v>18</v>
      </c>
      <c r="B22" s="202" t="s">
        <v>919</v>
      </c>
      <c r="C22" s="202" t="s">
        <v>919</v>
      </c>
      <c r="D22" s="202" t="s">
        <v>8</v>
      </c>
      <c r="E22" s="300">
        <v>495</v>
      </c>
      <c r="F22" s="210">
        <v>495</v>
      </c>
      <c r="G22" s="210">
        <v>495</v>
      </c>
      <c r="H22" s="210">
        <f t="shared" si="0"/>
        <v>0</v>
      </c>
      <c r="I22" s="203" t="s">
        <v>451</v>
      </c>
      <c r="J22" s="203" t="s">
        <v>452</v>
      </c>
      <c r="K22" s="203" t="s">
        <v>452</v>
      </c>
      <c r="L22" s="203" t="s">
        <v>451</v>
      </c>
      <c r="M22" s="203"/>
      <c r="N22" s="203"/>
      <c r="O22" s="203"/>
      <c r="P22" s="276"/>
      <c r="Q22" s="265"/>
      <c r="R22" s="265"/>
      <c r="S22" s="265"/>
      <c r="T22" s="265"/>
      <c r="U22" s="267"/>
    </row>
    <row r="23" spans="1:21" ht="18" customHeight="1">
      <c r="A23" s="204">
        <v>19</v>
      </c>
      <c r="B23" s="202" t="s">
        <v>920</v>
      </c>
      <c r="C23" s="202" t="s">
        <v>920</v>
      </c>
      <c r="D23" s="202" t="s">
        <v>7</v>
      </c>
      <c r="E23" s="300">
        <v>183</v>
      </c>
      <c r="F23" s="210">
        <v>183</v>
      </c>
      <c r="G23" s="210">
        <v>183</v>
      </c>
      <c r="H23" s="210">
        <f t="shared" si="0"/>
        <v>0</v>
      </c>
      <c r="I23" s="203" t="s">
        <v>451</v>
      </c>
      <c r="J23" s="203" t="s">
        <v>452</v>
      </c>
      <c r="K23" s="203" t="s">
        <v>452</v>
      </c>
      <c r="L23" s="203" t="s">
        <v>451</v>
      </c>
      <c r="M23" s="203"/>
      <c r="N23" s="203"/>
      <c r="O23" s="203"/>
      <c r="P23" s="276"/>
      <c r="Q23" s="265"/>
      <c r="R23" s="265"/>
      <c r="S23" s="265"/>
      <c r="T23" s="265"/>
      <c r="U23" s="267"/>
    </row>
    <row r="24" spans="1:21" ht="18" customHeight="1">
      <c r="A24" s="204">
        <v>20</v>
      </c>
      <c r="B24" s="202" t="s">
        <v>921</v>
      </c>
      <c r="C24" s="202" t="s">
        <v>921</v>
      </c>
      <c r="D24" s="202" t="s">
        <v>7</v>
      </c>
      <c r="E24" s="300">
        <v>453</v>
      </c>
      <c r="F24" s="210">
        <v>453</v>
      </c>
      <c r="G24" s="210">
        <v>453</v>
      </c>
      <c r="H24" s="210">
        <f t="shared" si="0"/>
        <v>0</v>
      </c>
      <c r="I24" s="203" t="s">
        <v>451</v>
      </c>
      <c r="J24" s="203" t="s">
        <v>452</v>
      </c>
      <c r="K24" s="203" t="s">
        <v>452</v>
      </c>
      <c r="L24" s="203" t="s">
        <v>451</v>
      </c>
      <c r="M24" s="203"/>
      <c r="N24" s="203"/>
      <c r="O24" s="203"/>
      <c r="P24" s="276"/>
      <c r="Q24" s="265"/>
      <c r="R24" s="265"/>
      <c r="S24" s="265"/>
      <c r="T24" s="265"/>
      <c r="U24" s="267"/>
    </row>
    <row r="25" spans="1:21" ht="18" customHeight="1">
      <c r="A25" s="204">
        <v>21</v>
      </c>
      <c r="B25" s="202" t="s">
        <v>922</v>
      </c>
      <c r="C25" s="202" t="s">
        <v>922</v>
      </c>
      <c r="D25" s="202" t="s">
        <v>7</v>
      </c>
      <c r="E25" s="300">
        <v>101</v>
      </c>
      <c r="F25" s="210">
        <v>101</v>
      </c>
      <c r="G25" s="210">
        <v>101</v>
      </c>
      <c r="H25" s="210">
        <f t="shared" si="0"/>
        <v>0</v>
      </c>
      <c r="I25" s="203" t="s">
        <v>451</v>
      </c>
      <c r="J25" s="203" t="s">
        <v>452</v>
      </c>
      <c r="K25" s="203" t="s">
        <v>452</v>
      </c>
      <c r="L25" s="203" t="s">
        <v>451</v>
      </c>
      <c r="M25" s="203"/>
      <c r="N25" s="203"/>
      <c r="O25" s="203"/>
      <c r="P25" s="276"/>
      <c r="Q25" s="265"/>
      <c r="R25" s="265"/>
      <c r="S25" s="265"/>
      <c r="T25" s="265"/>
      <c r="U25" s="267"/>
    </row>
    <row r="26" spans="1:21" ht="18" customHeight="1">
      <c r="A26" s="204">
        <v>22</v>
      </c>
      <c r="B26" s="202" t="s">
        <v>734</v>
      </c>
      <c r="C26" s="202" t="s">
        <v>734</v>
      </c>
      <c r="D26" s="202" t="s">
        <v>93</v>
      </c>
      <c r="E26" s="300">
        <v>2841</v>
      </c>
      <c r="F26" s="210">
        <v>2841</v>
      </c>
      <c r="G26" s="210">
        <v>2841</v>
      </c>
      <c r="H26" s="210">
        <f t="shared" si="0"/>
        <v>0</v>
      </c>
      <c r="I26" s="203" t="s">
        <v>451</v>
      </c>
      <c r="J26" s="203" t="s">
        <v>452</v>
      </c>
      <c r="K26" s="203" t="s">
        <v>452</v>
      </c>
      <c r="L26" s="203" t="s">
        <v>451</v>
      </c>
      <c r="M26" s="203"/>
      <c r="N26" s="203"/>
      <c r="O26" s="203"/>
      <c r="P26" s="276"/>
      <c r="Q26" s="265"/>
      <c r="R26" s="265"/>
      <c r="S26" s="265"/>
      <c r="T26" s="265"/>
      <c r="U26" s="267"/>
    </row>
    <row r="27" spans="1:21" ht="18" customHeight="1">
      <c r="A27" s="204">
        <v>23</v>
      </c>
      <c r="B27" s="202" t="s">
        <v>923</v>
      </c>
      <c r="C27" s="202" t="s">
        <v>923</v>
      </c>
      <c r="D27" s="202" t="s">
        <v>93</v>
      </c>
      <c r="E27" s="300">
        <v>88</v>
      </c>
      <c r="F27" s="210">
        <v>88</v>
      </c>
      <c r="G27" s="210">
        <v>88</v>
      </c>
      <c r="H27" s="210">
        <f t="shared" si="0"/>
        <v>0</v>
      </c>
      <c r="I27" s="203" t="s">
        <v>451</v>
      </c>
      <c r="J27" s="203" t="s">
        <v>452</v>
      </c>
      <c r="K27" s="203" t="s">
        <v>452</v>
      </c>
      <c r="L27" s="203" t="s">
        <v>451</v>
      </c>
      <c r="M27" s="203"/>
      <c r="N27" s="203"/>
      <c r="O27" s="203"/>
      <c r="P27" s="276"/>
      <c r="Q27" s="265"/>
      <c r="R27" s="265"/>
      <c r="S27" s="265"/>
      <c r="T27" s="265"/>
      <c r="U27" s="267"/>
    </row>
    <row r="28" spans="1:21" ht="18" customHeight="1">
      <c r="A28" s="204">
        <v>24</v>
      </c>
      <c r="B28" s="202" t="s">
        <v>924</v>
      </c>
      <c r="C28" s="202" t="s">
        <v>924</v>
      </c>
      <c r="D28" s="202" t="s">
        <v>8</v>
      </c>
      <c r="E28" s="300">
        <v>236</v>
      </c>
      <c r="F28" s="210">
        <v>236</v>
      </c>
      <c r="G28" s="210">
        <v>236</v>
      </c>
      <c r="H28" s="210">
        <f t="shared" si="0"/>
        <v>0</v>
      </c>
      <c r="I28" s="203" t="s">
        <v>451</v>
      </c>
      <c r="J28" s="203" t="s">
        <v>452</v>
      </c>
      <c r="K28" s="203" t="s">
        <v>452</v>
      </c>
      <c r="L28" s="203" t="s">
        <v>451</v>
      </c>
      <c r="M28" s="203"/>
      <c r="N28" s="203"/>
      <c r="O28" s="203"/>
      <c r="P28" s="276"/>
      <c r="Q28" s="265"/>
      <c r="R28" s="265"/>
      <c r="S28" s="265"/>
      <c r="T28" s="265"/>
      <c r="U28" s="267"/>
    </row>
    <row r="29" spans="1:21" ht="18" customHeight="1">
      <c r="A29" s="204">
        <v>25</v>
      </c>
      <c r="B29" s="202" t="s">
        <v>925</v>
      </c>
      <c r="C29" s="202" t="s">
        <v>925</v>
      </c>
      <c r="D29" s="202" t="s">
        <v>455</v>
      </c>
      <c r="E29" s="300">
        <v>171.9</v>
      </c>
      <c r="F29" s="210">
        <v>171.9</v>
      </c>
      <c r="G29" s="210">
        <v>171.9</v>
      </c>
      <c r="H29" s="210">
        <f t="shared" si="0"/>
        <v>0</v>
      </c>
      <c r="I29" s="203" t="s">
        <v>145</v>
      </c>
      <c r="J29" s="203" t="s">
        <v>712</v>
      </c>
      <c r="K29" s="203" t="s">
        <v>712</v>
      </c>
      <c r="L29" s="203" t="s">
        <v>511</v>
      </c>
      <c r="M29" s="203"/>
      <c r="N29" s="203"/>
      <c r="O29" s="203"/>
      <c r="P29" s="276"/>
      <c r="Q29" s="265"/>
      <c r="R29" s="265"/>
      <c r="S29" s="265"/>
      <c r="T29" s="265"/>
      <c r="U29" s="267"/>
    </row>
    <row r="30" spans="1:21" ht="18" customHeight="1">
      <c r="A30" s="204">
        <v>26</v>
      </c>
      <c r="B30" s="202" t="s">
        <v>926</v>
      </c>
      <c r="C30" s="202" t="s">
        <v>926</v>
      </c>
      <c r="D30" s="202" t="s">
        <v>8</v>
      </c>
      <c r="E30" s="300">
        <v>2792.2</v>
      </c>
      <c r="F30" s="210">
        <v>2792.2</v>
      </c>
      <c r="G30" s="210">
        <v>2792.2</v>
      </c>
      <c r="H30" s="210">
        <f t="shared" si="0"/>
        <v>0</v>
      </c>
      <c r="I30" s="203" t="s">
        <v>451</v>
      </c>
      <c r="J30" s="203" t="s">
        <v>452</v>
      </c>
      <c r="K30" s="203" t="s">
        <v>452</v>
      </c>
      <c r="L30" s="203" t="s">
        <v>451</v>
      </c>
      <c r="M30" s="203"/>
      <c r="N30" s="203"/>
      <c r="O30" s="203"/>
      <c r="P30" s="276"/>
      <c r="Q30" s="265"/>
      <c r="R30" s="265"/>
      <c r="S30" s="265"/>
      <c r="T30" s="265"/>
      <c r="U30" s="267"/>
    </row>
    <row r="31" spans="1:21" ht="18" customHeight="1">
      <c r="A31" s="204">
        <v>27</v>
      </c>
      <c r="B31" s="202" t="s">
        <v>927</v>
      </c>
      <c r="C31" s="202" t="s">
        <v>927</v>
      </c>
      <c r="D31" s="202" t="s">
        <v>8</v>
      </c>
      <c r="E31" s="300">
        <v>15</v>
      </c>
      <c r="F31" s="210">
        <v>15</v>
      </c>
      <c r="G31" s="210">
        <v>15</v>
      </c>
      <c r="H31" s="210">
        <f t="shared" si="0"/>
        <v>0</v>
      </c>
      <c r="I31" s="203" t="s">
        <v>451</v>
      </c>
      <c r="J31" s="203" t="s">
        <v>452</v>
      </c>
      <c r="K31" s="203" t="s">
        <v>452</v>
      </c>
      <c r="L31" s="203" t="s">
        <v>451</v>
      </c>
      <c r="M31" s="203"/>
      <c r="N31" s="203"/>
      <c r="O31" s="203"/>
      <c r="P31" s="276"/>
      <c r="Q31" s="265"/>
      <c r="R31" s="265"/>
      <c r="S31" s="265"/>
      <c r="T31" s="265"/>
      <c r="U31" s="267"/>
    </row>
    <row r="32" spans="1:21" ht="18" customHeight="1">
      <c r="A32" s="204">
        <v>28</v>
      </c>
      <c r="B32" s="202" t="s">
        <v>928</v>
      </c>
      <c r="C32" s="202" t="s">
        <v>928</v>
      </c>
      <c r="D32" s="202" t="s">
        <v>462</v>
      </c>
      <c r="E32" s="300">
        <v>371.4</v>
      </c>
      <c r="F32" s="210">
        <v>371.4</v>
      </c>
      <c r="G32" s="210">
        <v>371.4</v>
      </c>
      <c r="H32" s="210">
        <f t="shared" si="0"/>
        <v>0</v>
      </c>
      <c r="I32" s="203" t="s">
        <v>433</v>
      </c>
      <c r="J32" s="203" t="s">
        <v>712</v>
      </c>
      <c r="K32" s="203" t="s">
        <v>712</v>
      </c>
      <c r="L32" s="203" t="s">
        <v>511</v>
      </c>
      <c r="M32" s="203"/>
      <c r="N32" s="203"/>
      <c r="O32" s="203"/>
      <c r="P32" s="276"/>
      <c r="Q32" s="265"/>
      <c r="R32" s="265"/>
      <c r="S32" s="265"/>
      <c r="T32" s="265"/>
      <c r="U32" s="267"/>
    </row>
    <row r="33" spans="1:21" ht="18" customHeight="1">
      <c r="A33" s="204">
        <v>29</v>
      </c>
      <c r="B33" s="202" t="s">
        <v>929</v>
      </c>
      <c r="C33" s="202" t="s">
        <v>929</v>
      </c>
      <c r="D33" s="202" t="s">
        <v>459</v>
      </c>
      <c r="E33" s="300">
        <v>648</v>
      </c>
      <c r="F33" s="210">
        <v>648</v>
      </c>
      <c r="G33" s="210">
        <v>648</v>
      </c>
      <c r="H33" s="210">
        <f t="shared" si="0"/>
        <v>0</v>
      </c>
      <c r="I33" s="203" t="s">
        <v>143</v>
      </c>
      <c r="J33" s="203" t="s">
        <v>452</v>
      </c>
      <c r="K33" s="203" t="s">
        <v>452</v>
      </c>
      <c r="L33" s="203" t="s">
        <v>451</v>
      </c>
      <c r="M33" s="203"/>
      <c r="N33" s="203"/>
      <c r="O33" s="203"/>
      <c r="P33" s="276"/>
      <c r="Q33" s="265"/>
      <c r="R33" s="265"/>
      <c r="S33" s="265"/>
      <c r="T33" s="265"/>
      <c r="U33" s="267"/>
    </row>
    <row r="34" spans="1:21" ht="18" customHeight="1">
      <c r="A34" s="204">
        <v>30</v>
      </c>
      <c r="B34" s="202" t="s">
        <v>930</v>
      </c>
      <c r="C34" s="202" t="s">
        <v>930</v>
      </c>
      <c r="D34" s="202" t="s">
        <v>484</v>
      </c>
      <c r="E34" s="300">
        <v>247</v>
      </c>
      <c r="F34" s="210">
        <v>247</v>
      </c>
      <c r="G34" s="210">
        <v>247</v>
      </c>
      <c r="H34" s="210">
        <f t="shared" si="0"/>
        <v>0</v>
      </c>
      <c r="I34" s="203" t="s">
        <v>433</v>
      </c>
      <c r="J34" s="203" t="s">
        <v>715</v>
      </c>
      <c r="K34" s="203" t="s">
        <v>715</v>
      </c>
      <c r="L34" s="203" t="s">
        <v>511</v>
      </c>
      <c r="M34" s="203"/>
      <c r="N34" s="203"/>
      <c r="O34" s="203"/>
      <c r="P34" s="276"/>
      <c r="Q34" s="265"/>
      <c r="R34" s="265"/>
      <c r="S34" s="265"/>
      <c r="T34" s="265"/>
      <c r="U34" s="267"/>
    </row>
    <row r="35" spans="1:21" ht="18" customHeight="1">
      <c r="A35" s="204">
        <v>31</v>
      </c>
      <c r="B35" s="202" t="s">
        <v>931</v>
      </c>
      <c r="C35" s="202" t="s">
        <v>931</v>
      </c>
      <c r="D35" s="202" t="s">
        <v>7</v>
      </c>
      <c r="E35" s="300">
        <v>123</v>
      </c>
      <c r="F35" s="210">
        <v>123</v>
      </c>
      <c r="G35" s="210">
        <v>123</v>
      </c>
      <c r="H35" s="210">
        <f t="shared" si="0"/>
        <v>0</v>
      </c>
      <c r="I35" s="203" t="s">
        <v>451</v>
      </c>
      <c r="J35" s="203" t="s">
        <v>452</v>
      </c>
      <c r="K35" s="203" t="s">
        <v>452</v>
      </c>
      <c r="L35" s="203" t="s">
        <v>451</v>
      </c>
      <c r="M35" s="203"/>
      <c r="N35" s="203"/>
      <c r="O35" s="203"/>
      <c r="P35" s="276"/>
      <c r="Q35" s="265"/>
      <c r="R35" s="265"/>
      <c r="S35" s="265"/>
      <c r="T35" s="265"/>
      <c r="U35" s="267"/>
    </row>
    <row r="36" spans="1:21" ht="18" customHeight="1">
      <c r="A36" s="204">
        <v>32</v>
      </c>
      <c r="B36" s="202" t="s">
        <v>932</v>
      </c>
      <c r="C36" s="202" t="s">
        <v>932</v>
      </c>
      <c r="D36" s="202" t="s">
        <v>564</v>
      </c>
      <c r="E36" s="300">
        <v>99</v>
      </c>
      <c r="F36" s="210">
        <v>99</v>
      </c>
      <c r="G36" s="210">
        <v>99</v>
      </c>
      <c r="H36" s="210">
        <f t="shared" si="0"/>
        <v>0</v>
      </c>
      <c r="I36" s="203" t="s">
        <v>1119</v>
      </c>
      <c r="J36" s="203" t="s">
        <v>1119</v>
      </c>
      <c r="K36" s="203" t="s">
        <v>1119</v>
      </c>
      <c r="L36" s="203" t="s">
        <v>1465</v>
      </c>
      <c r="M36" s="203"/>
      <c r="N36" s="203"/>
      <c r="O36" s="203"/>
      <c r="P36" s="276"/>
      <c r="Q36" s="265"/>
      <c r="R36" s="265"/>
      <c r="S36" s="265"/>
      <c r="T36" s="265"/>
      <c r="U36" s="267"/>
    </row>
    <row r="37" spans="1:21" ht="18" customHeight="1">
      <c r="A37" s="204">
        <v>33</v>
      </c>
      <c r="B37" s="202" t="s">
        <v>933</v>
      </c>
      <c r="C37" s="202" t="s">
        <v>933</v>
      </c>
      <c r="D37" s="202" t="s">
        <v>455</v>
      </c>
      <c r="E37" s="300">
        <v>4429.1000000000004</v>
      </c>
      <c r="F37" s="210">
        <v>212</v>
      </c>
      <c r="G37" s="210">
        <v>212</v>
      </c>
      <c r="H37" s="210">
        <f t="shared" si="0"/>
        <v>0</v>
      </c>
      <c r="I37" s="203" t="s">
        <v>86</v>
      </c>
      <c r="J37" s="203" t="s">
        <v>715</v>
      </c>
      <c r="K37" s="203" t="s">
        <v>715</v>
      </c>
      <c r="L37" s="203" t="s">
        <v>511</v>
      </c>
      <c r="M37" s="203"/>
      <c r="N37" s="203"/>
      <c r="O37" s="203"/>
      <c r="P37" s="276"/>
      <c r="Q37" s="265"/>
      <c r="R37" s="265"/>
      <c r="S37" s="265"/>
      <c r="T37" s="265"/>
      <c r="U37" s="267"/>
    </row>
    <row r="38" spans="1:21" ht="18" customHeight="1">
      <c r="A38" s="204">
        <v>34</v>
      </c>
      <c r="B38" s="202" t="s">
        <v>934</v>
      </c>
      <c r="C38" s="202" t="s">
        <v>934</v>
      </c>
      <c r="D38" s="202" t="s">
        <v>462</v>
      </c>
      <c r="E38" s="300">
        <v>438.2</v>
      </c>
      <c r="F38" s="210">
        <v>438.2</v>
      </c>
      <c r="G38" s="210">
        <v>438.2</v>
      </c>
      <c r="H38" s="210">
        <f t="shared" si="0"/>
        <v>0</v>
      </c>
      <c r="I38" s="203" t="s">
        <v>434</v>
      </c>
      <c r="J38" s="203" t="s">
        <v>712</v>
      </c>
      <c r="K38" s="203" t="s">
        <v>712</v>
      </c>
      <c r="L38" s="203" t="s">
        <v>511</v>
      </c>
      <c r="M38" s="203"/>
      <c r="N38" s="203"/>
      <c r="O38" s="203"/>
      <c r="P38" s="276"/>
      <c r="Q38" s="265"/>
      <c r="R38" s="265"/>
      <c r="S38" s="265"/>
      <c r="T38" s="265"/>
      <c r="U38" s="267"/>
    </row>
    <row r="39" spans="1:21" ht="18" customHeight="1">
      <c r="A39" s="204">
        <v>35</v>
      </c>
      <c r="B39" s="202" t="s">
        <v>935</v>
      </c>
      <c r="C39" s="202" t="s">
        <v>935</v>
      </c>
      <c r="D39" s="202" t="s">
        <v>8</v>
      </c>
      <c r="E39" s="300">
        <v>15</v>
      </c>
      <c r="F39" s="210">
        <v>15</v>
      </c>
      <c r="G39" s="210">
        <v>15</v>
      </c>
      <c r="H39" s="210">
        <f t="shared" si="0"/>
        <v>0</v>
      </c>
      <c r="I39" s="203" t="s">
        <v>435</v>
      </c>
      <c r="J39" s="203" t="s">
        <v>452</v>
      </c>
      <c r="K39" s="203" t="s">
        <v>452</v>
      </c>
      <c r="L39" s="203" t="s">
        <v>451</v>
      </c>
      <c r="M39" s="203"/>
      <c r="N39" s="203"/>
      <c r="O39" s="203"/>
      <c r="P39" s="276"/>
      <c r="Q39" s="265"/>
      <c r="R39" s="265"/>
      <c r="S39" s="265"/>
      <c r="T39" s="265"/>
      <c r="U39" s="267"/>
    </row>
    <row r="40" spans="1:21" ht="18" customHeight="1">
      <c r="A40" s="204">
        <v>36</v>
      </c>
      <c r="B40" s="202" t="s">
        <v>748</v>
      </c>
      <c r="C40" s="202" t="s">
        <v>748</v>
      </c>
      <c r="D40" s="202" t="s">
        <v>7</v>
      </c>
      <c r="E40" s="300">
        <v>202</v>
      </c>
      <c r="F40" s="210">
        <v>202</v>
      </c>
      <c r="G40" s="210">
        <v>202</v>
      </c>
      <c r="H40" s="210">
        <f t="shared" si="0"/>
        <v>0</v>
      </c>
      <c r="I40" s="203" t="s">
        <v>435</v>
      </c>
      <c r="J40" s="203" t="s">
        <v>452</v>
      </c>
      <c r="K40" s="203" t="s">
        <v>452</v>
      </c>
      <c r="L40" s="203" t="s">
        <v>451</v>
      </c>
      <c r="M40" s="203"/>
      <c r="N40" s="203"/>
      <c r="O40" s="203"/>
      <c r="P40" s="276"/>
      <c r="Q40" s="265"/>
      <c r="R40" s="265"/>
      <c r="S40" s="265"/>
      <c r="T40" s="265"/>
      <c r="U40" s="267"/>
    </row>
    <row r="41" spans="1:21" ht="18" customHeight="1">
      <c r="A41" s="204">
        <v>37</v>
      </c>
      <c r="B41" s="202" t="s">
        <v>936</v>
      </c>
      <c r="C41" s="202" t="s">
        <v>936</v>
      </c>
      <c r="D41" s="202" t="s">
        <v>7</v>
      </c>
      <c r="E41" s="300">
        <v>72</v>
      </c>
      <c r="F41" s="210">
        <v>72</v>
      </c>
      <c r="G41" s="210">
        <v>72</v>
      </c>
      <c r="H41" s="210">
        <f t="shared" si="0"/>
        <v>0</v>
      </c>
      <c r="I41" s="203" t="s">
        <v>143</v>
      </c>
      <c r="J41" s="203" t="s">
        <v>452</v>
      </c>
      <c r="K41" s="203" t="s">
        <v>452</v>
      </c>
      <c r="L41" s="203" t="s">
        <v>451</v>
      </c>
      <c r="M41" s="203"/>
      <c r="N41" s="203"/>
      <c r="O41" s="203"/>
      <c r="P41" s="276"/>
      <c r="Q41" s="265"/>
      <c r="R41" s="265"/>
      <c r="S41" s="265"/>
      <c r="T41" s="265"/>
      <c r="U41" s="267"/>
    </row>
    <row r="42" spans="1:21" ht="18" customHeight="1">
      <c r="A42" s="204">
        <v>38</v>
      </c>
      <c r="B42" s="202" t="s">
        <v>937</v>
      </c>
      <c r="C42" s="202" t="s">
        <v>937</v>
      </c>
      <c r="D42" s="202" t="s">
        <v>93</v>
      </c>
      <c r="E42" s="300">
        <v>1051</v>
      </c>
      <c r="F42" s="210">
        <v>1051</v>
      </c>
      <c r="G42" s="210">
        <v>1051</v>
      </c>
      <c r="H42" s="210">
        <f t="shared" si="0"/>
        <v>0</v>
      </c>
      <c r="I42" s="203" t="s">
        <v>435</v>
      </c>
      <c r="J42" s="203" t="s">
        <v>452</v>
      </c>
      <c r="K42" s="203" t="s">
        <v>452</v>
      </c>
      <c r="L42" s="203" t="s">
        <v>451</v>
      </c>
      <c r="M42" s="203"/>
      <c r="N42" s="203"/>
      <c r="O42" s="203"/>
      <c r="P42" s="276"/>
      <c r="Q42" s="265"/>
      <c r="R42" s="265"/>
      <c r="S42" s="265"/>
      <c r="T42" s="265"/>
      <c r="U42" s="267"/>
    </row>
    <row r="43" spans="1:21" ht="18" customHeight="1">
      <c r="A43" s="204">
        <v>39</v>
      </c>
      <c r="B43" s="202" t="s">
        <v>938</v>
      </c>
      <c r="C43" s="202" t="s">
        <v>938</v>
      </c>
      <c r="D43" s="202" t="s">
        <v>462</v>
      </c>
      <c r="E43" s="300">
        <v>177.3</v>
      </c>
      <c r="F43" s="210">
        <v>177.3</v>
      </c>
      <c r="G43" s="210">
        <v>177.3</v>
      </c>
      <c r="H43" s="210">
        <f t="shared" si="0"/>
        <v>0</v>
      </c>
      <c r="I43" s="203" t="s">
        <v>86</v>
      </c>
      <c r="J43" s="203" t="s">
        <v>712</v>
      </c>
      <c r="K43" s="203" t="s">
        <v>712</v>
      </c>
      <c r="L43" s="203" t="s">
        <v>511</v>
      </c>
      <c r="M43" s="203"/>
      <c r="N43" s="203"/>
      <c r="O43" s="203"/>
      <c r="P43" s="276"/>
      <c r="Q43" s="265"/>
      <c r="R43" s="265"/>
      <c r="S43" s="265"/>
      <c r="T43" s="265"/>
      <c r="U43" s="267"/>
    </row>
    <row r="44" spans="1:21" ht="18" customHeight="1">
      <c r="A44" s="204">
        <v>40</v>
      </c>
      <c r="B44" s="202" t="s">
        <v>939</v>
      </c>
      <c r="C44" s="202" t="s">
        <v>939</v>
      </c>
      <c r="D44" s="202" t="s">
        <v>7</v>
      </c>
      <c r="E44" s="300">
        <v>667</v>
      </c>
      <c r="F44" s="210">
        <v>297</v>
      </c>
      <c r="G44" s="210">
        <v>297</v>
      </c>
      <c r="H44" s="210">
        <f t="shared" si="0"/>
        <v>0</v>
      </c>
      <c r="I44" s="203" t="s">
        <v>432</v>
      </c>
      <c r="J44" s="203" t="s">
        <v>452</v>
      </c>
      <c r="K44" s="203" t="s">
        <v>452</v>
      </c>
      <c r="L44" s="203" t="s">
        <v>451</v>
      </c>
      <c r="M44" s="203"/>
      <c r="N44" s="203"/>
      <c r="O44" s="203"/>
      <c r="P44" s="276"/>
      <c r="Q44" s="265"/>
      <c r="R44" s="265"/>
      <c r="S44" s="265"/>
      <c r="T44" s="265"/>
      <c r="U44" s="267"/>
    </row>
    <row r="45" spans="1:21" ht="18" customHeight="1">
      <c r="A45" s="204">
        <v>41</v>
      </c>
      <c r="B45" s="202" t="s">
        <v>940</v>
      </c>
      <c r="C45" s="202" t="s">
        <v>940</v>
      </c>
      <c r="D45" s="202" t="s">
        <v>8</v>
      </c>
      <c r="E45" s="300">
        <v>2592</v>
      </c>
      <c r="F45" s="210">
        <v>2592</v>
      </c>
      <c r="G45" s="210">
        <v>2592</v>
      </c>
      <c r="H45" s="210">
        <f t="shared" si="0"/>
        <v>0</v>
      </c>
      <c r="I45" s="203" t="s">
        <v>451</v>
      </c>
      <c r="J45" s="203" t="s">
        <v>452</v>
      </c>
      <c r="K45" s="203" t="s">
        <v>452</v>
      </c>
      <c r="L45" s="203" t="s">
        <v>451</v>
      </c>
      <c r="M45" s="203"/>
      <c r="N45" s="203"/>
      <c r="O45" s="203"/>
      <c r="P45" s="276"/>
      <c r="Q45" s="265"/>
      <c r="R45" s="265"/>
      <c r="S45" s="265"/>
      <c r="T45" s="265"/>
      <c r="U45" s="267"/>
    </row>
    <row r="46" spans="1:21" ht="18" customHeight="1">
      <c r="A46" s="204">
        <v>42</v>
      </c>
      <c r="B46" s="202" t="s">
        <v>941</v>
      </c>
      <c r="C46" s="202" t="s">
        <v>941</v>
      </c>
      <c r="D46" s="202" t="s">
        <v>8</v>
      </c>
      <c r="E46" s="300">
        <v>1715</v>
      </c>
      <c r="F46" s="210">
        <v>1715</v>
      </c>
      <c r="G46" s="210">
        <v>1715</v>
      </c>
      <c r="H46" s="210">
        <f t="shared" si="0"/>
        <v>0</v>
      </c>
      <c r="I46" s="203" t="s">
        <v>451</v>
      </c>
      <c r="J46" s="203" t="s">
        <v>452</v>
      </c>
      <c r="K46" s="203" t="s">
        <v>452</v>
      </c>
      <c r="L46" s="203" t="s">
        <v>451</v>
      </c>
      <c r="M46" s="203"/>
      <c r="N46" s="203"/>
      <c r="O46" s="203"/>
      <c r="P46" s="276"/>
      <c r="Q46" s="265"/>
      <c r="R46" s="265"/>
      <c r="S46" s="265"/>
      <c r="T46" s="265"/>
      <c r="U46" s="267"/>
    </row>
    <row r="47" spans="1:21" ht="18" customHeight="1">
      <c r="A47" s="204">
        <v>44</v>
      </c>
      <c r="B47" s="202" t="s">
        <v>942</v>
      </c>
      <c r="C47" s="202" t="s">
        <v>942</v>
      </c>
      <c r="D47" s="202" t="s">
        <v>8</v>
      </c>
      <c r="E47" s="300">
        <v>131</v>
      </c>
      <c r="F47" s="210">
        <v>131</v>
      </c>
      <c r="G47" s="210">
        <v>131</v>
      </c>
      <c r="H47" s="210">
        <f t="shared" si="0"/>
        <v>0</v>
      </c>
      <c r="I47" s="203" t="s">
        <v>451</v>
      </c>
      <c r="J47" s="203" t="s">
        <v>452</v>
      </c>
      <c r="K47" s="203" t="s">
        <v>452</v>
      </c>
      <c r="L47" s="203" t="s">
        <v>451</v>
      </c>
      <c r="M47" s="203"/>
      <c r="N47" s="203"/>
      <c r="O47" s="203"/>
      <c r="P47" s="276"/>
      <c r="Q47" s="265"/>
      <c r="R47" s="265"/>
      <c r="S47" s="265"/>
      <c r="T47" s="265"/>
      <c r="U47" s="267"/>
    </row>
    <row r="48" spans="1:21" ht="18" customHeight="1">
      <c r="A48" s="204">
        <v>45</v>
      </c>
      <c r="B48" s="202" t="s">
        <v>674</v>
      </c>
      <c r="C48" s="202" t="s">
        <v>674</v>
      </c>
      <c r="D48" s="202" t="s">
        <v>7</v>
      </c>
      <c r="E48" s="300">
        <v>556</v>
      </c>
      <c r="F48" s="210">
        <v>556</v>
      </c>
      <c r="G48" s="210">
        <v>556</v>
      </c>
      <c r="H48" s="210">
        <f t="shared" si="0"/>
        <v>0</v>
      </c>
      <c r="I48" s="203" t="s">
        <v>451</v>
      </c>
      <c r="J48" s="203" t="s">
        <v>452</v>
      </c>
      <c r="K48" s="203" t="s">
        <v>452</v>
      </c>
      <c r="L48" s="203" t="s">
        <v>451</v>
      </c>
      <c r="M48" s="203"/>
      <c r="N48" s="203"/>
      <c r="O48" s="203"/>
      <c r="P48" s="276"/>
      <c r="Q48" s="265"/>
      <c r="R48" s="265"/>
      <c r="S48" s="265"/>
      <c r="T48" s="265"/>
      <c r="U48" s="267"/>
    </row>
    <row r="49" spans="1:21" ht="18" customHeight="1">
      <c r="A49" s="204">
        <v>46</v>
      </c>
      <c r="B49" s="202" t="s">
        <v>943</v>
      </c>
      <c r="C49" s="202" t="s">
        <v>943</v>
      </c>
      <c r="D49" s="202" t="s">
        <v>8</v>
      </c>
      <c r="E49" s="300">
        <v>212</v>
      </c>
      <c r="F49" s="210">
        <v>212</v>
      </c>
      <c r="G49" s="210">
        <v>212</v>
      </c>
      <c r="H49" s="210">
        <f t="shared" si="0"/>
        <v>0</v>
      </c>
      <c r="I49" s="203" t="s">
        <v>451</v>
      </c>
      <c r="J49" s="203" t="s">
        <v>452</v>
      </c>
      <c r="K49" s="203" t="s">
        <v>452</v>
      </c>
      <c r="L49" s="203" t="s">
        <v>451</v>
      </c>
      <c r="M49" s="203"/>
      <c r="N49" s="203"/>
      <c r="O49" s="203"/>
      <c r="P49" s="276"/>
      <c r="Q49" s="265"/>
      <c r="R49" s="265"/>
      <c r="S49" s="265"/>
      <c r="T49" s="265"/>
      <c r="U49" s="267"/>
    </row>
    <row r="50" spans="1:21" ht="18" customHeight="1">
      <c r="A50" s="204">
        <v>47</v>
      </c>
      <c r="B50" s="202" t="s">
        <v>944</v>
      </c>
      <c r="C50" s="202" t="s">
        <v>944</v>
      </c>
      <c r="D50" s="202" t="s">
        <v>8</v>
      </c>
      <c r="E50" s="300">
        <v>74</v>
      </c>
      <c r="F50" s="210">
        <v>74</v>
      </c>
      <c r="G50" s="210">
        <v>74</v>
      </c>
      <c r="H50" s="210">
        <f t="shared" si="0"/>
        <v>0</v>
      </c>
      <c r="I50" s="203" t="s">
        <v>451</v>
      </c>
      <c r="J50" s="203" t="s">
        <v>452</v>
      </c>
      <c r="K50" s="203" t="s">
        <v>452</v>
      </c>
      <c r="L50" s="203" t="s">
        <v>451</v>
      </c>
      <c r="M50" s="203"/>
      <c r="N50" s="203"/>
      <c r="O50" s="203"/>
      <c r="P50" s="276"/>
      <c r="Q50" s="265"/>
      <c r="R50" s="265"/>
      <c r="S50" s="265"/>
      <c r="T50" s="265"/>
      <c r="U50" s="267"/>
    </row>
    <row r="51" spans="1:21" ht="18" customHeight="1">
      <c r="A51" s="204">
        <v>48</v>
      </c>
      <c r="B51" s="202" t="s">
        <v>945</v>
      </c>
      <c r="C51" s="202" t="s">
        <v>945</v>
      </c>
      <c r="D51" s="202" t="s">
        <v>7</v>
      </c>
      <c r="E51" s="300">
        <v>56</v>
      </c>
      <c r="F51" s="210">
        <v>56</v>
      </c>
      <c r="G51" s="210">
        <v>56</v>
      </c>
      <c r="H51" s="210">
        <f t="shared" si="0"/>
        <v>0</v>
      </c>
      <c r="I51" s="203" t="s">
        <v>451</v>
      </c>
      <c r="J51" s="203" t="s">
        <v>452</v>
      </c>
      <c r="K51" s="203" t="s">
        <v>452</v>
      </c>
      <c r="L51" s="203" t="s">
        <v>451</v>
      </c>
      <c r="M51" s="203"/>
      <c r="N51" s="203"/>
      <c r="O51" s="203"/>
      <c r="P51" s="276"/>
      <c r="Q51" s="265"/>
      <c r="R51" s="265"/>
      <c r="S51" s="265"/>
      <c r="T51" s="265"/>
      <c r="U51" s="267"/>
    </row>
    <row r="52" spans="1:21" ht="18" customHeight="1">
      <c r="A52" s="204">
        <v>49</v>
      </c>
      <c r="B52" s="202" t="s">
        <v>946</v>
      </c>
      <c r="C52" s="202" t="s">
        <v>946</v>
      </c>
      <c r="D52" s="202" t="s">
        <v>93</v>
      </c>
      <c r="E52" s="300">
        <v>235</v>
      </c>
      <c r="F52" s="210">
        <v>235</v>
      </c>
      <c r="G52" s="210">
        <v>235</v>
      </c>
      <c r="H52" s="210">
        <f t="shared" si="0"/>
        <v>0</v>
      </c>
      <c r="I52" s="203" t="s">
        <v>451</v>
      </c>
      <c r="J52" s="203" t="s">
        <v>452</v>
      </c>
      <c r="K52" s="203" t="s">
        <v>452</v>
      </c>
      <c r="L52" s="203" t="s">
        <v>451</v>
      </c>
      <c r="M52" s="203"/>
      <c r="N52" s="203"/>
      <c r="O52" s="203"/>
      <c r="P52" s="276"/>
      <c r="Q52" s="265"/>
      <c r="R52" s="265"/>
      <c r="S52" s="265"/>
      <c r="T52" s="265"/>
      <c r="U52" s="267"/>
    </row>
    <row r="53" spans="1:21" ht="18" customHeight="1">
      <c r="A53" s="204">
        <v>50</v>
      </c>
      <c r="B53" s="202" t="s">
        <v>947</v>
      </c>
      <c r="C53" s="202" t="s">
        <v>947</v>
      </c>
      <c r="D53" s="202" t="s">
        <v>93</v>
      </c>
      <c r="E53" s="300">
        <v>828</v>
      </c>
      <c r="F53" s="210">
        <v>828</v>
      </c>
      <c r="G53" s="210">
        <v>828</v>
      </c>
      <c r="H53" s="210">
        <f t="shared" si="0"/>
        <v>0</v>
      </c>
      <c r="I53" s="203" t="s">
        <v>143</v>
      </c>
      <c r="J53" s="203" t="s">
        <v>452</v>
      </c>
      <c r="K53" s="203" t="s">
        <v>452</v>
      </c>
      <c r="L53" s="203" t="s">
        <v>451</v>
      </c>
      <c r="M53" s="203"/>
      <c r="N53" s="203"/>
      <c r="O53" s="203"/>
      <c r="P53" s="276"/>
      <c r="Q53" s="265"/>
      <c r="R53" s="265"/>
      <c r="S53" s="265"/>
      <c r="T53" s="265"/>
      <c r="U53" s="267"/>
    </row>
    <row r="54" spans="1:21" ht="18" customHeight="1">
      <c r="A54" s="204">
        <v>51</v>
      </c>
      <c r="B54" s="202" t="s">
        <v>948</v>
      </c>
      <c r="C54" s="202" t="s">
        <v>948</v>
      </c>
      <c r="D54" s="202" t="s">
        <v>93</v>
      </c>
      <c r="E54" s="300">
        <v>34</v>
      </c>
      <c r="F54" s="210">
        <v>34</v>
      </c>
      <c r="G54" s="210">
        <v>34</v>
      </c>
      <c r="H54" s="210">
        <f t="shared" si="0"/>
        <v>0</v>
      </c>
      <c r="I54" s="203" t="s">
        <v>451</v>
      </c>
      <c r="J54" s="203" t="s">
        <v>452</v>
      </c>
      <c r="K54" s="203" t="s">
        <v>452</v>
      </c>
      <c r="L54" s="203" t="s">
        <v>451</v>
      </c>
      <c r="M54" s="203"/>
      <c r="N54" s="203"/>
      <c r="O54" s="203"/>
      <c r="P54" s="276"/>
      <c r="Q54" s="265"/>
      <c r="R54" s="265"/>
      <c r="S54" s="265"/>
      <c r="T54" s="265"/>
      <c r="U54" s="267"/>
    </row>
    <row r="55" spans="1:21" ht="18" customHeight="1">
      <c r="A55" s="204">
        <v>52</v>
      </c>
      <c r="B55" s="202" t="s">
        <v>949</v>
      </c>
      <c r="C55" s="202" t="s">
        <v>949</v>
      </c>
      <c r="D55" s="202" t="s">
        <v>93</v>
      </c>
      <c r="E55" s="300">
        <v>2671</v>
      </c>
      <c r="F55" s="210">
        <v>2671</v>
      </c>
      <c r="G55" s="210">
        <v>2671</v>
      </c>
      <c r="H55" s="210">
        <f t="shared" si="0"/>
        <v>0</v>
      </c>
      <c r="I55" s="203" t="s">
        <v>143</v>
      </c>
      <c r="J55" s="203" t="s">
        <v>452</v>
      </c>
      <c r="K55" s="203" t="s">
        <v>452</v>
      </c>
      <c r="L55" s="203" t="s">
        <v>451</v>
      </c>
      <c r="M55" s="203"/>
      <c r="N55" s="203"/>
      <c r="O55" s="203"/>
      <c r="P55" s="276"/>
      <c r="Q55" s="265"/>
      <c r="R55" s="265"/>
      <c r="S55" s="265"/>
      <c r="T55" s="265"/>
      <c r="U55" s="267"/>
    </row>
    <row r="56" spans="1:21" ht="18" customHeight="1">
      <c r="A56" s="204">
        <v>54</v>
      </c>
      <c r="B56" s="202" t="s">
        <v>950</v>
      </c>
      <c r="C56" s="202" t="s">
        <v>950</v>
      </c>
      <c r="D56" s="202" t="s">
        <v>93</v>
      </c>
      <c r="E56" s="300">
        <v>375</v>
      </c>
      <c r="F56" s="210">
        <v>375</v>
      </c>
      <c r="G56" s="210">
        <v>375</v>
      </c>
      <c r="H56" s="210">
        <f t="shared" si="0"/>
        <v>0</v>
      </c>
      <c r="I56" s="203" t="s">
        <v>451</v>
      </c>
      <c r="J56" s="203" t="s">
        <v>452</v>
      </c>
      <c r="K56" s="203" t="s">
        <v>452</v>
      </c>
      <c r="L56" s="203" t="s">
        <v>451</v>
      </c>
      <c r="M56" s="203"/>
      <c r="N56" s="203"/>
      <c r="O56" s="203"/>
      <c r="P56" s="276"/>
      <c r="Q56" s="265"/>
      <c r="R56" s="265"/>
      <c r="S56" s="265"/>
      <c r="T56" s="265"/>
      <c r="U56" s="267"/>
    </row>
    <row r="57" spans="1:21" ht="18" customHeight="1">
      <c r="A57" s="204">
        <v>55</v>
      </c>
      <c r="B57" s="202" t="s">
        <v>951</v>
      </c>
      <c r="C57" s="202" t="s">
        <v>951</v>
      </c>
      <c r="D57" s="202" t="s">
        <v>93</v>
      </c>
      <c r="E57" s="300">
        <v>160</v>
      </c>
      <c r="F57" s="210">
        <v>160</v>
      </c>
      <c r="G57" s="210">
        <v>160</v>
      </c>
      <c r="H57" s="210">
        <f t="shared" si="0"/>
        <v>0</v>
      </c>
      <c r="I57" s="203" t="s">
        <v>435</v>
      </c>
      <c r="J57" s="203" t="s">
        <v>452</v>
      </c>
      <c r="K57" s="203" t="s">
        <v>452</v>
      </c>
      <c r="L57" s="203" t="s">
        <v>451</v>
      </c>
      <c r="M57" s="203"/>
      <c r="N57" s="203"/>
      <c r="O57" s="203"/>
      <c r="P57" s="276"/>
      <c r="Q57" s="265"/>
      <c r="R57" s="265"/>
      <c r="S57" s="265"/>
      <c r="T57" s="265"/>
      <c r="U57" s="267"/>
    </row>
    <row r="58" spans="1:21" ht="18" customHeight="1">
      <c r="A58" s="204">
        <v>56</v>
      </c>
      <c r="B58" s="202" t="s">
        <v>952</v>
      </c>
      <c r="C58" s="202" t="s">
        <v>952</v>
      </c>
      <c r="D58" s="202" t="s">
        <v>93</v>
      </c>
      <c r="E58" s="300">
        <v>2014</v>
      </c>
      <c r="F58" s="210">
        <v>2014</v>
      </c>
      <c r="G58" s="210">
        <v>2014</v>
      </c>
      <c r="H58" s="210">
        <f t="shared" si="0"/>
        <v>0</v>
      </c>
      <c r="I58" s="203" t="s">
        <v>451</v>
      </c>
      <c r="J58" s="203" t="s">
        <v>452</v>
      </c>
      <c r="K58" s="203" t="s">
        <v>452</v>
      </c>
      <c r="L58" s="203" t="s">
        <v>451</v>
      </c>
      <c r="M58" s="203"/>
      <c r="N58" s="203"/>
      <c r="O58" s="203"/>
      <c r="P58" s="276"/>
      <c r="Q58" s="265"/>
      <c r="R58" s="265"/>
      <c r="S58" s="265"/>
      <c r="T58" s="265"/>
      <c r="U58" s="267"/>
    </row>
    <row r="59" spans="1:21" ht="18" customHeight="1">
      <c r="A59" s="204">
        <v>57</v>
      </c>
      <c r="B59" s="202" t="s">
        <v>953</v>
      </c>
      <c r="C59" s="202" t="s">
        <v>953</v>
      </c>
      <c r="D59" s="202" t="s">
        <v>93</v>
      </c>
      <c r="E59" s="300">
        <v>486</v>
      </c>
      <c r="F59" s="210">
        <v>486</v>
      </c>
      <c r="G59" s="210">
        <v>486</v>
      </c>
      <c r="H59" s="210">
        <f t="shared" si="0"/>
        <v>0</v>
      </c>
      <c r="I59" s="203" t="s">
        <v>451</v>
      </c>
      <c r="J59" s="203" t="s">
        <v>452</v>
      </c>
      <c r="K59" s="203" t="s">
        <v>452</v>
      </c>
      <c r="L59" s="203" t="s">
        <v>451</v>
      </c>
      <c r="M59" s="203"/>
      <c r="N59" s="203"/>
      <c r="O59" s="203"/>
      <c r="P59" s="276"/>
      <c r="Q59" s="265"/>
      <c r="R59" s="265"/>
      <c r="S59" s="265"/>
      <c r="T59" s="265"/>
      <c r="U59" s="267"/>
    </row>
    <row r="60" spans="1:21" ht="18" customHeight="1">
      <c r="A60" s="204">
        <v>58</v>
      </c>
      <c r="B60" s="202" t="s">
        <v>954</v>
      </c>
      <c r="C60" s="202" t="s">
        <v>954</v>
      </c>
      <c r="D60" s="202" t="s">
        <v>7</v>
      </c>
      <c r="E60" s="300">
        <v>764</v>
      </c>
      <c r="F60" s="210">
        <v>539</v>
      </c>
      <c r="G60" s="210">
        <v>539</v>
      </c>
      <c r="H60" s="210">
        <f t="shared" si="0"/>
        <v>0</v>
      </c>
      <c r="I60" s="203" t="s">
        <v>143</v>
      </c>
      <c r="J60" s="203" t="s">
        <v>452</v>
      </c>
      <c r="K60" s="203" t="s">
        <v>452</v>
      </c>
      <c r="L60" s="203" t="s">
        <v>451</v>
      </c>
      <c r="M60" s="203"/>
      <c r="N60" s="203"/>
      <c r="O60" s="203"/>
      <c r="P60" s="276"/>
      <c r="Q60" s="265"/>
      <c r="R60" s="265"/>
      <c r="S60" s="265"/>
      <c r="T60" s="265"/>
      <c r="U60" s="267"/>
    </row>
    <row r="61" spans="1:21" ht="18" customHeight="1">
      <c r="A61" s="204">
        <v>59</v>
      </c>
      <c r="B61" s="202" t="s">
        <v>955</v>
      </c>
      <c r="C61" s="202" t="s">
        <v>955</v>
      </c>
      <c r="D61" s="202" t="s">
        <v>93</v>
      </c>
      <c r="E61" s="300">
        <v>96</v>
      </c>
      <c r="F61" s="210">
        <v>96</v>
      </c>
      <c r="G61" s="210">
        <v>96</v>
      </c>
      <c r="H61" s="210">
        <f t="shared" si="0"/>
        <v>0</v>
      </c>
      <c r="I61" s="203" t="s">
        <v>451</v>
      </c>
      <c r="J61" s="203" t="s">
        <v>452</v>
      </c>
      <c r="K61" s="203" t="s">
        <v>452</v>
      </c>
      <c r="L61" s="203" t="s">
        <v>451</v>
      </c>
      <c r="M61" s="203"/>
      <c r="N61" s="203"/>
      <c r="O61" s="203"/>
      <c r="P61" s="276"/>
      <c r="Q61" s="265"/>
      <c r="R61" s="265"/>
      <c r="S61" s="265"/>
      <c r="T61" s="265"/>
      <c r="U61" s="267"/>
    </row>
    <row r="62" spans="1:21" ht="18" customHeight="1">
      <c r="A62" s="204">
        <v>60</v>
      </c>
      <c r="B62" s="202" t="s">
        <v>956</v>
      </c>
      <c r="C62" s="202" t="s">
        <v>956</v>
      </c>
      <c r="D62" s="202" t="s">
        <v>93</v>
      </c>
      <c r="E62" s="300">
        <v>86</v>
      </c>
      <c r="F62" s="210">
        <v>86</v>
      </c>
      <c r="G62" s="210">
        <v>86</v>
      </c>
      <c r="H62" s="210">
        <f t="shared" si="0"/>
        <v>0</v>
      </c>
      <c r="I62" s="203" t="s">
        <v>451</v>
      </c>
      <c r="J62" s="203" t="s">
        <v>452</v>
      </c>
      <c r="K62" s="203" t="s">
        <v>452</v>
      </c>
      <c r="L62" s="203" t="s">
        <v>451</v>
      </c>
      <c r="M62" s="203"/>
      <c r="N62" s="203"/>
      <c r="O62" s="203"/>
      <c r="P62" s="276"/>
      <c r="Q62" s="265"/>
      <c r="R62" s="265"/>
      <c r="S62" s="265"/>
      <c r="T62" s="265"/>
      <c r="U62" s="267"/>
    </row>
    <row r="63" spans="1:21" ht="18" customHeight="1">
      <c r="A63" s="204">
        <v>61</v>
      </c>
      <c r="B63" s="202" t="s">
        <v>957</v>
      </c>
      <c r="C63" s="202" t="s">
        <v>957</v>
      </c>
      <c r="D63" s="202" t="s">
        <v>7</v>
      </c>
      <c r="E63" s="300">
        <v>343</v>
      </c>
      <c r="F63" s="210">
        <v>258</v>
      </c>
      <c r="G63" s="210">
        <v>258</v>
      </c>
      <c r="H63" s="210">
        <f t="shared" si="0"/>
        <v>0</v>
      </c>
      <c r="I63" s="203" t="s">
        <v>451</v>
      </c>
      <c r="J63" s="203" t="s">
        <v>452</v>
      </c>
      <c r="K63" s="203" t="s">
        <v>452</v>
      </c>
      <c r="L63" s="203" t="s">
        <v>451</v>
      </c>
      <c r="M63" s="203"/>
      <c r="N63" s="203"/>
      <c r="O63" s="203"/>
      <c r="P63" s="276"/>
      <c r="Q63" s="265"/>
      <c r="R63" s="265"/>
      <c r="S63" s="265"/>
      <c r="T63" s="265"/>
      <c r="U63" s="267"/>
    </row>
    <row r="64" spans="1:21" ht="18" customHeight="1">
      <c r="A64" s="204">
        <v>62</v>
      </c>
      <c r="B64" s="202" t="s">
        <v>958</v>
      </c>
      <c r="C64" s="202" t="s">
        <v>958</v>
      </c>
      <c r="D64" s="202" t="s">
        <v>459</v>
      </c>
      <c r="E64" s="300">
        <v>8</v>
      </c>
      <c r="F64" s="210">
        <v>8</v>
      </c>
      <c r="G64" s="210">
        <v>8</v>
      </c>
      <c r="H64" s="210">
        <f t="shared" si="0"/>
        <v>0</v>
      </c>
      <c r="I64" s="203" t="s">
        <v>451</v>
      </c>
      <c r="J64" s="203" t="s">
        <v>452</v>
      </c>
      <c r="K64" s="203" t="s">
        <v>452</v>
      </c>
      <c r="L64" s="203" t="s">
        <v>451</v>
      </c>
      <c r="M64" s="203"/>
      <c r="N64" s="203"/>
      <c r="O64" s="203"/>
      <c r="P64" s="276"/>
      <c r="Q64" s="265"/>
      <c r="R64" s="265"/>
      <c r="S64" s="265"/>
      <c r="T64" s="265"/>
      <c r="U64" s="267"/>
    </row>
    <row r="65" spans="1:21" ht="18" customHeight="1">
      <c r="A65" s="204">
        <v>63</v>
      </c>
      <c r="B65" s="202" t="s">
        <v>959</v>
      </c>
      <c r="C65" s="202" t="s">
        <v>959</v>
      </c>
      <c r="D65" s="202" t="s">
        <v>7</v>
      </c>
      <c r="E65" s="300">
        <v>476</v>
      </c>
      <c r="F65" s="210">
        <v>244</v>
      </c>
      <c r="G65" s="210">
        <v>244</v>
      </c>
      <c r="H65" s="210">
        <f t="shared" si="0"/>
        <v>0</v>
      </c>
      <c r="I65" s="203" t="s">
        <v>451</v>
      </c>
      <c r="J65" s="203" t="s">
        <v>452</v>
      </c>
      <c r="K65" s="203" t="s">
        <v>452</v>
      </c>
      <c r="L65" s="203" t="s">
        <v>451</v>
      </c>
      <c r="M65" s="203"/>
      <c r="N65" s="203"/>
      <c r="O65" s="203"/>
      <c r="P65" s="276"/>
      <c r="Q65" s="265"/>
      <c r="R65" s="265"/>
      <c r="S65" s="265"/>
      <c r="T65" s="265"/>
      <c r="U65" s="267"/>
    </row>
    <row r="66" spans="1:21" ht="18" customHeight="1">
      <c r="A66" s="204">
        <v>64</v>
      </c>
      <c r="B66" s="202" t="s">
        <v>960</v>
      </c>
      <c r="C66" s="202" t="s">
        <v>960</v>
      </c>
      <c r="D66" s="202" t="s">
        <v>7</v>
      </c>
      <c r="E66" s="300">
        <v>726</v>
      </c>
      <c r="F66" s="210">
        <v>726</v>
      </c>
      <c r="G66" s="210">
        <v>726</v>
      </c>
      <c r="H66" s="210">
        <f t="shared" si="0"/>
        <v>0</v>
      </c>
      <c r="I66" s="203" t="s">
        <v>451</v>
      </c>
      <c r="J66" s="203" t="s">
        <v>452</v>
      </c>
      <c r="K66" s="203" t="s">
        <v>452</v>
      </c>
      <c r="L66" s="203" t="s">
        <v>451</v>
      </c>
      <c r="M66" s="203"/>
      <c r="N66" s="203"/>
      <c r="O66" s="203"/>
      <c r="P66" s="276"/>
      <c r="Q66" s="265"/>
      <c r="R66" s="265"/>
      <c r="S66" s="265"/>
      <c r="T66" s="265"/>
      <c r="U66" s="267"/>
    </row>
    <row r="67" spans="1:21" ht="18" customHeight="1">
      <c r="A67" s="204">
        <v>65</v>
      </c>
      <c r="B67" s="202" t="s">
        <v>961</v>
      </c>
      <c r="C67" s="202" t="s">
        <v>961</v>
      </c>
      <c r="D67" s="202" t="s">
        <v>7</v>
      </c>
      <c r="E67" s="300">
        <v>274</v>
      </c>
      <c r="F67" s="210">
        <v>119</v>
      </c>
      <c r="G67" s="210">
        <v>119</v>
      </c>
      <c r="H67" s="210">
        <f t="shared" si="0"/>
        <v>0</v>
      </c>
      <c r="I67" s="203" t="s">
        <v>451</v>
      </c>
      <c r="J67" s="203" t="s">
        <v>452</v>
      </c>
      <c r="K67" s="203" t="s">
        <v>452</v>
      </c>
      <c r="L67" s="203" t="s">
        <v>451</v>
      </c>
      <c r="M67" s="203"/>
      <c r="N67" s="203"/>
      <c r="O67" s="203"/>
      <c r="P67" s="276"/>
      <c r="Q67" s="265"/>
      <c r="R67" s="265"/>
      <c r="S67" s="265"/>
      <c r="T67" s="265"/>
      <c r="U67" s="267"/>
    </row>
    <row r="68" spans="1:21" ht="18" customHeight="1">
      <c r="A68" s="204">
        <v>66</v>
      </c>
      <c r="B68" s="202" t="s">
        <v>962</v>
      </c>
      <c r="C68" s="202" t="s">
        <v>962</v>
      </c>
      <c r="D68" s="202" t="s">
        <v>93</v>
      </c>
      <c r="E68" s="300">
        <v>1122</v>
      </c>
      <c r="F68" s="210">
        <v>1122</v>
      </c>
      <c r="G68" s="210">
        <v>1122</v>
      </c>
      <c r="H68" s="210">
        <f t="shared" si="0"/>
        <v>0</v>
      </c>
      <c r="I68" s="203" t="s">
        <v>451</v>
      </c>
      <c r="J68" s="203" t="s">
        <v>452</v>
      </c>
      <c r="K68" s="203" t="s">
        <v>452</v>
      </c>
      <c r="L68" s="203" t="s">
        <v>451</v>
      </c>
      <c r="M68" s="203"/>
      <c r="N68" s="203"/>
      <c r="O68" s="203"/>
      <c r="P68" s="276"/>
      <c r="Q68" s="265"/>
      <c r="R68" s="265"/>
      <c r="S68" s="265"/>
      <c r="T68" s="265"/>
      <c r="U68" s="267"/>
    </row>
    <row r="69" spans="1:21" ht="18" customHeight="1">
      <c r="A69" s="204">
        <v>67</v>
      </c>
      <c r="B69" s="202" t="s">
        <v>963</v>
      </c>
      <c r="C69" s="202" t="s">
        <v>963</v>
      </c>
      <c r="D69" s="202" t="s">
        <v>93</v>
      </c>
      <c r="E69" s="300">
        <v>1044</v>
      </c>
      <c r="F69" s="210">
        <v>1044</v>
      </c>
      <c r="G69" s="210">
        <v>1044</v>
      </c>
      <c r="H69" s="210">
        <f t="shared" si="0"/>
        <v>0</v>
      </c>
      <c r="I69" s="203" t="s">
        <v>143</v>
      </c>
      <c r="J69" s="203" t="s">
        <v>452</v>
      </c>
      <c r="K69" s="203" t="s">
        <v>452</v>
      </c>
      <c r="L69" s="203" t="s">
        <v>451</v>
      </c>
      <c r="M69" s="203"/>
      <c r="N69" s="203"/>
      <c r="O69" s="203"/>
      <c r="P69" s="276"/>
      <c r="Q69" s="265"/>
      <c r="R69" s="265"/>
      <c r="S69" s="265"/>
      <c r="T69" s="265"/>
      <c r="U69" s="267"/>
    </row>
    <row r="70" spans="1:21" ht="18" customHeight="1">
      <c r="A70" s="204">
        <v>68</v>
      </c>
      <c r="B70" s="202" t="s">
        <v>964</v>
      </c>
      <c r="C70" s="202" t="s">
        <v>964</v>
      </c>
      <c r="D70" s="202" t="s">
        <v>462</v>
      </c>
      <c r="E70" s="300">
        <v>841.3</v>
      </c>
      <c r="F70" s="210">
        <v>841.3</v>
      </c>
      <c r="G70" s="210">
        <v>841.3</v>
      </c>
      <c r="H70" s="210">
        <f t="shared" ref="H70:H133" si="1">G70-F70</f>
        <v>0</v>
      </c>
      <c r="I70" s="203" t="s">
        <v>433</v>
      </c>
      <c r="J70" s="203" t="s">
        <v>712</v>
      </c>
      <c r="K70" s="203" t="s">
        <v>712</v>
      </c>
      <c r="L70" s="203" t="s">
        <v>511</v>
      </c>
      <c r="M70" s="203"/>
      <c r="N70" s="203"/>
      <c r="O70" s="203"/>
      <c r="P70" s="276"/>
      <c r="Q70" s="265"/>
      <c r="R70" s="265"/>
      <c r="S70" s="265"/>
      <c r="T70" s="265"/>
      <c r="U70" s="267"/>
    </row>
    <row r="71" spans="1:21" ht="18" customHeight="1">
      <c r="A71" s="204">
        <v>69</v>
      </c>
      <c r="B71" s="202" t="s">
        <v>965</v>
      </c>
      <c r="C71" s="202" t="s">
        <v>965</v>
      </c>
      <c r="D71" s="202" t="s">
        <v>7</v>
      </c>
      <c r="E71" s="300">
        <v>317</v>
      </c>
      <c r="F71" s="210">
        <v>317</v>
      </c>
      <c r="G71" s="210">
        <v>317</v>
      </c>
      <c r="H71" s="210">
        <f t="shared" si="1"/>
        <v>0</v>
      </c>
      <c r="I71" s="203" t="s">
        <v>143</v>
      </c>
      <c r="J71" s="203" t="s">
        <v>452</v>
      </c>
      <c r="K71" s="203" t="s">
        <v>452</v>
      </c>
      <c r="L71" s="203" t="s">
        <v>451</v>
      </c>
      <c r="M71" s="203"/>
      <c r="N71" s="203"/>
      <c r="O71" s="203"/>
      <c r="P71" s="276"/>
      <c r="Q71" s="265"/>
      <c r="R71" s="265"/>
      <c r="S71" s="265"/>
      <c r="T71" s="265"/>
      <c r="U71" s="267"/>
    </row>
    <row r="72" spans="1:21" ht="18" customHeight="1">
      <c r="A72" s="204">
        <v>70</v>
      </c>
      <c r="B72" s="202" t="s">
        <v>966</v>
      </c>
      <c r="C72" s="202" t="s">
        <v>966</v>
      </c>
      <c r="D72" s="202" t="s">
        <v>93</v>
      </c>
      <c r="E72" s="300">
        <v>257</v>
      </c>
      <c r="F72" s="210">
        <v>257</v>
      </c>
      <c r="G72" s="210">
        <v>257</v>
      </c>
      <c r="H72" s="210">
        <f t="shared" si="1"/>
        <v>0</v>
      </c>
      <c r="I72" s="203" t="s">
        <v>451</v>
      </c>
      <c r="J72" s="203" t="s">
        <v>452</v>
      </c>
      <c r="K72" s="203" t="s">
        <v>452</v>
      </c>
      <c r="L72" s="203" t="s">
        <v>451</v>
      </c>
      <c r="M72" s="203"/>
      <c r="N72" s="203"/>
      <c r="O72" s="203"/>
      <c r="P72" s="276"/>
      <c r="Q72" s="265"/>
      <c r="R72" s="265"/>
      <c r="S72" s="265"/>
      <c r="T72" s="265"/>
      <c r="U72" s="267"/>
    </row>
    <row r="73" spans="1:21" ht="18" customHeight="1">
      <c r="A73" s="204">
        <v>71</v>
      </c>
      <c r="B73" s="202" t="s">
        <v>967</v>
      </c>
      <c r="C73" s="202" t="s">
        <v>967</v>
      </c>
      <c r="D73" s="202" t="s">
        <v>93</v>
      </c>
      <c r="E73" s="300">
        <v>39</v>
      </c>
      <c r="F73" s="210">
        <v>39</v>
      </c>
      <c r="G73" s="210">
        <v>39</v>
      </c>
      <c r="H73" s="210">
        <f t="shared" si="1"/>
        <v>0</v>
      </c>
      <c r="I73" s="203" t="s">
        <v>451</v>
      </c>
      <c r="J73" s="203" t="s">
        <v>452</v>
      </c>
      <c r="K73" s="203" t="s">
        <v>452</v>
      </c>
      <c r="L73" s="203" t="s">
        <v>451</v>
      </c>
      <c r="M73" s="203"/>
      <c r="N73" s="203"/>
      <c r="O73" s="203"/>
      <c r="P73" s="276"/>
      <c r="Q73" s="265"/>
      <c r="R73" s="265"/>
      <c r="S73" s="265"/>
      <c r="T73" s="265"/>
      <c r="U73" s="267"/>
    </row>
    <row r="74" spans="1:21" ht="18" customHeight="1">
      <c r="A74" s="204">
        <v>72</v>
      </c>
      <c r="B74" s="202" t="s">
        <v>968</v>
      </c>
      <c r="C74" s="202" t="s">
        <v>968</v>
      </c>
      <c r="D74" s="202" t="s">
        <v>459</v>
      </c>
      <c r="E74" s="300">
        <v>77</v>
      </c>
      <c r="F74" s="210">
        <v>77</v>
      </c>
      <c r="G74" s="210">
        <v>77</v>
      </c>
      <c r="H74" s="210">
        <f t="shared" si="1"/>
        <v>0</v>
      </c>
      <c r="I74" s="203" t="s">
        <v>432</v>
      </c>
      <c r="J74" s="203" t="s">
        <v>452</v>
      </c>
      <c r="K74" s="203" t="s">
        <v>452</v>
      </c>
      <c r="L74" s="203" t="s">
        <v>451</v>
      </c>
      <c r="M74" s="203"/>
      <c r="N74" s="203"/>
      <c r="O74" s="203"/>
      <c r="P74" s="276"/>
      <c r="Q74" s="265"/>
      <c r="R74" s="265"/>
      <c r="S74" s="265"/>
      <c r="T74" s="265"/>
      <c r="U74" s="267"/>
    </row>
    <row r="75" spans="1:21" ht="18" customHeight="1">
      <c r="A75" s="204">
        <v>73</v>
      </c>
      <c r="B75" s="202" t="s">
        <v>969</v>
      </c>
      <c r="C75" s="202" t="s">
        <v>969</v>
      </c>
      <c r="D75" s="202" t="s">
        <v>459</v>
      </c>
      <c r="E75" s="300">
        <v>72</v>
      </c>
      <c r="F75" s="210">
        <v>72</v>
      </c>
      <c r="G75" s="210">
        <v>72</v>
      </c>
      <c r="H75" s="210">
        <f t="shared" si="1"/>
        <v>0</v>
      </c>
      <c r="I75" s="203" t="s">
        <v>451</v>
      </c>
      <c r="J75" s="203" t="s">
        <v>452</v>
      </c>
      <c r="K75" s="203" t="s">
        <v>452</v>
      </c>
      <c r="L75" s="203" t="s">
        <v>451</v>
      </c>
      <c r="M75" s="203"/>
      <c r="N75" s="203"/>
      <c r="O75" s="203"/>
      <c r="P75" s="276"/>
      <c r="Q75" s="265"/>
      <c r="R75" s="265"/>
      <c r="S75" s="265"/>
      <c r="T75" s="265"/>
      <c r="U75" s="267"/>
    </row>
    <row r="76" spans="1:21" ht="18" customHeight="1">
      <c r="A76" s="204">
        <v>74</v>
      </c>
      <c r="B76" s="202" t="s">
        <v>970</v>
      </c>
      <c r="C76" s="202" t="s">
        <v>970</v>
      </c>
      <c r="D76" s="202" t="s">
        <v>7</v>
      </c>
      <c r="E76" s="300">
        <v>218</v>
      </c>
      <c r="F76" s="210">
        <v>218</v>
      </c>
      <c r="G76" s="210">
        <v>218</v>
      </c>
      <c r="H76" s="210">
        <f t="shared" si="1"/>
        <v>0</v>
      </c>
      <c r="I76" s="203" t="s">
        <v>451</v>
      </c>
      <c r="J76" s="203" t="s">
        <v>452</v>
      </c>
      <c r="K76" s="203" t="s">
        <v>452</v>
      </c>
      <c r="L76" s="203" t="s">
        <v>451</v>
      </c>
      <c r="M76" s="203"/>
      <c r="N76" s="203"/>
      <c r="O76" s="203"/>
      <c r="P76" s="276"/>
      <c r="Q76" s="265"/>
      <c r="R76" s="265"/>
      <c r="S76" s="265"/>
      <c r="T76" s="265"/>
      <c r="U76" s="267"/>
    </row>
    <row r="77" spans="1:21" ht="18" customHeight="1">
      <c r="A77" s="204">
        <v>75</v>
      </c>
      <c r="B77" s="202" t="s">
        <v>971</v>
      </c>
      <c r="C77" s="202" t="s">
        <v>971</v>
      </c>
      <c r="D77" s="202" t="s">
        <v>7</v>
      </c>
      <c r="E77" s="300">
        <v>132</v>
      </c>
      <c r="F77" s="210">
        <v>132</v>
      </c>
      <c r="G77" s="210">
        <v>132</v>
      </c>
      <c r="H77" s="210">
        <f t="shared" si="1"/>
        <v>0</v>
      </c>
      <c r="I77" s="203" t="s">
        <v>0</v>
      </c>
      <c r="J77" s="203" t="s">
        <v>452</v>
      </c>
      <c r="K77" s="203" t="s">
        <v>452</v>
      </c>
      <c r="L77" s="203" t="s">
        <v>451</v>
      </c>
      <c r="M77" s="203"/>
      <c r="N77" s="203"/>
      <c r="O77" s="203"/>
      <c r="P77" s="276"/>
      <c r="Q77" s="265"/>
      <c r="R77" s="265"/>
      <c r="S77" s="265"/>
      <c r="T77" s="265"/>
      <c r="U77" s="267"/>
    </row>
    <row r="78" spans="1:21" ht="18" customHeight="1">
      <c r="A78" s="204">
        <v>76</v>
      </c>
      <c r="B78" s="202" t="s">
        <v>972</v>
      </c>
      <c r="C78" s="202" t="s">
        <v>972</v>
      </c>
      <c r="D78" s="202" t="s">
        <v>462</v>
      </c>
      <c r="E78" s="300">
        <v>811.2</v>
      </c>
      <c r="F78" s="210">
        <v>811.2</v>
      </c>
      <c r="G78" s="210">
        <v>811.2</v>
      </c>
      <c r="H78" s="210">
        <f t="shared" si="1"/>
        <v>0</v>
      </c>
      <c r="I78" s="203" t="s">
        <v>433</v>
      </c>
      <c r="J78" s="203" t="s">
        <v>712</v>
      </c>
      <c r="K78" s="203" t="s">
        <v>712</v>
      </c>
      <c r="L78" s="203" t="s">
        <v>511</v>
      </c>
      <c r="M78" s="203"/>
      <c r="N78" s="203"/>
      <c r="O78" s="203"/>
      <c r="P78" s="276"/>
      <c r="Q78" s="265"/>
      <c r="R78" s="265"/>
      <c r="S78" s="265"/>
      <c r="T78" s="265"/>
      <c r="U78" s="267"/>
    </row>
    <row r="79" spans="1:21" ht="18" customHeight="1">
      <c r="A79" s="204">
        <v>77</v>
      </c>
      <c r="B79" s="202" t="s">
        <v>973</v>
      </c>
      <c r="C79" s="202" t="s">
        <v>973</v>
      </c>
      <c r="D79" s="202" t="s">
        <v>8</v>
      </c>
      <c r="E79" s="300">
        <v>68.7</v>
      </c>
      <c r="F79" s="210">
        <v>68.7</v>
      </c>
      <c r="G79" s="210">
        <v>68.7</v>
      </c>
      <c r="H79" s="210">
        <f t="shared" si="1"/>
        <v>0</v>
      </c>
      <c r="I79" s="203" t="s">
        <v>451</v>
      </c>
      <c r="J79" s="203" t="s">
        <v>452</v>
      </c>
      <c r="K79" s="203" t="s">
        <v>452</v>
      </c>
      <c r="L79" s="203" t="s">
        <v>451</v>
      </c>
      <c r="M79" s="203"/>
      <c r="N79" s="203"/>
      <c r="O79" s="203"/>
      <c r="P79" s="276"/>
      <c r="Q79" s="265"/>
      <c r="R79" s="265"/>
      <c r="S79" s="265"/>
      <c r="T79" s="265"/>
      <c r="U79" s="267"/>
    </row>
    <row r="80" spans="1:21" ht="18" customHeight="1">
      <c r="A80" s="204">
        <v>78</v>
      </c>
      <c r="B80" s="202" t="s">
        <v>974</v>
      </c>
      <c r="C80" s="202" t="s">
        <v>974</v>
      </c>
      <c r="D80" s="202" t="s">
        <v>8</v>
      </c>
      <c r="E80" s="300">
        <v>1825.5</v>
      </c>
      <c r="F80" s="210">
        <v>1825.5</v>
      </c>
      <c r="G80" s="210">
        <v>1825.5</v>
      </c>
      <c r="H80" s="210">
        <f t="shared" si="1"/>
        <v>0</v>
      </c>
      <c r="I80" s="203" t="s">
        <v>451</v>
      </c>
      <c r="J80" s="203" t="s">
        <v>452</v>
      </c>
      <c r="K80" s="203" t="s">
        <v>452</v>
      </c>
      <c r="L80" s="203" t="s">
        <v>451</v>
      </c>
      <c r="M80" s="203"/>
      <c r="N80" s="203"/>
      <c r="O80" s="203"/>
      <c r="P80" s="276"/>
      <c r="Q80" s="265"/>
      <c r="R80" s="265"/>
      <c r="S80" s="265"/>
      <c r="T80" s="265"/>
      <c r="U80" s="267"/>
    </row>
    <row r="81" spans="1:21" ht="18" customHeight="1">
      <c r="A81" s="204">
        <v>79</v>
      </c>
      <c r="B81" s="202" t="s">
        <v>975</v>
      </c>
      <c r="C81" s="202" t="s">
        <v>975</v>
      </c>
      <c r="D81" s="202" t="s">
        <v>455</v>
      </c>
      <c r="E81" s="300">
        <v>216.7</v>
      </c>
      <c r="F81" s="210">
        <v>216.7</v>
      </c>
      <c r="G81" s="210">
        <v>216.7</v>
      </c>
      <c r="H81" s="210">
        <f t="shared" si="1"/>
        <v>0</v>
      </c>
      <c r="I81" s="203" t="s">
        <v>86</v>
      </c>
      <c r="J81" s="203" t="s">
        <v>712</v>
      </c>
      <c r="K81" s="203" t="s">
        <v>712</v>
      </c>
      <c r="L81" s="203" t="s">
        <v>511</v>
      </c>
      <c r="M81" s="203"/>
      <c r="N81" s="203"/>
      <c r="O81" s="203"/>
      <c r="P81" s="276"/>
      <c r="Q81" s="265"/>
      <c r="R81" s="265"/>
      <c r="S81" s="265"/>
      <c r="T81" s="265"/>
      <c r="U81" s="267"/>
    </row>
    <row r="82" spans="1:21" ht="18" customHeight="1">
      <c r="A82" s="204">
        <v>80</v>
      </c>
      <c r="B82" s="202" t="s">
        <v>976</v>
      </c>
      <c r="C82" s="202" t="s">
        <v>976</v>
      </c>
      <c r="D82" s="202" t="s">
        <v>462</v>
      </c>
      <c r="E82" s="300">
        <v>182.8</v>
      </c>
      <c r="F82" s="210">
        <v>182.8</v>
      </c>
      <c r="G82" s="210">
        <v>182.8</v>
      </c>
      <c r="H82" s="210">
        <f t="shared" si="1"/>
        <v>0</v>
      </c>
      <c r="I82" s="203" t="s">
        <v>433</v>
      </c>
      <c r="J82" s="203" t="s">
        <v>712</v>
      </c>
      <c r="K82" s="203" t="s">
        <v>712</v>
      </c>
      <c r="L82" s="203" t="s">
        <v>511</v>
      </c>
      <c r="M82" s="203"/>
      <c r="N82" s="203"/>
      <c r="O82" s="203"/>
      <c r="P82" s="276"/>
      <c r="Q82" s="265"/>
      <c r="R82" s="265"/>
      <c r="S82" s="265"/>
      <c r="T82" s="265"/>
      <c r="U82" s="267"/>
    </row>
    <row r="83" spans="1:21" ht="18" customHeight="1">
      <c r="A83" s="204">
        <v>81</v>
      </c>
      <c r="B83" s="202" t="s">
        <v>977</v>
      </c>
      <c r="C83" s="202" t="s">
        <v>977</v>
      </c>
      <c r="D83" s="202" t="s">
        <v>7</v>
      </c>
      <c r="E83" s="300">
        <v>75</v>
      </c>
      <c r="F83" s="210">
        <v>75</v>
      </c>
      <c r="G83" s="210">
        <v>75</v>
      </c>
      <c r="H83" s="210">
        <f t="shared" si="1"/>
        <v>0</v>
      </c>
      <c r="I83" s="203" t="s">
        <v>451</v>
      </c>
      <c r="J83" s="203" t="s">
        <v>452</v>
      </c>
      <c r="K83" s="203" t="s">
        <v>452</v>
      </c>
      <c r="L83" s="203" t="s">
        <v>451</v>
      </c>
      <c r="M83" s="203"/>
      <c r="N83" s="203"/>
      <c r="O83" s="203"/>
      <c r="P83" s="276"/>
      <c r="Q83" s="265"/>
      <c r="R83" s="265"/>
      <c r="S83" s="265"/>
      <c r="T83" s="265"/>
      <c r="U83" s="267"/>
    </row>
    <row r="84" spans="1:21" ht="18" customHeight="1">
      <c r="A84" s="204">
        <v>82</v>
      </c>
      <c r="B84" s="202" t="s">
        <v>978</v>
      </c>
      <c r="C84" s="202" t="s">
        <v>978</v>
      </c>
      <c r="D84" s="202" t="s">
        <v>8</v>
      </c>
      <c r="E84" s="300">
        <v>47</v>
      </c>
      <c r="F84" s="210">
        <v>47</v>
      </c>
      <c r="G84" s="210">
        <v>47</v>
      </c>
      <c r="H84" s="210">
        <f t="shared" si="1"/>
        <v>0</v>
      </c>
      <c r="I84" s="203" t="s">
        <v>432</v>
      </c>
      <c r="J84" s="203" t="s">
        <v>452</v>
      </c>
      <c r="K84" s="203" t="s">
        <v>452</v>
      </c>
      <c r="L84" s="203" t="s">
        <v>451</v>
      </c>
      <c r="M84" s="203"/>
      <c r="N84" s="203"/>
      <c r="O84" s="203"/>
      <c r="P84" s="276"/>
      <c r="Q84" s="265"/>
      <c r="R84" s="265"/>
      <c r="S84" s="265"/>
      <c r="T84" s="265"/>
      <c r="U84" s="267"/>
    </row>
    <row r="85" spans="1:21" ht="18" customHeight="1">
      <c r="A85" s="204">
        <v>83</v>
      </c>
      <c r="B85" s="202" t="s">
        <v>979</v>
      </c>
      <c r="C85" s="202" t="s">
        <v>979</v>
      </c>
      <c r="D85" s="202" t="s">
        <v>7</v>
      </c>
      <c r="E85" s="300">
        <v>309</v>
      </c>
      <c r="F85" s="210">
        <v>273</v>
      </c>
      <c r="G85" s="210">
        <v>273</v>
      </c>
      <c r="H85" s="210">
        <f t="shared" si="1"/>
        <v>0</v>
      </c>
      <c r="I85" s="203" t="s">
        <v>432</v>
      </c>
      <c r="J85" s="203" t="s">
        <v>452</v>
      </c>
      <c r="K85" s="203" t="s">
        <v>452</v>
      </c>
      <c r="L85" s="203" t="s">
        <v>451</v>
      </c>
      <c r="M85" s="203"/>
      <c r="N85" s="203"/>
      <c r="O85" s="203"/>
      <c r="P85" s="276"/>
      <c r="Q85" s="265"/>
      <c r="R85" s="265"/>
      <c r="S85" s="265"/>
      <c r="T85" s="265"/>
      <c r="U85" s="267"/>
    </row>
    <row r="86" spans="1:21" ht="18" customHeight="1">
      <c r="A86" s="204">
        <v>84</v>
      </c>
      <c r="B86" s="202" t="s">
        <v>980</v>
      </c>
      <c r="C86" s="202" t="s">
        <v>980</v>
      </c>
      <c r="D86" s="202" t="s">
        <v>459</v>
      </c>
      <c r="E86" s="300">
        <v>107</v>
      </c>
      <c r="F86" s="210">
        <v>107</v>
      </c>
      <c r="G86" s="210">
        <v>107</v>
      </c>
      <c r="H86" s="210">
        <f t="shared" si="1"/>
        <v>0</v>
      </c>
      <c r="I86" s="203" t="s">
        <v>451</v>
      </c>
      <c r="J86" s="203" t="s">
        <v>452</v>
      </c>
      <c r="K86" s="203" t="s">
        <v>452</v>
      </c>
      <c r="L86" s="203" t="s">
        <v>451</v>
      </c>
      <c r="M86" s="203"/>
      <c r="N86" s="203"/>
      <c r="O86" s="203"/>
      <c r="P86" s="276"/>
      <c r="Q86" s="265"/>
      <c r="R86" s="265"/>
      <c r="S86" s="265"/>
      <c r="T86" s="265"/>
      <c r="U86" s="267"/>
    </row>
    <row r="87" spans="1:21" ht="18" customHeight="1">
      <c r="A87" s="204">
        <v>85</v>
      </c>
      <c r="B87" s="202" t="s">
        <v>981</v>
      </c>
      <c r="C87" s="202" t="s">
        <v>981</v>
      </c>
      <c r="D87" s="202" t="s">
        <v>8</v>
      </c>
      <c r="E87" s="300">
        <v>7</v>
      </c>
      <c r="F87" s="210">
        <v>7</v>
      </c>
      <c r="G87" s="210">
        <v>7</v>
      </c>
      <c r="H87" s="210">
        <f t="shared" si="1"/>
        <v>0</v>
      </c>
      <c r="I87" s="203" t="s">
        <v>432</v>
      </c>
      <c r="J87" s="203" t="s">
        <v>452</v>
      </c>
      <c r="K87" s="203" t="s">
        <v>452</v>
      </c>
      <c r="L87" s="203" t="s">
        <v>451</v>
      </c>
      <c r="M87" s="203"/>
      <c r="N87" s="203"/>
      <c r="O87" s="203"/>
      <c r="P87" s="276"/>
      <c r="Q87" s="265"/>
      <c r="R87" s="265"/>
      <c r="S87" s="265"/>
      <c r="T87" s="265"/>
      <c r="U87" s="267"/>
    </row>
    <row r="88" spans="1:21" ht="18" customHeight="1">
      <c r="A88" s="204">
        <v>86</v>
      </c>
      <c r="B88" s="202" t="s">
        <v>982</v>
      </c>
      <c r="C88" s="202" t="s">
        <v>982</v>
      </c>
      <c r="D88" s="202" t="s">
        <v>8</v>
      </c>
      <c r="E88" s="300">
        <v>131</v>
      </c>
      <c r="F88" s="210">
        <v>131</v>
      </c>
      <c r="G88" s="210">
        <v>131</v>
      </c>
      <c r="H88" s="210">
        <f t="shared" si="1"/>
        <v>0</v>
      </c>
      <c r="I88" s="203" t="s">
        <v>143</v>
      </c>
      <c r="J88" s="203" t="s">
        <v>452</v>
      </c>
      <c r="K88" s="203" t="s">
        <v>452</v>
      </c>
      <c r="L88" s="203" t="s">
        <v>451</v>
      </c>
      <c r="M88" s="203"/>
      <c r="N88" s="203"/>
      <c r="O88" s="203"/>
      <c r="P88" s="276"/>
      <c r="Q88" s="265"/>
      <c r="R88" s="265"/>
      <c r="S88" s="265"/>
      <c r="T88" s="265"/>
      <c r="U88" s="267"/>
    </row>
    <row r="89" spans="1:21" ht="18" customHeight="1">
      <c r="A89" s="204">
        <v>87</v>
      </c>
      <c r="B89" s="202" t="s">
        <v>983</v>
      </c>
      <c r="C89" s="202" t="s">
        <v>983</v>
      </c>
      <c r="D89" s="202" t="s">
        <v>462</v>
      </c>
      <c r="E89" s="300">
        <v>1858</v>
      </c>
      <c r="F89" s="210">
        <v>372</v>
      </c>
      <c r="G89" s="210">
        <v>372</v>
      </c>
      <c r="H89" s="210">
        <f t="shared" si="1"/>
        <v>0</v>
      </c>
      <c r="I89" s="203" t="s">
        <v>433</v>
      </c>
      <c r="J89" s="203" t="s">
        <v>712</v>
      </c>
      <c r="K89" s="203" t="s">
        <v>712</v>
      </c>
      <c r="L89" s="203" t="s">
        <v>511</v>
      </c>
      <c r="M89" s="203"/>
      <c r="N89" s="203"/>
      <c r="O89" s="203"/>
      <c r="P89" s="276"/>
      <c r="Q89" s="265"/>
      <c r="R89" s="265"/>
      <c r="S89" s="265"/>
      <c r="T89" s="265"/>
      <c r="U89" s="267"/>
    </row>
    <row r="90" spans="1:21" ht="18" customHeight="1">
      <c r="A90" s="204">
        <v>88</v>
      </c>
      <c r="B90" s="202" t="s">
        <v>984</v>
      </c>
      <c r="C90" s="202" t="s">
        <v>984</v>
      </c>
      <c r="D90" s="202" t="s">
        <v>8</v>
      </c>
      <c r="E90" s="300">
        <v>1038</v>
      </c>
      <c r="F90" s="210">
        <v>1038</v>
      </c>
      <c r="G90" s="210">
        <v>1038</v>
      </c>
      <c r="H90" s="210">
        <f t="shared" si="1"/>
        <v>0</v>
      </c>
      <c r="I90" s="203" t="s">
        <v>143</v>
      </c>
      <c r="J90" s="203" t="s">
        <v>452</v>
      </c>
      <c r="K90" s="203" t="s">
        <v>452</v>
      </c>
      <c r="L90" s="203" t="s">
        <v>451</v>
      </c>
      <c r="M90" s="203"/>
      <c r="N90" s="203"/>
      <c r="O90" s="203"/>
      <c r="P90" s="276"/>
      <c r="Q90" s="265"/>
      <c r="R90" s="265"/>
      <c r="S90" s="265"/>
      <c r="T90" s="265"/>
      <c r="U90" s="267"/>
    </row>
    <row r="91" spans="1:21" ht="18" customHeight="1">
      <c r="A91" s="204">
        <v>89</v>
      </c>
      <c r="B91" s="202" t="s">
        <v>985</v>
      </c>
      <c r="C91" s="202" t="s">
        <v>985</v>
      </c>
      <c r="D91" s="202" t="s">
        <v>455</v>
      </c>
      <c r="E91" s="300">
        <v>4069.5</v>
      </c>
      <c r="F91" s="210">
        <v>456</v>
      </c>
      <c r="G91" s="210">
        <v>456</v>
      </c>
      <c r="H91" s="210">
        <f t="shared" si="1"/>
        <v>0</v>
      </c>
      <c r="I91" s="203" t="s">
        <v>433</v>
      </c>
      <c r="J91" s="203" t="s">
        <v>712</v>
      </c>
      <c r="K91" s="203" t="s">
        <v>712</v>
      </c>
      <c r="L91" s="203" t="s">
        <v>511</v>
      </c>
      <c r="M91" s="203"/>
      <c r="N91" s="203"/>
      <c r="O91" s="203"/>
      <c r="P91" s="276"/>
      <c r="Q91" s="265"/>
      <c r="R91" s="265"/>
      <c r="S91" s="265"/>
      <c r="T91" s="265"/>
      <c r="U91" s="267"/>
    </row>
    <row r="92" spans="1:21" ht="18" customHeight="1">
      <c r="A92" s="204">
        <v>90</v>
      </c>
      <c r="B92" s="202" t="s">
        <v>986</v>
      </c>
      <c r="C92" s="202" t="s">
        <v>986</v>
      </c>
      <c r="D92" s="202" t="s">
        <v>462</v>
      </c>
      <c r="E92" s="300">
        <v>979.2</v>
      </c>
      <c r="F92" s="210">
        <v>489</v>
      </c>
      <c r="G92" s="210">
        <v>489</v>
      </c>
      <c r="H92" s="210">
        <f t="shared" si="1"/>
        <v>0</v>
      </c>
      <c r="I92" s="203" t="s">
        <v>86</v>
      </c>
      <c r="J92" s="203" t="s">
        <v>712</v>
      </c>
      <c r="K92" s="203" t="s">
        <v>712</v>
      </c>
      <c r="L92" s="203" t="s">
        <v>511</v>
      </c>
      <c r="M92" s="203"/>
      <c r="N92" s="203"/>
      <c r="O92" s="203"/>
      <c r="P92" s="276"/>
      <c r="Q92" s="265"/>
      <c r="R92" s="265"/>
      <c r="S92" s="265"/>
      <c r="T92" s="265"/>
      <c r="U92" s="267"/>
    </row>
    <row r="93" spans="1:21" ht="18" customHeight="1">
      <c r="A93" s="204">
        <v>91</v>
      </c>
      <c r="B93" s="202" t="s">
        <v>987</v>
      </c>
      <c r="C93" s="202" t="s">
        <v>987</v>
      </c>
      <c r="D93" s="202" t="s">
        <v>564</v>
      </c>
      <c r="E93" s="300">
        <v>575</v>
      </c>
      <c r="F93" s="210">
        <v>18</v>
      </c>
      <c r="G93" s="210">
        <v>18</v>
      </c>
      <c r="H93" s="210">
        <f t="shared" si="1"/>
        <v>0</v>
      </c>
      <c r="I93" s="203" t="s">
        <v>433</v>
      </c>
      <c r="J93" s="203" t="s">
        <v>715</v>
      </c>
      <c r="K93" s="203" t="s">
        <v>715</v>
      </c>
      <c r="L93" s="203" t="s">
        <v>511</v>
      </c>
      <c r="M93" s="203"/>
      <c r="N93" s="203"/>
      <c r="O93" s="203"/>
      <c r="P93" s="276"/>
      <c r="Q93" s="265"/>
      <c r="R93" s="265"/>
      <c r="S93" s="265"/>
      <c r="T93" s="265"/>
      <c r="U93" s="267"/>
    </row>
    <row r="94" spans="1:21" ht="18" customHeight="1">
      <c r="A94" s="204">
        <v>92</v>
      </c>
      <c r="B94" s="202" t="s">
        <v>988</v>
      </c>
      <c r="C94" s="202" t="s">
        <v>988</v>
      </c>
      <c r="D94" s="202" t="s">
        <v>93</v>
      </c>
      <c r="E94" s="300">
        <v>4</v>
      </c>
      <c r="F94" s="210">
        <v>4</v>
      </c>
      <c r="G94" s="210">
        <v>4</v>
      </c>
      <c r="H94" s="210">
        <f t="shared" si="1"/>
        <v>0</v>
      </c>
      <c r="I94" s="203" t="s">
        <v>451</v>
      </c>
      <c r="J94" s="203" t="s">
        <v>452</v>
      </c>
      <c r="K94" s="203" t="s">
        <v>452</v>
      </c>
      <c r="L94" s="203" t="s">
        <v>451</v>
      </c>
      <c r="M94" s="203"/>
      <c r="N94" s="203"/>
      <c r="O94" s="203"/>
      <c r="P94" s="276"/>
      <c r="Q94" s="265"/>
      <c r="R94" s="265"/>
      <c r="S94" s="265"/>
      <c r="T94" s="265"/>
      <c r="U94" s="267"/>
    </row>
    <row r="95" spans="1:21" ht="18" customHeight="1">
      <c r="A95" s="204">
        <v>93</v>
      </c>
      <c r="B95" s="202" t="s">
        <v>989</v>
      </c>
      <c r="C95" s="202" t="s">
        <v>989</v>
      </c>
      <c r="D95" s="202" t="s">
        <v>7</v>
      </c>
      <c r="E95" s="300">
        <v>192</v>
      </c>
      <c r="F95" s="210">
        <v>192</v>
      </c>
      <c r="G95" s="210">
        <v>192</v>
      </c>
      <c r="H95" s="210">
        <f t="shared" si="1"/>
        <v>0</v>
      </c>
      <c r="I95" s="203" t="s">
        <v>451</v>
      </c>
      <c r="J95" s="203" t="s">
        <v>452</v>
      </c>
      <c r="K95" s="203" t="s">
        <v>452</v>
      </c>
      <c r="L95" s="203" t="s">
        <v>451</v>
      </c>
      <c r="M95" s="203"/>
      <c r="N95" s="203"/>
      <c r="O95" s="203"/>
      <c r="P95" s="276"/>
      <c r="Q95" s="265"/>
      <c r="R95" s="265"/>
      <c r="S95" s="265"/>
      <c r="T95" s="265"/>
      <c r="U95" s="267"/>
    </row>
    <row r="96" spans="1:21" ht="18" customHeight="1">
      <c r="A96" s="204">
        <v>94</v>
      </c>
      <c r="B96" s="202" t="s">
        <v>990</v>
      </c>
      <c r="C96" s="202" t="s">
        <v>990</v>
      </c>
      <c r="D96" s="202" t="s">
        <v>93</v>
      </c>
      <c r="E96" s="300">
        <v>754</v>
      </c>
      <c r="F96" s="210">
        <v>754</v>
      </c>
      <c r="G96" s="210">
        <v>754</v>
      </c>
      <c r="H96" s="210">
        <f t="shared" si="1"/>
        <v>0</v>
      </c>
      <c r="I96" s="203" t="s">
        <v>451</v>
      </c>
      <c r="J96" s="203" t="s">
        <v>452</v>
      </c>
      <c r="K96" s="203" t="s">
        <v>452</v>
      </c>
      <c r="L96" s="203" t="s">
        <v>451</v>
      </c>
      <c r="M96" s="203"/>
      <c r="N96" s="203"/>
      <c r="O96" s="203"/>
      <c r="P96" s="276"/>
      <c r="Q96" s="265"/>
      <c r="R96" s="265"/>
      <c r="S96" s="265"/>
      <c r="T96" s="265"/>
      <c r="U96" s="267"/>
    </row>
    <row r="97" spans="1:21" ht="18" customHeight="1">
      <c r="A97" s="204">
        <v>95</v>
      </c>
      <c r="B97" s="202" t="s">
        <v>991</v>
      </c>
      <c r="C97" s="202" t="s">
        <v>991</v>
      </c>
      <c r="D97" s="202" t="s">
        <v>93</v>
      </c>
      <c r="E97" s="300">
        <v>162</v>
      </c>
      <c r="F97" s="210">
        <v>162</v>
      </c>
      <c r="G97" s="210">
        <v>162</v>
      </c>
      <c r="H97" s="210">
        <f t="shared" si="1"/>
        <v>0</v>
      </c>
      <c r="I97" s="203" t="s">
        <v>451</v>
      </c>
      <c r="J97" s="203" t="s">
        <v>452</v>
      </c>
      <c r="K97" s="203" t="s">
        <v>452</v>
      </c>
      <c r="L97" s="203" t="s">
        <v>451</v>
      </c>
      <c r="M97" s="203"/>
      <c r="N97" s="203"/>
      <c r="O97" s="203"/>
      <c r="P97" s="276"/>
      <c r="Q97" s="265"/>
      <c r="R97" s="265"/>
      <c r="S97" s="265"/>
      <c r="T97" s="265"/>
      <c r="U97" s="267"/>
    </row>
    <row r="98" spans="1:21" ht="18" customHeight="1">
      <c r="A98" s="204">
        <v>96</v>
      </c>
      <c r="B98" s="202" t="s">
        <v>992</v>
      </c>
      <c r="C98" s="202" t="s">
        <v>992</v>
      </c>
      <c r="D98" s="202" t="s">
        <v>8</v>
      </c>
      <c r="E98" s="300">
        <v>48.3</v>
      </c>
      <c r="F98" s="210">
        <v>48.3</v>
      </c>
      <c r="G98" s="210">
        <v>48.3</v>
      </c>
      <c r="H98" s="210">
        <f t="shared" si="1"/>
        <v>0</v>
      </c>
      <c r="I98" s="203" t="s">
        <v>451</v>
      </c>
      <c r="J98" s="203" t="s">
        <v>452</v>
      </c>
      <c r="K98" s="203" t="s">
        <v>452</v>
      </c>
      <c r="L98" s="203" t="s">
        <v>451</v>
      </c>
      <c r="M98" s="203"/>
      <c r="N98" s="203"/>
      <c r="O98" s="203"/>
      <c r="P98" s="276"/>
      <c r="Q98" s="265"/>
      <c r="R98" s="265"/>
      <c r="S98" s="265"/>
      <c r="T98" s="265"/>
      <c r="U98" s="267"/>
    </row>
    <row r="99" spans="1:21" ht="18" customHeight="1">
      <c r="A99" s="204">
        <v>97</v>
      </c>
      <c r="B99" s="202" t="s">
        <v>993</v>
      </c>
      <c r="C99" s="202" t="s">
        <v>993</v>
      </c>
      <c r="D99" s="202" t="s">
        <v>8</v>
      </c>
      <c r="E99" s="300">
        <v>302</v>
      </c>
      <c r="F99" s="210">
        <v>302</v>
      </c>
      <c r="G99" s="210">
        <v>302</v>
      </c>
      <c r="H99" s="210">
        <f t="shared" si="1"/>
        <v>0</v>
      </c>
      <c r="I99" s="203" t="s">
        <v>451</v>
      </c>
      <c r="J99" s="203" t="s">
        <v>452</v>
      </c>
      <c r="K99" s="203" t="s">
        <v>452</v>
      </c>
      <c r="L99" s="203" t="s">
        <v>451</v>
      </c>
      <c r="M99" s="203"/>
      <c r="N99" s="203"/>
      <c r="O99" s="203"/>
      <c r="P99" s="276"/>
      <c r="Q99" s="265"/>
      <c r="R99" s="265"/>
      <c r="S99" s="265"/>
      <c r="T99" s="265"/>
      <c r="U99" s="267"/>
    </row>
    <row r="100" spans="1:21" ht="18" customHeight="1">
      <c r="A100" s="204">
        <v>98</v>
      </c>
      <c r="B100" s="202" t="s">
        <v>994</v>
      </c>
      <c r="C100" s="202" t="s">
        <v>994</v>
      </c>
      <c r="D100" s="202" t="s">
        <v>8</v>
      </c>
      <c r="E100" s="300">
        <v>118.6</v>
      </c>
      <c r="F100" s="210">
        <v>118.6</v>
      </c>
      <c r="G100" s="210">
        <v>118.6</v>
      </c>
      <c r="H100" s="210">
        <f t="shared" si="1"/>
        <v>0</v>
      </c>
      <c r="I100" s="203" t="s">
        <v>451</v>
      </c>
      <c r="J100" s="203" t="s">
        <v>452</v>
      </c>
      <c r="K100" s="203" t="s">
        <v>452</v>
      </c>
      <c r="L100" s="203" t="s">
        <v>451</v>
      </c>
      <c r="M100" s="203"/>
      <c r="N100" s="203"/>
      <c r="O100" s="203"/>
      <c r="P100" s="276"/>
      <c r="Q100" s="265"/>
      <c r="R100" s="265"/>
      <c r="S100" s="265"/>
      <c r="T100" s="265"/>
      <c r="U100" s="267"/>
    </row>
    <row r="101" spans="1:21" ht="18" customHeight="1">
      <c r="A101" s="204">
        <v>99</v>
      </c>
      <c r="B101" s="202" t="s">
        <v>995</v>
      </c>
      <c r="C101" s="202" t="s">
        <v>995</v>
      </c>
      <c r="D101" s="202" t="s">
        <v>8</v>
      </c>
      <c r="E101" s="300">
        <v>570.20000000000005</v>
      </c>
      <c r="F101" s="210">
        <v>570.20000000000005</v>
      </c>
      <c r="G101" s="210">
        <v>570.20000000000005</v>
      </c>
      <c r="H101" s="210">
        <f t="shared" si="1"/>
        <v>0</v>
      </c>
      <c r="I101" s="203" t="s">
        <v>451</v>
      </c>
      <c r="J101" s="203" t="s">
        <v>452</v>
      </c>
      <c r="K101" s="203" t="s">
        <v>452</v>
      </c>
      <c r="L101" s="203" t="s">
        <v>451</v>
      </c>
      <c r="M101" s="203"/>
      <c r="N101" s="203"/>
      <c r="O101" s="203"/>
      <c r="P101" s="276"/>
      <c r="Q101" s="265"/>
      <c r="R101" s="265"/>
      <c r="S101" s="265"/>
      <c r="T101" s="265"/>
      <c r="U101" s="267"/>
    </row>
    <row r="102" spans="1:21" ht="18" customHeight="1">
      <c r="A102" s="204">
        <v>100</v>
      </c>
      <c r="B102" s="202" t="s">
        <v>996</v>
      </c>
      <c r="C102" s="202" t="s">
        <v>996</v>
      </c>
      <c r="D102" s="202" t="s">
        <v>8</v>
      </c>
      <c r="E102" s="300">
        <v>218.3</v>
      </c>
      <c r="F102" s="210">
        <v>218.3</v>
      </c>
      <c r="G102" s="210">
        <v>218.3</v>
      </c>
      <c r="H102" s="210">
        <f t="shared" si="1"/>
        <v>0</v>
      </c>
      <c r="I102" s="203" t="s">
        <v>451</v>
      </c>
      <c r="J102" s="203" t="s">
        <v>452</v>
      </c>
      <c r="K102" s="203" t="s">
        <v>452</v>
      </c>
      <c r="L102" s="203" t="s">
        <v>451</v>
      </c>
      <c r="M102" s="203"/>
      <c r="N102" s="203"/>
      <c r="O102" s="203"/>
      <c r="P102" s="276"/>
      <c r="Q102" s="265"/>
      <c r="R102" s="265"/>
      <c r="S102" s="265"/>
      <c r="T102" s="265"/>
      <c r="U102" s="267"/>
    </row>
    <row r="103" spans="1:21" ht="18" customHeight="1">
      <c r="A103" s="204">
        <v>101</v>
      </c>
      <c r="B103" s="202" t="s">
        <v>997</v>
      </c>
      <c r="C103" s="202" t="s">
        <v>997</v>
      </c>
      <c r="D103" s="202" t="s">
        <v>8</v>
      </c>
      <c r="E103" s="300">
        <v>417.9</v>
      </c>
      <c r="F103" s="210">
        <v>417.9</v>
      </c>
      <c r="G103" s="210">
        <v>417.9</v>
      </c>
      <c r="H103" s="210">
        <f t="shared" si="1"/>
        <v>0</v>
      </c>
      <c r="I103" s="203" t="s">
        <v>451</v>
      </c>
      <c r="J103" s="203" t="s">
        <v>452</v>
      </c>
      <c r="K103" s="203" t="s">
        <v>452</v>
      </c>
      <c r="L103" s="203" t="s">
        <v>451</v>
      </c>
      <c r="M103" s="203"/>
      <c r="N103" s="203"/>
      <c r="O103" s="203"/>
      <c r="P103" s="276"/>
      <c r="Q103" s="265"/>
      <c r="R103" s="265"/>
      <c r="S103" s="265"/>
      <c r="T103" s="265"/>
      <c r="U103" s="267"/>
    </row>
    <row r="104" spans="1:21" ht="18" customHeight="1">
      <c r="A104" s="204">
        <v>102</v>
      </c>
      <c r="B104" s="202" t="s">
        <v>998</v>
      </c>
      <c r="C104" s="202" t="s">
        <v>998</v>
      </c>
      <c r="D104" s="202" t="s">
        <v>462</v>
      </c>
      <c r="E104" s="300">
        <v>3940.7</v>
      </c>
      <c r="F104" s="210">
        <v>398</v>
      </c>
      <c r="G104" s="210">
        <v>398</v>
      </c>
      <c r="H104" s="210">
        <f t="shared" si="1"/>
        <v>0</v>
      </c>
      <c r="I104" s="203" t="s">
        <v>86</v>
      </c>
      <c r="J104" s="203" t="s">
        <v>712</v>
      </c>
      <c r="K104" s="203" t="s">
        <v>712</v>
      </c>
      <c r="L104" s="203" t="s">
        <v>511</v>
      </c>
      <c r="M104" s="203"/>
      <c r="N104" s="203"/>
      <c r="O104" s="203"/>
      <c r="P104" s="276"/>
      <c r="Q104" s="265"/>
      <c r="R104" s="265"/>
      <c r="S104" s="265"/>
      <c r="T104" s="265"/>
      <c r="U104" s="267"/>
    </row>
    <row r="105" spans="1:21" ht="18" customHeight="1">
      <c r="A105" s="204">
        <v>103</v>
      </c>
      <c r="B105" s="202" t="s">
        <v>999</v>
      </c>
      <c r="C105" s="202" t="s">
        <v>999</v>
      </c>
      <c r="D105" s="202" t="s">
        <v>455</v>
      </c>
      <c r="E105" s="300">
        <v>715.2</v>
      </c>
      <c r="F105" s="210">
        <v>715.2</v>
      </c>
      <c r="G105" s="210">
        <v>715.2</v>
      </c>
      <c r="H105" s="210">
        <f t="shared" si="1"/>
        <v>0</v>
      </c>
      <c r="I105" s="203" t="s">
        <v>86</v>
      </c>
      <c r="J105" s="203" t="s">
        <v>712</v>
      </c>
      <c r="K105" s="203" t="s">
        <v>712</v>
      </c>
      <c r="L105" s="203" t="s">
        <v>511</v>
      </c>
      <c r="M105" s="203"/>
      <c r="N105" s="203"/>
      <c r="O105" s="203"/>
      <c r="P105" s="276"/>
      <c r="Q105" s="265"/>
      <c r="R105" s="265"/>
      <c r="S105" s="265"/>
      <c r="T105" s="265"/>
      <c r="U105" s="265"/>
    </row>
    <row r="106" spans="1:21" ht="18" customHeight="1">
      <c r="A106" s="204">
        <v>104</v>
      </c>
      <c r="B106" s="202" t="s">
        <v>1000</v>
      </c>
      <c r="C106" s="202" t="s">
        <v>1000</v>
      </c>
      <c r="D106" s="202" t="s">
        <v>8</v>
      </c>
      <c r="E106" s="300">
        <v>146.6</v>
      </c>
      <c r="F106" s="210">
        <v>146.6</v>
      </c>
      <c r="G106" s="210">
        <v>146.6</v>
      </c>
      <c r="H106" s="210">
        <f t="shared" si="1"/>
        <v>0</v>
      </c>
      <c r="I106" s="203" t="s">
        <v>451</v>
      </c>
      <c r="J106" s="203" t="s">
        <v>452</v>
      </c>
      <c r="K106" s="203" t="s">
        <v>452</v>
      </c>
      <c r="L106" s="203" t="s">
        <v>451</v>
      </c>
      <c r="M106" s="203"/>
      <c r="N106" s="203"/>
      <c r="O106" s="203"/>
      <c r="P106" s="276"/>
      <c r="Q106" s="265"/>
      <c r="R106" s="265"/>
      <c r="S106" s="265"/>
      <c r="T106" s="265"/>
      <c r="U106" s="265"/>
    </row>
    <row r="107" spans="1:21" ht="18" customHeight="1">
      <c r="A107" s="204">
        <v>105</v>
      </c>
      <c r="B107" s="202" t="s">
        <v>1001</v>
      </c>
      <c r="C107" s="202" t="s">
        <v>1001</v>
      </c>
      <c r="D107" s="202" t="s">
        <v>7</v>
      </c>
      <c r="E107" s="300">
        <v>55</v>
      </c>
      <c r="F107" s="210">
        <v>55</v>
      </c>
      <c r="G107" s="210">
        <v>55</v>
      </c>
      <c r="H107" s="210">
        <f t="shared" si="1"/>
        <v>0</v>
      </c>
      <c r="I107" s="203" t="s">
        <v>451</v>
      </c>
      <c r="J107" s="203" t="s">
        <v>452</v>
      </c>
      <c r="K107" s="203" t="s">
        <v>452</v>
      </c>
      <c r="L107" s="203" t="s">
        <v>451</v>
      </c>
      <c r="M107" s="203"/>
      <c r="N107" s="203"/>
      <c r="O107" s="203"/>
      <c r="P107" s="276"/>
      <c r="Q107" s="265"/>
      <c r="R107" s="265"/>
      <c r="S107" s="265"/>
      <c r="T107" s="265"/>
      <c r="U107" s="265"/>
    </row>
    <row r="108" spans="1:21" ht="18" customHeight="1">
      <c r="A108" s="204">
        <v>106</v>
      </c>
      <c r="B108" s="202" t="s">
        <v>1002</v>
      </c>
      <c r="C108" s="202" t="s">
        <v>1002</v>
      </c>
      <c r="D108" s="202" t="s">
        <v>7</v>
      </c>
      <c r="E108" s="300">
        <v>19</v>
      </c>
      <c r="F108" s="210">
        <v>19</v>
      </c>
      <c r="G108" s="210">
        <v>19</v>
      </c>
      <c r="H108" s="210">
        <f t="shared" si="1"/>
        <v>0</v>
      </c>
      <c r="I108" s="203" t="s">
        <v>451</v>
      </c>
      <c r="J108" s="203" t="s">
        <v>452</v>
      </c>
      <c r="K108" s="203" t="s">
        <v>452</v>
      </c>
      <c r="L108" s="203" t="s">
        <v>451</v>
      </c>
      <c r="M108" s="203"/>
      <c r="N108" s="203"/>
      <c r="O108" s="203"/>
      <c r="P108" s="276"/>
      <c r="Q108" s="265"/>
      <c r="R108" s="265"/>
      <c r="S108" s="265"/>
      <c r="T108" s="265"/>
      <c r="U108" s="265"/>
    </row>
    <row r="109" spans="1:21" ht="18" customHeight="1">
      <c r="A109" s="204">
        <v>107</v>
      </c>
      <c r="B109" s="202" t="s">
        <v>1003</v>
      </c>
      <c r="C109" s="202" t="s">
        <v>1003</v>
      </c>
      <c r="D109" s="202" t="s">
        <v>7</v>
      </c>
      <c r="E109" s="300">
        <v>11</v>
      </c>
      <c r="F109" s="210">
        <v>11</v>
      </c>
      <c r="G109" s="210">
        <v>11</v>
      </c>
      <c r="H109" s="210">
        <f t="shared" si="1"/>
        <v>0</v>
      </c>
      <c r="I109" s="203" t="s">
        <v>451</v>
      </c>
      <c r="J109" s="203" t="s">
        <v>452</v>
      </c>
      <c r="K109" s="203" t="s">
        <v>452</v>
      </c>
      <c r="L109" s="203" t="s">
        <v>451</v>
      </c>
      <c r="M109" s="203"/>
      <c r="N109" s="203"/>
      <c r="O109" s="203"/>
      <c r="P109" s="276"/>
      <c r="Q109" s="265"/>
      <c r="R109" s="265"/>
      <c r="S109" s="265"/>
      <c r="T109" s="265"/>
      <c r="U109" s="265"/>
    </row>
    <row r="110" spans="1:21" ht="18" customHeight="1">
      <c r="A110" s="204">
        <v>108</v>
      </c>
      <c r="B110" s="202" t="s">
        <v>1004</v>
      </c>
      <c r="C110" s="202" t="s">
        <v>1004</v>
      </c>
      <c r="D110" s="202" t="s">
        <v>8</v>
      </c>
      <c r="E110" s="300">
        <v>41</v>
      </c>
      <c r="F110" s="210">
        <v>41</v>
      </c>
      <c r="G110" s="210">
        <v>41</v>
      </c>
      <c r="H110" s="210">
        <f t="shared" si="1"/>
        <v>0</v>
      </c>
      <c r="I110" s="203" t="s">
        <v>451</v>
      </c>
      <c r="J110" s="203" t="s">
        <v>452</v>
      </c>
      <c r="K110" s="203" t="s">
        <v>452</v>
      </c>
      <c r="L110" s="203" t="s">
        <v>451</v>
      </c>
      <c r="M110" s="203"/>
      <c r="N110" s="203"/>
      <c r="O110" s="203"/>
      <c r="P110" s="276"/>
      <c r="Q110" s="265"/>
      <c r="R110" s="265"/>
      <c r="S110" s="265"/>
      <c r="T110" s="265"/>
      <c r="U110" s="265"/>
    </row>
    <row r="111" spans="1:21" ht="18" customHeight="1">
      <c r="A111" s="204">
        <v>109</v>
      </c>
      <c r="B111" s="202" t="s">
        <v>1005</v>
      </c>
      <c r="C111" s="202" t="s">
        <v>1005</v>
      </c>
      <c r="D111" s="202" t="s">
        <v>7</v>
      </c>
      <c r="E111" s="300">
        <v>140</v>
      </c>
      <c r="F111" s="210">
        <v>140</v>
      </c>
      <c r="G111" s="210">
        <v>140</v>
      </c>
      <c r="H111" s="210">
        <f t="shared" si="1"/>
        <v>0</v>
      </c>
      <c r="I111" s="203" t="s">
        <v>451</v>
      </c>
      <c r="J111" s="203" t="s">
        <v>452</v>
      </c>
      <c r="K111" s="203" t="s">
        <v>452</v>
      </c>
      <c r="L111" s="203" t="s">
        <v>451</v>
      </c>
      <c r="M111" s="203"/>
      <c r="N111" s="203"/>
      <c r="O111" s="203"/>
      <c r="P111" s="276"/>
      <c r="Q111" s="265"/>
      <c r="R111" s="265"/>
      <c r="S111" s="265"/>
      <c r="T111" s="265"/>
      <c r="U111" s="265"/>
    </row>
    <row r="112" spans="1:21" ht="18" customHeight="1">
      <c r="A112" s="204">
        <v>110</v>
      </c>
      <c r="B112" s="202" t="s">
        <v>1006</v>
      </c>
      <c r="C112" s="202" t="s">
        <v>1006</v>
      </c>
      <c r="D112" s="202" t="s">
        <v>455</v>
      </c>
      <c r="E112" s="300">
        <v>30</v>
      </c>
      <c r="F112" s="210">
        <v>26</v>
      </c>
      <c r="G112" s="210">
        <v>26</v>
      </c>
      <c r="H112" s="210">
        <f t="shared" si="1"/>
        <v>0</v>
      </c>
      <c r="I112" s="203" t="s">
        <v>432</v>
      </c>
      <c r="J112" s="203" t="s">
        <v>452</v>
      </c>
      <c r="K112" s="203" t="s">
        <v>452</v>
      </c>
      <c r="L112" s="203" t="s">
        <v>451</v>
      </c>
      <c r="M112" s="203"/>
      <c r="N112" s="203"/>
      <c r="O112" s="203"/>
      <c r="P112" s="276"/>
      <c r="Q112" s="265"/>
      <c r="R112" s="265"/>
      <c r="S112" s="265"/>
      <c r="T112" s="265"/>
      <c r="U112" s="265"/>
    </row>
    <row r="113" spans="1:24" ht="18" customHeight="1">
      <c r="A113" s="204">
        <v>111</v>
      </c>
      <c r="B113" s="202" t="s">
        <v>828</v>
      </c>
      <c r="C113" s="202" t="s">
        <v>828</v>
      </c>
      <c r="D113" s="202" t="s">
        <v>455</v>
      </c>
      <c r="E113" s="300">
        <v>3</v>
      </c>
      <c r="F113" s="210">
        <v>3</v>
      </c>
      <c r="G113" s="210">
        <v>3</v>
      </c>
      <c r="H113" s="210">
        <f t="shared" si="1"/>
        <v>0</v>
      </c>
      <c r="I113" s="203" t="s">
        <v>435</v>
      </c>
      <c r="J113" s="203" t="s">
        <v>452</v>
      </c>
      <c r="K113" s="203" t="s">
        <v>452</v>
      </c>
      <c r="L113" s="203" t="s">
        <v>451</v>
      </c>
      <c r="M113" s="203"/>
      <c r="N113" s="203"/>
      <c r="O113" s="203"/>
      <c r="P113" s="276"/>
      <c r="Q113" s="265"/>
      <c r="R113" s="265"/>
      <c r="S113" s="265"/>
      <c r="T113" s="265"/>
      <c r="U113" s="265"/>
    </row>
    <row r="114" spans="1:24" ht="18" customHeight="1">
      <c r="A114" s="204">
        <v>112</v>
      </c>
      <c r="B114" s="202" t="s">
        <v>1007</v>
      </c>
      <c r="C114" s="202" t="s">
        <v>1007</v>
      </c>
      <c r="D114" s="202" t="s">
        <v>7</v>
      </c>
      <c r="E114" s="300">
        <v>29</v>
      </c>
      <c r="F114" s="210">
        <v>29</v>
      </c>
      <c r="G114" s="210">
        <v>29</v>
      </c>
      <c r="H114" s="210">
        <f t="shared" si="1"/>
        <v>0</v>
      </c>
      <c r="I114" s="203" t="s">
        <v>432</v>
      </c>
      <c r="J114" s="203" t="s">
        <v>537</v>
      </c>
      <c r="K114" s="203" t="s">
        <v>537</v>
      </c>
      <c r="L114" s="203" t="s">
        <v>451</v>
      </c>
      <c r="M114" s="203"/>
      <c r="N114" s="203"/>
      <c r="O114" s="203"/>
      <c r="P114" s="276"/>
      <c r="Q114" s="265"/>
      <c r="R114" s="265"/>
      <c r="S114" s="265"/>
      <c r="T114" s="265"/>
      <c r="U114" s="265"/>
    </row>
    <row r="115" spans="1:24" ht="18" customHeight="1">
      <c r="A115" s="204">
        <v>113</v>
      </c>
      <c r="B115" s="202" t="s">
        <v>1008</v>
      </c>
      <c r="C115" s="202" t="s">
        <v>1008</v>
      </c>
      <c r="D115" s="202" t="s">
        <v>455</v>
      </c>
      <c r="E115" s="300">
        <v>149</v>
      </c>
      <c r="F115" s="210">
        <v>149</v>
      </c>
      <c r="G115" s="210">
        <v>149</v>
      </c>
      <c r="H115" s="210">
        <f t="shared" si="1"/>
        <v>0</v>
      </c>
      <c r="I115" s="203" t="s">
        <v>435</v>
      </c>
      <c r="J115" s="203" t="s">
        <v>452</v>
      </c>
      <c r="K115" s="203" t="s">
        <v>452</v>
      </c>
      <c r="L115" s="203" t="s">
        <v>451</v>
      </c>
      <c r="M115" s="203"/>
      <c r="N115" s="203"/>
      <c r="O115" s="203"/>
      <c r="P115" s="276"/>
      <c r="Q115" s="265"/>
      <c r="R115" s="265"/>
      <c r="S115" s="265"/>
      <c r="T115" s="265"/>
      <c r="U115" s="265"/>
    </row>
    <row r="116" spans="1:24" ht="18" customHeight="1">
      <c r="A116" s="204">
        <v>114</v>
      </c>
      <c r="B116" s="202" t="s">
        <v>1009</v>
      </c>
      <c r="C116" s="202" t="s">
        <v>1009</v>
      </c>
      <c r="D116" s="202" t="s">
        <v>455</v>
      </c>
      <c r="E116" s="300">
        <v>70</v>
      </c>
      <c r="F116" s="210">
        <v>70</v>
      </c>
      <c r="G116" s="210">
        <v>70</v>
      </c>
      <c r="H116" s="210">
        <f t="shared" si="1"/>
        <v>0</v>
      </c>
      <c r="I116" s="203" t="s">
        <v>432</v>
      </c>
      <c r="J116" s="203" t="s">
        <v>452</v>
      </c>
      <c r="K116" s="203" t="s">
        <v>452</v>
      </c>
      <c r="L116" s="203" t="s">
        <v>451</v>
      </c>
      <c r="M116" s="203"/>
      <c r="N116" s="203"/>
      <c r="O116" s="203"/>
      <c r="P116" s="276"/>
      <c r="Q116" s="265"/>
      <c r="R116" s="265"/>
      <c r="S116" s="265"/>
      <c r="T116" s="265"/>
      <c r="U116" s="265"/>
    </row>
    <row r="117" spans="1:24" ht="18" customHeight="1">
      <c r="A117" s="204">
        <v>115</v>
      </c>
      <c r="B117" s="202" t="s">
        <v>1010</v>
      </c>
      <c r="C117" s="202" t="s">
        <v>1010</v>
      </c>
      <c r="D117" s="202" t="s">
        <v>7</v>
      </c>
      <c r="E117" s="300">
        <v>58</v>
      </c>
      <c r="F117" s="210">
        <v>58</v>
      </c>
      <c r="G117" s="210">
        <v>58</v>
      </c>
      <c r="H117" s="210">
        <f t="shared" si="1"/>
        <v>0</v>
      </c>
      <c r="I117" s="203" t="s">
        <v>451</v>
      </c>
      <c r="J117" s="203" t="s">
        <v>452</v>
      </c>
      <c r="K117" s="203" t="s">
        <v>452</v>
      </c>
      <c r="L117" s="203" t="s">
        <v>451</v>
      </c>
      <c r="M117" s="203"/>
      <c r="N117" s="203"/>
      <c r="O117" s="203"/>
      <c r="P117" s="276"/>
      <c r="Q117" s="265"/>
      <c r="R117" s="265"/>
      <c r="S117" s="265"/>
      <c r="T117" s="265"/>
      <c r="U117" s="265"/>
    </row>
    <row r="118" spans="1:24" ht="18" customHeight="1">
      <c r="A118" s="204">
        <v>116</v>
      </c>
      <c r="B118" s="202" t="s">
        <v>1011</v>
      </c>
      <c r="C118" s="202" t="s">
        <v>1011</v>
      </c>
      <c r="D118" s="202" t="s">
        <v>455</v>
      </c>
      <c r="E118" s="300">
        <v>57</v>
      </c>
      <c r="F118" s="210">
        <v>57</v>
      </c>
      <c r="G118" s="210">
        <v>57</v>
      </c>
      <c r="H118" s="210">
        <f t="shared" si="1"/>
        <v>0</v>
      </c>
      <c r="I118" s="203" t="s">
        <v>432</v>
      </c>
      <c r="J118" s="203" t="s">
        <v>452</v>
      </c>
      <c r="K118" s="203" t="s">
        <v>452</v>
      </c>
      <c r="L118" s="203" t="s">
        <v>451</v>
      </c>
      <c r="M118" s="203"/>
      <c r="N118" s="203"/>
      <c r="O118" s="203"/>
      <c r="P118" s="276"/>
      <c r="Q118" s="265"/>
      <c r="R118" s="265"/>
      <c r="S118" s="265"/>
      <c r="T118" s="265"/>
      <c r="U118" s="265"/>
    </row>
    <row r="119" spans="1:24" ht="18" customHeight="1">
      <c r="A119" s="204">
        <v>117</v>
      </c>
      <c r="B119" s="202" t="s">
        <v>1012</v>
      </c>
      <c r="C119" s="202" t="s">
        <v>1012</v>
      </c>
      <c r="D119" s="202" t="s">
        <v>455</v>
      </c>
      <c r="E119" s="300">
        <v>43</v>
      </c>
      <c r="F119" s="210">
        <v>43</v>
      </c>
      <c r="G119" s="210">
        <v>43</v>
      </c>
      <c r="H119" s="210">
        <f t="shared" si="1"/>
        <v>0</v>
      </c>
      <c r="I119" s="203" t="s">
        <v>435</v>
      </c>
      <c r="J119" s="203" t="s">
        <v>452</v>
      </c>
      <c r="K119" s="203" t="s">
        <v>452</v>
      </c>
      <c r="L119" s="203" t="s">
        <v>451</v>
      </c>
      <c r="M119" s="203"/>
      <c r="N119" s="203"/>
      <c r="O119" s="203"/>
      <c r="P119" s="276"/>
      <c r="Q119" s="265"/>
      <c r="R119" s="265"/>
      <c r="S119" s="265"/>
      <c r="T119" s="265"/>
      <c r="U119" s="265"/>
    </row>
    <row r="120" spans="1:24" ht="18" customHeight="1">
      <c r="A120" s="204">
        <v>118</v>
      </c>
      <c r="B120" s="202" t="s">
        <v>1013</v>
      </c>
      <c r="C120" s="202" t="s">
        <v>1013</v>
      </c>
      <c r="D120" s="202" t="s">
        <v>7</v>
      </c>
      <c r="E120" s="300">
        <v>217</v>
      </c>
      <c r="F120" s="210">
        <v>54</v>
      </c>
      <c r="G120" s="210">
        <v>54</v>
      </c>
      <c r="H120" s="210">
        <f t="shared" si="1"/>
        <v>0</v>
      </c>
      <c r="I120" s="203" t="s">
        <v>432</v>
      </c>
      <c r="J120" s="203" t="s">
        <v>537</v>
      </c>
      <c r="K120" s="203" t="s">
        <v>537</v>
      </c>
      <c r="L120" s="203" t="s">
        <v>451</v>
      </c>
      <c r="M120" s="203"/>
      <c r="N120" s="203"/>
      <c r="O120" s="203"/>
      <c r="P120" s="276"/>
      <c r="Q120" s="265"/>
      <c r="R120" s="265"/>
      <c r="S120" s="265"/>
      <c r="T120" s="265"/>
      <c r="U120" s="267"/>
    </row>
    <row r="121" spans="1:24" ht="18" customHeight="1">
      <c r="A121" s="204">
        <v>119</v>
      </c>
      <c r="B121" s="202" t="s">
        <v>1014</v>
      </c>
      <c r="C121" s="202" t="s">
        <v>1014</v>
      </c>
      <c r="D121" s="202" t="s">
        <v>7</v>
      </c>
      <c r="E121" s="300">
        <v>75</v>
      </c>
      <c r="F121" s="210">
        <v>75</v>
      </c>
      <c r="G121" s="210">
        <v>75</v>
      </c>
      <c r="H121" s="210">
        <f t="shared" si="1"/>
        <v>0</v>
      </c>
      <c r="I121" s="203" t="s">
        <v>0</v>
      </c>
      <c r="J121" s="203" t="s">
        <v>537</v>
      </c>
      <c r="K121" s="203" t="s">
        <v>537</v>
      </c>
      <c r="L121" s="203" t="s">
        <v>451</v>
      </c>
      <c r="M121" s="203"/>
      <c r="N121" s="203"/>
      <c r="O121" s="203"/>
      <c r="P121" s="276"/>
      <c r="Q121" s="265"/>
      <c r="R121" s="265"/>
      <c r="S121" s="265"/>
      <c r="T121" s="265"/>
      <c r="U121" s="267"/>
    </row>
    <row r="122" spans="1:24" ht="18" customHeight="1">
      <c r="A122" s="204">
        <v>120</v>
      </c>
      <c r="B122" s="202" t="s">
        <v>1015</v>
      </c>
      <c r="C122" s="202" t="s">
        <v>1015</v>
      </c>
      <c r="D122" s="202" t="s">
        <v>455</v>
      </c>
      <c r="E122" s="300">
        <v>208</v>
      </c>
      <c r="F122" s="210">
        <v>208</v>
      </c>
      <c r="G122" s="210">
        <v>208</v>
      </c>
      <c r="H122" s="210">
        <f t="shared" si="1"/>
        <v>0</v>
      </c>
      <c r="I122" s="203" t="s">
        <v>1120</v>
      </c>
      <c r="J122" s="203" t="s">
        <v>1120</v>
      </c>
      <c r="K122" s="203" t="s">
        <v>1120</v>
      </c>
      <c r="L122" s="203" t="s">
        <v>1120</v>
      </c>
      <c r="M122" s="203"/>
      <c r="N122" s="203"/>
      <c r="O122" s="203"/>
      <c r="P122" s="276"/>
      <c r="Q122" s="265"/>
      <c r="R122" s="265"/>
      <c r="S122" s="265"/>
      <c r="T122" s="265"/>
      <c r="U122" s="267"/>
    </row>
    <row r="123" spans="1:24" ht="18" customHeight="1">
      <c r="A123" s="204">
        <v>121</v>
      </c>
      <c r="B123" s="202" t="s">
        <v>1016</v>
      </c>
      <c r="C123" s="202" t="s">
        <v>1016</v>
      </c>
      <c r="D123" s="202" t="s">
        <v>459</v>
      </c>
      <c r="E123" s="300">
        <v>5</v>
      </c>
      <c r="F123" s="210">
        <v>5</v>
      </c>
      <c r="G123" s="210">
        <v>5</v>
      </c>
      <c r="H123" s="210">
        <f t="shared" si="1"/>
        <v>0</v>
      </c>
      <c r="I123" s="203" t="s">
        <v>451</v>
      </c>
      <c r="J123" s="203" t="s">
        <v>452</v>
      </c>
      <c r="K123" s="203" t="s">
        <v>452</v>
      </c>
      <c r="L123" s="203" t="s">
        <v>451</v>
      </c>
      <c r="M123" s="203"/>
      <c r="N123" s="203"/>
      <c r="O123" s="203"/>
      <c r="P123" s="276"/>
      <c r="Q123" s="265"/>
      <c r="R123" s="265"/>
      <c r="S123" s="265"/>
      <c r="T123" s="265"/>
      <c r="U123" s="267"/>
    </row>
    <row r="124" spans="1:24" ht="18" customHeight="1">
      <c r="A124" s="204">
        <v>122</v>
      </c>
      <c r="B124" s="202" t="s">
        <v>1017</v>
      </c>
      <c r="C124" s="202" t="s">
        <v>1017</v>
      </c>
      <c r="D124" s="202" t="s">
        <v>459</v>
      </c>
      <c r="E124" s="300">
        <v>53</v>
      </c>
      <c r="F124" s="210">
        <v>53</v>
      </c>
      <c r="G124" s="210">
        <v>53</v>
      </c>
      <c r="H124" s="210">
        <f t="shared" si="1"/>
        <v>0</v>
      </c>
      <c r="I124" s="203" t="s">
        <v>451</v>
      </c>
      <c r="J124" s="203" t="s">
        <v>452</v>
      </c>
      <c r="K124" s="203" t="s">
        <v>452</v>
      </c>
      <c r="L124" s="203" t="s">
        <v>451</v>
      </c>
      <c r="M124" s="203"/>
      <c r="N124" s="203"/>
      <c r="O124" s="203"/>
      <c r="P124" s="276"/>
      <c r="Q124" s="265"/>
      <c r="R124" s="265"/>
      <c r="S124" s="265"/>
      <c r="T124" s="265"/>
      <c r="U124" s="284"/>
      <c r="V124" s="265"/>
      <c r="W124" s="265"/>
      <c r="X124" s="265"/>
    </row>
    <row r="125" spans="1:24" ht="18" customHeight="1">
      <c r="A125" s="204">
        <v>123</v>
      </c>
      <c r="B125" s="202" t="s">
        <v>1018</v>
      </c>
      <c r="C125" s="202" t="s">
        <v>1018</v>
      </c>
      <c r="D125" s="202" t="s">
        <v>8</v>
      </c>
      <c r="E125" s="300">
        <v>221</v>
      </c>
      <c r="F125" s="210">
        <v>154</v>
      </c>
      <c r="G125" s="210">
        <v>154</v>
      </c>
      <c r="H125" s="210">
        <f t="shared" si="1"/>
        <v>0</v>
      </c>
      <c r="I125" s="203" t="s">
        <v>432</v>
      </c>
      <c r="J125" s="203" t="s">
        <v>537</v>
      </c>
      <c r="K125" s="203" t="s">
        <v>537</v>
      </c>
      <c r="L125" s="203" t="s">
        <v>451</v>
      </c>
      <c r="M125" s="203"/>
      <c r="N125" s="203"/>
      <c r="O125" s="203"/>
      <c r="P125" s="276"/>
      <c r="Q125" s="265"/>
      <c r="R125" s="265"/>
      <c r="S125" s="265"/>
      <c r="T125" s="265"/>
      <c r="U125" s="265"/>
    </row>
    <row r="126" spans="1:24" ht="18" customHeight="1">
      <c r="A126" s="204">
        <v>124</v>
      </c>
      <c r="B126" s="202" t="s">
        <v>1019</v>
      </c>
      <c r="C126" s="202" t="s">
        <v>1019</v>
      </c>
      <c r="D126" s="202" t="s">
        <v>8</v>
      </c>
      <c r="E126" s="300">
        <v>46</v>
      </c>
      <c r="F126" s="210">
        <v>46</v>
      </c>
      <c r="G126" s="210">
        <v>46</v>
      </c>
      <c r="H126" s="210">
        <f t="shared" si="1"/>
        <v>0</v>
      </c>
      <c r="I126" s="203" t="s">
        <v>451</v>
      </c>
      <c r="J126" s="203" t="s">
        <v>452</v>
      </c>
      <c r="K126" s="203" t="s">
        <v>452</v>
      </c>
      <c r="L126" s="203" t="s">
        <v>451</v>
      </c>
      <c r="M126" s="203"/>
      <c r="N126" s="203"/>
      <c r="O126" s="203"/>
      <c r="P126" s="276"/>
      <c r="Q126" s="265"/>
      <c r="R126" s="265"/>
      <c r="S126" s="265"/>
      <c r="T126" s="265"/>
      <c r="U126" s="265"/>
    </row>
    <row r="127" spans="1:24" ht="18" customHeight="1">
      <c r="A127" s="204">
        <v>125</v>
      </c>
      <c r="B127" s="202" t="s">
        <v>1020</v>
      </c>
      <c r="C127" s="202" t="s">
        <v>1020</v>
      </c>
      <c r="D127" s="202" t="s">
        <v>897</v>
      </c>
      <c r="E127" s="300">
        <v>16</v>
      </c>
      <c r="F127" s="210">
        <v>16</v>
      </c>
      <c r="G127" s="210">
        <v>16</v>
      </c>
      <c r="H127" s="210">
        <f t="shared" si="1"/>
        <v>0</v>
      </c>
      <c r="I127" s="203" t="s">
        <v>451</v>
      </c>
      <c r="J127" s="203" t="s">
        <v>452</v>
      </c>
      <c r="K127" s="203" t="s">
        <v>452</v>
      </c>
      <c r="L127" s="203" t="s">
        <v>451</v>
      </c>
      <c r="M127" s="203"/>
      <c r="N127" s="203"/>
      <c r="O127" s="203"/>
      <c r="P127" s="276"/>
      <c r="Q127" s="265"/>
      <c r="R127" s="265"/>
      <c r="S127" s="265"/>
      <c r="T127" s="265"/>
      <c r="U127" s="265"/>
    </row>
    <row r="128" spans="1:24" ht="18" customHeight="1">
      <c r="A128" s="204">
        <v>126</v>
      </c>
      <c r="B128" s="202" t="s">
        <v>829</v>
      </c>
      <c r="C128" s="202" t="s">
        <v>829</v>
      </c>
      <c r="D128" s="202" t="s">
        <v>8</v>
      </c>
      <c r="E128" s="300">
        <v>111</v>
      </c>
      <c r="F128" s="210">
        <v>111</v>
      </c>
      <c r="G128" s="210">
        <v>111</v>
      </c>
      <c r="H128" s="210">
        <f t="shared" si="1"/>
        <v>0</v>
      </c>
      <c r="I128" s="203" t="s">
        <v>451</v>
      </c>
      <c r="J128" s="203" t="s">
        <v>452</v>
      </c>
      <c r="K128" s="203" t="s">
        <v>452</v>
      </c>
      <c r="L128" s="203" t="s">
        <v>451</v>
      </c>
      <c r="M128" s="203"/>
      <c r="N128" s="203"/>
      <c r="O128" s="203"/>
      <c r="P128" s="276"/>
      <c r="Q128" s="265"/>
      <c r="R128" s="265"/>
      <c r="S128" s="265"/>
      <c r="T128" s="265"/>
      <c r="U128" s="265"/>
    </row>
    <row r="129" spans="1:24" ht="18" customHeight="1">
      <c r="A129" s="204">
        <v>127</v>
      </c>
      <c r="B129" s="202" t="s">
        <v>1021</v>
      </c>
      <c r="C129" s="202" t="s">
        <v>1021</v>
      </c>
      <c r="D129" s="202" t="s">
        <v>7</v>
      </c>
      <c r="E129" s="300">
        <v>100</v>
      </c>
      <c r="F129" s="210">
        <v>100</v>
      </c>
      <c r="G129" s="210">
        <v>100</v>
      </c>
      <c r="H129" s="210">
        <f t="shared" si="1"/>
        <v>0</v>
      </c>
      <c r="I129" s="203" t="s">
        <v>451</v>
      </c>
      <c r="J129" s="203" t="s">
        <v>452</v>
      </c>
      <c r="K129" s="203" t="s">
        <v>452</v>
      </c>
      <c r="L129" s="203" t="s">
        <v>451</v>
      </c>
      <c r="M129" s="203"/>
      <c r="N129" s="203"/>
      <c r="O129" s="203"/>
      <c r="P129" s="276"/>
      <c r="Q129" s="265"/>
      <c r="R129" s="265"/>
      <c r="S129" s="265"/>
      <c r="T129" s="265"/>
      <c r="U129" s="265"/>
    </row>
    <row r="130" spans="1:24" ht="18" customHeight="1">
      <c r="A130" s="204">
        <v>128</v>
      </c>
      <c r="B130" s="202" t="s">
        <v>1022</v>
      </c>
      <c r="C130" s="202" t="s">
        <v>1022</v>
      </c>
      <c r="D130" s="202" t="s">
        <v>7</v>
      </c>
      <c r="E130" s="300">
        <v>72</v>
      </c>
      <c r="F130" s="210">
        <v>72</v>
      </c>
      <c r="G130" s="210">
        <v>72</v>
      </c>
      <c r="H130" s="210">
        <f t="shared" si="1"/>
        <v>0</v>
      </c>
      <c r="I130" s="203" t="s">
        <v>451</v>
      </c>
      <c r="J130" s="203" t="s">
        <v>452</v>
      </c>
      <c r="K130" s="203" t="s">
        <v>452</v>
      </c>
      <c r="L130" s="203" t="s">
        <v>451</v>
      </c>
      <c r="M130" s="203"/>
      <c r="N130" s="203"/>
      <c r="O130" s="203"/>
      <c r="P130" s="276"/>
      <c r="Q130" s="265"/>
      <c r="R130" s="265"/>
      <c r="S130" s="265"/>
      <c r="T130" s="265"/>
      <c r="U130" s="265"/>
    </row>
    <row r="131" spans="1:24" ht="18" customHeight="1">
      <c r="A131" s="204">
        <v>129</v>
      </c>
      <c r="B131" s="202" t="s">
        <v>1023</v>
      </c>
      <c r="C131" s="202" t="s">
        <v>1023</v>
      </c>
      <c r="D131" s="202" t="s">
        <v>7</v>
      </c>
      <c r="E131" s="300">
        <v>496</v>
      </c>
      <c r="F131" s="210">
        <v>496</v>
      </c>
      <c r="G131" s="210">
        <v>496</v>
      </c>
      <c r="H131" s="210">
        <f t="shared" si="1"/>
        <v>0</v>
      </c>
      <c r="I131" s="203" t="s">
        <v>451</v>
      </c>
      <c r="J131" s="203" t="s">
        <v>452</v>
      </c>
      <c r="K131" s="203" t="s">
        <v>452</v>
      </c>
      <c r="L131" s="203" t="s">
        <v>451</v>
      </c>
      <c r="M131" s="203"/>
      <c r="N131" s="203"/>
      <c r="O131" s="203"/>
      <c r="P131" s="276"/>
      <c r="Q131" s="265"/>
      <c r="R131" s="265"/>
      <c r="S131" s="265"/>
      <c r="T131" s="265"/>
      <c r="U131" s="265"/>
    </row>
    <row r="132" spans="1:24" ht="18" customHeight="1">
      <c r="A132" s="204">
        <v>130</v>
      </c>
      <c r="B132" s="202" t="s">
        <v>1024</v>
      </c>
      <c r="C132" s="202" t="s">
        <v>1024</v>
      </c>
      <c r="D132" s="202" t="s">
        <v>7</v>
      </c>
      <c r="E132" s="300">
        <v>118</v>
      </c>
      <c r="F132" s="210">
        <v>118</v>
      </c>
      <c r="G132" s="210">
        <v>118</v>
      </c>
      <c r="H132" s="210">
        <f t="shared" si="1"/>
        <v>0</v>
      </c>
      <c r="I132" s="203" t="s">
        <v>451</v>
      </c>
      <c r="J132" s="203" t="s">
        <v>452</v>
      </c>
      <c r="K132" s="203" t="s">
        <v>452</v>
      </c>
      <c r="L132" s="203" t="s">
        <v>451</v>
      </c>
      <c r="M132" s="203"/>
      <c r="N132" s="203"/>
      <c r="O132" s="203"/>
      <c r="P132" s="276"/>
      <c r="Q132" s="265"/>
      <c r="R132" s="265"/>
      <c r="S132" s="265"/>
      <c r="T132" s="265"/>
      <c r="U132" s="265"/>
    </row>
    <row r="133" spans="1:24" ht="18" customHeight="1">
      <c r="A133" s="204">
        <v>131</v>
      </c>
      <c r="B133" s="202" t="s">
        <v>1025</v>
      </c>
      <c r="C133" s="202" t="s">
        <v>1025</v>
      </c>
      <c r="D133" s="202" t="s">
        <v>7</v>
      </c>
      <c r="E133" s="300">
        <v>972</v>
      </c>
      <c r="F133" s="210">
        <v>972</v>
      </c>
      <c r="G133" s="210">
        <v>972</v>
      </c>
      <c r="H133" s="210">
        <f t="shared" si="1"/>
        <v>0</v>
      </c>
      <c r="I133" s="203" t="s">
        <v>451</v>
      </c>
      <c r="J133" s="203" t="s">
        <v>452</v>
      </c>
      <c r="K133" s="203" t="s">
        <v>452</v>
      </c>
      <c r="L133" s="203" t="s">
        <v>451</v>
      </c>
      <c r="M133" s="203"/>
      <c r="N133" s="203"/>
      <c r="O133" s="203"/>
      <c r="P133" s="276"/>
      <c r="Q133" s="265"/>
      <c r="R133" s="265"/>
      <c r="S133" s="265"/>
      <c r="T133" s="265"/>
      <c r="U133" s="265"/>
    </row>
    <row r="134" spans="1:24" ht="18" customHeight="1">
      <c r="A134" s="204">
        <v>132</v>
      </c>
      <c r="B134" s="202" t="s">
        <v>1026</v>
      </c>
      <c r="C134" s="202" t="s">
        <v>1026</v>
      </c>
      <c r="D134" s="202" t="s">
        <v>7</v>
      </c>
      <c r="E134" s="300">
        <v>238</v>
      </c>
      <c r="F134" s="210">
        <v>238</v>
      </c>
      <c r="G134" s="210">
        <v>238</v>
      </c>
      <c r="H134" s="210">
        <f t="shared" ref="H134:H197" si="2">G134-F134</f>
        <v>0</v>
      </c>
      <c r="I134" s="203" t="s">
        <v>451</v>
      </c>
      <c r="J134" s="203" t="s">
        <v>452</v>
      </c>
      <c r="K134" s="203" t="s">
        <v>452</v>
      </c>
      <c r="L134" s="203" t="s">
        <v>451</v>
      </c>
      <c r="M134" s="203"/>
      <c r="N134" s="203"/>
      <c r="O134" s="203"/>
      <c r="P134" s="276"/>
      <c r="Q134" s="265"/>
      <c r="R134" s="265"/>
      <c r="S134" s="265"/>
      <c r="T134" s="265"/>
      <c r="U134" s="265"/>
    </row>
    <row r="135" spans="1:24" ht="18" customHeight="1">
      <c r="A135" s="204">
        <v>133</v>
      </c>
      <c r="B135" s="202" t="s">
        <v>1027</v>
      </c>
      <c r="C135" s="202" t="s">
        <v>1027</v>
      </c>
      <c r="D135" s="202" t="s">
        <v>93</v>
      </c>
      <c r="E135" s="300">
        <v>2901</v>
      </c>
      <c r="F135" s="210">
        <v>2901</v>
      </c>
      <c r="G135" s="210">
        <v>2901</v>
      </c>
      <c r="H135" s="210">
        <f t="shared" si="2"/>
        <v>0</v>
      </c>
      <c r="I135" s="203" t="s">
        <v>432</v>
      </c>
      <c r="J135" s="203" t="s">
        <v>452</v>
      </c>
      <c r="K135" s="203" t="s">
        <v>452</v>
      </c>
      <c r="L135" s="203" t="s">
        <v>451</v>
      </c>
      <c r="M135" s="203"/>
      <c r="N135" s="203"/>
      <c r="O135" s="203"/>
      <c r="P135" s="276"/>
      <c r="Q135" s="265"/>
      <c r="R135" s="265"/>
      <c r="S135" s="265"/>
      <c r="T135" s="265"/>
      <c r="U135" s="265"/>
    </row>
    <row r="136" spans="1:24" ht="18" customHeight="1">
      <c r="A136" s="204">
        <v>134</v>
      </c>
      <c r="B136" s="202" t="s">
        <v>1028</v>
      </c>
      <c r="C136" s="202" t="s">
        <v>1028</v>
      </c>
      <c r="D136" s="202" t="s">
        <v>93</v>
      </c>
      <c r="E136" s="300">
        <v>389</v>
      </c>
      <c r="F136" s="210">
        <v>389</v>
      </c>
      <c r="G136" s="210">
        <v>389</v>
      </c>
      <c r="H136" s="210">
        <f t="shared" si="2"/>
        <v>0</v>
      </c>
      <c r="I136" s="203" t="s">
        <v>451</v>
      </c>
      <c r="J136" s="203" t="s">
        <v>452</v>
      </c>
      <c r="K136" s="203" t="s">
        <v>452</v>
      </c>
      <c r="L136" s="203" t="s">
        <v>451</v>
      </c>
      <c r="M136" s="203"/>
      <c r="N136" s="203"/>
      <c r="O136" s="203"/>
      <c r="P136" s="276"/>
      <c r="Q136" s="265"/>
      <c r="R136" s="265"/>
      <c r="S136" s="265"/>
      <c r="T136" s="265"/>
      <c r="U136" s="265"/>
    </row>
    <row r="137" spans="1:24" ht="18" customHeight="1">
      <c r="A137" s="204">
        <v>135</v>
      </c>
      <c r="B137" s="202" t="s">
        <v>1029</v>
      </c>
      <c r="C137" s="202" t="s">
        <v>1029</v>
      </c>
      <c r="D137" s="202" t="s">
        <v>8</v>
      </c>
      <c r="E137" s="300">
        <v>517.29999999999995</v>
      </c>
      <c r="F137" s="210">
        <v>517.29999999999995</v>
      </c>
      <c r="G137" s="210">
        <v>517.29999999999995</v>
      </c>
      <c r="H137" s="210">
        <f t="shared" si="2"/>
        <v>0</v>
      </c>
      <c r="I137" s="203" t="s">
        <v>451</v>
      </c>
      <c r="J137" s="203" t="s">
        <v>452</v>
      </c>
      <c r="K137" s="203" t="s">
        <v>452</v>
      </c>
      <c r="L137" s="203" t="s">
        <v>451</v>
      </c>
      <c r="M137" s="203"/>
      <c r="N137" s="203"/>
      <c r="O137" s="203"/>
      <c r="P137" s="276"/>
      <c r="Q137" s="265"/>
      <c r="R137" s="265"/>
      <c r="S137" s="265"/>
      <c r="T137" s="265"/>
      <c r="U137" s="265"/>
    </row>
    <row r="138" spans="1:24" ht="18" customHeight="1">
      <c r="A138" s="204">
        <v>136</v>
      </c>
      <c r="B138" s="202" t="s">
        <v>1030</v>
      </c>
      <c r="C138" s="202" t="s">
        <v>1030</v>
      </c>
      <c r="D138" s="202" t="s">
        <v>8</v>
      </c>
      <c r="E138" s="300">
        <v>1404.5</v>
      </c>
      <c r="F138" s="210">
        <v>1404.5</v>
      </c>
      <c r="G138" s="210">
        <v>1404.5</v>
      </c>
      <c r="H138" s="210">
        <f t="shared" si="2"/>
        <v>0</v>
      </c>
      <c r="I138" s="203" t="s">
        <v>451</v>
      </c>
      <c r="J138" s="203" t="s">
        <v>452</v>
      </c>
      <c r="K138" s="203" t="s">
        <v>452</v>
      </c>
      <c r="L138" s="203" t="s">
        <v>451</v>
      </c>
      <c r="M138" s="203"/>
      <c r="N138" s="203"/>
      <c r="O138" s="203"/>
      <c r="P138" s="276"/>
      <c r="Q138" s="265"/>
      <c r="R138" s="265"/>
      <c r="S138" s="265"/>
      <c r="T138" s="265"/>
      <c r="U138" s="265"/>
    </row>
    <row r="139" spans="1:24" ht="18" customHeight="1">
      <c r="A139" s="204">
        <v>137</v>
      </c>
      <c r="B139" s="202" t="s">
        <v>1031</v>
      </c>
      <c r="C139" s="202" t="s">
        <v>1031</v>
      </c>
      <c r="D139" s="202" t="s">
        <v>455</v>
      </c>
      <c r="E139" s="300">
        <v>125</v>
      </c>
      <c r="F139" s="210">
        <v>125</v>
      </c>
      <c r="G139" s="210">
        <v>125</v>
      </c>
      <c r="H139" s="210">
        <f t="shared" si="2"/>
        <v>0</v>
      </c>
      <c r="I139" s="203" t="s">
        <v>433</v>
      </c>
      <c r="J139" s="203" t="s">
        <v>712</v>
      </c>
      <c r="K139" s="203" t="s">
        <v>712</v>
      </c>
      <c r="L139" s="203" t="s">
        <v>511</v>
      </c>
      <c r="M139" s="203"/>
      <c r="N139" s="203"/>
      <c r="O139" s="203"/>
      <c r="P139" s="276"/>
      <c r="Q139" s="265"/>
      <c r="R139" s="265"/>
      <c r="S139" s="265"/>
      <c r="T139" s="265"/>
      <c r="U139" s="265"/>
    </row>
    <row r="140" spans="1:24" ht="18" customHeight="1">
      <c r="A140" s="204">
        <v>138</v>
      </c>
      <c r="B140" s="202" t="s">
        <v>1032</v>
      </c>
      <c r="C140" s="202" t="s">
        <v>1032</v>
      </c>
      <c r="D140" s="202" t="s">
        <v>462</v>
      </c>
      <c r="E140" s="300">
        <v>113.9</v>
      </c>
      <c r="F140" s="210">
        <v>113.9</v>
      </c>
      <c r="G140" s="210">
        <v>113.9</v>
      </c>
      <c r="H140" s="210">
        <f t="shared" si="2"/>
        <v>0</v>
      </c>
      <c r="I140" s="203" t="s">
        <v>86</v>
      </c>
      <c r="J140" s="203" t="s">
        <v>712</v>
      </c>
      <c r="K140" s="203" t="s">
        <v>712</v>
      </c>
      <c r="L140" s="203" t="s">
        <v>511</v>
      </c>
      <c r="M140" s="203"/>
      <c r="N140" s="203"/>
      <c r="O140" s="203"/>
      <c r="P140" s="276"/>
      <c r="Q140" s="265"/>
      <c r="R140" s="265"/>
      <c r="S140" s="265"/>
      <c r="T140" s="265"/>
      <c r="U140" s="267"/>
    </row>
    <row r="141" spans="1:24" ht="18" customHeight="1">
      <c r="A141" s="204">
        <v>139</v>
      </c>
      <c r="B141" s="202" t="s">
        <v>1033</v>
      </c>
      <c r="C141" s="202" t="s">
        <v>1033</v>
      </c>
      <c r="D141" s="202" t="s">
        <v>7</v>
      </c>
      <c r="E141" s="300">
        <v>441</v>
      </c>
      <c r="F141" s="210">
        <v>441</v>
      </c>
      <c r="G141" s="210">
        <v>441</v>
      </c>
      <c r="H141" s="210">
        <f t="shared" si="2"/>
        <v>0</v>
      </c>
      <c r="I141" s="203" t="s">
        <v>451</v>
      </c>
      <c r="J141" s="203" t="s">
        <v>452</v>
      </c>
      <c r="K141" s="203" t="s">
        <v>452</v>
      </c>
      <c r="L141" s="203" t="s">
        <v>451</v>
      </c>
      <c r="M141" s="203"/>
      <c r="N141" s="203"/>
      <c r="O141" s="203"/>
      <c r="P141" s="276"/>
      <c r="Q141" s="265"/>
      <c r="R141" s="265"/>
      <c r="S141" s="265"/>
      <c r="T141" s="265"/>
      <c r="U141" s="267"/>
    </row>
    <row r="142" spans="1:24" ht="18" customHeight="1">
      <c r="A142" s="204">
        <v>140</v>
      </c>
      <c r="B142" s="202" t="s">
        <v>1034</v>
      </c>
      <c r="C142" s="202" t="s">
        <v>1034</v>
      </c>
      <c r="D142" s="202" t="s">
        <v>93</v>
      </c>
      <c r="E142" s="300">
        <v>90</v>
      </c>
      <c r="F142" s="210">
        <v>90</v>
      </c>
      <c r="G142" s="210">
        <v>90</v>
      </c>
      <c r="H142" s="210">
        <f t="shared" si="2"/>
        <v>0</v>
      </c>
      <c r="I142" s="203" t="s">
        <v>451</v>
      </c>
      <c r="J142" s="203" t="s">
        <v>452</v>
      </c>
      <c r="K142" s="203" t="s">
        <v>452</v>
      </c>
      <c r="L142" s="203" t="s">
        <v>451</v>
      </c>
      <c r="M142" s="203"/>
      <c r="N142" s="203"/>
      <c r="O142" s="203"/>
      <c r="P142" s="276"/>
      <c r="Q142" s="265"/>
      <c r="R142" s="265"/>
      <c r="S142" s="265"/>
      <c r="T142" s="265"/>
      <c r="U142" s="267"/>
    </row>
    <row r="143" spans="1:24" ht="18" customHeight="1">
      <c r="A143" s="204">
        <v>141</v>
      </c>
      <c r="B143" s="202" t="s">
        <v>1035</v>
      </c>
      <c r="C143" s="202" t="s">
        <v>1035</v>
      </c>
      <c r="D143" s="202" t="s">
        <v>93</v>
      </c>
      <c r="E143" s="300">
        <v>500</v>
      </c>
      <c r="F143" s="210">
        <v>500</v>
      </c>
      <c r="G143" s="210">
        <v>500</v>
      </c>
      <c r="H143" s="210">
        <f t="shared" si="2"/>
        <v>0</v>
      </c>
      <c r="I143" s="203" t="s">
        <v>451</v>
      </c>
      <c r="J143" s="203" t="s">
        <v>452</v>
      </c>
      <c r="K143" s="203" t="s">
        <v>452</v>
      </c>
      <c r="L143" s="203" t="s">
        <v>451</v>
      </c>
      <c r="M143" s="203"/>
      <c r="N143" s="203"/>
      <c r="O143" s="203"/>
      <c r="P143" s="276"/>
      <c r="Q143" s="265"/>
      <c r="R143" s="265"/>
      <c r="S143" s="265"/>
      <c r="T143" s="265"/>
      <c r="U143" s="267"/>
    </row>
    <row r="144" spans="1:24" ht="18" customHeight="1">
      <c r="A144" s="204">
        <v>142</v>
      </c>
      <c r="B144" s="202" t="s">
        <v>1036</v>
      </c>
      <c r="C144" s="202" t="s">
        <v>1036</v>
      </c>
      <c r="D144" s="202" t="s">
        <v>93</v>
      </c>
      <c r="E144" s="300">
        <v>466</v>
      </c>
      <c r="F144" s="210">
        <v>466</v>
      </c>
      <c r="G144" s="210">
        <v>466</v>
      </c>
      <c r="H144" s="210">
        <f t="shared" si="2"/>
        <v>0</v>
      </c>
      <c r="I144" s="203" t="s">
        <v>451</v>
      </c>
      <c r="J144" s="203" t="s">
        <v>452</v>
      </c>
      <c r="K144" s="203" t="s">
        <v>452</v>
      </c>
      <c r="L144" s="203" t="s">
        <v>451</v>
      </c>
      <c r="M144" s="203"/>
      <c r="N144" s="203"/>
      <c r="O144" s="203"/>
      <c r="P144" s="276"/>
      <c r="Q144" s="265"/>
      <c r="R144" s="265"/>
      <c r="S144" s="265"/>
      <c r="T144" s="265"/>
      <c r="U144" s="284"/>
      <c r="V144" s="265"/>
      <c r="W144" s="265"/>
      <c r="X144" s="265"/>
    </row>
    <row r="145" spans="1:21" ht="18" customHeight="1">
      <c r="A145" s="204">
        <v>144</v>
      </c>
      <c r="B145" s="202" t="s">
        <v>1037</v>
      </c>
      <c r="C145" s="202" t="s">
        <v>1037</v>
      </c>
      <c r="D145" s="202" t="s">
        <v>93</v>
      </c>
      <c r="E145" s="300">
        <v>187</v>
      </c>
      <c r="F145" s="210">
        <v>187</v>
      </c>
      <c r="G145" s="210">
        <v>187</v>
      </c>
      <c r="H145" s="210">
        <f t="shared" si="2"/>
        <v>0</v>
      </c>
      <c r="I145" s="203" t="s">
        <v>451</v>
      </c>
      <c r="J145" s="203" t="s">
        <v>452</v>
      </c>
      <c r="K145" s="203" t="s">
        <v>452</v>
      </c>
      <c r="L145" s="203" t="s">
        <v>451</v>
      </c>
      <c r="M145" s="203"/>
      <c r="N145" s="203"/>
      <c r="O145" s="203"/>
      <c r="P145" s="276"/>
      <c r="Q145" s="265"/>
      <c r="R145" s="265"/>
      <c r="S145" s="265"/>
      <c r="T145" s="265"/>
      <c r="U145" s="265"/>
    </row>
    <row r="146" spans="1:21" ht="18" customHeight="1">
      <c r="A146" s="204">
        <v>145</v>
      </c>
      <c r="B146" s="202" t="s">
        <v>1038</v>
      </c>
      <c r="C146" s="202" t="s">
        <v>1038</v>
      </c>
      <c r="D146" s="202" t="s">
        <v>455</v>
      </c>
      <c r="E146" s="300">
        <v>7230</v>
      </c>
      <c r="F146" s="210">
        <v>351</v>
      </c>
      <c r="G146" s="210">
        <v>351</v>
      </c>
      <c r="H146" s="210">
        <f t="shared" si="2"/>
        <v>0</v>
      </c>
      <c r="I146" s="203" t="s">
        <v>86</v>
      </c>
      <c r="J146" s="203" t="s">
        <v>715</v>
      </c>
      <c r="K146" s="203" t="s">
        <v>715</v>
      </c>
      <c r="L146" s="203" t="s">
        <v>511</v>
      </c>
      <c r="M146" s="203"/>
      <c r="N146" s="203"/>
      <c r="O146" s="203"/>
      <c r="P146" s="276"/>
      <c r="Q146" s="265"/>
      <c r="R146" s="265"/>
      <c r="S146" s="265"/>
      <c r="T146" s="265"/>
      <c r="U146" s="265"/>
    </row>
    <row r="147" spans="1:21" ht="18" customHeight="1">
      <c r="A147" s="204">
        <v>146</v>
      </c>
      <c r="B147" s="202" t="s">
        <v>1039</v>
      </c>
      <c r="C147" s="202" t="s">
        <v>1039</v>
      </c>
      <c r="D147" s="202" t="s">
        <v>93</v>
      </c>
      <c r="E147" s="300">
        <v>1621</v>
      </c>
      <c r="F147" s="210">
        <v>1621</v>
      </c>
      <c r="G147" s="210">
        <v>1621</v>
      </c>
      <c r="H147" s="210">
        <f t="shared" si="2"/>
        <v>0</v>
      </c>
      <c r="I147" s="203" t="s">
        <v>432</v>
      </c>
      <c r="J147" s="203" t="s">
        <v>452</v>
      </c>
      <c r="K147" s="203" t="s">
        <v>452</v>
      </c>
      <c r="L147" s="203" t="s">
        <v>451</v>
      </c>
      <c r="M147" s="203"/>
      <c r="N147" s="203"/>
      <c r="O147" s="203"/>
      <c r="P147" s="276"/>
      <c r="Q147" s="265"/>
      <c r="R147" s="265"/>
      <c r="S147" s="265"/>
      <c r="T147" s="265"/>
      <c r="U147" s="265"/>
    </row>
    <row r="148" spans="1:21" ht="18" customHeight="1">
      <c r="A148" s="204">
        <v>147</v>
      </c>
      <c r="B148" s="202" t="s">
        <v>1040</v>
      </c>
      <c r="C148" s="202" t="s">
        <v>1040</v>
      </c>
      <c r="D148" s="202" t="s">
        <v>93</v>
      </c>
      <c r="E148" s="300">
        <v>282</v>
      </c>
      <c r="F148" s="210">
        <v>282</v>
      </c>
      <c r="G148" s="210">
        <v>282</v>
      </c>
      <c r="H148" s="210">
        <f t="shared" si="2"/>
        <v>0</v>
      </c>
      <c r="I148" s="203" t="s">
        <v>451</v>
      </c>
      <c r="J148" s="203" t="s">
        <v>452</v>
      </c>
      <c r="K148" s="203" t="s">
        <v>452</v>
      </c>
      <c r="L148" s="203" t="s">
        <v>451</v>
      </c>
      <c r="M148" s="203"/>
      <c r="N148" s="203"/>
      <c r="O148" s="203"/>
      <c r="P148" s="276"/>
      <c r="Q148" s="265"/>
      <c r="R148" s="265"/>
      <c r="S148" s="265"/>
      <c r="T148" s="265"/>
      <c r="U148" s="265"/>
    </row>
    <row r="149" spans="1:21" ht="18" customHeight="1">
      <c r="A149" s="204">
        <v>148</v>
      </c>
      <c r="B149" s="202" t="s">
        <v>1041</v>
      </c>
      <c r="C149" s="202" t="s">
        <v>1041</v>
      </c>
      <c r="D149" s="202" t="s">
        <v>93</v>
      </c>
      <c r="E149" s="300">
        <v>396</v>
      </c>
      <c r="F149" s="210">
        <v>396</v>
      </c>
      <c r="G149" s="210">
        <v>396</v>
      </c>
      <c r="H149" s="210">
        <f t="shared" si="2"/>
        <v>0</v>
      </c>
      <c r="I149" s="203" t="s">
        <v>451</v>
      </c>
      <c r="J149" s="203" t="s">
        <v>452</v>
      </c>
      <c r="K149" s="203" t="s">
        <v>452</v>
      </c>
      <c r="L149" s="203" t="s">
        <v>451</v>
      </c>
      <c r="M149" s="203"/>
      <c r="N149" s="203"/>
      <c r="O149" s="203"/>
      <c r="P149" s="276"/>
      <c r="Q149" s="265"/>
      <c r="R149" s="265"/>
      <c r="S149" s="265"/>
      <c r="T149" s="265"/>
      <c r="U149" s="265"/>
    </row>
    <row r="150" spans="1:21" ht="18" customHeight="1">
      <c r="A150" s="204">
        <v>149</v>
      </c>
      <c r="B150" s="202" t="s">
        <v>1042</v>
      </c>
      <c r="C150" s="202" t="s">
        <v>1042</v>
      </c>
      <c r="D150" s="202" t="s">
        <v>93</v>
      </c>
      <c r="E150" s="300">
        <v>810</v>
      </c>
      <c r="F150" s="210">
        <v>810</v>
      </c>
      <c r="G150" s="210">
        <v>810</v>
      </c>
      <c r="H150" s="210">
        <f t="shared" si="2"/>
        <v>0</v>
      </c>
      <c r="I150" s="203" t="s">
        <v>451</v>
      </c>
      <c r="J150" s="203" t="s">
        <v>452</v>
      </c>
      <c r="K150" s="203" t="s">
        <v>452</v>
      </c>
      <c r="L150" s="203" t="s">
        <v>451</v>
      </c>
      <c r="M150" s="203"/>
      <c r="N150" s="203"/>
      <c r="O150" s="203"/>
      <c r="P150" s="276"/>
      <c r="Q150" s="265"/>
      <c r="R150" s="265"/>
      <c r="S150" s="265"/>
      <c r="T150" s="265"/>
      <c r="U150" s="265"/>
    </row>
    <row r="151" spans="1:21" ht="18" customHeight="1">
      <c r="A151" s="204">
        <v>150</v>
      </c>
      <c r="B151" s="202" t="s">
        <v>1043</v>
      </c>
      <c r="C151" s="202" t="s">
        <v>1043</v>
      </c>
      <c r="D151" s="202" t="s">
        <v>93</v>
      </c>
      <c r="E151" s="300">
        <v>519</v>
      </c>
      <c r="F151" s="210">
        <v>519</v>
      </c>
      <c r="G151" s="210">
        <v>519</v>
      </c>
      <c r="H151" s="210">
        <f t="shared" si="2"/>
        <v>0</v>
      </c>
      <c r="I151" s="203" t="s">
        <v>451</v>
      </c>
      <c r="J151" s="203" t="s">
        <v>452</v>
      </c>
      <c r="K151" s="203" t="s">
        <v>452</v>
      </c>
      <c r="L151" s="203" t="s">
        <v>451</v>
      </c>
      <c r="M151" s="203"/>
      <c r="N151" s="203"/>
      <c r="O151" s="203"/>
      <c r="P151" s="276"/>
      <c r="Q151" s="265"/>
      <c r="R151" s="265"/>
      <c r="S151" s="265"/>
      <c r="T151" s="265"/>
      <c r="U151" s="265"/>
    </row>
    <row r="152" spans="1:21" ht="18" customHeight="1">
      <c r="A152" s="204">
        <v>151</v>
      </c>
      <c r="B152" s="202" t="s">
        <v>96</v>
      </c>
      <c r="C152" s="202" t="s">
        <v>96</v>
      </c>
      <c r="D152" s="202" t="s">
        <v>93</v>
      </c>
      <c r="E152" s="300">
        <v>54</v>
      </c>
      <c r="F152" s="210">
        <v>54</v>
      </c>
      <c r="G152" s="210">
        <v>54</v>
      </c>
      <c r="H152" s="210">
        <f t="shared" si="2"/>
        <v>0</v>
      </c>
      <c r="I152" s="203" t="s">
        <v>451</v>
      </c>
      <c r="J152" s="203" t="s">
        <v>452</v>
      </c>
      <c r="K152" s="203" t="s">
        <v>452</v>
      </c>
      <c r="L152" s="203" t="s">
        <v>451</v>
      </c>
      <c r="M152" s="203"/>
      <c r="N152" s="203"/>
      <c r="O152" s="203"/>
      <c r="P152" s="276"/>
      <c r="Q152" s="265"/>
      <c r="R152" s="265"/>
      <c r="S152" s="265"/>
      <c r="T152" s="265"/>
      <c r="U152" s="265"/>
    </row>
    <row r="153" spans="1:21" ht="18" customHeight="1">
      <c r="A153" s="204">
        <v>152</v>
      </c>
      <c r="B153" s="202" t="s">
        <v>1044</v>
      </c>
      <c r="C153" s="202" t="s">
        <v>1044</v>
      </c>
      <c r="D153" s="202" t="s">
        <v>93</v>
      </c>
      <c r="E153" s="300">
        <v>208</v>
      </c>
      <c r="F153" s="210">
        <v>208</v>
      </c>
      <c r="G153" s="210">
        <v>208</v>
      </c>
      <c r="H153" s="210">
        <f t="shared" si="2"/>
        <v>0</v>
      </c>
      <c r="I153" s="203" t="s">
        <v>451</v>
      </c>
      <c r="J153" s="203" t="s">
        <v>452</v>
      </c>
      <c r="K153" s="203" t="s">
        <v>452</v>
      </c>
      <c r="L153" s="203" t="s">
        <v>451</v>
      </c>
      <c r="M153" s="203"/>
      <c r="N153" s="203"/>
      <c r="O153" s="203"/>
      <c r="P153" s="276"/>
      <c r="Q153" s="265"/>
      <c r="R153" s="265"/>
      <c r="S153" s="265"/>
      <c r="T153" s="265"/>
      <c r="U153" s="265"/>
    </row>
    <row r="154" spans="1:21" ht="18" customHeight="1">
      <c r="A154" s="204">
        <v>153</v>
      </c>
      <c r="B154" s="202" t="s">
        <v>95</v>
      </c>
      <c r="C154" s="202" t="s">
        <v>95</v>
      </c>
      <c r="D154" s="202" t="s">
        <v>93</v>
      </c>
      <c r="E154" s="300">
        <v>227</v>
      </c>
      <c r="F154" s="210">
        <v>227</v>
      </c>
      <c r="G154" s="210">
        <v>227</v>
      </c>
      <c r="H154" s="210">
        <f t="shared" si="2"/>
        <v>0</v>
      </c>
      <c r="I154" s="203" t="s">
        <v>451</v>
      </c>
      <c r="J154" s="203" t="s">
        <v>452</v>
      </c>
      <c r="K154" s="203" t="s">
        <v>452</v>
      </c>
      <c r="L154" s="203" t="s">
        <v>451</v>
      </c>
      <c r="M154" s="203"/>
      <c r="N154" s="203"/>
      <c r="O154" s="203"/>
      <c r="P154" s="276"/>
      <c r="Q154" s="265"/>
      <c r="R154" s="265"/>
      <c r="S154" s="265"/>
      <c r="T154" s="265"/>
      <c r="U154" s="265"/>
    </row>
    <row r="155" spans="1:21" ht="18" customHeight="1">
      <c r="A155" s="204">
        <v>154</v>
      </c>
      <c r="B155" s="202" t="s">
        <v>1045</v>
      </c>
      <c r="C155" s="202" t="s">
        <v>1045</v>
      </c>
      <c r="D155" s="202" t="s">
        <v>93</v>
      </c>
      <c r="E155" s="300">
        <v>813</v>
      </c>
      <c r="F155" s="210">
        <v>813</v>
      </c>
      <c r="G155" s="210">
        <v>813</v>
      </c>
      <c r="H155" s="210">
        <f t="shared" si="2"/>
        <v>0</v>
      </c>
      <c r="I155" s="203" t="s">
        <v>451</v>
      </c>
      <c r="J155" s="203" t="s">
        <v>452</v>
      </c>
      <c r="K155" s="203" t="s">
        <v>452</v>
      </c>
      <c r="L155" s="203" t="s">
        <v>451</v>
      </c>
      <c r="M155" s="203"/>
      <c r="N155" s="203"/>
      <c r="O155" s="203"/>
      <c r="P155" s="276"/>
      <c r="Q155" s="265"/>
      <c r="R155" s="265"/>
      <c r="S155" s="265"/>
      <c r="T155" s="265"/>
      <c r="U155" s="265"/>
    </row>
    <row r="156" spans="1:21" ht="18" customHeight="1">
      <c r="A156" s="204">
        <v>155</v>
      </c>
      <c r="B156" s="202" t="s">
        <v>94</v>
      </c>
      <c r="C156" s="202" t="s">
        <v>94</v>
      </c>
      <c r="D156" s="202" t="s">
        <v>93</v>
      </c>
      <c r="E156" s="300">
        <v>641</v>
      </c>
      <c r="F156" s="210">
        <v>641</v>
      </c>
      <c r="G156" s="210">
        <v>641</v>
      </c>
      <c r="H156" s="210">
        <f t="shared" si="2"/>
        <v>0</v>
      </c>
      <c r="I156" s="203" t="s">
        <v>451</v>
      </c>
      <c r="J156" s="203" t="s">
        <v>452</v>
      </c>
      <c r="K156" s="203" t="s">
        <v>452</v>
      </c>
      <c r="L156" s="203" t="s">
        <v>451</v>
      </c>
      <c r="M156" s="203"/>
      <c r="N156" s="203"/>
      <c r="O156" s="203"/>
      <c r="P156" s="276"/>
      <c r="Q156" s="265"/>
      <c r="R156" s="265"/>
      <c r="S156" s="265"/>
      <c r="T156" s="265"/>
      <c r="U156" s="265"/>
    </row>
    <row r="157" spans="1:21" ht="18" customHeight="1">
      <c r="A157" s="204">
        <v>156</v>
      </c>
      <c r="B157" s="202" t="s">
        <v>1046</v>
      </c>
      <c r="C157" s="202" t="s">
        <v>1046</v>
      </c>
      <c r="D157" s="202" t="s">
        <v>93</v>
      </c>
      <c r="E157" s="300">
        <v>423</v>
      </c>
      <c r="F157" s="210">
        <v>423</v>
      </c>
      <c r="G157" s="210">
        <v>423</v>
      </c>
      <c r="H157" s="210">
        <f t="shared" si="2"/>
        <v>0</v>
      </c>
      <c r="I157" s="203" t="s">
        <v>451</v>
      </c>
      <c r="J157" s="203" t="s">
        <v>452</v>
      </c>
      <c r="K157" s="203" t="s">
        <v>452</v>
      </c>
      <c r="L157" s="203" t="s">
        <v>451</v>
      </c>
      <c r="M157" s="203"/>
      <c r="N157" s="203"/>
      <c r="O157" s="203"/>
      <c r="P157" s="276"/>
      <c r="Q157" s="265"/>
      <c r="R157" s="265"/>
      <c r="S157" s="265"/>
      <c r="T157" s="265"/>
      <c r="U157" s="265"/>
    </row>
    <row r="158" spans="1:21" ht="18" customHeight="1">
      <c r="A158" s="204">
        <v>157</v>
      </c>
      <c r="B158" s="202" t="s">
        <v>1047</v>
      </c>
      <c r="C158" s="202" t="s">
        <v>1047</v>
      </c>
      <c r="D158" s="202" t="s">
        <v>7</v>
      </c>
      <c r="E158" s="300">
        <v>42</v>
      </c>
      <c r="F158" s="210">
        <v>33</v>
      </c>
      <c r="G158" s="210">
        <v>33</v>
      </c>
      <c r="H158" s="210">
        <f t="shared" si="2"/>
        <v>0</v>
      </c>
      <c r="I158" s="203" t="s">
        <v>451</v>
      </c>
      <c r="J158" s="203" t="s">
        <v>452</v>
      </c>
      <c r="K158" s="203" t="s">
        <v>452</v>
      </c>
      <c r="L158" s="203" t="s">
        <v>451</v>
      </c>
      <c r="M158" s="203"/>
      <c r="N158" s="203"/>
      <c r="O158" s="203"/>
      <c r="P158" s="276"/>
      <c r="Q158" s="265"/>
      <c r="R158" s="265"/>
      <c r="S158" s="265"/>
      <c r="T158" s="265"/>
      <c r="U158" s="265"/>
    </row>
    <row r="159" spans="1:21" ht="18" customHeight="1">
      <c r="A159" s="204">
        <v>158</v>
      </c>
      <c r="B159" s="202" t="s">
        <v>1048</v>
      </c>
      <c r="C159" s="202" t="s">
        <v>1048</v>
      </c>
      <c r="D159" s="202" t="s">
        <v>455</v>
      </c>
      <c r="E159" s="300">
        <v>128</v>
      </c>
      <c r="F159" s="210">
        <v>23</v>
      </c>
      <c r="G159" s="210">
        <v>23</v>
      </c>
      <c r="H159" s="210">
        <f t="shared" si="2"/>
        <v>0</v>
      </c>
      <c r="I159" s="203" t="s">
        <v>432</v>
      </c>
      <c r="J159" s="203" t="s">
        <v>452</v>
      </c>
      <c r="K159" s="203" t="s">
        <v>452</v>
      </c>
      <c r="L159" s="203" t="s">
        <v>451</v>
      </c>
      <c r="M159" s="203"/>
      <c r="N159" s="203"/>
      <c r="O159" s="203"/>
      <c r="P159" s="276"/>
      <c r="Q159" s="265"/>
      <c r="R159" s="265"/>
      <c r="S159" s="265"/>
      <c r="T159" s="265"/>
      <c r="U159" s="265"/>
    </row>
    <row r="160" spans="1:21" ht="18" customHeight="1">
      <c r="A160" s="204">
        <v>159</v>
      </c>
      <c r="B160" s="202" t="s">
        <v>1049</v>
      </c>
      <c r="C160" s="202" t="s">
        <v>1049</v>
      </c>
      <c r="D160" s="202" t="s">
        <v>455</v>
      </c>
      <c r="E160" s="300">
        <v>8</v>
      </c>
      <c r="F160" s="210">
        <v>8</v>
      </c>
      <c r="G160" s="210">
        <v>8</v>
      </c>
      <c r="H160" s="210">
        <f t="shared" si="2"/>
        <v>0</v>
      </c>
      <c r="I160" s="203" t="s">
        <v>85</v>
      </c>
      <c r="J160" s="203" t="s">
        <v>452</v>
      </c>
      <c r="K160" s="203" t="s">
        <v>452</v>
      </c>
      <c r="L160" s="203" t="s">
        <v>451</v>
      </c>
      <c r="M160" s="203"/>
      <c r="N160" s="203"/>
      <c r="O160" s="203"/>
      <c r="P160" s="276"/>
      <c r="Q160" s="265"/>
      <c r="R160" s="265"/>
      <c r="S160" s="265"/>
      <c r="T160" s="265"/>
      <c r="U160" s="267"/>
    </row>
    <row r="161" spans="1:24" ht="18" customHeight="1">
      <c r="A161" s="204">
        <v>160</v>
      </c>
      <c r="B161" s="202" t="s">
        <v>1050</v>
      </c>
      <c r="C161" s="202" t="s">
        <v>1050</v>
      </c>
      <c r="D161" s="202" t="s">
        <v>459</v>
      </c>
      <c r="E161" s="300">
        <v>55</v>
      </c>
      <c r="F161" s="210">
        <v>55</v>
      </c>
      <c r="G161" s="210">
        <v>55</v>
      </c>
      <c r="H161" s="210">
        <f t="shared" si="2"/>
        <v>0</v>
      </c>
      <c r="I161" s="203" t="s">
        <v>432</v>
      </c>
      <c r="J161" s="203" t="s">
        <v>537</v>
      </c>
      <c r="K161" s="203" t="s">
        <v>537</v>
      </c>
      <c r="L161" s="203" t="s">
        <v>451</v>
      </c>
      <c r="M161" s="203"/>
      <c r="N161" s="203"/>
      <c r="O161" s="203"/>
      <c r="P161" s="276"/>
      <c r="Q161" s="265"/>
      <c r="R161" s="265"/>
      <c r="S161" s="265"/>
      <c r="T161" s="265"/>
      <c r="U161" s="267"/>
    </row>
    <row r="162" spans="1:24" ht="18" customHeight="1">
      <c r="A162" s="204">
        <v>161</v>
      </c>
      <c r="B162" s="202" t="s">
        <v>1051</v>
      </c>
      <c r="C162" s="202" t="s">
        <v>1051</v>
      </c>
      <c r="D162" s="202" t="s">
        <v>93</v>
      </c>
      <c r="E162" s="300">
        <v>1060</v>
      </c>
      <c r="F162" s="210">
        <v>316</v>
      </c>
      <c r="G162" s="210">
        <v>316</v>
      </c>
      <c r="H162" s="210">
        <f t="shared" si="2"/>
        <v>0</v>
      </c>
      <c r="I162" s="203" t="s">
        <v>85</v>
      </c>
      <c r="J162" s="203" t="s">
        <v>537</v>
      </c>
      <c r="K162" s="203" t="s">
        <v>537</v>
      </c>
      <c r="L162" s="203" t="s">
        <v>451</v>
      </c>
      <c r="M162" s="203"/>
      <c r="N162" s="203"/>
      <c r="O162" s="203"/>
      <c r="P162" s="276"/>
      <c r="Q162" s="265"/>
      <c r="R162" s="265"/>
      <c r="S162" s="265"/>
      <c r="T162" s="265"/>
      <c r="U162" s="267"/>
    </row>
    <row r="163" spans="1:24" ht="18" customHeight="1">
      <c r="A163" s="204">
        <v>162</v>
      </c>
      <c r="B163" s="202" t="s">
        <v>1052</v>
      </c>
      <c r="C163" s="202" t="s">
        <v>1052</v>
      </c>
      <c r="D163" s="202" t="s">
        <v>455</v>
      </c>
      <c r="E163" s="300">
        <v>1242</v>
      </c>
      <c r="F163" s="210">
        <v>267</v>
      </c>
      <c r="G163" s="210">
        <v>267</v>
      </c>
      <c r="H163" s="210">
        <f t="shared" si="2"/>
        <v>0</v>
      </c>
      <c r="I163" s="203" t="s">
        <v>433</v>
      </c>
      <c r="J163" s="203" t="s">
        <v>715</v>
      </c>
      <c r="K163" s="203" t="s">
        <v>715</v>
      </c>
      <c r="L163" s="203" t="s">
        <v>511</v>
      </c>
      <c r="M163" s="203"/>
      <c r="N163" s="203"/>
      <c r="O163" s="203"/>
      <c r="P163" s="276"/>
      <c r="Q163" s="265"/>
      <c r="R163" s="265"/>
      <c r="S163" s="265"/>
      <c r="T163" s="265"/>
      <c r="U163" s="267"/>
    </row>
    <row r="164" spans="1:24" ht="18" customHeight="1">
      <c r="A164" s="204">
        <v>163</v>
      </c>
      <c r="B164" s="202" t="s">
        <v>1053</v>
      </c>
      <c r="C164" s="202" t="s">
        <v>1053</v>
      </c>
      <c r="D164" s="202" t="s">
        <v>93</v>
      </c>
      <c r="E164" s="300">
        <v>355</v>
      </c>
      <c r="F164" s="210">
        <v>355</v>
      </c>
      <c r="G164" s="210">
        <v>355</v>
      </c>
      <c r="H164" s="210">
        <f t="shared" si="2"/>
        <v>0</v>
      </c>
      <c r="I164" s="203" t="s">
        <v>85</v>
      </c>
      <c r="J164" s="203" t="s">
        <v>452</v>
      </c>
      <c r="K164" s="203" t="s">
        <v>452</v>
      </c>
      <c r="L164" s="203" t="s">
        <v>451</v>
      </c>
      <c r="M164" s="203"/>
      <c r="N164" s="203"/>
      <c r="O164" s="203"/>
      <c r="P164" s="276"/>
      <c r="Q164" s="265"/>
      <c r="R164" s="265"/>
      <c r="S164" s="265"/>
      <c r="T164" s="265"/>
      <c r="U164" s="284"/>
      <c r="V164" s="265"/>
      <c r="W164" s="265"/>
      <c r="X164" s="265"/>
    </row>
    <row r="165" spans="1:24" ht="18" customHeight="1">
      <c r="A165" s="204">
        <v>164</v>
      </c>
      <c r="B165" s="202" t="s">
        <v>1054</v>
      </c>
      <c r="C165" s="202" t="s">
        <v>1054</v>
      </c>
      <c r="D165" s="202" t="s">
        <v>455</v>
      </c>
      <c r="E165" s="300">
        <v>287</v>
      </c>
      <c r="F165" s="210">
        <v>287</v>
      </c>
      <c r="G165" s="210">
        <v>287</v>
      </c>
      <c r="H165" s="210">
        <f t="shared" si="2"/>
        <v>0</v>
      </c>
      <c r="I165" s="203" t="s">
        <v>85</v>
      </c>
      <c r="J165" s="203" t="s">
        <v>452</v>
      </c>
      <c r="K165" s="203" t="s">
        <v>452</v>
      </c>
      <c r="L165" s="203" t="s">
        <v>451</v>
      </c>
      <c r="M165" s="203"/>
      <c r="N165" s="203"/>
      <c r="O165" s="203"/>
      <c r="P165" s="276"/>
      <c r="Q165" s="265"/>
      <c r="R165" s="265"/>
      <c r="S165" s="265"/>
      <c r="T165" s="265"/>
      <c r="U165" s="265"/>
    </row>
    <row r="166" spans="1:24" ht="18" customHeight="1">
      <c r="A166" s="204">
        <v>165</v>
      </c>
      <c r="B166" s="202" t="s">
        <v>1055</v>
      </c>
      <c r="C166" s="202" t="s">
        <v>1055</v>
      </c>
      <c r="D166" s="202" t="s">
        <v>93</v>
      </c>
      <c r="E166" s="300">
        <v>63</v>
      </c>
      <c r="F166" s="210">
        <v>63</v>
      </c>
      <c r="G166" s="210">
        <v>63</v>
      </c>
      <c r="H166" s="210">
        <f t="shared" si="2"/>
        <v>0</v>
      </c>
      <c r="I166" s="203" t="s">
        <v>432</v>
      </c>
      <c r="J166" s="203" t="s">
        <v>452</v>
      </c>
      <c r="K166" s="203" t="s">
        <v>452</v>
      </c>
      <c r="L166" s="203" t="s">
        <v>451</v>
      </c>
      <c r="M166" s="203"/>
      <c r="N166" s="203"/>
      <c r="O166" s="203"/>
      <c r="P166" s="276"/>
      <c r="Q166" s="265"/>
      <c r="R166" s="265"/>
      <c r="S166" s="265"/>
      <c r="T166" s="265"/>
      <c r="U166" s="265"/>
    </row>
    <row r="167" spans="1:24" ht="18" customHeight="1">
      <c r="A167" s="204">
        <v>166</v>
      </c>
      <c r="B167" s="202" t="s">
        <v>1056</v>
      </c>
      <c r="C167" s="202" t="s">
        <v>1056</v>
      </c>
      <c r="D167" s="202" t="s">
        <v>7</v>
      </c>
      <c r="E167" s="300">
        <v>136</v>
      </c>
      <c r="F167" s="210">
        <v>136</v>
      </c>
      <c r="G167" s="210">
        <v>136</v>
      </c>
      <c r="H167" s="210">
        <f t="shared" si="2"/>
        <v>0</v>
      </c>
      <c r="I167" s="203" t="s">
        <v>85</v>
      </c>
      <c r="J167" s="203" t="s">
        <v>452</v>
      </c>
      <c r="K167" s="203" t="s">
        <v>452</v>
      </c>
      <c r="L167" s="203" t="s">
        <v>451</v>
      </c>
      <c r="M167" s="203"/>
      <c r="N167" s="203"/>
      <c r="O167" s="203"/>
      <c r="P167" s="276"/>
      <c r="Q167" s="265"/>
      <c r="R167" s="265"/>
      <c r="S167" s="265"/>
      <c r="T167" s="265"/>
      <c r="U167" s="265"/>
    </row>
    <row r="168" spans="1:24" ht="18" customHeight="1">
      <c r="A168" s="204">
        <v>167</v>
      </c>
      <c r="B168" s="202" t="s">
        <v>1057</v>
      </c>
      <c r="C168" s="202" t="s">
        <v>1057</v>
      </c>
      <c r="D168" s="202" t="s">
        <v>455</v>
      </c>
      <c r="E168" s="300">
        <v>46</v>
      </c>
      <c r="F168" s="210">
        <v>46</v>
      </c>
      <c r="G168" s="210">
        <v>46</v>
      </c>
      <c r="H168" s="210">
        <f t="shared" si="2"/>
        <v>0</v>
      </c>
      <c r="I168" s="203" t="s">
        <v>432</v>
      </c>
      <c r="J168" s="203" t="s">
        <v>452</v>
      </c>
      <c r="K168" s="203" t="s">
        <v>452</v>
      </c>
      <c r="L168" s="203" t="s">
        <v>451</v>
      </c>
      <c r="M168" s="203"/>
      <c r="N168" s="203"/>
      <c r="O168" s="203"/>
      <c r="P168" s="276"/>
      <c r="Q168" s="265"/>
      <c r="R168" s="265"/>
      <c r="S168" s="265"/>
      <c r="T168" s="265"/>
      <c r="U168" s="265"/>
    </row>
    <row r="169" spans="1:24" ht="18" customHeight="1">
      <c r="A169" s="204">
        <v>168</v>
      </c>
      <c r="B169" s="202" t="s">
        <v>1058</v>
      </c>
      <c r="C169" s="202" t="s">
        <v>1058</v>
      </c>
      <c r="D169" s="202" t="s">
        <v>455</v>
      </c>
      <c r="E169" s="300">
        <v>7</v>
      </c>
      <c r="F169" s="210">
        <v>7</v>
      </c>
      <c r="G169" s="210">
        <v>7</v>
      </c>
      <c r="H169" s="210">
        <f t="shared" si="2"/>
        <v>0</v>
      </c>
      <c r="I169" s="203" t="s">
        <v>86</v>
      </c>
      <c r="J169" s="203" t="s">
        <v>715</v>
      </c>
      <c r="K169" s="203" t="s">
        <v>715</v>
      </c>
      <c r="L169" s="203" t="s">
        <v>511</v>
      </c>
      <c r="M169" s="203"/>
      <c r="N169" s="203"/>
      <c r="O169" s="203"/>
      <c r="P169" s="276"/>
      <c r="Q169" s="265"/>
      <c r="R169" s="265"/>
      <c r="S169" s="265"/>
      <c r="T169" s="265"/>
      <c r="U169" s="265"/>
    </row>
    <row r="170" spans="1:24" ht="18" customHeight="1">
      <c r="A170" s="204">
        <v>169</v>
      </c>
      <c r="B170" s="202" t="s">
        <v>1059</v>
      </c>
      <c r="C170" s="202" t="s">
        <v>1059</v>
      </c>
      <c r="D170" s="202" t="s">
        <v>455</v>
      </c>
      <c r="E170" s="300">
        <v>1068</v>
      </c>
      <c r="F170" s="210">
        <v>1102</v>
      </c>
      <c r="G170" s="210">
        <v>1102</v>
      </c>
      <c r="H170" s="210">
        <f t="shared" si="2"/>
        <v>0</v>
      </c>
      <c r="I170" s="203" t="s">
        <v>432</v>
      </c>
      <c r="J170" s="203" t="s">
        <v>452</v>
      </c>
      <c r="K170" s="203" t="s">
        <v>452</v>
      </c>
      <c r="L170" s="203" t="s">
        <v>451</v>
      </c>
      <c r="M170" s="203"/>
      <c r="N170" s="203"/>
      <c r="O170" s="203"/>
      <c r="P170" s="276"/>
      <c r="Q170" s="265"/>
      <c r="R170" s="265"/>
      <c r="S170" s="265"/>
      <c r="T170" s="265"/>
      <c r="U170" s="265"/>
    </row>
    <row r="171" spans="1:24" ht="18" customHeight="1">
      <c r="A171" s="204">
        <v>170</v>
      </c>
      <c r="B171" s="202" t="s">
        <v>1060</v>
      </c>
      <c r="C171" s="202" t="s">
        <v>1060</v>
      </c>
      <c r="D171" s="202" t="s">
        <v>455</v>
      </c>
      <c r="E171" s="300">
        <v>472</v>
      </c>
      <c r="F171" s="210">
        <v>219</v>
      </c>
      <c r="G171" s="210">
        <v>219</v>
      </c>
      <c r="H171" s="210">
        <f t="shared" si="2"/>
        <v>0</v>
      </c>
      <c r="I171" s="203" t="s">
        <v>86</v>
      </c>
      <c r="J171" s="203" t="s">
        <v>715</v>
      </c>
      <c r="K171" s="203" t="s">
        <v>715</v>
      </c>
      <c r="L171" s="203" t="s">
        <v>511</v>
      </c>
      <c r="M171" s="203"/>
      <c r="N171" s="203"/>
      <c r="O171" s="203"/>
      <c r="P171" s="276"/>
      <c r="Q171" s="265"/>
      <c r="R171" s="265"/>
      <c r="S171" s="265"/>
      <c r="T171" s="265"/>
      <c r="U171" s="265"/>
    </row>
    <row r="172" spans="1:24" ht="18" customHeight="1">
      <c r="A172" s="204">
        <v>171</v>
      </c>
      <c r="B172" s="202" t="s">
        <v>1061</v>
      </c>
      <c r="C172" s="202" t="s">
        <v>1061</v>
      </c>
      <c r="D172" s="202" t="s">
        <v>455</v>
      </c>
      <c r="E172" s="300">
        <v>416</v>
      </c>
      <c r="F172" s="210">
        <v>59</v>
      </c>
      <c r="G172" s="210">
        <v>59</v>
      </c>
      <c r="H172" s="210">
        <f t="shared" si="2"/>
        <v>0</v>
      </c>
      <c r="I172" s="203" t="s">
        <v>432</v>
      </c>
      <c r="J172" s="203" t="s">
        <v>452</v>
      </c>
      <c r="K172" s="203" t="s">
        <v>452</v>
      </c>
      <c r="L172" s="203" t="s">
        <v>451</v>
      </c>
      <c r="M172" s="203"/>
      <c r="N172" s="203"/>
      <c r="O172" s="203"/>
      <c r="P172" s="276"/>
      <c r="Q172" s="265"/>
      <c r="R172" s="265"/>
      <c r="S172" s="265"/>
      <c r="T172" s="265"/>
      <c r="U172" s="265"/>
    </row>
    <row r="173" spans="1:24" ht="18" customHeight="1">
      <c r="A173" s="204">
        <v>172</v>
      </c>
      <c r="B173" s="202" t="s">
        <v>1062</v>
      </c>
      <c r="C173" s="202" t="s">
        <v>1062</v>
      </c>
      <c r="D173" s="202" t="s">
        <v>455</v>
      </c>
      <c r="E173" s="300">
        <v>191</v>
      </c>
      <c r="F173" s="210">
        <v>43</v>
      </c>
      <c r="G173" s="210">
        <v>43</v>
      </c>
      <c r="H173" s="210">
        <f t="shared" si="2"/>
        <v>0</v>
      </c>
      <c r="I173" s="203" t="s">
        <v>85</v>
      </c>
      <c r="J173" s="203" t="s">
        <v>452</v>
      </c>
      <c r="K173" s="203" t="s">
        <v>452</v>
      </c>
      <c r="L173" s="203" t="s">
        <v>451</v>
      </c>
      <c r="M173" s="203"/>
      <c r="N173" s="203"/>
      <c r="O173" s="203"/>
      <c r="P173" s="276"/>
      <c r="Q173" s="265"/>
      <c r="R173" s="265"/>
      <c r="S173" s="265"/>
      <c r="T173" s="265"/>
      <c r="U173" s="265"/>
    </row>
    <row r="174" spans="1:24" ht="18" customHeight="1">
      <c r="A174" s="204">
        <v>173</v>
      </c>
      <c r="B174" s="202" t="s">
        <v>1063</v>
      </c>
      <c r="C174" s="202" t="s">
        <v>1063</v>
      </c>
      <c r="D174" s="202" t="s">
        <v>455</v>
      </c>
      <c r="E174" s="300">
        <v>210</v>
      </c>
      <c r="F174" s="210">
        <v>210</v>
      </c>
      <c r="G174" s="210">
        <v>210</v>
      </c>
      <c r="H174" s="210">
        <f t="shared" si="2"/>
        <v>0</v>
      </c>
      <c r="I174" s="203" t="s">
        <v>432</v>
      </c>
      <c r="J174" s="203" t="s">
        <v>452</v>
      </c>
      <c r="K174" s="203" t="s">
        <v>452</v>
      </c>
      <c r="L174" s="203" t="s">
        <v>451</v>
      </c>
      <c r="M174" s="203"/>
      <c r="N174" s="203"/>
      <c r="O174" s="203"/>
      <c r="P174" s="276"/>
      <c r="Q174" s="265"/>
      <c r="R174" s="265"/>
      <c r="S174" s="265"/>
      <c r="T174" s="265"/>
      <c r="U174" s="265"/>
    </row>
    <row r="175" spans="1:24" ht="18" customHeight="1">
      <c r="A175" s="204">
        <v>174</v>
      </c>
      <c r="B175" s="202" t="s">
        <v>1064</v>
      </c>
      <c r="C175" s="202" t="s">
        <v>1064</v>
      </c>
      <c r="D175" s="202" t="s">
        <v>93</v>
      </c>
      <c r="E175" s="300">
        <v>12</v>
      </c>
      <c r="F175" s="210">
        <v>12</v>
      </c>
      <c r="G175" s="210">
        <v>12</v>
      </c>
      <c r="H175" s="210">
        <f t="shared" si="2"/>
        <v>0</v>
      </c>
      <c r="I175" s="203" t="s">
        <v>85</v>
      </c>
      <c r="J175" s="203" t="s">
        <v>452</v>
      </c>
      <c r="K175" s="203" t="s">
        <v>452</v>
      </c>
      <c r="L175" s="203" t="s">
        <v>451</v>
      </c>
      <c r="M175" s="203"/>
      <c r="N175" s="203"/>
      <c r="O175" s="203"/>
      <c r="P175" s="276"/>
      <c r="Q175" s="265"/>
      <c r="R175" s="265"/>
      <c r="S175" s="265"/>
      <c r="T175" s="265"/>
      <c r="U175" s="265"/>
    </row>
    <row r="176" spans="1:24" ht="18" customHeight="1">
      <c r="A176" s="204">
        <v>175</v>
      </c>
      <c r="B176" s="202" t="s">
        <v>1065</v>
      </c>
      <c r="C176" s="202" t="s">
        <v>1065</v>
      </c>
      <c r="D176" s="202" t="s">
        <v>455</v>
      </c>
      <c r="E176" s="300">
        <v>60</v>
      </c>
      <c r="F176" s="210">
        <v>60</v>
      </c>
      <c r="G176" s="210">
        <v>60</v>
      </c>
      <c r="H176" s="210">
        <f t="shared" si="2"/>
        <v>0</v>
      </c>
      <c r="I176" s="203" t="s">
        <v>433</v>
      </c>
      <c r="J176" s="203" t="s">
        <v>715</v>
      </c>
      <c r="K176" s="203" t="s">
        <v>715</v>
      </c>
      <c r="L176" s="203" t="s">
        <v>511</v>
      </c>
      <c r="M176" s="203"/>
      <c r="N176" s="203"/>
      <c r="O176" s="203"/>
      <c r="P176" s="276"/>
      <c r="Q176" s="265"/>
      <c r="R176" s="265"/>
      <c r="S176" s="265"/>
      <c r="T176" s="265"/>
      <c r="U176" s="265"/>
    </row>
    <row r="177" spans="1:24" ht="18" customHeight="1">
      <c r="A177" s="204">
        <v>176</v>
      </c>
      <c r="B177" s="202" t="s">
        <v>1066</v>
      </c>
      <c r="C177" s="202" t="s">
        <v>1066</v>
      </c>
      <c r="D177" s="202" t="s">
        <v>7</v>
      </c>
      <c r="E177" s="300">
        <v>56</v>
      </c>
      <c r="F177" s="210">
        <v>56</v>
      </c>
      <c r="G177" s="210">
        <v>56</v>
      </c>
      <c r="H177" s="210">
        <f t="shared" si="2"/>
        <v>0</v>
      </c>
      <c r="I177" s="203" t="s">
        <v>85</v>
      </c>
      <c r="J177" s="203" t="s">
        <v>452</v>
      </c>
      <c r="K177" s="203" t="s">
        <v>452</v>
      </c>
      <c r="L177" s="203" t="s">
        <v>451</v>
      </c>
      <c r="M177" s="203"/>
      <c r="N177" s="203"/>
      <c r="O177" s="203"/>
      <c r="P177" s="276"/>
      <c r="Q177" s="265"/>
      <c r="R177" s="265"/>
      <c r="S177" s="265"/>
      <c r="T177" s="265"/>
      <c r="U177" s="265"/>
    </row>
    <row r="178" spans="1:24" ht="18" customHeight="1">
      <c r="A178" s="204">
        <v>177</v>
      </c>
      <c r="B178" s="202" t="s">
        <v>1067</v>
      </c>
      <c r="C178" s="202" t="s">
        <v>1067</v>
      </c>
      <c r="D178" s="202" t="s">
        <v>455</v>
      </c>
      <c r="E178" s="300">
        <v>236</v>
      </c>
      <c r="F178" s="210">
        <v>236</v>
      </c>
      <c r="G178" s="210">
        <v>236</v>
      </c>
      <c r="H178" s="210">
        <f t="shared" si="2"/>
        <v>0</v>
      </c>
      <c r="I178" s="203" t="s">
        <v>432</v>
      </c>
      <c r="J178" s="203" t="s">
        <v>452</v>
      </c>
      <c r="K178" s="203" t="s">
        <v>452</v>
      </c>
      <c r="L178" s="203" t="s">
        <v>451</v>
      </c>
      <c r="M178" s="203"/>
      <c r="N178" s="203"/>
      <c r="O178" s="203"/>
      <c r="P178" s="276"/>
      <c r="Q178" s="265"/>
      <c r="R178" s="265"/>
      <c r="S178" s="265"/>
      <c r="T178" s="265"/>
      <c r="U178" s="265"/>
    </row>
    <row r="179" spans="1:24" ht="18" customHeight="1">
      <c r="A179" s="204">
        <v>178</v>
      </c>
      <c r="B179" s="202" t="s">
        <v>1068</v>
      </c>
      <c r="C179" s="202" t="s">
        <v>1068</v>
      </c>
      <c r="D179" s="202" t="s">
        <v>455</v>
      </c>
      <c r="E179" s="300">
        <v>53</v>
      </c>
      <c r="F179" s="210">
        <v>53</v>
      </c>
      <c r="G179" s="210">
        <v>53</v>
      </c>
      <c r="H179" s="210">
        <f t="shared" si="2"/>
        <v>0</v>
      </c>
      <c r="I179" s="203" t="s">
        <v>86</v>
      </c>
      <c r="J179" s="203" t="s">
        <v>715</v>
      </c>
      <c r="K179" s="203" t="s">
        <v>715</v>
      </c>
      <c r="L179" s="203" t="s">
        <v>511</v>
      </c>
      <c r="M179" s="203"/>
      <c r="N179" s="203"/>
      <c r="O179" s="203"/>
      <c r="P179" s="276"/>
      <c r="Q179" s="265"/>
      <c r="R179" s="265"/>
      <c r="S179" s="265"/>
      <c r="T179" s="265"/>
      <c r="U179" s="265"/>
    </row>
    <row r="180" spans="1:24" ht="18" customHeight="1">
      <c r="A180" s="204">
        <v>179</v>
      </c>
      <c r="B180" s="202" t="s">
        <v>1069</v>
      </c>
      <c r="C180" s="202" t="s">
        <v>1069</v>
      </c>
      <c r="D180" s="202" t="s">
        <v>455</v>
      </c>
      <c r="E180" s="300">
        <v>13</v>
      </c>
      <c r="F180" s="210">
        <v>13</v>
      </c>
      <c r="G180" s="210">
        <v>13</v>
      </c>
      <c r="H180" s="210">
        <f t="shared" si="2"/>
        <v>0</v>
      </c>
      <c r="I180" s="203" t="s">
        <v>432</v>
      </c>
      <c r="J180" s="203" t="s">
        <v>452</v>
      </c>
      <c r="K180" s="203" t="s">
        <v>452</v>
      </c>
      <c r="L180" s="203" t="s">
        <v>451</v>
      </c>
      <c r="M180" s="203"/>
      <c r="N180" s="203"/>
      <c r="O180" s="203"/>
      <c r="P180" s="276"/>
      <c r="Q180" s="265"/>
      <c r="R180" s="265"/>
      <c r="S180" s="265"/>
      <c r="T180" s="265"/>
      <c r="U180" s="267"/>
    </row>
    <row r="181" spans="1:24" ht="18" customHeight="1">
      <c r="A181" s="204">
        <v>180</v>
      </c>
      <c r="B181" s="202" t="s">
        <v>1070</v>
      </c>
      <c r="C181" s="202" t="s">
        <v>1070</v>
      </c>
      <c r="D181" s="202" t="s">
        <v>455</v>
      </c>
      <c r="E181" s="300">
        <v>64</v>
      </c>
      <c r="F181" s="210">
        <v>64</v>
      </c>
      <c r="G181" s="210">
        <v>64</v>
      </c>
      <c r="H181" s="210">
        <f t="shared" si="2"/>
        <v>0</v>
      </c>
      <c r="I181" s="203" t="s">
        <v>85</v>
      </c>
      <c r="J181" s="203" t="s">
        <v>452</v>
      </c>
      <c r="K181" s="203" t="s">
        <v>452</v>
      </c>
      <c r="L181" s="203" t="s">
        <v>451</v>
      </c>
      <c r="M181" s="203"/>
      <c r="N181" s="203"/>
      <c r="O181" s="203"/>
      <c r="P181" s="276"/>
      <c r="Q181" s="265"/>
      <c r="R181" s="265"/>
      <c r="S181" s="265"/>
      <c r="T181" s="265"/>
      <c r="U181" s="267"/>
    </row>
    <row r="182" spans="1:24" ht="18" customHeight="1">
      <c r="A182" s="204">
        <v>181</v>
      </c>
      <c r="B182" s="202" t="s">
        <v>998</v>
      </c>
      <c r="C182" s="202" t="s">
        <v>998</v>
      </c>
      <c r="D182" s="202" t="s">
        <v>462</v>
      </c>
      <c r="E182" s="300">
        <v>3940.7</v>
      </c>
      <c r="F182" s="210">
        <v>139</v>
      </c>
      <c r="G182" s="210">
        <v>139</v>
      </c>
      <c r="H182" s="210">
        <f t="shared" si="2"/>
        <v>0</v>
      </c>
      <c r="I182" s="203" t="s">
        <v>433</v>
      </c>
      <c r="J182" s="203" t="s">
        <v>712</v>
      </c>
      <c r="K182" s="203" t="s">
        <v>712</v>
      </c>
      <c r="L182" s="203" t="s">
        <v>511</v>
      </c>
      <c r="M182" s="203"/>
      <c r="N182" s="203"/>
      <c r="O182" s="203"/>
      <c r="P182" s="276"/>
      <c r="Q182" s="265"/>
      <c r="R182" s="265"/>
      <c r="S182" s="265"/>
      <c r="T182" s="265"/>
      <c r="U182" s="267"/>
    </row>
    <row r="183" spans="1:24" ht="18" customHeight="1">
      <c r="A183" s="204">
        <v>182</v>
      </c>
      <c r="B183" s="202" t="s">
        <v>1071</v>
      </c>
      <c r="C183" s="202" t="s">
        <v>1071</v>
      </c>
      <c r="D183" s="202" t="s">
        <v>455</v>
      </c>
      <c r="E183" s="300">
        <v>420</v>
      </c>
      <c r="F183" s="210">
        <v>375</v>
      </c>
      <c r="G183" s="210">
        <v>375</v>
      </c>
      <c r="H183" s="210">
        <f t="shared" si="2"/>
        <v>0</v>
      </c>
      <c r="I183" s="203" t="s">
        <v>86</v>
      </c>
      <c r="J183" s="203" t="s">
        <v>715</v>
      </c>
      <c r="K183" s="203" t="s">
        <v>715</v>
      </c>
      <c r="L183" s="203" t="s">
        <v>511</v>
      </c>
      <c r="M183" s="203"/>
      <c r="N183" s="203"/>
      <c r="O183" s="203"/>
      <c r="P183" s="276"/>
      <c r="Q183" s="265"/>
      <c r="R183" s="265"/>
      <c r="S183" s="265"/>
      <c r="T183" s="265"/>
      <c r="U183" s="267"/>
    </row>
    <row r="184" spans="1:24" ht="18" customHeight="1">
      <c r="A184" s="204">
        <v>183</v>
      </c>
      <c r="B184" s="202" t="s">
        <v>1072</v>
      </c>
      <c r="C184" s="202" t="s">
        <v>1072</v>
      </c>
      <c r="D184" s="202" t="s">
        <v>455</v>
      </c>
      <c r="E184" s="300">
        <v>17</v>
      </c>
      <c r="F184" s="210">
        <v>17</v>
      </c>
      <c r="G184" s="210">
        <v>17</v>
      </c>
      <c r="H184" s="210">
        <f t="shared" si="2"/>
        <v>0</v>
      </c>
      <c r="I184" s="203" t="s">
        <v>433</v>
      </c>
      <c r="J184" s="203" t="s">
        <v>715</v>
      </c>
      <c r="K184" s="203" t="s">
        <v>715</v>
      </c>
      <c r="L184" s="203" t="s">
        <v>511</v>
      </c>
      <c r="M184" s="203"/>
      <c r="N184" s="203"/>
      <c r="O184" s="203"/>
      <c r="P184" s="276"/>
      <c r="Q184" s="265"/>
      <c r="R184" s="265"/>
      <c r="S184" s="265"/>
      <c r="T184" s="265"/>
      <c r="U184" s="284"/>
      <c r="V184" s="265"/>
      <c r="W184" s="265"/>
      <c r="X184" s="265"/>
    </row>
    <row r="185" spans="1:24" ht="18" customHeight="1">
      <c r="A185" s="204">
        <v>184</v>
      </c>
      <c r="B185" s="202" t="s">
        <v>1073</v>
      </c>
      <c r="C185" s="202" t="s">
        <v>1073</v>
      </c>
      <c r="D185" s="202" t="s">
        <v>455</v>
      </c>
      <c r="E185" s="300">
        <v>17</v>
      </c>
      <c r="F185" s="210">
        <v>17</v>
      </c>
      <c r="G185" s="210">
        <v>17</v>
      </c>
      <c r="H185" s="210">
        <f t="shared" si="2"/>
        <v>0</v>
      </c>
      <c r="I185" s="203" t="s">
        <v>433</v>
      </c>
      <c r="J185" s="203" t="s">
        <v>715</v>
      </c>
      <c r="K185" s="203" t="s">
        <v>715</v>
      </c>
      <c r="L185" s="203" t="s">
        <v>511</v>
      </c>
      <c r="M185" s="203"/>
      <c r="N185" s="203"/>
      <c r="O185" s="203"/>
      <c r="P185" s="276"/>
      <c r="Q185" s="265"/>
      <c r="R185" s="265"/>
      <c r="S185" s="265"/>
      <c r="T185" s="265"/>
      <c r="U185" s="265"/>
    </row>
    <row r="186" spans="1:24" ht="18" customHeight="1">
      <c r="A186" s="204">
        <v>185</v>
      </c>
      <c r="B186" s="202" t="s">
        <v>1074</v>
      </c>
      <c r="C186" s="202" t="s">
        <v>1074</v>
      </c>
      <c r="D186" s="202" t="s">
        <v>455</v>
      </c>
      <c r="E186" s="300">
        <v>409</v>
      </c>
      <c r="F186" s="210">
        <v>409</v>
      </c>
      <c r="G186" s="210">
        <v>409</v>
      </c>
      <c r="H186" s="210">
        <f t="shared" si="2"/>
        <v>0</v>
      </c>
      <c r="I186" s="203" t="s">
        <v>86</v>
      </c>
      <c r="J186" s="203" t="s">
        <v>715</v>
      </c>
      <c r="K186" s="203" t="s">
        <v>715</v>
      </c>
      <c r="L186" s="203" t="s">
        <v>511</v>
      </c>
      <c r="M186" s="203"/>
      <c r="N186" s="203"/>
      <c r="O186" s="203"/>
      <c r="P186" s="276"/>
      <c r="Q186" s="265"/>
      <c r="R186" s="265"/>
      <c r="S186" s="265"/>
      <c r="T186" s="265"/>
      <c r="U186" s="265"/>
    </row>
    <row r="187" spans="1:24" ht="18" customHeight="1">
      <c r="A187" s="204">
        <v>186</v>
      </c>
      <c r="B187" s="202" t="s">
        <v>1075</v>
      </c>
      <c r="C187" s="202" t="s">
        <v>1075</v>
      </c>
      <c r="D187" s="202" t="s">
        <v>455</v>
      </c>
      <c r="E187" s="300">
        <v>979</v>
      </c>
      <c r="F187" s="210">
        <v>979</v>
      </c>
      <c r="G187" s="210">
        <v>979</v>
      </c>
      <c r="H187" s="210">
        <f t="shared" si="2"/>
        <v>0</v>
      </c>
      <c r="I187" s="203" t="s">
        <v>1121</v>
      </c>
      <c r="J187" s="203" t="s">
        <v>1121</v>
      </c>
      <c r="K187" s="203" t="s">
        <v>1121</v>
      </c>
      <c r="L187" s="203" t="s">
        <v>1466</v>
      </c>
      <c r="M187" s="203"/>
      <c r="N187" s="203"/>
      <c r="O187" s="203"/>
      <c r="P187" s="276"/>
      <c r="Q187" s="265"/>
      <c r="R187" s="265"/>
      <c r="S187" s="265"/>
      <c r="T187" s="265"/>
      <c r="U187" s="265"/>
    </row>
    <row r="188" spans="1:24" ht="18" customHeight="1">
      <c r="A188" s="204">
        <v>187</v>
      </c>
      <c r="B188" s="202" t="s">
        <v>1076</v>
      </c>
      <c r="C188" s="202" t="s">
        <v>1076</v>
      </c>
      <c r="D188" s="202" t="s">
        <v>455</v>
      </c>
      <c r="E188" s="300">
        <v>1124</v>
      </c>
      <c r="F188" s="210">
        <v>370</v>
      </c>
      <c r="G188" s="210">
        <v>370</v>
      </c>
      <c r="H188" s="210">
        <f t="shared" si="2"/>
        <v>0</v>
      </c>
      <c r="I188" s="203" t="s">
        <v>85</v>
      </c>
      <c r="J188" s="203" t="s">
        <v>452</v>
      </c>
      <c r="K188" s="203" t="s">
        <v>452</v>
      </c>
      <c r="L188" s="203" t="s">
        <v>451</v>
      </c>
      <c r="M188" s="203"/>
      <c r="N188" s="203"/>
      <c r="O188" s="203"/>
      <c r="P188" s="276"/>
      <c r="Q188" s="265"/>
      <c r="R188" s="265"/>
      <c r="S188" s="265"/>
      <c r="T188" s="265"/>
      <c r="U188" s="265"/>
    </row>
    <row r="189" spans="1:24" ht="18" customHeight="1">
      <c r="A189" s="204">
        <v>188</v>
      </c>
      <c r="B189" s="202" t="s">
        <v>1077</v>
      </c>
      <c r="C189" s="202" t="s">
        <v>1077</v>
      </c>
      <c r="D189" s="202" t="s">
        <v>455</v>
      </c>
      <c r="E189" s="300">
        <v>66</v>
      </c>
      <c r="F189" s="210">
        <v>66</v>
      </c>
      <c r="G189" s="210">
        <v>66</v>
      </c>
      <c r="H189" s="210">
        <f t="shared" si="2"/>
        <v>0</v>
      </c>
      <c r="I189" s="203" t="s">
        <v>433</v>
      </c>
      <c r="J189" s="203" t="s">
        <v>715</v>
      </c>
      <c r="K189" s="203" t="s">
        <v>715</v>
      </c>
      <c r="L189" s="203" t="s">
        <v>511</v>
      </c>
      <c r="M189" s="203"/>
      <c r="N189" s="203"/>
      <c r="O189" s="203"/>
      <c r="P189" s="276"/>
      <c r="Q189" s="265"/>
      <c r="R189" s="265"/>
      <c r="S189" s="265"/>
      <c r="T189" s="265"/>
      <c r="U189" s="265"/>
    </row>
    <row r="190" spans="1:24" ht="18" customHeight="1">
      <c r="A190" s="204">
        <v>189</v>
      </c>
      <c r="B190" s="202" t="s">
        <v>1078</v>
      </c>
      <c r="C190" s="202" t="s">
        <v>1078</v>
      </c>
      <c r="D190" s="202" t="s">
        <v>455</v>
      </c>
      <c r="E190" s="300">
        <v>67</v>
      </c>
      <c r="F190" s="210">
        <v>67</v>
      </c>
      <c r="G190" s="210">
        <v>67</v>
      </c>
      <c r="H190" s="210">
        <f t="shared" si="2"/>
        <v>0</v>
      </c>
      <c r="I190" s="203" t="s">
        <v>85</v>
      </c>
      <c r="J190" s="203" t="s">
        <v>452</v>
      </c>
      <c r="K190" s="203" t="s">
        <v>452</v>
      </c>
      <c r="L190" s="203" t="s">
        <v>451</v>
      </c>
      <c r="M190" s="203"/>
      <c r="N190" s="203"/>
      <c r="O190" s="203"/>
      <c r="P190" s="276"/>
      <c r="Q190" s="265"/>
      <c r="R190" s="265"/>
      <c r="S190" s="265"/>
      <c r="T190" s="265"/>
      <c r="U190" s="265"/>
    </row>
    <row r="191" spans="1:24" ht="18" customHeight="1">
      <c r="A191" s="204">
        <v>190</v>
      </c>
      <c r="B191" s="202" t="s">
        <v>1079</v>
      </c>
      <c r="C191" s="202" t="s">
        <v>1079</v>
      </c>
      <c r="D191" s="202" t="s">
        <v>455</v>
      </c>
      <c r="E191" s="300">
        <v>23</v>
      </c>
      <c r="F191" s="210">
        <v>23</v>
      </c>
      <c r="G191" s="210">
        <v>23</v>
      </c>
      <c r="H191" s="210">
        <f t="shared" si="2"/>
        <v>0</v>
      </c>
      <c r="I191" s="203" t="s">
        <v>433</v>
      </c>
      <c r="J191" s="203" t="s">
        <v>715</v>
      </c>
      <c r="K191" s="203" t="s">
        <v>715</v>
      </c>
      <c r="L191" s="203" t="s">
        <v>511</v>
      </c>
      <c r="M191" s="203"/>
      <c r="N191" s="203"/>
      <c r="O191" s="203"/>
      <c r="P191" s="276"/>
      <c r="Q191" s="265"/>
      <c r="R191" s="265"/>
      <c r="S191" s="265"/>
      <c r="T191" s="265"/>
      <c r="U191" s="265"/>
    </row>
    <row r="192" spans="1:24" ht="18" customHeight="1">
      <c r="A192" s="204">
        <v>191</v>
      </c>
      <c r="B192" s="202" t="s">
        <v>1080</v>
      </c>
      <c r="C192" s="202" t="s">
        <v>1080</v>
      </c>
      <c r="D192" s="202" t="s">
        <v>455</v>
      </c>
      <c r="E192" s="300">
        <v>127</v>
      </c>
      <c r="F192" s="210">
        <v>127</v>
      </c>
      <c r="G192" s="210">
        <v>127</v>
      </c>
      <c r="H192" s="210">
        <f t="shared" si="2"/>
        <v>0</v>
      </c>
      <c r="I192" s="203" t="s">
        <v>85</v>
      </c>
      <c r="J192" s="203" t="s">
        <v>452</v>
      </c>
      <c r="K192" s="203" t="s">
        <v>452</v>
      </c>
      <c r="L192" s="203" t="s">
        <v>451</v>
      </c>
      <c r="M192" s="203"/>
      <c r="N192" s="203"/>
      <c r="O192" s="203"/>
      <c r="P192" s="276"/>
      <c r="Q192" s="265"/>
      <c r="R192" s="265"/>
      <c r="S192" s="265"/>
      <c r="T192" s="265"/>
      <c r="U192" s="265"/>
    </row>
    <row r="193" spans="1:24" ht="18" customHeight="1">
      <c r="A193" s="204">
        <v>192</v>
      </c>
      <c r="B193" s="202" t="s">
        <v>1081</v>
      </c>
      <c r="C193" s="202" t="s">
        <v>1081</v>
      </c>
      <c r="D193" s="202" t="s">
        <v>455</v>
      </c>
      <c r="E193" s="300">
        <v>3</v>
      </c>
      <c r="F193" s="210">
        <v>3</v>
      </c>
      <c r="G193" s="210">
        <v>3</v>
      </c>
      <c r="H193" s="210">
        <f t="shared" si="2"/>
        <v>0</v>
      </c>
      <c r="I193" s="203" t="s">
        <v>432</v>
      </c>
      <c r="J193" s="203" t="s">
        <v>452</v>
      </c>
      <c r="K193" s="203" t="s">
        <v>452</v>
      </c>
      <c r="L193" s="203" t="s">
        <v>451</v>
      </c>
      <c r="M193" s="203"/>
      <c r="N193" s="203"/>
      <c r="O193" s="203"/>
      <c r="P193" s="276"/>
      <c r="Q193" s="265"/>
      <c r="R193" s="265"/>
      <c r="S193" s="265"/>
      <c r="T193" s="265"/>
      <c r="U193" s="265"/>
    </row>
    <row r="194" spans="1:24" ht="18" customHeight="1">
      <c r="A194" s="204">
        <v>193</v>
      </c>
      <c r="B194" s="202" t="s">
        <v>1082</v>
      </c>
      <c r="C194" s="202" t="s">
        <v>1082</v>
      </c>
      <c r="D194" s="202" t="s">
        <v>455</v>
      </c>
      <c r="E194" s="300">
        <v>225</v>
      </c>
      <c r="F194" s="210">
        <v>225</v>
      </c>
      <c r="G194" s="210">
        <v>225</v>
      </c>
      <c r="H194" s="210">
        <f t="shared" si="2"/>
        <v>0</v>
      </c>
      <c r="I194" s="203" t="s">
        <v>85</v>
      </c>
      <c r="J194" s="203" t="s">
        <v>452</v>
      </c>
      <c r="K194" s="203" t="s">
        <v>452</v>
      </c>
      <c r="L194" s="203" t="s">
        <v>451</v>
      </c>
      <c r="M194" s="203"/>
      <c r="N194" s="203"/>
      <c r="O194" s="203"/>
      <c r="P194" s="276"/>
      <c r="Q194" s="265"/>
      <c r="R194" s="265"/>
      <c r="S194" s="265"/>
      <c r="T194" s="265"/>
      <c r="U194" s="265"/>
    </row>
    <row r="195" spans="1:24" ht="18" customHeight="1">
      <c r="A195" s="204">
        <v>194</v>
      </c>
      <c r="B195" s="202" t="s">
        <v>1083</v>
      </c>
      <c r="C195" s="202" t="s">
        <v>1083</v>
      </c>
      <c r="D195" s="202" t="s">
        <v>455</v>
      </c>
      <c r="E195" s="300">
        <v>433</v>
      </c>
      <c r="F195" s="210">
        <v>423</v>
      </c>
      <c r="G195" s="210">
        <v>423</v>
      </c>
      <c r="H195" s="210">
        <f t="shared" si="2"/>
        <v>0</v>
      </c>
      <c r="I195" s="203" t="s">
        <v>432</v>
      </c>
      <c r="J195" s="203" t="s">
        <v>537</v>
      </c>
      <c r="K195" s="203" t="s">
        <v>537</v>
      </c>
      <c r="L195" s="203" t="s">
        <v>451</v>
      </c>
      <c r="M195" s="203"/>
      <c r="N195" s="203"/>
      <c r="O195" s="203"/>
      <c r="P195" s="276"/>
      <c r="Q195" s="265"/>
      <c r="R195" s="265"/>
      <c r="S195" s="265"/>
      <c r="T195" s="265"/>
      <c r="U195" s="265"/>
    </row>
    <row r="196" spans="1:24" ht="18" customHeight="1">
      <c r="A196" s="204">
        <v>195</v>
      </c>
      <c r="B196" s="202" t="s">
        <v>1084</v>
      </c>
      <c r="C196" s="202" t="s">
        <v>1084</v>
      </c>
      <c r="D196" s="202" t="s">
        <v>455</v>
      </c>
      <c r="E196" s="300">
        <v>116</v>
      </c>
      <c r="F196" s="210">
        <v>70</v>
      </c>
      <c r="G196" s="210">
        <v>70</v>
      </c>
      <c r="H196" s="210">
        <f t="shared" si="2"/>
        <v>0</v>
      </c>
      <c r="I196" s="203" t="s">
        <v>85</v>
      </c>
      <c r="J196" s="203" t="s">
        <v>452</v>
      </c>
      <c r="K196" s="203" t="s">
        <v>452</v>
      </c>
      <c r="L196" s="203" t="s">
        <v>451</v>
      </c>
      <c r="M196" s="203"/>
      <c r="N196" s="203"/>
      <c r="O196" s="203"/>
      <c r="P196" s="276"/>
      <c r="Q196" s="265"/>
      <c r="R196" s="265"/>
      <c r="S196" s="265"/>
      <c r="T196" s="265"/>
      <c r="U196" s="265"/>
    </row>
    <row r="197" spans="1:24" ht="18" customHeight="1">
      <c r="A197" s="204">
        <v>196</v>
      </c>
      <c r="B197" s="202" t="s">
        <v>821</v>
      </c>
      <c r="C197" s="202" t="s">
        <v>821</v>
      </c>
      <c r="D197" s="202" t="s">
        <v>455</v>
      </c>
      <c r="E197" s="300">
        <v>724</v>
      </c>
      <c r="F197" s="210">
        <v>724</v>
      </c>
      <c r="G197" s="210">
        <v>724</v>
      </c>
      <c r="H197" s="210">
        <f t="shared" si="2"/>
        <v>0</v>
      </c>
      <c r="I197" s="203" t="s">
        <v>433</v>
      </c>
      <c r="J197" s="203" t="s">
        <v>715</v>
      </c>
      <c r="K197" s="203" t="s">
        <v>715</v>
      </c>
      <c r="L197" s="203" t="s">
        <v>511</v>
      </c>
      <c r="M197" s="203"/>
      <c r="N197" s="203"/>
      <c r="O197" s="203"/>
      <c r="P197" s="276"/>
      <c r="Q197" s="265"/>
      <c r="R197" s="265"/>
      <c r="S197" s="265"/>
      <c r="T197" s="265"/>
      <c r="U197" s="265"/>
    </row>
    <row r="198" spans="1:24" ht="18" customHeight="1">
      <c r="A198" s="204">
        <v>197</v>
      </c>
      <c r="B198" s="202" t="s">
        <v>1085</v>
      </c>
      <c r="C198" s="202" t="s">
        <v>1085</v>
      </c>
      <c r="D198" s="202" t="s">
        <v>455</v>
      </c>
      <c r="E198" s="300">
        <v>35</v>
      </c>
      <c r="F198" s="210">
        <v>35</v>
      </c>
      <c r="G198" s="210">
        <v>35</v>
      </c>
      <c r="H198" s="210">
        <f t="shared" ref="H198:H232" si="3">G198-F198</f>
        <v>0</v>
      </c>
      <c r="I198" s="203" t="s">
        <v>85</v>
      </c>
      <c r="J198" s="203" t="s">
        <v>452</v>
      </c>
      <c r="K198" s="203" t="s">
        <v>452</v>
      </c>
      <c r="L198" s="203" t="s">
        <v>451</v>
      </c>
      <c r="M198" s="203"/>
      <c r="N198" s="203"/>
      <c r="O198" s="203"/>
      <c r="P198" s="276"/>
      <c r="Q198" s="265"/>
      <c r="R198" s="265"/>
      <c r="S198" s="265"/>
      <c r="T198" s="265"/>
      <c r="U198" s="265"/>
    </row>
    <row r="199" spans="1:24" ht="18" customHeight="1">
      <c r="A199" s="204">
        <v>198</v>
      </c>
      <c r="B199" s="202" t="s">
        <v>1006</v>
      </c>
      <c r="C199" s="202" t="s">
        <v>1006</v>
      </c>
      <c r="D199" s="202" t="s">
        <v>455</v>
      </c>
      <c r="E199" s="300">
        <v>30</v>
      </c>
      <c r="F199" s="210">
        <v>4</v>
      </c>
      <c r="G199" s="210">
        <v>4</v>
      </c>
      <c r="H199" s="210">
        <f t="shared" si="3"/>
        <v>0</v>
      </c>
      <c r="I199" s="203" t="s">
        <v>432</v>
      </c>
      <c r="J199" s="203" t="s">
        <v>452</v>
      </c>
      <c r="K199" s="203" t="s">
        <v>452</v>
      </c>
      <c r="L199" s="203" t="s">
        <v>451</v>
      </c>
      <c r="M199" s="203"/>
      <c r="N199" s="203"/>
      <c r="O199" s="203"/>
      <c r="P199" s="276"/>
      <c r="Q199" s="265"/>
      <c r="R199" s="265"/>
      <c r="S199" s="265"/>
      <c r="T199" s="265"/>
      <c r="U199" s="265"/>
    </row>
    <row r="200" spans="1:24" ht="18" customHeight="1">
      <c r="A200" s="204">
        <v>199</v>
      </c>
      <c r="B200" s="202" t="s">
        <v>1008</v>
      </c>
      <c r="C200" s="202" t="s">
        <v>1008</v>
      </c>
      <c r="D200" s="202" t="s">
        <v>455</v>
      </c>
      <c r="E200" s="300">
        <v>149</v>
      </c>
      <c r="F200" s="210">
        <v>18</v>
      </c>
      <c r="G200" s="210">
        <v>18</v>
      </c>
      <c r="H200" s="210">
        <f t="shared" si="3"/>
        <v>0</v>
      </c>
      <c r="I200" s="203" t="s">
        <v>85</v>
      </c>
      <c r="J200" s="203" t="s">
        <v>452</v>
      </c>
      <c r="K200" s="203" t="s">
        <v>452</v>
      </c>
      <c r="L200" s="203" t="s">
        <v>451</v>
      </c>
      <c r="M200" s="203"/>
      <c r="N200" s="203"/>
      <c r="O200" s="203"/>
      <c r="P200" s="276"/>
      <c r="Q200" s="265"/>
      <c r="R200" s="265"/>
      <c r="S200" s="265"/>
      <c r="T200" s="265"/>
      <c r="U200" s="267"/>
    </row>
    <row r="201" spans="1:24" ht="18" customHeight="1">
      <c r="A201" s="204">
        <v>200</v>
      </c>
      <c r="B201" s="202" t="s">
        <v>1086</v>
      </c>
      <c r="C201" s="202" t="s">
        <v>1086</v>
      </c>
      <c r="D201" s="202" t="s">
        <v>455</v>
      </c>
      <c r="E201" s="300">
        <v>20</v>
      </c>
      <c r="F201" s="210">
        <v>20</v>
      </c>
      <c r="G201" s="210">
        <v>20</v>
      </c>
      <c r="H201" s="210">
        <f t="shared" si="3"/>
        <v>0</v>
      </c>
      <c r="I201" s="203" t="s">
        <v>85</v>
      </c>
      <c r="J201" s="203" t="s">
        <v>452</v>
      </c>
      <c r="K201" s="203" t="s">
        <v>452</v>
      </c>
      <c r="L201" s="203" t="s">
        <v>451</v>
      </c>
      <c r="M201" s="203"/>
      <c r="N201" s="203"/>
      <c r="O201" s="203"/>
      <c r="P201" s="276"/>
      <c r="Q201" s="265"/>
      <c r="R201" s="265"/>
      <c r="S201" s="265"/>
      <c r="T201" s="265"/>
      <c r="U201" s="267"/>
    </row>
    <row r="202" spans="1:24" ht="18" customHeight="1">
      <c r="A202" s="204">
        <v>201</v>
      </c>
      <c r="B202" s="202" t="s">
        <v>1087</v>
      </c>
      <c r="C202" s="202" t="s">
        <v>1087</v>
      </c>
      <c r="D202" s="202" t="s">
        <v>455</v>
      </c>
      <c r="E202" s="300">
        <v>374</v>
      </c>
      <c r="F202" s="210">
        <v>219</v>
      </c>
      <c r="G202" s="210">
        <v>219</v>
      </c>
      <c r="H202" s="210">
        <f t="shared" si="3"/>
        <v>0</v>
      </c>
      <c r="I202" s="203" t="s">
        <v>86</v>
      </c>
      <c r="J202" s="203" t="s">
        <v>715</v>
      </c>
      <c r="K202" s="203" t="s">
        <v>715</v>
      </c>
      <c r="L202" s="203" t="s">
        <v>511</v>
      </c>
      <c r="M202" s="203"/>
      <c r="N202" s="203"/>
      <c r="O202" s="203"/>
      <c r="P202" s="276"/>
      <c r="Q202" s="265"/>
      <c r="R202" s="265"/>
      <c r="S202" s="265"/>
      <c r="T202" s="265"/>
      <c r="U202" s="267"/>
    </row>
    <row r="203" spans="1:24" ht="18" customHeight="1">
      <c r="A203" s="204">
        <v>202</v>
      </c>
      <c r="B203" s="202" t="s">
        <v>1088</v>
      </c>
      <c r="C203" s="202" t="s">
        <v>1088</v>
      </c>
      <c r="D203" s="202" t="s">
        <v>455</v>
      </c>
      <c r="E203" s="300">
        <v>43</v>
      </c>
      <c r="F203" s="210">
        <v>43</v>
      </c>
      <c r="G203" s="210">
        <v>43</v>
      </c>
      <c r="H203" s="210">
        <f t="shared" si="3"/>
        <v>0</v>
      </c>
      <c r="I203" s="203" t="s">
        <v>433</v>
      </c>
      <c r="J203" s="203" t="s">
        <v>715</v>
      </c>
      <c r="K203" s="203" t="s">
        <v>715</v>
      </c>
      <c r="L203" s="203" t="s">
        <v>511</v>
      </c>
      <c r="M203" s="203"/>
      <c r="N203" s="203"/>
      <c r="O203" s="203"/>
      <c r="P203" s="276"/>
      <c r="Q203" s="265"/>
      <c r="R203" s="265"/>
      <c r="S203" s="265"/>
      <c r="T203" s="265"/>
      <c r="U203" s="267"/>
    </row>
    <row r="204" spans="1:24" ht="18" customHeight="1">
      <c r="A204" s="204">
        <v>203</v>
      </c>
      <c r="B204" s="202" t="s">
        <v>1089</v>
      </c>
      <c r="C204" s="202" t="s">
        <v>1089</v>
      </c>
      <c r="D204" s="202" t="s">
        <v>455</v>
      </c>
      <c r="E204" s="300">
        <v>688</v>
      </c>
      <c r="F204" s="210">
        <v>688</v>
      </c>
      <c r="G204" s="210">
        <v>688</v>
      </c>
      <c r="H204" s="210">
        <f t="shared" si="3"/>
        <v>0</v>
      </c>
      <c r="I204" s="203" t="s">
        <v>85</v>
      </c>
      <c r="J204" s="203" t="s">
        <v>452</v>
      </c>
      <c r="K204" s="203" t="s">
        <v>452</v>
      </c>
      <c r="L204" s="203" t="s">
        <v>451</v>
      </c>
      <c r="M204" s="203"/>
      <c r="N204" s="203"/>
      <c r="O204" s="203"/>
      <c r="P204" s="276"/>
      <c r="Q204" s="265"/>
      <c r="R204" s="265"/>
      <c r="S204" s="265"/>
      <c r="T204" s="265"/>
      <c r="U204" s="284"/>
      <c r="V204" s="265"/>
      <c r="W204" s="265"/>
      <c r="X204" s="265"/>
    </row>
    <row r="205" spans="1:24" ht="18" customHeight="1">
      <c r="A205" s="204">
        <v>204</v>
      </c>
      <c r="B205" s="202" t="s">
        <v>1090</v>
      </c>
      <c r="C205" s="202" t="s">
        <v>1090</v>
      </c>
      <c r="D205" s="202" t="s">
        <v>455</v>
      </c>
      <c r="E205" s="300">
        <v>21</v>
      </c>
      <c r="F205" s="210">
        <v>14</v>
      </c>
      <c r="G205" s="210">
        <v>14</v>
      </c>
      <c r="H205" s="210">
        <f t="shared" si="3"/>
        <v>0</v>
      </c>
      <c r="I205" s="203" t="s">
        <v>85</v>
      </c>
      <c r="J205" s="203" t="s">
        <v>452</v>
      </c>
      <c r="K205" s="203" t="s">
        <v>452</v>
      </c>
      <c r="L205" s="203" t="s">
        <v>451</v>
      </c>
      <c r="M205" s="203"/>
      <c r="N205" s="203"/>
      <c r="O205" s="203"/>
      <c r="P205" s="276"/>
      <c r="Q205" s="265"/>
      <c r="R205" s="265"/>
      <c r="S205" s="265"/>
      <c r="T205" s="265"/>
      <c r="U205" s="265"/>
    </row>
    <row r="206" spans="1:24" ht="18" customHeight="1">
      <c r="A206" s="204">
        <v>205</v>
      </c>
      <c r="B206" s="202" t="s">
        <v>1091</v>
      </c>
      <c r="C206" s="202" t="s">
        <v>1091</v>
      </c>
      <c r="D206" s="202" t="s">
        <v>455</v>
      </c>
      <c r="E206" s="300">
        <v>696</v>
      </c>
      <c r="F206" s="210">
        <v>438</v>
      </c>
      <c r="G206" s="210">
        <v>438</v>
      </c>
      <c r="H206" s="210">
        <f t="shared" si="3"/>
        <v>0</v>
      </c>
      <c r="I206" s="203" t="s">
        <v>433</v>
      </c>
      <c r="J206" s="203" t="s">
        <v>715</v>
      </c>
      <c r="K206" s="203" t="s">
        <v>715</v>
      </c>
      <c r="L206" s="203" t="s">
        <v>511</v>
      </c>
      <c r="M206" s="203"/>
      <c r="N206" s="203"/>
      <c r="O206" s="203"/>
      <c r="P206" s="276"/>
      <c r="Q206" s="265"/>
      <c r="R206" s="265"/>
      <c r="S206" s="265"/>
      <c r="T206" s="265"/>
      <c r="U206" s="265"/>
    </row>
    <row r="207" spans="1:24" ht="18" customHeight="1">
      <c r="A207" s="204">
        <v>206</v>
      </c>
      <c r="B207" s="202" t="s">
        <v>1092</v>
      </c>
      <c r="C207" s="202" t="s">
        <v>1092</v>
      </c>
      <c r="D207" s="202" t="s">
        <v>455</v>
      </c>
      <c r="E207" s="300">
        <v>87</v>
      </c>
      <c r="F207" s="210">
        <v>87</v>
      </c>
      <c r="G207" s="210">
        <v>87</v>
      </c>
      <c r="H207" s="210">
        <f t="shared" si="3"/>
        <v>0</v>
      </c>
      <c r="I207" s="203" t="s">
        <v>85</v>
      </c>
      <c r="J207" s="203" t="s">
        <v>452</v>
      </c>
      <c r="K207" s="203" t="s">
        <v>452</v>
      </c>
      <c r="L207" s="203" t="s">
        <v>451</v>
      </c>
      <c r="M207" s="203"/>
      <c r="N207" s="203"/>
      <c r="O207" s="203"/>
      <c r="P207" s="276"/>
      <c r="Q207" s="265"/>
      <c r="R207" s="265"/>
      <c r="S207" s="265"/>
      <c r="T207" s="265"/>
      <c r="U207" s="265"/>
    </row>
    <row r="208" spans="1:24" ht="18" customHeight="1">
      <c r="A208" s="204">
        <v>207</v>
      </c>
      <c r="B208" s="202" t="s">
        <v>1093</v>
      </c>
      <c r="C208" s="202" t="s">
        <v>1093</v>
      </c>
      <c r="D208" s="202" t="s">
        <v>455</v>
      </c>
      <c r="E208" s="300">
        <v>37</v>
      </c>
      <c r="F208" s="210">
        <v>37</v>
      </c>
      <c r="G208" s="210">
        <v>37</v>
      </c>
      <c r="H208" s="210">
        <f t="shared" si="3"/>
        <v>0</v>
      </c>
      <c r="I208" s="203" t="s">
        <v>432</v>
      </c>
      <c r="J208" s="203" t="s">
        <v>452</v>
      </c>
      <c r="K208" s="203" t="s">
        <v>452</v>
      </c>
      <c r="L208" s="203" t="s">
        <v>451</v>
      </c>
      <c r="M208" s="203"/>
      <c r="N208" s="203"/>
      <c r="O208" s="203"/>
      <c r="P208" s="276"/>
      <c r="Q208" s="265"/>
      <c r="R208" s="265"/>
      <c r="S208" s="265"/>
      <c r="T208" s="265"/>
      <c r="U208" s="265"/>
    </row>
    <row r="209" spans="1:24" ht="18" customHeight="1">
      <c r="A209" s="204">
        <v>208</v>
      </c>
      <c r="B209" s="202" t="s">
        <v>1094</v>
      </c>
      <c r="C209" s="202" t="s">
        <v>1094</v>
      </c>
      <c r="D209" s="202" t="s">
        <v>455</v>
      </c>
      <c r="E209" s="300">
        <v>380</v>
      </c>
      <c r="F209" s="210">
        <v>380</v>
      </c>
      <c r="G209" s="210">
        <v>380</v>
      </c>
      <c r="H209" s="210">
        <f t="shared" si="3"/>
        <v>0</v>
      </c>
      <c r="I209" s="203" t="s">
        <v>86</v>
      </c>
      <c r="J209" s="203" t="s">
        <v>715</v>
      </c>
      <c r="K209" s="203" t="s">
        <v>715</v>
      </c>
      <c r="L209" s="203" t="s">
        <v>511</v>
      </c>
      <c r="M209" s="203"/>
      <c r="N209" s="203"/>
      <c r="O209" s="203"/>
      <c r="P209" s="276"/>
      <c r="Q209" s="265"/>
      <c r="R209" s="265"/>
      <c r="S209" s="265"/>
      <c r="T209" s="265"/>
      <c r="U209" s="265"/>
    </row>
    <row r="210" spans="1:24" ht="18" customHeight="1">
      <c r="A210" s="204">
        <v>209</v>
      </c>
      <c r="B210" s="202" t="s">
        <v>1095</v>
      </c>
      <c r="C210" s="202" t="s">
        <v>1095</v>
      </c>
      <c r="D210" s="202" t="s">
        <v>455</v>
      </c>
      <c r="E210" s="300">
        <v>23</v>
      </c>
      <c r="F210" s="210">
        <v>23</v>
      </c>
      <c r="G210" s="210">
        <v>23</v>
      </c>
      <c r="H210" s="210">
        <f t="shared" si="3"/>
        <v>0</v>
      </c>
      <c r="I210" s="203" t="s">
        <v>432</v>
      </c>
      <c r="J210" s="203" t="s">
        <v>452</v>
      </c>
      <c r="K210" s="203" t="s">
        <v>452</v>
      </c>
      <c r="L210" s="203" t="s">
        <v>451</v>
      </c>
      <c r="M210" s="203"/>
      <c r="N210" s="203"/>
      <c r="O210" s="203"/>
      <c r="P210" s="276"/>
      <c r="Q210" s="265"/>
      <c r="R210" s="265"/>
      <c r="S210" s="265"/>
      <c r="T210" s="265"/>
      <c r="U210" s="265"/>
    </row>
    <row r="211" spans="1:24" ht="18" customHeight="1">
      <c r="A211" s="204">
        <v>210</v>
      </c>
      <c r="B211" s="202" t="s">
        <v>1096</v>
      </c>
      <c r="C211" s="202" t="s">
        <v>1096</v>
      </c>
      <c r="D211" s="202" t="s">
        <v>455</v>
      </c>
      <c r="E211" s="300">
        <v>301</v>
      </c>
      <c r="F211" s="210">
        <v>294</v>
      </c>
      <c r="G211" s="210">
        <v>294</v>
      </c>
      <c r="H211" s="210">
        <f t="shared" si="3"/>
        <v>0</v>
      </c>
      <c r="I211" s="203" t="s">
        <v>86</v>
      </c>
      <c r="J211" s="203" t="s">
        <v>715</v>
      </c>
      <c r="K211" s="203" t="s">
        <v>715</v>
      </c>
      <c r="L211" s="203" t="s">
        <v>511</v>
      </c>
      <c r="M211" s="203"/>
      <c r="N211" s="203"/>
      <c r="O211" s="203"/>
      <c r="P211" s="276"/>
      <c r="Q211" s="265"/>
      <c r="R211" s="265"/>
      <c r="S211" s="265"/>
      <c r="T211" s="265"/>
      <c r="U211" s="265"/>
    </row>
    <row r="212" spans="1:24" ht="18" customHeight="1">
      <c r="A212" s="204">
        <v>211</v>
      </c>
      <c r="B212" s="202" t="s">
        <v>1097</v>
      </c>
      <c r="C212" s="202" t="s">
        <v>1097</v>
      </c>
      <c r="D212" s="202" t="s">
        <v>455</v>
      </c>
      <c r="E212" s="300">
        <v>144</v>
      </c>
      <c r="F212" s="210">
        <v>144</v>
      </c>
      <c r="G212" s="210">
        <v>144</v>
      </c>
      <c r="H212" s="210">
        <f t="shared" si="3"/>
        <v>0</v>
      </c>
      <c r="I212" s="203" t="s">
        <v>432</v>
      </c>
      <c r="J212" s="203" t="s">
        <v>452</v>
      </c>
      <c r="K212" s="203" t="s">
        <v>452</v>
      </c>
      <c r="L212" s="203" t="s">
        <v>451</v>
      </c>
      <c r="M212" s="203"/>
      <c r="N212" s="203"/>
      <c r="O212" s="203"/>
      <c r="P212" s="276"/>
      <c r="Q212" s="265"/>
      <c r="R212" s="265"/>
      <c r="S212" s="265"/>
      <c r="T212" s="265"/>
      <c r="U212" s="265"/>
    </row>
    <row r="213" spans="1:24" ht="18" customHeight="1">
      <c r="A213" s="204">
        <v>212</v>
      </c>
      <c r="B213" s="202" t="s">
        <v>1098</v>
      </c>
      <c r="C213" s="202" t="s">
        <v>1098</v>
      </c>
      <c r="D213" s="202" t="s">
        <v>455</v>
      </c>
      <c r="E213" s="300">
        <v>43</v>
      </c>
      <c r="F213" s="210">
        <v>27</v>
      </c>
      <c r="G213" s="210">
        <v>27</v>
      </c>
      <c r="H213" s="210">
        <f t="shared" si="3"/>
        <v>0</v>
      </c>
      <c r="I213" s="203" t="s">
        <v>86</v>
      </c>
      <c r="J213" s="203" t="s">
        <v>715</v>
      </c>
      <c r="K213" s="203" t="s">
        <v>715</v>
      </c>
      <c r="L213" s="203" t="s">
        <v>511</v>
      </c>
      <c r="M213" s="203"/>
      <c r="N213" s="203"/>
      <c r="O213" s="203"/>
      <c r="P213" s="276"/>
      <c r="Q213" s="265"/>
      <c r="R213" s="265"/>
      <c r="S213" s="265"/>
      <c r="T213" s="265"/>
      <c r="U213" s="265"/>
    </row>
    <row r="214" spans="1:24" ht="18" customHeight="1">
      <c r="A214" s="204">
        <v>213</v>
      </c>
      <c r="B214" s="202" t="s">
        <v>1099</v>
      </c>
      <c r="C214" s="202" t="s">
        <v>1099</v>
      </c>
      <c r="D214" s="202" t="s">
        <v>455</v>
      </c>
      <c r="E214" s="300">
        <v>48</v>
      </c>
      <c r="F214" s="210">
        <v>48</v>
      </c>
      <c r="G214" s="210">
        <v>48</v>
      </c>
      <c r="H214" s="210">
        <f t="shared" si="3"/>
        <v>0</v>
      </c>
      <c r="I214" s="203" t="s">
        <v>432</v>
      </c>
      <c r="J214" s="203" t="s">
        <v>452</v>
      </c>
      <c r="K214" s="203" t="s">
        <v>452</v>
      </c>
      <c r="L214" s="203" t="s">
        <v>451</v>
      </c>
      <c r="M214" s="203"/>
      <c r="N214" s="203"/>
      <c r="O214" s="203"/>
      <c r="P214" s="276"/>
      <c r="Q214" s="265"/>
      <c r="R214" s="265"/>
      <c r="S214" s="265"/>
      <c r="T214" s="265"/>
      <c r="U214" s="265"/>
    </row>
    <row r="215" spans="1:24" ht="18" customHeight="1">
      <c r="A215" s="204">
        <v>214</v>
      </c>
      <c r="B215" s="202" t="s">
        <v>1100</v>
      </c>
      <c r="C215" s="202" t="s">
        <v>1100</v>
      </c>
      <c r="D215" s="202" t="s">
        <v>455</v>
      </c>
      <c r="E215" s="300">
        <v>240</v>
      </c>
      <c r="F215" s="210">
        <v>204</v>
      </c>
      <c r="G215" s="210">
        <v>204</v>
      </c>
      <c r="H215" s="210">
        <f t="shared" si="3"/>
        <v>0</v>
      </c>
      <c r="I215" s="203" t="s">
        <v>85</v>
      </c>
      <c r="J215" s="203" t="s">
        <v>452</v>
      </c>
      <c r="K215" s="203" t="s">
        <v>452</v>
      </c>
      <c r="L215" s="203" t="s">
        <v>451</v>
      </c>
      <c r="M215" s="203"/>
      <c r="N215" s="203"/>
      <c r="O215" s="203"/>
      <c r="P215" s="276"/>
      <c r="Q215" s="265"/>
      <c r="R215" s="265"/>
      <c r="S215" s="265"/>
      <c r="T215" s="265"/>
      <c r="U215" s="265"/>
    </row>
    <row r="216" spans="1:24" ht="18" customHeight="1">
      <c r="A216" s="204">
        <v>215</v>
      </c>
      <c r="B216" s="202" t="s">
        <v>1101</v>
      </c>
      <c r="C216" s="202" t="s">
        <v>1101</v>
      </c>
      <c r="D216" s="202" t="s">
        <v>455</v>
      </c>
      <c r="E216" s="300">
        <v>485</v>
      </c>
      <c r="F216" s="210">
        <v>553</v>
      </c>
      <c r="G216" s="210">
        <v>553</v>
      </c>
      <c r="H216" s="210">
        <f t="shared" si="3"/>
        <v>0</v>
      </c>
      <c r="I216" s="203" t="s">
        <v>432</v>
      </c>
      <c r="J216" s="203" t="s">
        <v>452</v>
      </c>
      <c r="K216" s="203" t="s">
        <v>452</v>
      </c>
      <c r="L216" s="203" t="s">
        <v>451</v>
      </c>
      <c r="M216" s="203"/>
      <c r="N216" s="203"/>
      <c r="O216" s="203"/>
      <c r="P216" s="276"/>
      <c r="Q216" s="265"/>
      <c r="R216" s="265"/>
      <c r="S216" s="265"/>
      <c r="T216" s="265"/>
      <c r="U216" s="265"/>
    </row>
    <row r="217" spans="1:24" ht="18" customHeight="1">
      <c r="A217" s="204">
        <v>216</v>
      </c>
      <c r="B217" s="202" t="s">
        <v>1102</v>
      </c>
      <c r="C217" s="202" t="s">
        <v>1102</v>
      </c>
      <c r="D217" s="202" t="s">
        <v>455</v>
      </c>
      <c r="E217" s="300">
        <v>1806</v>
      </c>
      <c r="F217" s="210">
        <v>272</v>
      </c>
      <c r="G217" s="210">
        <v>272</v>
      </c>
      <c r="H217" s="210">
        <f t="shared" si="3"/>
        <v>0</v>
      </c>
      <c r="I217" s="203" t="s">
        <v>85</v>
      </c>
      <c r="J217" s="203" t="s">
        <v>452</v>
      </c>
      <c r="K217" s="203" t="s">
        <v>452</v>
      </c>
      <c r="L217" s="203" t="s">
        <v>451</v>
      </c>
      <c r="M217" s="203"/>
      <c r="N217" s="203"/>
      <c r="O217" s="203"/>
      <c r="P217" s="276"/>
      <c r="Q217" s="265"/>
      <c r="R217" s="265"/>
      <c r="S217" s="265"/>
      <c r="T217" s="265"/>
      <c r="U217" s="265"/>
    </row>
    <row r="218" spans="1:24" ht="18" customHeight="1">
      <c r="A218" s="204">
        <v>217</v>
      </c>
      <c r="B218" s="202" t="s">
        <v>1103</v>
      </c>
      <c r="C218" s="202" t="s">
        <v>1103</v>
      </c>
      <c r="D218" s="202" t="s">
        <v>455</v>
      </c>
      <c r="E218" s="300">
        <v>1631</v>
      </c>
      <c r="F218" s="210">
        <v>1499</v>
      </c>
      <c r="G218" s="210">
        <v>1499</v>
      </c>
      <c r="H218" s="210">
        <f t="shared" si="3"/>
        <v>0</v>
      </c>
      <c r="I218" s="203" t="s">
        <v>432</v>
      </c>
      <c r="J218" s="203" t="s">
        <v>452</v>
      </c>
      <c r="K218" s="203" t="s">
        <v>452</v>
      </c>
      <c r="L218" s="203" t="s">
        <v>451</v>
      </c>
      <c r="M218" s="203"/>
      <c r="N218" s="203"/>
      <c r="O218" s="203"/>
      <c r="P218" s="276"/>
      <c r="Q218" s="265"/>
      <c r="R218" s="265"/>
      <c r="S218" s="265"/>
      <c r="T218" s="265"/>
      <c r="U218" s="265"/>
    </row>
    <row r="219" spans="1:24" ht="18" customHeight="1">
      <c r="A219" s="204">
        <v>218</v>
      </c>
      <c r="B219" s="202" t="s">
        <v>1104</v>
      </c>
      <c r="C219" s="202" t="s">
        <v>1104</v>
      </c>
      <c r="D219" s="202" t="s">
        <v>455</v>
      </c>
      <c r="E219" s="300">
        <v>1617</v>
      </c>
      <c r="F219" s="210">
        <v>1387</v>
      </c>
      <c r="G219" s="210">
        <v>1387</v>
      </c>
      <c r="H219" s="210">
        <f t="shared" si="3"/>
        <v>0</v>
      </c>
      <c r="I219" s="203" t="s">
        <v>85</v>
      </c>
      <c r="J219" s="203" t="s">
        <v>452</v>
      </c>
      <c r="K219" s="203" t="s">
        <v>452</v>
      </c>
      <c r="L219" s="203" t="s">
        <v>451</v>
      </c>
      <c r="M219" s="203"/>
      <c r="N219" s="203"/>
      <c r="O219" s="203"/>
      <c r="P219" s="276"/>
      <c r="Q219" s="265"/>
      <c r="R219" s="265"/>
      <c r="S219" s="265"/>
      <c r="T219" s="265"/>
      <c r="U219" s="265"/>
    </row>
    <row r="220" spans="1:24" ht="18" customHeight="1">
      <c r="A220" s="204">
        <v>219</v>
      </c>
      <c r="B220" s="202" t="s">
        <v>1105</v>
      </c>
      <c r="C220" s="202" t="s">
        <v>1105</v>
      </c>
      <c r="D220" s="202" t="s">
        <v>455</v>
      </c>
      <c r="E220" s="300">
        <v>1357</v>
      </c>
      <c r="F220" s="210">
        <v>1028</v>
      </c>
      <c r="G220" s="210">
        <v>1028</v>
      </c>
      <c r="H220" s="210">
        <f t="shared" si="3"/>
        <v>0</v>
      </c>
      <c r="I220" s="203" t="s">
        <v>432</v>
      </c>
      <c r="J220" s="203" t="s">
        <v>452</v>
      </c>
      <c r="K220" s="203" t="s">
        <v>452</v>
      </c>
      <c r="L220" s="203" t="s">
        <v>451</v>
      </c>
      <c r="M220" s="203"/>
      <c r="N220" s="203"/>
      <c r="O220" s="203"/>
      <c r="P220" s="276"/>
      <c r="Q220" s="265"/>
      <c r="R220" s="265"/>
      <c r="S220" s="265"/>
      <c r="T220" s="265"/>
      <c r="U220" s="267"/>
    </row>
    <row r="221" spans="1:24" ht="18" customHeight="1">
      <c r="A221" s="204">
        <v>220</v>
      </c>
      <c r="B221" s="202" t="s">
        <v>1106</v>
      </c>
      <c r="C221" s="202" t="s">
        <v>1106</v>
      </c>
      <c r="D221" s="202" t="s">
        <v>455</v>
      </c>
      <c r="E221" s="300">
        <v>161</v>
      </c>
      <c r="F221" s="210">
        <v>91</v>
      </c>
      <c r="G221" s="210">
        <v>91</v>
      </c>
      <c r="H221" s="210">
        <f t="shared" si="3"/>
        <v>0</v>
      </c>
      <c r="I221" s="203" t="s">
        <v>85</v>
      </c>
      <c r="J221" s="203" t="s">
        <v>452</v>
      </c>
      <c r="K221" s="203" t="s">
        <v>452</v>
      </c>
      <c r="L221" s="203" t="s">
        <v>451</v>
      </c>
      <c r="M221" s="203"/>
      <c r="N221" s="203"/>
      <c r="O221" s="203"/>
      <c r="P221" s="276"/>
      <c r="Q221" s="265"/>
      <c r="R221" s="265"/>
      <c r="S221" s="265"/>
      <c r="T221" s="265"/>
      <c r="U221" s="267"/>
    </row>
    <row r="222" spans="1:24" ht="18" customHeight="1">
      <c r="A222" s="204">
        <v>221</v>
      </c>
      <c r="B222" s="202" t="s">
        <v>1107</v>
      </c>
      <c r="C222" s="202" t="s">
        <v>1107</v>
      </c>
      <c r="D222" s="202" t="s">
        <v>455</v>
      </c>
      <c r="E222" s="300">
        <v>265</v>
      </c>
      <c r="F222" s="210">
        <v>265</v>
      </c>
      <c r="G222" s="210">
        <v>265</v>
      </c>
      <c r="H222" s="210">
        <f t="shared" si="3"/>
        <v>0</v>
      </c>
      <c r="I222" s="203" t="s">
        <v>432</v>
      </c>
      <c r="J222" s="203" t="s">
        <v>452</v>
      </c>
      <c r="K222" s="203" t="s">
        <v>452</v>
      </c>
      <c r="L222" s="203" t="s">
        <v>451</v>
      </c>
      <c r="M222" s="203"/>
      <c r="N222" s="203"/>
      <c r="O222" s="203"/>
      <c r="P222" s="276"/>
      <c r="Q222" s="265"/>
      <c r="R222" s="265"/>
      <c r="S222" s="265"/>
      <c r="T222" s="265"/>
      <c r="U222" s="267"/>
    </row>
    <row r="223" spans="1:24" ht="18" customHeight="1">
      <c r="A223" s="204">
        <v>222</v>
      </c>
      <c r="B223" s="202" t="s">
        <v>1108</v>
      </c>
      <c r="C223" s="202" t="s">
        <v>1108</v>
      </c>
      <c r="D223" s="202" t="s">
        <v>455</v>
      </c>
      <c r="E223" s="300">
        <v>362</v>
      </c>
      <c r="F223" s="210">
        <v>223</v>
      </c>
      <c r="G223" s="210">
        <v>223</v>
      </c>
      <c r="H223" s="210">
        <f t="shared" si="3"/>
        <v>0</v>
      </c>
      <c r="I223" s="203" t="s">
        <v>85</v>
      </c>
      <c r="J223" s="203" t="s">
        <v>452</v>
      </c>
      <c r="K223" s="203" t="s">
        <v>452</v>
      </c>
      <c r="L223" s="203" t="s">
        <v>451</v>
      </c>
      <c r="M223" s="203"/>
      <c r="N223" s="203"/>
      <c r="O223" s="203"/>
      <c r="P223" s="276"/>
      <c r="Q223" s="265"/>
      <c r="R223" s="265"/>
      <c r="S223" s="265"/>
      <c r="T223" s="265"/>
      <c r="U223" s="267"/>
    </row>
    <row r="224" spans="1:24" ht="18" customHeight="1">
      <c r="A224" s="204">
        <v>223</v>
      </c>
      <c r="B224" s="202" t="s">
        <v>1038</v>
      </c>
      <c r="C224" s="202" t="s">
        <v>1038</v>
      </c>
      <c r="D224" s="202" t="s">
        <v>455</v>
      </c>
      <c r="E224" s="300">
        <v>7230</v>
      </c>
      <c r="F224" s="210">
        <v>2355</v>
      </c>
      <c r="G224" s="210">
        <v>2355</v>
      </c>
      <c r="H224" s="210">
        <f t="shared" si="3"/>
        <v>0</v>
      </c>
      <c r="I224" s="203" t="s">
        <v>433</v>
      </c>
      <c r="J224" s="203" t="s">
        <v>715</v>
      </c>
      <c r="K224" s="203" t="s">
        <v>715</v>
      </c>
      <c r="L224" s="203" t="s">
        <v>511</v>
      </c>
      <c r="M224" s="203"/>
      <c r="N224" s="203"/>
      <c r="O224" s="203"/>
      <c r="P224" s="276"/>
      <c r="Q224" s="265"/>
      <c r="R224" s="265"/>
      <c r="S224" s="265"/>
      <c r="T224" s="265"/>
      <c r="U224" s="284"/>
      <c r="V224" s="265"/>
      <c r="W224" s="265"/>
      <c r="X224" s="265"/>
    </row>
    <row r="225" spans="1:24" ht="18" customHeight="1">
      <c r="A225" s="204">
        <v>224</v>
      </c>
      <c r="B225" s="202" t="s">
        <v>1109</v>
      </c>
      <c r="C225" s="202" t="s">
        <v>1109</v>
      </c>
      <c r="D225" s="202" t="s">
        <v>455</v>
      </c>
      <c r="E225" s="300">
        <v>2302</v>
      </c>
      <c r="F225" s="210">
        <v>1634</v>
      </c>
      <c r="G225" s="210">
        <v>1634</v>
      </c>
      <c r="H225" s="210">
        <f t="shared" si="3"/>
        <v>0</v>
      </c>
      <c r="I225" s="203" t="s">
        <v>432</v>
      </c>
      <c r="J225" s="203" t="s">
        <v>452</v>
      </c>
      <c r="K225" s="203" t="s">
        <v>452</v>
      </c>
      <c r="L225" s="203" t="s">
        <v>451</v>
      </c>
      <c r="M225" s="203"/>
      <c r="N225" s="203"/>
      <c r="O225" s="203"/>
      <c r="P225" s="276"/>
      <c r="Q225" s="265"/>
      <c r="R225" s="265"/>
      <c r="S225" s="265"/>
      <c r="T225" s="265"/>
      <c r="U225" s="265"/>
    </row>
    <row r="226" spans="1:24" ht="18" customHeight="1">
      <c r="A226" s="204">
        <v>225</v>
      </c>
      <c r="B226" s="202" t="s">
        <v>1110</v>
      </c>
      <c r="C226" s="202" t="s">
        <v>1110</v>
      </c>
      <c r="D226" s="202" t="s">
        <v>455</v>
      </c>
      <c r="E226" s="300">
        <v>48</v>
      </c>
      <c r="F226" s="210">
        <v>48</v>
      </c>
      <c r="G226" s="210">
        <v>48</v>
      </c>
      <c r="H226" s="210">
        <f t="shared" si="3"/>
        <v>0</v>
      </c>
      <c r="I226" s="203" t="s">
        <v>85</v>
      </c>
      <c r="J226" s="203" t="s">
        <v>452</v>
      </c>
      <c r="K226" s="203" t="s">
        <v>452</v>
      </c>
      <c r="L226" s="203" t="s">
        <v>451</v>
      </c>
      <c r="M226" s="203"/>
      <c r="N226" s="203"/>
      <c r="O226" s="203"/>
      <c r="P226" s="276"/>
      <c r="Q226" s="265"/>
      <c r="R226" s="265"/>
      <c r="S226" s="265"/>
      <c r="T226" s="265"/>
      <c r="U226" s="265"/>
    </row>
    <row r="227" spans="1:24" ht="18" customHeight="1">
      <c r="A227" s="204">
        <v>226</v>
      </c>
      <c r="B227" s="202" t="s">
        <v>1111</v>
      </c>
      <c r="C227" s="202" t="s">
        <v>1111</v>
      </c>
      <c r="D227" s="202" t="s">
        <v>455</v>
      </c>
      <c r="E227" s="300">
        <v>165</v>
      </c>
      <c r="F227" s="210">
        <v>105</v>
      </c>
      <c r="G227" s="210">
        <v>105</v>
      </c>
      <c r="H227" s="210">
        <f t="shared" si="3"/>
        <v>0</v>
      </c>
      <c r="I227" s="203" t="s">
        <v>433</v>
      </c>
      <c r="J227" s="203" t="s">
        <v>715</v>
      </c>
      <c r="K227" s="203" t="s">
        <v>715</v>
      </c>
      <c r="L227" s="203" t="s">
        <v>511</v>
      </c>
      <c r="M227" s="203"/>
      <c r="N227" s="203"/>
      <c r="O227" s="203"/>
      <c r="P227" s="276"/>
      <c r="Q227" s="265"/>
      <c r="R227" s="265"/>
      <c r="S227" s="265"/>
      <c r="T227" s="265"/>
      <c r="U227" s="265"/>
    </row>
    <row r="228" spans="1:24" ht="18" customHeight="1">
      <c r="A228" s="204">
        <v>227</v>
      </c>
      <c r="B228" s="202" t="s">
        <v>1112</v>
      </c>
      <c r="C228" s="202" t="s">
        <v>1112</v>
      </c>
      <c r="D228" s="202" t="s">
        <v>455</v>
      </c>
      <c r="E228" s="300">
        <v>204</v>
      </c>
      <c r="F228" s="210">
        <v>79</v>
      </c>
      <c r="G228" s="210">
        <v>79</v>
      </c>
      <c r="H228" s="210">
        <f t="shared" si="3"/>
        <v>0</v>
      </c>
      <c r="I228" s="203" t="s">
        <v>85</v>
      </c>
      <c r="J228" s="203" t="s">
        <v>452</v>
      </c>
      <c r="K228" s="203" t="s">
        <v>452</v>
      </c>
      <c r="L228" s="203" t="s">
        <v>451</v>
      </c>
      <c r="M228" s="203"/>
      <c r="N228" s="203"/>
      <c r="O228" s="203"/>
      <c r="P228" s="276"/>
      <c r="Q228" s="265"/>
      <c r="R228" s="265"/>
      <c r="S228" s="265"/>
      <c r="T228" s="265"/>
      <c r="U228" s="265"/>
    </row>
    <row r="229" spans="1:24" ht="18" customHeight="1">
      <c r="A229" s="204">
        <v>228</v>
      </c>
      <c r="B229" s="202" t="s">
        <v>1113</v>
      </c>
      <c r="C229" s="202" t="s">
        <v>1113</v>
      </c>
      <c r="D229" s="202" t="s">
        <v>455</v>
      </c>
      <c r="E229" s="300">
        <v>87</v>
      </c>
      <c r="F229" s="210">
        <v>30</v>
      </c>
      <c r="G229" s="210">
        <v>30</v>
      </c>
      <c r="H229" s="210">
        <f t="shared" si="3"/>
        <v>0</v>
      </c>
      <c r="I229" s="203" t="s">
        <v>432</v>
      </c>
      <c r="J229" s="203" t="s">
        <v>452</v>
      </c>
      <c r="K229" s="203" t="s">
        <v>452</v>
      </c>
      <c r="L229" s="203" t="s">
        <v>451</v>
      </c>
      <c r="M229" s="203"/>
      <c r="N229" s="203"/>
      <c r="O229" s="203"/>
      <c r="P229" s="276"/>
      <c r="Q229" s="265"/>
      <c r="R229" s="265"/>
      <c r="S229" s="265"/>
      <c r="T229" s="265"/>
      <c r="U229" s="265"/>
    </row>
    <row r="230" spans="1:24" ht="18" customHeight="1">
      <c r="A230" s="204">
        <v>229</v>
      </c>
      <c r="B230" s="202" t="s">
        <v>1114</v>
      </c>
      <c r="C230" s="202" t="s">
        <v>1114</v>
      </c>
      <c r="D230" s="202" t="s">
        <v>455</v>
      </c>
      <c r="E230" s="300">
        <v>162</v>
      </c>
      <c r="F230" s="210">
        <v>48</v>
      </c>
      <c r="G230" s="210">
        <v>48</v>
      </c>
      <c r="H230" s="210">
        <f t="shared" si="3"/>
        <v>0</v>
      </c>
      <c r="I230" s="203" t="s">
        <v>85</v>
      </c>
      <c r="J230" s="203" t="s">
        <v>452</v>
      </c>
      <c r="K230" s="203" t="s">
        <v>452</v>
      </c>
      <c r="L230" s="203" t="s">
        <v>451</v>
      </c>
      <c r="M230" s="203"/>
      <c r="N230" s="203"/>
      <c r="O230" s="203"/>
      <c r="P230" s="276"/>
      <c r="Q230" s="265"/>
      <c r="R230" s="265"/>
      <c r="S230" s="265"/>
      <c r="T230" s="265"/>
      <c r="U230" s="265"/>
    </row>
    <row r="231" spans="1:24" ht="18" customHeight="1">
      <c r="A231" s="204">
        <v>230</v>
      </c>
      <c r="B231" s="202" t="s">
        <v>1115</v>
      </c>
      <c r="C231" s="202" t="s">
        <v>1115</v>
      </c>
      <c r="D231" s="202" t="s">
        <v>455</v>
      </c>
      <c r="E231" s="300">
        <v>196</v>
      </c>
      <c r="F231" s="210">
        <v>111</v>
      </c>
      <c r="G231" s="210">
        <v>111</v>
      </c>
      <c r="H231" s="210">
        <f t="shared" si="3"/>
        <v>0</v>
      </c>
      <c r="I231" s="203" t="s">
        <v>432</v>
      </c>
      <c r="J231" s="203" t="s">
        <v>452</v>
      </c>
      <c r="K231" s="203" t="s">
        <v>452</v>
      </c>
      <c r="L231" s="203" t="s">
        <v>451</v>
      </c>
      <c r="M231" s="203"/>
      <c r="N231" s="203"/>
      <c r="O231" s="203"/>
      <c r="P231" s="276"/>
      <c r="Q231" s="265"/>
      <c r="R231" s="265"/>
      <c r="S231" s="265"/>
      <c r="T231" s="265"/>
      <c r="U231" s="265"/>
    </row>
    <row r="232" spans="1:24" ht="18" customHeight="1">
      <c r="A232" s="204">
        <v>231</v>
      </c>
      <c r="B232" s="202" t="s">
        <v>1116</v>
      </c>
      <c r="C232" s="202" t="s">
        <v>1116</v>
      </c>
      <c r="D232" s="202" t="s">
        <v>8</v>
      </c>
      <c r="E232" s="300">
        <v>104</v>
      </c>
      <c r="F232" s="210">
        <v>104</v>
      </c>
      <c r="G232" s="210">
        <v>104</v>
      </c>
      <c r="H232" s="210">
        <f t="shared" si="3"/>
        <v>0</v>
      </c>
      <c r="I232" s="203" t="s">
        <v>85</v>
      </c>
      <c r="J232" s="203" t="s">
        <v>452</v>
      </c>
      <c r="K232" s="203" t="s">
        <v>452</v>
      </c>
      <c r="L232" s="203" t="s">
        <v>451</v>
      </c>
      <c r="M232" s="203"/>
      <c r="N232" s="203"/>
      <c r="O232" s="203"/>
      <c r="P232" s="276"/>
      <c r="Q232" s="265"/>
      <c r="R232" s="265"/>
      <c r="S232" s="265"/>
      <c r="T232" s="265"/>
      <c r="U232" s="265"/>
    </row>
    <row r="233" spans="1:24" ht="18" customHeight="1">
      <c r="A233" s="270" t="s">
        <v>126</v>
      </c>
      <c r="B233" s="271"/>
      <c r="C233" s="271"/>
      <c r="D233" s="271"/>
      <c r="E233" s="272"/>
      <c r="F233" s="272">
        <f>SUM(F4:F232)</f>
        <v>92654.5</v>
      </c>
      <c r="G233" s="272">
        <f>SUM(G4:G232)</f>
        <v>92654.5</v>
      </c>
      <c r="H233" s="272">
        <f>G233-F233</f>
        <v>0</v>
      </c>
      <c r="I233" s="282"/>
      <c r="J233" s="282"/>
      <c r="K233" s="282"/>
      <c r="L233" s="282"/>
      <c r="M233" s="282"/>
      <c r="N233" s="282"/>
      <c r="O233" s="282"/>
      <c r="P233" s="283"/>
      <c r="Q233" s="265"/>
      <c r="R233" s="265"/>
      <c r="S233" s="265"/>
      <c r="T233" s="265"/>
      <c r="U233" s="284"/>
      <c r="V233" s="265"/>
      <c r="W233" s="265"/>
      <c r="X233" s="265"/>
    </row>
    <row r="234" spans="1:24" ht="30" customHeight="1">
      <c r="A234" s="204" t="str">
        <f>IF(ISBLANK(D234)," ",232-COUNTBLANK($D$5:D234))</f>
        <v xml:space="preserve"> </v>
      </c>
      <c r="B234" s="202"/>
      <c r="C234" s="202"/>
      <c r="D234" s="202"/>
      <c r="E234" s="300"/>
      <c r="F234" s="210"/>
      <c r="G234" s="210"/>
      <c r="H234" s="203"/>
      <c r="I234" s="203"/>
      <c r="J234" s="203"/>
      <c r="K234" s="203"/>
      <c r="L234" s="203"/>
      <c r="M234" s="203"/>
      <c r="N234" s="203"/>
      <c r="O234" s="205"/>
      <c r="P234" s="291"/>
      <c r="Q234" s="265"/>
      <c r="R234" s="265"/>
      <c r="S234" s="265"/>
      <c r="T234" s="265"/>
      <c r="U234" s="265"/>
    </row>
    <row r="235" spans="1:24" ht="30" customHeight="1">
      <c r="A235" s="204" t="str">
        <f>IF(ISBLANK(D235)," ",233-COUNTBLANK($D$5:D235))</f>
        <v xml:space="preserve"> </v>
      </c>
      <c r="B235" s="202"/>
      <c r="C235" s="202"/>
      <c r="D235" s="202"/>
      <c r="E235" s="300"/>
      <c r="F235" s="210"/>
      <c r="G235" s="210"/>
      <c r="H235" s="203"/>
      <c r="I235" s="203"/>
      <c r="J235" s="203"/>
      <c r="K235" s="203"/>
      <c r="L235" s="203"/>
      <c r="M235" s="203"/>
      <c r="N235" s="203"/>
      <c r="O235" s="205"/>
      <c r="P235" s="291"/>
      <c r="Q235" s="265"/>
      <c r="R235" s="265"/>
      <c r="S235" s="265"/>
      <c r="T235" s="265"/>
      <c r="U235" s="265"/>
    </row>
    <row r="236" spans="1:24" ht="30" customHeight="1">
      <c r="A236" s="204" t="str">
        <f>IF(ISBLANK(D236)," ",234-COUNTBLANK($D$5:D236))</f>
        <v xml:space="preserve"> </v>
      </c>
      <c r="B236" s="202"/>
      <c r="C236" s="202"/>
      <c r="D236" s="202"/>
      <c r="E236" s="300"/>
      <c r="F236" s="210"/>
      <c r="G236" s="210"/>
      <c r="H236" s="203"/>
      <c r="I236" s="203"/>
      <c r="J236" s="203"/>
      <c r="K236" s="203"/>
      <c r="L236" s="203"/>
      <c r="M236" s="203"/>
      <c r="N236" s="203"/>
      <c r="O236" s="205"/>
      <c r="P236" s="291"/>
      <c r="Q236" s="265"/>
      <c r="R236" s="265"/>
      <c r="S236" s="265"/>
      <c r="T236" s="265"/>
      <c r="U236" s="265"/>
    </row>
    <row r="237" spans="1:24" ht="30" customHeight="1">
      <c r="A237" s="204" t="str">
        <f>IF(ISBLANK(D237)," ",235-COUNTBLANK($D$5:D237))</f>
        <v xml:space="preserve"> </v>
      </c>
      <c r="B237" s="202"/>
      <c r="C237" s="202"/>
      <c r="D237" s="202"/>
      <c r="E237" s="300"/>
      <c r="F237" s="210"/>
      <c r="G237" s="210"/>
      <c r="H237" s="203"/>
      <c r="I237" s="203"/>
      <c r="J237" s="203"/>
      <c r="K237" s="203"/>
      <c r="L237" s="203"/>
      <c r="M237" s="203"/>
      <c r="N237" s="203"/>
      <c r="O237" s="205"/>
      <c r="P237" s="291"/>
      <c r="Q237" s="265"/>
      <c r="R237" s="265"/>
      <c r="S237" s="265"/>
      <c r="T237" s="265"/>
      <c r="U237" s="265"/>
    </row>
    <row r="238" spans="1:24" ht="30" customHeight="1">
      <c r="A238" s="204" t="str">
        <f>IF(ISBLANK(D238)," ",236-COUNTBLANK($D$5:D238))</f>
        <v xml:space="preserve"> </v>
      </c>
      <c r="B238" s="202"/>
      <c r="C238" s="202"/>
      <c r="D238" s="202"/>
      <c r="E238" s="300"/>
      <c r="F238" s="210"/>
      <c r="G238" s="210"/>
      <c r="H238" s="203"/>
      <c r="I238" s="203"/>
      <c r="J238" s="203"/>
      <c r="K238" s="203"/>
      <c r="L238" s="203"/>
      <c r="M238" s="203"/>
      <c r="N238" s="203"/>
      <c r="O238" s="205"/>
      <c r="P238" s="291"/>
      <c r="Q238" s="265"/>
      <c r="R238" s="265"/>
      <c r="S238" s="265"/>
      <c r="T238" s="265"/>
      <c r="U238" s="265"/>
    </row>
    <row r="239" spans="1:24" ht="30" customHeight="1">
      <c r="A239" s="204" t="str">
        <f>IF(ISBLANK(D239)," ",237-COUNTBLANK($D$5:D239))</f>
        <v xml:space="preserve"> </v>
      </c>
      <c r="B239" s="202"/>
      <c r="C239" s="202"/>
      <c r="D239" s="202"/>
      <c r="E239" s="300"/>
      <c r="F239" s="210"/>
      <c r="G239" s="210"/>
      <c r="H239" s="203"/>
      <c r="I239" s="203"/>
      <c r="J239" s="203"/>
      <c r="K239" s="203"/>
      <c r="L239" s="203"/>
      <c r="M239" s="203"/>
      <c r="N239" s="203"/>
      <c r="O239" s="205"/>
      <c r="P239" s="291"/>
      <c r="Q239" s="265"/>
      <c r="R239" s="265"/>
      <c r="S239" s="265"/>
      <c r="T239" s="265"/>
      <c r="U239" s="265"/>
    </row>
    <row r="240" spans="1:24" ht="30" customHeight="1">
      <c r="A240" s="204" t="str">
        <f>IF(ISBLANK(D240)," ",238-COUNTBLANK($D$5:D240))</f>
        <v xml:space="preserve"> </v>
      </c>
      <c r="B240" s="202"/>
      <c r="C240" s="202"/>
      <c r="D240" s="202"/>
      <c r="E240" s="300"/>
      <c r="F240" s="210"/>
      <c r="G240" s="210"/>
      <c r="H240" s="203"/>
      <c r="I240" s="203"/>
      <c r="J240" s="203"/>
      <c r="K240" s="203"/>
      <c r="L240" s="203"/>
      <c r="M240" s="203"/>
      <c r="N240" s="203"/>
      <c r="O240" s="205"/>
      <c r="P240" s="291"/>
      <c r="Q240" s="265"/>
      <c r="R240" s="265"/>
      <c r="S240" s="265"/>
      <c r="T240" s="265"/>
      <c r="U240" s="265"/>
    </row>
    <row r="241" spans="1:24" ht="30" customHeight="1">
      <c r="A241" s="204" t="str">
        <f>IF(ISBLANK(D241)," ",239-COUNTBLANK($D$5:D241))</f>
        <v xml:space="preserve"> </v>
      </c>
      <c r="B241" s="202"/>
      <c r="C241" s="202"/>
      <c r="D241" s="202"/>
      <c r="E241" s="300"/>
      <c r="F241" s="210"/>
      <c r="G241" s="210"/>
      <c r="H241" s="203"/>
      <c r="I241" s="203"/>
      <c r="J241" s="203"/>
      <c r="K241" s="203"/>
      <c r="L241" s="203"/>
      <c r="M241" s="203"/>
      <c r="N241" s="203"/>
      <c r="O241" s="205"/>
      <c r="P241" s="291"/>
      <c r="Q241" s="265"/>
      <c r="R241" s="265"/>
      <c r="S241" s="265"/>
      <c r="T241" s="265"/>
      <c r="U241" s="265"/>
    </row>
    <row r="242" spans="1:24" ht="30" customHeight="1">
      <c r="A242" s="204" t="str">
        <f>IF(ISBLANK(D242)," ",240-COUNTBLANK($D$5:D242))</f>
        <v xml:space="preserve"> </v>
      </c>
      <c r="B242" s="202"/>
      <c r="C242" s="202"/>
      <c r="D242" s="202"/>
      <c r="E242" s="300"/>
      <c r="F242" s="210"/>
      <c r="G242" s="210"/>
      <c r="H242" s="203"/>
      <c r="I242" s="203"/>
      <c r="J242" s="203"/>
      <c r="K242" s="203"/>
      <c r="L242" s="203"/>
      <c r="M242" s="203"/>
      <c r="N242" s="203"/>
      <c r="O242" s="205"/>
      <c r="P242" s="291"/>
      <c r="Q242" s="265"/>
      <c r="R242" s="265"/>
      <c r="S242" s="265"/>
      <c r="T242" s="265"/>
      <c r="U242" s="265"/>
    </row>
    <row r="243" spans="1:24" ht="30" customHeight="1">
      <c r="A243" s="204" t="str">
        <f>IF(ISBLANK(D243)," ",241-COUNTBLANK($D$5:D243))</f>
        <v xml:space="preserve"> </v>
      </c>
      <c r="B243" s="202"/>
      <c r="C243" s="202"/>
      <c r="D243" s="202"/>
      <c r="E243" s="300"/>
      <c r="F243" s="210"/>
      <c r="G243" s="210"/>
      <c r="H243" s="203"/>
      <c r="I243" s="203"/>
      <c r="J243" s="203"/>
      <c r="K243" s="203"/>
      <c r="L243" s="203"/>
      <c r="M243" s="203"/>
      <c r="N243" s="203"/>
      <c r="O243" s="205"/>
      <c r="P243" s="291"/>
      <c r="Q243" s="265"/>
      <c r="R243" s="265"/>
      <c r="S243" s="265"/>
      <c r="T243" s="265"/>
      <c r="U243" s="265"/>
    </row>
    <row r="244" spans="1:24" ht="30" customHeight="1">
      <c r="A244" s="204" t="str">
        <f>IF(ISBLANK(D244)," ",242-COUNTBLANK($D$5:D244))</f>
        <v xml:space="preserve"> </v>
      </c>
      <c r="B244" s="202"/>
      <c r="C244" s="202"/>
      <c r="D244" s="202"/>
      <c r="E244" s="300"/>
      <c r="F244" s="210"/>
      <c r="G244" s="210"/>
      <c r="H244" s="203"/>
      <c r="I244" s="203"/>
      <c r="J244" s="203"/>
      <c r="K244" s="203"/>
      <c r="L244" s="203"/>
      <c r="M244" s="203"/>
      <c r="N244" s="203"/>
      <c r="O244" s="205"/>
      <c r="P244" s="291"/>
      <c r="Q244" s="265"/>
      <c r="R244" s="265"/>
      <c r="S244" s="265"/>
      <c r="T244" s="265"/>
      <c r="U244" s="265"/>
    </row>
    <row r="245" spans="1:24" ht="30" customHeight="1">
      <c r="A245" s="204" t="str">
        <f>IF(ISBLANK(D245)," ",243-COUNTBLANK($D$5:D245))</f>
        <v xml:space="preserve"> </v>
      </c>
      <c r="B245" s="202"/>
      <c r="C245" s="202"/>
      <c r="D245" s="202"/>
      <c r="E245" s="300"/>
      <c r="F245" s="210"/>
      <c r="G245" s="210"/>
      <c r="H245" s="203"/>
      <c r="I245" s="203"/>
      <c r="J245" s="203"/>
      <c r="K245" s="203"/>
      <c r="L245" s="203"/>
      <c r="M245" s="203"/>
      <c r="N245" s="203"/>
      <c r="O245" s="205"/>
      <c r="P245" s="291"/>
      <c r="Q245" s="265"/>
      <c r="R245" s="265"/>
      <c r="S245" s="265"/>
      <c r="T245" s="265"/>
      <c r="U245" s="265"/>
    </row>
    <row r="246" spans="1:24" ht="30" customHeight="1">
      <c r="A246" s="204" t="str">
        <f>IF(ISBLANK(D246)," ",244-COUNTBLANK($D$5:D246))</f>
        <v xml:space="preserve"> </v>
      </c>
      <c r="B246" s="202"/>
      <c r="C246" s="202"/>
      <c r="D246" s="202"/>
      <c r="E246" s="300"/>
      <c r="F246" s="210"/>
      <c r="G246" s="210"/>
      <c r="H246" s="203"/>
      <c r="I246" s="203"/>
      <c r="J246" s="203"/>
      <c r="K246" s="203"/>
      <c r="L246" s="203"/>
      <c r="M246" s="203"/>
      <c r="N246" s="203"/>
      <c r="O246" s="205"/>
      <c r="P246" s="291"/>
      <c r="Q246" s="265"/>
      <c r="R246" s="265"/>
      <c r="S246" s="265"/>
      <c r="T246" s="265"/>
      <c r="U246" s="265"/>
    </row>
    <row r="247" spans="1:24" ht="30" customHeight="1">
      <c r="A247" s="204" t="str">
        <f>IF(ISBLANK(D247)," ",245-COUNTBLANK($D$5:D247))</f>
        <v xml:space="preserve"> </v>
      </c>
      <c r="B247" s="202"/>
      <c r="C247" s="202"/>
      <c r="D247" s="202"/>
      <c r="E247" s="300"/>
      <c r="F247" s="210"/>
      <c r="G247" s="210"/>
      <c r="H247" s="203"/>
      <c r="I247" s="203"/>
      <c r="J247" s="203"/>
      <c r="K247" s="203"/>
      <c r="L247" s="203"/>
      <c r="M247" s="203"/>
      <c r="N247" s="203"/>
      <c r="O247" s="205"/>
      <c r="P247" s="291"/>
      <c r="Q247" s="265"/>
      <c r="R247" s="265"/>
      <c r="S247" s="265"/>
      <c r="T247" s="265"/>
      <c r="U247" s="265"/>
    </row>
    <row r="248" spans="1:24" ht="30" customHeight="1">
      <c r="A248" s="204" t="str">
        <f>IF(ISBLANK(D248)," ",246-COUNTBLANK($D$5:D248))</f>
        <v xml:space="preserve"> </v>
      </c>
      <c r="B248" s="202"/>
      <c r="C248" s="202"/>
      <c r="D248" s="202"/>
      <c r="E248" s="300"/>
      <c r="F248" s="210"/>
      <c r="G248" s="210"/>
      <c r="H248" s="203"/>
      <c r="I248" s="203"/>
      <c r="J248" s="203"/>
      <c r="K248" s="203"/>
      <c r="L248" s="203"/>
      <c r="M248" s="203"/>
      <c r="N248" s="203"/>
      <c r="O248" s="205"/>
      <c r="P248" s="291"/>
      <c r="Q248" s="265"/>
      <c r="R248" s="265"/>
      <c r="S248" s="265"/>
      <c r="T248" s="265"/>
      <c r="U248" s="265"/>
    </row>
    <row r="249" spans="1:24" ht="30" customHeight="1">
      <c r="A249" s="204" t="str">
        <f>IF(ISBLANK(D249)," ",247-COUNTBLANK($D$5:D249))</f>
        <v xml:space="preserve"> </v>
      </c>
      <c r="B249" s="202"/>
      <c r="C249" s="202"/>
      <c r="D249" s="202"/>
      <c r="E249" s="300"/>
      <c r="F249" s="210"/>
      <c r="G249" s="210"/>
      <c r="H249" s="203"/>
      <c r="I249" s="203"/>
      <c r="J249" s="203"/>
      <c r="K249" s="203"/>
      <c r="L249" s="203"/>
      <c r="M249" s="203"/>
      <c r="N249" s="203"/>
      <c r="O249" s="205"/>
      <c r="P249" s="291"/>
      <c r="Q249" s="265"/>
      <c r="R249" s="265"/>
      <c r="S249" s="265"/>
      <c r="T249" s="265"/>
      <c r="U249" s="267"/>
    </row>
    <row r="250" spans="1:24" ht="30" customHeight="1">
      <c r="A250" s="204" t="str">
        <f>IF(ISBLANK(D250)," ",248-COUNTBLANK($D$5:D250))</f>
        <v xml:space="preserve"> </v>
      </c>
      <c r="B250" s="202"/>
      <c r="C250" s="202"/>
      <c r="D250" s="202"/>
      <c r="E250" s="300"/>
      <c r="F250" s="210"/>
      <c r="G250" s="210"/>
      <c r="H250" s="203"/>
      <c r="I250" s="203"/>
      <c r="J250" s="203"/>
      <c r="K250" s="203"/>
      <c r="L250" s="203"/>
      <c r="M250" s="203"/>
      <c r="N250" s="203"/>
      <c r="O250" s="205"/>
      <c r="P250" s="291"/>
      <c r="Q250" s="265"/>
      <c r="R250" s="265"/>
      <c r="S250" s="265"/>
      <c r="T250" s="265"/>
      <c r="U250" s="267"/>
    </row>
    <row r="251" spans="1:24" ht="30" customHeight="1">
      <c r="A251" s="204" t="str">
        <f>IF(ISBLANK(D251)," ",249-COUNTBLANK($D$5:D251))</f>
        <v xml:space="preserve"> </v>
      </c>
      <c r="B251" s="202"/>
      <c r="C251" s="202"/>
      <c r="D251" s="202"/>
      <c r="E251" s="300"/>
      <c r="F251" s="210"/>
      <c r="G251" s="210"/>
      <c r="H251" s="203"/>
      <c r="I251" s="203"/>
      <c r="J251" s="203"/>
      <c r="K251" s="203"/>
      <c r="L251" s="203"/>
      <c r="M251" s="203"/>
      <c r="N251" s="203"/>
      <c r="O251" s="205"/>
      <c r="P251" s="291"/>
      <c r="Q251" s="265"/>
      <c r="R251" s="265"/>
      <c r="S251" s="265"/>
      <c r="T251" s="265"/>
      <c r="U251" s="267"/>
    </row>
    <row r="252" spans="1:24" ht="30" customHeight="1">
      <c r="A252" s="204" t="str">
        <f>IF(ISBLANK(D252)," ",250-COUNTBLANK($D$5:D252))</f>
        <v xml:space="preserve"> </v>
      </c>
      <c r="B252" s="202"/>
      <c r="C252" s="202"/>
      <c r="D252" s="202"/>
      <c r="E252" s="300"/>
      <c r="F252" s="210"/>
      <c r="G252" s="210"/>
      <c r="H252" s="203"/>
      <c r="I252" s="203"/>
      <c r="J252" s="203"/>
      <c r="K252" s="203"/>
      <c r="L252" s="203"/>
      <c r="M252" s="203"/>
      <c r="N252" s="203"/>
      <c r="O252" s="205"/>
      <c r="P252" s="291"/>
      <c r="Q252" s="265"/>
      <c r="R252" s="265"/>
      <c r="S252" s="265"/>
      <c r="T252" s="265"/>
      <c r="U252" s="267"/>
    </row>
    <row r="253" spans="1:24" ht="30" customHeight="1">
      <c r="A253" s="304" t="str">
        <f>IF(ISBLANK(D253)," ",251-COUNTBLANK($D$5:D253))</f>
        <v xml:space="preserve"> </v>
      </c>
      <c r="B253" s="296"/>
      <c r="C253" s="305"/>
      <c r="D253" s="306"/>
      <c r="E253" s="297"/>
      <c r="F253" s="298"/>
      <c r="G253" s="298"/>
      <c r="H253" s="282"/>
      <c r="I253" s="282"/>
      <c r="J253" s="282"/>
      <c r="K253" s="282"/>
      <c r="L253" s="282"/>
      <c r="M253" s="282"/>
      <c r="N253" s="282"/>
      <c r="O253" s="283"/>
      <c r="P253" s="303"/>
      <c r="Q253" s="265"/>
      <c r="R253" s="265"/>
      <c r="S253" s="265"/>
      <c r="T253" s="265"/>
      <c r="U253" s="284"/>
      <c r="V253" s="265"/>
      <c r="W253" s="265"/>
      <c r="X253" s="265"/>
    </row>
    <row r="254" spans="1:24" ht="30" customHeight="1">
      <c r="A254" s="260" t="s">
        <v>52</v>
      </c>
      <c r="B254" s="200"/>
      <c r="C254" s="200"/>
      <c r="D254" s="200"/>
      <c r="E254" s="299"/>
      <c r="F254" s="209">
        <f>SUM(F234:F253)</f>
        <v>0</v>
      </c>
      <c r="G254" s="209"/>
      <c r="H254" s="201"/>
      <c r="I254" s="201"/>
      <c r="J254" s="201"/>
      <c r="K254" s="201"/>
      <c r="L254" s="201"/>
      <c r="M254" s="201"/>
      <c r="N254" s="201"/>
      <c r="O254" s="262"/>
      <c r="P254" s="291"/>
      <c r="Q254" s="265"/>
      <c r="R254" s="265"/>
      <c r="S254" s="265"/>
      <c r="T254" s="265"/>
      <c r="U254" s="284"/>
      <c r="V254" s="265"/>
      <c r="W254" s="265"/>
      <c r="X254" s="265"/>
    </row>
    <row r="255" spans="1:24" ht="30" customHeight="1">
      <c r="A255" s="204" t="str">
        <f>IF(ISBLANK(D255)," ",253-COUNTBLANK($D$5:D255))</f>
        <v xml:space="preserve"> </v>
      </c>
      <c r="B255" s="202"/>
      <c r="C255" s="202"/>
      <c r="D255" s="202"/>
      <c r="E255" s="300"/>
      <c r="F255" s="210"/>
      <c r="G255" s="210"/>
      <c r="H255" s="203"/>
      <c r="I255" s="203"/>
      <c r="J255" s="203"/>
      <c r="K255" s="203"/>
      <c r="L255" s="203"/>
      <c r="M255" s="203"/>
      <c r="N255" s="203"/>
      <c r="O255" s="205"/>
      <c r="P255" s="291"/>
      <c r="Q255" s="265"/>
      <c r="R255" s="265"/>
      <c r="S255" s="265"/>
      <c r="T255" s="265"/>
      <c r="U255" s="265"/>
    </row>
    <row r="256" spans="1:24" ht="30" customHeight="1">
      <c r="A256" s="204" t="str">
        <f>IF(ISBLANK(D256)," ",254-COUNTBLANK($D$5:D256))</f>
        <v xml:space="preserve"> </v>
      </c>
      <c r="B256" s="202"/>
      <c r="C256" s="202"/>
      <c r="D256" s="202"/>
      <c r="E256" s="300"/>
      <c r="F256" s="210"/>
      <c r="G256" s="210"/>
      <c r="H256" s="203"/>
      <c r="I256" s="203"/>
      <c r="J256" s="203"/>
      <c r="K256" s="203"/>
      <c r="L256" s="203"/>
      <c r="M256" s="203"/>
      <c r="N256" s="203"/>
      <c r="O256" s="205"/>
      <c r="P256" s="291"/>
      <c r="Q256" s="265"/>
      <c r="R256" s="265"/>
      <c r="S256" s="265"/>
      <c r="T256" s="265"/>
      <c r="U256" s="265"/>
    </row>
    <row r="257" spans="1:21" ht="30" customHeight="1">
      <c r="A257" s="204" t="str">
        <f>IF(ISBLANK(D257)," ",255-COUNTBLANK($D$5:D257))</f>
        <v xml:space="preserve"> </v>
      </c>
      <c r="B257" s="202"/>
      <c r="C257" s="202"/>
      <c r="D257" s="202"/>
      <c r="E257" s="300"/>
      <c r="F257" s="210"/>
      <c r="G257" s="210"/>
      <c r="H257" s="203"/>
      <c r="I257" s="203"/>
      <c r="J257" s="203"/>
      <c r="K257" s="203"/>
      <c r="L257" s="203"/>
      <c r="M257" s="203"/>
      <c r="N257" s="203"/>
      <c r="O257" s="205"/>
      <c r="P257" s="291"/>
      <c r="Q257" s="265"/>
      <c r="R257" s="265"/>
      <c r="S257" s="265"/>
      <c r="T257" s="265"/>
      <c r="U257" s="265"/>
    </row>
    <row r="258" spans="1:21" ht="30" customHeight="1">
      <c r="A258" s="204" t="str">
        <f>IF(ISBLANK(D258)," ",256-COUNTBLANK($D$5:D258))</f>
        <v xml:space="preserve"> </v>
      </c>
      <c r="B258" s="202"/>
      <c r="C258" s="202"/>
      <c r="D258" s="202"/>
      <c r="E258" s="300"/>
      <c r="F258" s="210"/>
      <c r="G258" s="210"/>
      <c r="H258" s="203"/>
      <c r="I258" s="203"/>
      <c r="J258" s="203"/>
      <c r="K258" s="203"/>
      <c r="L258" s="203"/>
      <c r="M258" s="203"/>
      <c r="N258" s="203"/>
      <c r="O258" s="205"/>
      <c r="P258" s="291"/>
      <c r="Q258" s="265"/>
      <c r="R258" s="265"/>
      <c r="S258" s="265"/>
      <c r="T258" s="265"/>
      <c r="U258" s="265"/>
    </row>
    <row r="259" spans="1:21" ht="30" customHeight="1">
      <c r="A259" s="204" t="str">
        <f>IF(ISBLANK(D259)," ",257-COUNTBLANK($D$5:D259))</f>
        <v xml:space="preserve"> </v>
      </c>
      <c r="B259" s="202"/>
      <c r="C259" s="202"/>
      <c r="D259" s="202"/>
      <c r="E259" s="300"/>
      <c r="F259" s="210"/>
      <c r="G259" s="210"/>
      <c r="H259" s="203"/>
      <c r="I259" s="203"/>
      <c r="J259" s="203"/>
      <c r="K259" s="203"/>
      <c r="L259" s="203"/>
      <c r="M259" s="203"/>
      <c r="N259" s="203"/>
      <c r="O259" s="205"/>
      <c r="P259" s="291"/>
      <c r="Q259" s="265"/>
      <c r="R259" s="265"/>
      <c r="S259" s="265"/>
      <c r="T259" s="265"/>
      <c r="U259" s="265"/>
    </row>
    <row r="260" spans="1:21" ht="30" customHeight="1">
      <c r="A260" s="204" t="str">
        <f>IF(ISBLANK(D260)," ",258-COUNTBLANK($D$5:D260))</f>
        <v xml:space="preserve"> </v>
      </c>
      <c r="B260" s="202"/>
      <c r="C260" s="202"/>
      <c r="D260" s="202"/>
      <c r="E260" s="300"/>
      <c r="F260" s="210"/>
      <c r="G260" s="210"/>
      <c r="H260" s="203"/>
      <c r="I260" s="203"/>
      <c r="J260" s="203"/>
      <c r="K260" s="203"/>
      <c r="L260" s="203"/>
      <c r="M260" s="203"/>
      <c r="N260" s="203"/>
      <c r="O260" s="205"/>
      <c r="P260" s="291"/>
      <c r="Q260" s="265"/>
      <c r="R260" s="265"/>
      <c r="S260" s="265"/>
      <c r="T260" s="265"/>
      <c r="U260" s="265"/>
    </row>
    <row r="261" spans="1:21" ht="30" customHeight="1">
      <c r="A261" s="204" t="str">
        <f>IF(ISBLANK(D261)," ",259-COUNTBLANK($D$5:D261))</f>
        <v xml:space="preserve"> </v>
      </c>
      <c r="B261" s="202"/>
      <c r="C261" s="202"/>
      <c r="D261" s="202"/>
      <c r="E261" s="300"/>
      <c r="F261" s="210"/>
      <c r="G261" s="210"/>
      <c r="H261" s="203"/>
      <c r="I261" s="203"/>
      <c r="J261" s="203"/>
      <c r="K261" s="203"/>
      <c r="L261" s="203"/>
      <c r="M261" s="203"/>
      <c r="N261" s="203"/>
      <c r="O261" s="205"/>
      <c r="P261" s="291"/>
      <c r="Q261" s="265"/>
      <c r="R261" s="265"/>
      <c r="S261" s="265"/>
      <c r="T261" s="265"/>
      <c r="U261" s="265"/>
    </row>
    <row r="262" spans="1:21" ht="30" customHeight="1">
      <c r="A262" s="204" t="str">
        <f>IF(ISBLANK(D262)," ",260-COUNTBLANK($D$5:D262))</f>
        <v xml:space="preserve"> </v>
      </c>
      <c r="B262" s="202"/>
      <c r="C262" s="202"/>
      <c r="D262" s="202"/>
      <c r="E262" s="300"/>
      <c r="F262" s="210"/>
      <c r="G262" s="210"/>
      <c r="H262" s="203"/>
      <c r="I262" s="203"/>
      <c r="J262" s="203"/>
      <c r="K262" s="203"/>
      <c r="L262" s="203"/>
      <c r="M262" s="203"/>
      <c r="N262" s="203"/>
      <c r="O262" s="205"/>
      <c r="P262" s="291"/>
      <c r="Q262" s="265"/>
      <c r="R262" s="265"/>
      <c r="S262" s="265"/>
      <c r="T262" s="265"/>
      <c r="U262" s="265"/>
    </row>
    <row r="263" spans="1:21" ht="30" customHeight="1">
      <c r="A263" s="204" t="str">
        <f>IF(ISBLANK(D263)," ",261-COUNTBLANK($D$5:D263))</f>
        <v xml:space="preserve"> </v>
      </c>
      <c r="B263" s="202"/>
      <c r="C263" s="202"/>
      <c r="D263" s="202"/>
      <c r="E263" s="300"/>
      <c r="F263" s="210"/>
      <c r="G263" s="210"/>
      <c r="H263" s="203"/>
      <c r="I263" s="203"/>
      <c r="J263" s="203"/>
      <c r="K263" s="203"/>
      <c r="L263" s="203"/>
      <c r="M263" s="203"/>
      <c r="N263" s="203"/>
      <c r="O263" s="205"/>
      <c r="P263" s="291"/>
      <c r="Q263" s="265"/>
      <c r="R263" s="265"/>
      <c r="S263" s="265"/>
      <c r="T263" s="265"/>
      <c r="U263" s="265"/>
    </row>
    <row r="264" spans="1:21" ht="30" customHeight="1">
      <c r="A264" s="204" t="str">
        <f>IF(ISBLANK(D264)," ",262-COUNTBLANK($D$5:D264))</f>
        <v xml:space="preserve"> </v>
      </c>
      <c r="B264" s="202"/>
      <c r="C264" s="202"/>
      <c r="D264" s="202"/>
      <c r="E264" s="300"/>
      <c r="F264" s="210"/>
      <c r="G264" s="210"/>
      <c r="H264" s="203"/>
      <c r="I264" s="203"/>
      <c r="J264" s="203"/>
      <c r="K264" s="203"/>
      <c r="L264" s="203"/>
      <c r="M264" s="203"/>
      <c r="N264" s="203"/>
      <c r="O264" s="205"/>
      <c r="P264" s="291"/>
      <c r="Q264" s="265"/>
      <c r="R264" s="265"/>
      <c r="S264" s="265"/>
      <c r="T264" s="265"/>
      <c r="U264" s="265"/>
    </row>
    <row r="265" spans="1:21" ht="30" customHeight="1">
      <c r="A265" s="204" t="str">
        <f>IF(ISBLANK(D265)," ",263-COUNTBLANK($D$5:D265))</f>
        <v xml:space="preserve"> </v>
      </c>
      <c r="B265" s="202"/>
      <c r="C265" s="202"/>
      <c r="D265" s="202"/>
      <c r="E265" s="300"/>
      <c r="F265" s="210"/>
      <c r="G265" s="210"/>
      <c r="H265" s="203"/>
      <c r="I265" s="203"/>
      <c r="J265" s="203"/>
      <c r="K265" s="203"/>
      <c r="L265" s="203"/>
      <c r="M265" s="203"/>
      <c r="N265" s="203"/>
      <c r="O265" s="205"/>
      <c r="P265" s="291"/>
      <c r="Q265" s="265"/>
      <c r="R265" s="265"/>
      <c r="S265" s="265"/>
      <c r="T265" s="265"/>
      <c r="U265" s="265"/>
    </row>
    <row r="266" spans="1:21" ht="30" customHeight="1">
      <c r="A266" s="204" t="str">
        <f>IF(ISBLANK(D266)," ",264-COUNTBLANK($D$5:D266))</f>
        <v xml:space="preserve"> </v>
      </c>
      <c r="B266" s="202"/>
      <c r="C266" s="202"/>
      <c r="D266" s="202"/>
      <c r="E266" s="300"/>
      <c r="F266" s="210"/>
      <c r="G266" s="210"/>
      <c r="H266" s="203"/>
      <c r="I266" s="203"/>
      <c r="J266" s="203"/>
      <c r="K266" s="203"/>
      <c r="L266" s="203"/>
      <c r="M266" s="203"/>
      <c r="N266" s="203"/>
      <c r="O266" s="205"/>
      <c r="P266" s="291"/>
      <c r="Q266" s="265"/>
      <c r="R266" s="265"/>
      <c r="S266" s="265"/>
      <c r="T266" s="265"/>
      <c r="U266" s="265"/>
    </row>
    <row r="267" spans="1:21" ht="30" customHeight="1">
      <c r="A267" s="204" t="str">
        <f>IF(ISBLANK(D267)," ",265-COUNTBLANK($D$5:D267))</f>
        <v xml:space="preserve"> </v>
      </c>
      <c r="B267" s="202"/>
      <c r="C267" s="202"/>
      <c r="D267" s="202"/>
      <c r="E267" s="300"/>
      <c r="F267" s="210"/>
      <c r="G267" s="210"/>
      <c r="H267" s="203"/>
      <c r="I267" s="203"/>
      <c r="J267" s="203"/>
      <c r="K267" s="203"/>
      <c r="L267" s="203"/>
      <c r="M267" s="203"/>
      <c r="N267" s="203"/>
      <c r="O267" s="205"/>
      <c r="P267" s="291"/>
      <c r="Q267" s="265"/>
      <c r="R267" s="265"/>
      <c r="S267" s="265"/>
      <c r="T267" s="265"/>
      <c r="U267" s="265"/>
    </row>
    <row r="268" spans="1:21" ht="30" customHeight="1">
      <c r="A268" s="204" t="str">
        <f>IF(ISBLANK(D268)," ",266-COUNTBLANK($D$5:D268))</f>
        <v xml:space="preserve"> </v>
      </c>
      <c r="B268" s="202"/>
      <c r="C268" s="202"/>
      <c r="D268" s="202"/>
      <c r="E268" s="300"/>
      <c r="F268" s="210"/>
      <c r="G268" s="210"/>
      <c r="H268" s="203"/>
      <c r="I268" s="203"/>
      <c r="J268" s="203"/>
      <c r="K268" s="203"/>
      <c r="L268" s="203"/>
      <c r="M268" s="203"/>
      <c r="N268" s="203"/>
      <c r="O268" s="205"/>
      <c r="P268" s="291"/>
      <c r="Q268" s="265"/>
      <c r="R268" s="265"/>
      <c r="S268" s="265"/>
      <c r="T268" s="265"/>
      <c r="U268" s="265"/>
    </row>
    <row r="269" spans="1:21" ht="30" customHeight="1">
      <c r="A269" s="204" t="str">
        <f>IF(ISBLANK(D269)," ",267-COUNTBLANK($D$5:D269))</f>
        <v xml:space="preserve"> </v>
      </c>
      <c r="B269" s="202"/>
      <c r="C269" s="202"/>
      <c r="D269" s="202"/>
      <c r="E269" s="300"/>
      <c r="F269" s="210"/>
      <c r="G269" s="210"/>
      <c r="H269" s="203"/>
      <c r="I269" s="203"/>
      <c r="J269" s="203"/>
      <c r="K269" s="203"/>
      <c r="L269" s="203"/>
      <c r="M269" s="203"/>
      <c r="N269" s="203"/>
      <c r="O269" s="205"/>
      <c r="P269" s="291"/>
      <c r="Q269" s="265"/>
      <c r="R269" s="265"/>
      <c r="S269" s="265"/>
      <c r="T269" s="265"/>
      <c r="U269" s="265"/>
    </row>
    <row r="270" spans="1:21" ht="30" customHeight="1">
      <c r="A270" s="204" t="str">
        <f>IF(ISBLANK(D270)," ",268-COUNTBLANK($D$5:D270))</f>
        <v xml:space="preserve"> </v>
      </c>
      <c r="B270" s="202"/>
      <c r="C270" s="202"/>
      <c r="D270" s="202"/>
      <c r="E270" s="300"/>
      <c r="F270" s="210"/>
      <c r="G270" s="210"/>
      <c r="H270" s="203"/>
      <c r="I270" s="203"/>
      <c r="J270" s="203"/>
      <c r="K270" s="203"/>
      <c r="L270" s="203"/>
      <c r="M270" s="203"/>
      <c r="N270" s="203"/>
      <c r="O270" s="205"/>
      <c r="P270" s="291"/>
      <c r="Q270" s="265"/>
      <c r="R270" s="265"/>
      <c r="S270" s="265"/>
      <c r="T270" s="265"/>
      <c r="U270" s="267"/>
    </row>
    <row r="271" spans="1:21" ht="30" customHeight="1">
      <c r="A271" s="204" t="str">
        <f>IF(ISBLANK(D271)," ",269-COUNTBLANK($D$5:D271))</f>
        <v xml:space="preserve"> </v>
      </c>
      <c r="B271" s="202"/>
      <c r="C271" s="202"/>
      <c r="D271" s="202"/>
      <c r="E271" s="300"/>
      <c r="F271" s="210"/>
      <c r="G271" s="210"/>
      <c r="H271" s="203"/>
      <c r="I271" s="203"/>
      <c r="J271" s="203"/>
      <c r="K271" s="203"/>
      <c r="L271" s="203"/>
      <c r="M271" s="203"/>
      <c r="N271" s="203"/>
      <c r="O271" s="205"/>
      <c r="P271" s="291"/>
      <c r="Q271" s="265"/>
      <c r="R271" s="265"/>
      <c r="S271" s="265"/>
      <c r="T271" s="265"/>
      <c r="U271" s="267"/>
    </row>
    <row r="272" spans="1:21" ht="30" customHeight="1">
      <c r="A272" s="204" t="str">
        <f>IF(ISBLANK(D272)," ",270-COUNTBLANK($D$5:D272))</f>
        <v xml:space="preserve"> </v>
      </c>
      <c r="B272" s="202"/>
      <c r="C272" s="202"/>
      <c r="D272" s="202"/>
      <c r="E272" s="300"/>
      <c r="F272" s="210"/>
      <c r="G272" s="210"/>
      <c r="H272" s="203"/>
      <c r="I272" s="203"/>
      <c r="J272" s="203"/>
      <c r="K272" s="203"/>
      <c r="L272" s="203"/>
      <c r="M272" s="203"/>
      <c r="N272" s="203"/>
      <c r="O272" s="205"/>
      <c r="P272" s="291"/>
      <c r="Q272" s="265"/>
      <c r="R272" s="265"/>
      <c r="S272" s="265"/>
      <c r="T272" s="265"/>
      <c r="U272" s="267"/>
    </row>
    <row r="273" spans="1:24" ht="30" customHeight="1">
      <c r="A273" s="204" t="str">
        <f>IF(ISBLANK(D273)," ",271-COUNTBLANK($D$5:D273))</f>
        <v xml:space="preserve"> </v>
      </c>
      <c r="B273" s="202"/>
      <c r="C273" s="202"/>
      <c r="D273" s="202"/>
      <c r="E273" s="300"/>
      <c r="F273" s="210"/>
      <c r="G273" s="210"/>
      <c r="H273" s="203"/>
      <c r="I273" s="203"/>
      <c r="J273" s="203"/>
      <c r="K273" s="203"/>
      <c r="L273" s="203"/>
      <c r="M273" s="203"/>
      <c r="N273" s="203"/>
      <c r="O273" s="205"/>
      <c r="P273" s="291"/>
      <c r="Q273" s="265"/>
      <c r="R273" s="265"/>
      <c r="S273" s="265"/>
      <c r="T273" s="265"/>
      <c r="U273" s="267"/>
    </row>
    <row r="274" spans="1:24" ht="30" customHeight="1">
      <c r="A274" s="304" t="str">
        <f>IF(ISBLANK(D274)," ",272-COUNTBLANK($D$5:D274))</f>
        <v xml:space="preserve"> </v>
      </c>
      <c r="B274" s="296"/>
      <c r="C274" s="305"/>
      <c r="D274" s="306"/>
      <c r="E274" s="297"/>
      <c r="F274" s="298"/>
      <c r="G274" s="298"/>
      <c r="H274" s="282"/>
      <c r="I274" s="282"/>
      <c r="J274" s="282"/>
      <c r="K274" s="282"/>
      <c r="L274" s="282"/>
      <c r="M274" s="282"/>
      <c r="N274" s="282"/>
      <c r="O274" s="283"/>
      <c r="P274" s="303"/>
      <c r="Q274" s="265"/>
      <c r="R274" s="265"/>
      <c r="S274" s="265"/>
      <c r="T274" s="265"/>
      <c r="U274" s="284"/>
      <c r="V274" s="265"/>
      <c r="W274" s="265"/>
      <c r="X274" s="265"/>
    </row>
    <row r="275" spans="1:24" ht="30" customHeight="1">
      <c r="A275" s="260" t="s">
        <v>52</v>
      </c>
      <c r="B275" s="200"/>
      <c r="C275" s="200"/>
      <c r="D275" s="200"/>
      <c r="E275" s="299"/>
      <c r="F275" s="209">
        <f>SUM(F255:F274)</f>
        <v>0</v>
      </c>
      <c r="G275" s="209"/>
      <c r="H275" s="201"/>
      <c r="I275" s="201"/>
      <c r="J275" s="201"/>
      <c r="K275" s="201"/>
      <c r="L275" s="201"/>
      <c r="M275" s="201"/>
      <c r="N275" s="201"/>
      <c r="O275" s="262"/>
      <c r="P275" s="291"/>
      <c r="Q275" s="265"/>
      <c r="R275" s="265"/>
      <c r="S275" s="265"/>
      <c r="T275" s="265"/>
      <c r="U275" s="284"/>
      <c r="V275" s="265"/>
      <c r="W275" s="265"/>
      <c r="X275" s="265"/>
    </row>
    <row r="276" spans="1:24" ht="30" customHeight="1">
      <c r="A276" s="204" t="str">
        <f>IF(ISBLANK(D276)," ",274-COUNTBLANK($D$5:D276))</f>
        <v xml:space="preserve"> </v>
      </c>
      <c r="B276" s="202"/>
      <c r="C276" s="202"/>
      <c r="D276" s="202"/>
      <c r="E276" s="300"/>
      <c r="F276" s="210"/>
      <c r="G276" s="210"/>
      <c r="H276" s="203"/>
      <c r="I276" s="203"/>
      <c r="J276" s="203"/>
      <c r="K276" s="203"/>
      <c r="L276" s="203"/>
      <c r="M276" s="203"/>
      <c r="N276" s="203"/>
      <c r="O276" s="205"/>
      <c r="P276" s="291"/>
      <c r="Q276" s="265"/>
      <c r="R276" s="265"/>
      <c r="S276" s="265"/>
      <c r="T276" s="265"/>
      <c r="U276" s="265"/>
    </row>
    <row r="277" spans="1:24" ht="30" customHeight="1">
      <c r="A277" s="204" t="str">
        <f>IF(ISBLANK(D277)," ",275-COUNTBLANK($D$5:D277))</f>
        <v xml:space="preserve"> </v>
      </c>
      <c r="B277" s="202"/>
      <c r="C277" s="202"/>
      <c r="D277" s="202"/>
      <c r="E277" s="300"/>
      <c r="F277" s="210"/>
      <c r="G277" s="210"/>
      <c r="H277" s="203"/>
      <c r="I277" s="203"/>
      <c r="J277" s="203"/>
      <c r="K277" s="203"/>
      <c r="L277" s="203"/>
      <c r="M277" s="203"/>
      <c r="N277" s="203"/>
      <c r="O277" s="205"/>
      <c r="P277" s="291"/>
      <c r="Q277" s="265"/>
      <c r="R277" s="265"/>
      <c r="S277" s="265"/>
      <c r="T277" s="265"/>
      <c r="U277" s="265"/>
    </row>
    <row r="278" spans="1:24" ht="30" customHeight="1">
      <c r="A278" s="204" t="str">
        <f>IF(ISBLANK(D278)," ",276-COUNTBLANK($D$5:D278))</f>
        <v xml:space="preserve"> </v>
      </c>
      <c r="B278" s="202"/>
      <c r="C278" s="202"/>
      <c r="D278" s="202"/>
      <c r="E278" s="300"/>
      <c r="F278" s="210"/>
      <c r="G278" s="210"/>
      <c r="H278" s="203"/>
      <c r="I278" s="203"/>
      <c r="J278" s="203"/>
      <c r="K278" s="203"/>
      <c r="L278" s="203"/>
      <c r="M278" s="203"/>
      <c r="N278" s="203"/>
      <c r="O278" s="205"/>
      <c r="P278" s="291"/>
      <c r="Q278" s="265"/>
      <c r="R278" s="265"/>
      <c r="S278" s="265"/>
      <c r="T278" s="265"/>
      <c r="U278" s="265"/>
    </row>
    <row r="279" spans="1:24" ht="30" customHeight="1">
      <c r="A279" s="204" t="str">
        <f>IF(ISBLANK(D279)," ",277-COUNTBLANK($D$5:D279))</f>
        <v xml:space="preserve"> </v>
      </c>
      <c r="B279" s="202"/>
      <c r="C279" s="202"/>
      <c r="D279" s="202"/>
      <c r="E279" s="300"/>
      <c r="F279" s="210"/>
      <c r="G279" s="210"/>
      <c r="H279" s="203"/>
      <c r="I279" s="203"/>
      <c r="J279" s="203"/>
      <c r="K279" s="203"/>
      <c r="L279" s="203"/>
      <c r="M279" s="203"/>
      <c r="N279" s="203"/>
      <c r="O279" s="205"/>
      <c r="P279" s="291"/>
      <c r="Q279" s="265"/>
      <c r="R279" s="265"/>
      <c r="S279" s="265"/>
      <c r="T279" s="265"/>
      <c r="U279" s="265"/>
    </row>
    <row r="280" spans="1:24" ht="30" customHeight="1">
      <c r="A280" s="204" t="str">
        <f>IF(ISBLANK(D280)," ",278-COUNTBLANK($D$5:D280))</f>
        <v xml:space="preserve"> </v>
      </c>
      <c r="B280" s="202"/>
      <c r="C280" s="202"/>
      <c r="D280" s="202"/>
      <c r="E280" s="300"/>
      <c r="F280" s="210"/>
      <c r="G280" s="210"/>
      <c r="H280" s="203"/>
      <c r="I280" s="203"/>
      <c r="J280" s="203"/>
      <c r="K280" s="203"/>
      <c r="L280" s="203"/>
      <c r="M280" s="203"/>
      <c r="N280" s="203"/>
      <c r="O280" s="205"/>
      <c r="P280" s="291"/>
      <c r="Q280" s="265"/>
      <c r="R280" s="265"/>
      <c r="S280" s="265"/>
      <c r="T280" s="265"/>
      <c r="U280" s="265"/>
    </row>
    <row r="281" spans="1:24" ht="30" customHeight="1">
      <c r="A281" s="204" t="str">
        <f>IF(ISBLANK(D281)," ",279-COUNTBLANK($D$5:D281))</f>
        <v xml:space="preserve"> </v>
      </c>
      <c r="B281" s="202"/>
      <c r="C281" s="202"/>
      <c r="D281" s="202"/>
      <c r="E281" s="300"/>
      <c r="F281" s="210"/>
      <c r="G281" s="210"/>
      <c r="H281" s="203"/>
      <c r="I281" s="203"/>
      <c r="J281" s="203"/>
      <c r="K281" s="203"/>
      <c r="L281" s="203"/>
      <c r="M281" s="203"/>
      <c r="N281" s="203"/>
      <c r="O281" s="205"/>
      <c r="P281" s="291"/>
      <c r="Q281" s="265"/>
      <c r="R281" s="265"/>
      <c r="S281" s="265"/>
      <c r="T281" s="265"/>
      <c r="U281" s="265"/>
    </row>
    <row r="282" spans="1:24" ht="30" customHeight="1">
      <c r="A282" s="204" t="str">
        <f>IF(ISBLANK(D282)," ",280-COUNTBLANK($D$5:D282))</f>
        <v xml:space="preserve"> </v>
      </c>
      <c r="B282" s="202"/>
      <c r="C282" s="202"/>
      <c r="D282" s="202"/>
      <c r="E282" s="300"/>
      <c r="F282" s="210"/>
      <c r="G282" s="210"/>
      <c r="H282" s="203"/>
      <c r="I282" s="203"/>
      <c r="J282" s="203"/>
      <c r="K282" s="203"/>
      <c r="L282" s="203"/>
      <c r="M282" s="203"/>
      <c r="N282" s="203"/>
      <c r="O282" s="205"/>
      <c r="P282" s="291"/>
      <c r="Q282" s="265"/>
      <c r="R282" s="265"/>
      <c r="S282" s="265"/>
      <c r="T282" s="265"/>
      <c r="U282" s="265"/>
    </row>
    <row r="283" spans="1:24" ht="30" customHeight="1">
      <c r="A283" s="204" t="str">
        <f>IF(ISBLANK(D283)," ",281-COUNTBLANK($D$5:D283))</f>
        <v xml:space="preserve"> </v>
      </c>
      <c r="B283" s="202"/>
      <c r="C283" s="202"/>
      <c r="D283" s="202"/>
      <c r="E283" s="300"/>
      <c r="F283" s="210"/>
      <c r="G283" s="210"/>
      <c r="H283" s="203"/>
      <c r="I283" s="203"/>
      <c r="J283" s="203"/>
      <c r="K283" s="203"/>
      <c r="L283" s="203"/>
      <c r="M283" s="203"/>
      <c r="N283" s="203"/>
      <c r="O283" s="205"/>
      <c r="P283" s="291"/>
      <c r="Q283" s="265"/>
      <c r="R283" s="265"/>
      <c r="S283" s="265"/>
      <c r="T283" s="265"/>
      <c r="U283" s="265"/>
    </row>
    <row r="284" spans="1:24" ht="30" customHeight="1">
      <c r="A284" s="204" t="str">
        <f>IF(ISBLANK(D284)," ",282-COUNTBLANK($D$5:D284))</f>
        <v xml:space="preserve"> </v>
      </c>
      <c r="B284" s="202"/>
      <c r="C284" s="202"/>
      <c r="D284" s="202"/>
      <c r="E284" s="300"/>
      <c r="F284" s="210"/>
      <c r="G284" s="210"/>
      <c r="H284" s="203"/>
      <c r="I284" s="203"/>
      <c r="J284" s="203"/>
      <c r="K284" s="203"/>
      <c r="L284" s="203"/>
      <c r="M284" s="203"/>
      <c r="N284" s="203"/>
      <c r="O284" s="205"/>
      <c r="P284" s="291"/>
      <c r="Q284" s="265"/>
      <c r="R284" s="265"/>
      <c r="S284" s="265"/>
      <c r="T284" s="265"/>
      <c r="U284" s="265"/>
    </row>
    <row r="285" spans="1:24" ht="30" customHeight="1">
      <c r="A285" s="204" t="str">
        <f>IF(ISBLANK(D285)," ",283-COUNTBLANK($D$5:D285))</f>
        <v xml:space="preserve"> </v>
      </c>
      <c r="B285" s="202"/>
      <c r="C285" s="202"/>
      <c r="D285" s="202"/>
      <c r="E285" s="300"/>
      <c r="F285" s="210"/>
      <c r="G285" s="210"/>
      <c r="H285" s="203"/>
      <c r="I285" s="203"/>
      <c r="J285" s="203"/>
      <c r="K285" s="203"/>
      <c r="L285" s="203"/>
      <c r="M285" s="203"/>
      <c r="N285" s="203"/>
      <c r="O285" s="205"/>
      <c r="P285" s="291"/>
      <c r="Q285" s="265"/>
      <c r="R285" s="265"/>
      <c r="S285" s="265"/>
      <c r="T285" s="265"/>
      <c r="U285" s="265"/>
    </row>
    <row r="286" spans="1:24" ht="30" customHeight="1">
      <c r="A286" s="204" t="str">
        <f>IF(ISBLANK(D286)," ",284-COUNTBLANK($D$5:D286))</f>
        <v xml:space="preserve"> </v>
      </c>
      <c r="B286" s="202"/>
      <c r="C286" s="202"/>
      <c r="D286" s="202"/>
      <c r="E286" s="300"/>
      <c r="F286" s="210"/>
      <c r="G286" s="210"/>
      <c r="H286" s="203"/>
      <c r="I286" s="203"/>
      <c r="J286" s="203"/>
      <c r="K286" s="203"/>
      <c r="L286" s="203"/>
      <c r="M286" s="203"/>
      <c r="N286" s="203"/>
      <c r="O286" s="205"/>
      <c r="P286" s="291"/>
      <c r="Q286" s="265"/>
      <c r="R286" s="265"/>
      <c r="S286" s="265"/>
      <c r="T286" s="265"/>
      <c r="U286" s="265"/>
    </row>
    <row r="287" spans="1:24" ht="30" customHeight="1">
      <c r="A287" s="204" t="str">
        <f>IF(ISBLANK(D287)," ",285-COUNTBLANK($D$5:D287))</f>
        <v xml:space="preserve"> </v>
      </c>
      <c r="B287" s="202"/>
      <c r="C287" s="202"/>
      <c r="D287" s="202"/>
      <c r="E287" s="300"/>
      <c r="F287" s="210"/>
      <c r="G287" s="210"/>
      <c r="H287" s="203"/>
      <c r="I287" s="203"/>
      <c r="J287" s="203"/>
      <c r="K287" s="203"/>
      <c r="L287" s="203"/>
      <c r="M287" s="203"/>
      <c r="N287" s="203"/>
      <c r="O287" s="205"/>
      <c r="P287" s="291"/>
      <c r="Q287" s="265"/>
      <c r="R287" s="265"/>
      <c r="S287" s="265"/>
      <c r="T287" s="265"/>
      <c r="U287" s="265"/>
    </row>
    <row r="288" spans="1:24" ht="30" customHeight="1">
      <c r="A288" s="204" t="str">
        <f>IF(ISBLANK(D288)," ",286-COUNTBLANK($D$5:D288))</f>
        <v xml:space="preserve"> </v>
      </c>
      <c r="B288" s="202"/>
      <c r="C288" s="202"/>
      <c r="D288" s="202"/>
      <c r="E288" s="300"/>
      <c r="F288" s="210"/>
      <c r="G288" s="210"/>
      <c r="H288" s="203"/>
      <c r="I288" s="203"/>
      <c r="J288" s="203"/>
      <c r="K288" s="203"/>
      <c r="L288" s="203"/>
      <c r="M288" s="203"/>
      <c r="N288" s="203"/>
      <c r="O288" s="205"/>
      <c r="P288" s="291"/>
      <c r="Q288" s="265"/>
      <c r="R288" s="265"/>
      <c r="S288" s="265"/>
      <c r="T288" s="265"/>
      <c r="U288" s="265"/>
    </row>
    <row r="289" spans="1:24" ht="30" customHeight="1">
      <c r="A289" s="204" t="str">
        <f>IF(ISBLANK(D289)," ",287-COUNTBLANK($D$5:D289))</f>
        <v xml:space="preserve"> </v>
      </c>
      <c r="B289" s="202"/>
      <c r="C289" s="202"/>
      <c r="D289" s="202"/>
      <c r="E289" s="300"/>
      <c r="F289" s="210"/>
      <c r="G289" s="210"/>
      <c r="H289" s="203"/>
      <c r="I289" s="203"/>
      <c r="J289" s="203"/>
      <c r="K289" s="203"/>
      <c r="L289" s="203"/>
      <c r="M289" s="203"/>
      <c r="N289" s="203"/>
      <c r="O289" s="205"/>
      <c r="P289" s="291"/>
      <c r="Q289" s="265"/>
      <c r="R289" s="265"/>
      <c r="S289" s="265"/>
      <c r="T289" s="265"/>
      <c r="U289" s="265"/>
    </row>
    <row r="290" spans="1:24" ht="30" customHeight="1">
      <c r="A290" s="204" t="str">
        <f>IF(ISBLANK(D290)," ",288-COUNTBLANK($D$5:D290))</f>
        <v xml:space="preserve"> </v>
      </c>
      <c r="B290" s="202"/>
      <c r="C290" s="202"/>
      <c r="D290" s="202"/>
      <c r="E290" s="300"/>
      <c r="F290" s="210"/>
      <c r="G290" s="210"/>
      <c r="H290" s="203"/>
      <c r="I290" s="203"/>
      <c r="J290" s="203"/>
      <c r="K290" s="203"/>
      <c r="L290" s="203"/>
      <c r="M290" s="203"/>
      <c r="N290" s="203"/>
      <c r="O290" s="205"/>
      <c r="P290" s="291"/>
      <c r="Q290" s="265"/>
      <c r="R290" s="265"/>
      <c r="S290" s="265"/>
      <c r="T290" s="265"/>
      <c r="U290" s="265"/>
    </row>
    <row r="291" spans="1:24" ht="30" customHeight="1">
      <c r="A291" s="204" t="str">
        <f>IF(ISBLANK(D291)," ",289-COUNTBLANK($D$5:D291))</f>
        <v xml:space="preserve"> </v>
      </c>
      <c r="B291" s="202"/>
      <c r="C291" s="202"/>
      <c r="D291" s="202"/>
      <c r="E291" s="300"/>
      <c r="F291" s="210"/>
      <c r="G291" s="210"/>
      <c r="H291" s="203"/>
      <c r="I291" s="203"/>
      <c r="J291" s="203"/>
      <c r="K291" s="203"/>
      <c r="L291" s="203"/>
      <c r="M291" s="203"/>
      <c r="N291" s="203"/>
      <c r="O291" s="205"/>
      <c r="P291" s="291"/>
      <c r="Q291" s="265"/>
      <c r="R291" s="265"/>
      <c r="S291" s="265"/>
      <c r="T291" s="265"/>
      <c r="U291" s="267"/>
    </row>
    <row r="292" spans="1:24" ht="30" customHeight="1">
      <c r="A292" s="204" t="str">
        <f>IF(ISBLANK(D292)," ",290-COUNTBLANK($D$5:D292))</f>
        <v xml:space="preserve"> </v>
      </c>
      <c r="B292" s="202"/>
      <c r="C292" s="202"/>
      <c r="D292" s="202"/>
      <c r="E292" s="300"/>
      <c r="F292" s="210"/>
      <c r="G292" s="210"/>
      <c r="H292" s="203"/>
      <c r="I292" s="203"/>
      <c r="J292" s="203"/>
      <c r="K292" s="203"/>
      <c r="L292" s="203"/>
      <c r="M292" s="203"/>
      <c r="N292" s="203"/>
      <c r="O292" s="205"/>
      <c r="P292" s="291"/>
      <c r="Q292" s="265"/>
      <c r="R292" s="265"/>
      <c r="S292" s="265"/>
      <c r="T292" s="265"/>
      <c r="U292" s="267"/>
    </row>
    <row r="293" spans="1:24" ht="30" customHeight="1">
      <c r="A293" s="204" t="str">
        <f>IF(ISBLANK(D293)," ",291-COUNTBLANK($D$5:D293))</f>
        <v xml:space="preserve"> </v>
      </c>
      <c r="B293" s="202"/>
      <c r="C293" s="202"/>
      <c r="D293" s="202"/>
      <c r="E293" s="300"/>
      <c r="F293" s="210"/>
      <c r="G293" s="210"/>
      <c r="H293" s="203"/>
      <c r="I293" s="203"/>
      <c r="J293" s="203"/>
      <c r="K293" s="203"/>
      <c r="L293" s="203"/>
      <c r="M293" s="203"/>
      <c r="N293" s="203"/>
      <c r="O293" s="205"/>
      <c r="P293" s="291"/>
      <c r="Q293" s="265"/>
      <c r="R293" s="265"/>
      <c r="S293" s="265"/>
      <c r="T293" s="265"/>
      <c r="U293" s="267"/>
    </row>
    <row r="294" spans="1:24" ht="30" customHeight="1">
      <c r="A294" s="204" t="str">
        <f>IF(ISBLANK(D294)," ",292-COUNTBLANK($D$5:D294))</f>
        <v xml:space="preserve"> </v>
      </c>
      <c r="B294" s="202"/>
      <c r="C294" s="202"/>
      <c r="D294" s="202"/>
      <c r="E294" s="300"/>
      <c r="F294" s="210"/>
      <c r="G294" s="210"/>
      <c r="H294" s="203"/>
      <c r="I294" s="203"/>
      <c r="J294" s="203"/>
      <c r="K294" s="203"/>
      <c r="L294" s="203"/>
      <c r="M294" s="203"/>
      <c r="N294" s="203"/>
      <c r="O294" s="205"/>
      <c r="P294" s="291"/>
      <c r="Q294" s="265"/>
      <c r="R294" s="265"/>
      <c r="S294" s="265"/>
      <c r="T294" s="265"/>
      <c r="U294" s="267"/>
    </row>
    <row r="295" spans="1:24" ht="30" customHeight="1">
      <c r="A295" s="304" t="str">
        <f>IF(ISBLANK(D295)," ",293-COUNTBLANK($D$5:D295))</f>
        <v xml:space="preserve"> </v>
      </c>
      <c r="B295" s="296"/>
      <c r="C295" s="305"/>
      <c r="D295" s="306"/>
      <c r="E295" s="297"/>
      <c r="F295" s="298"/>
      <c r="G295" s="298"/>
      <c r="H295" s="282"/>
      <c r="I295" s="282"/>
      <c r="J295" s="282"/>
      <c r="K295" s="282"/>
      <c r="L295" s="282"/>
      <c r="M295" s="282"/>
      <c r="N295" s="282"/>
      <c r="O295" s="283"/>
      <c r="P295" s="303"/>
      <c r="Q295" s="265"/>
      <c r="R295" s="265"/>
      <c r="S295" s="265"/>
      <c r="T295" s="265"/>
      <c r="U295" s="284"/>
      <c r="V295" s="265"/>
      <c r="W295" s="265"/>
      <c r="X295" s="265"/>
    </row>
    <row r="296" spans="1:24" ht="30" customHeight="1">
      <c r="A296" s="260" t="s">
        <v>52</v>
      </c>
      <c r="B296" s="200"/>
      <c r="C296" s="200"/>
      <c r="D296" s="200"/>
      <c r="E296" s="299"/>
      <c r="F296" s="209">
        <f>SUM(F276:F295)</f>
        <v>0</v>
      </c>
      <c r="G296" s="209"/>
      <c r="H296" s="201"/>
      <c r="I296" s="201"/>
      <c r="J296" s="201"/>
      <c r="K296" s="201"/>
      <c r="L296" s="201"/>
      <c r="M296" s="201"/>
      <c r="N296" s="201"/>
      <c r="O296" s="262"/>
      <c r="P296" s="291"/>
      <c r="Q296" s="265"/>
      <c r="R296" s="265"/>
      <c r="S296" s="265"/>
      <c r="T296" s="265"/>
      <c r="U296" s="284"/>
      <c r="V296" s="265"/>
      <c r="W296" s="265"/>
      <c r="X296" s="265"/>
    </row>
    <row r="297" spans="1:24" ht="30" customHeight="1">
      <c r="A297" s="204" t="str">
        <f>IF(ISBLANK(D297)," ",295-COUNTBLANK($D$5:D297))</f>
        <v xml:space="preserve"> </v>
      </c>
      <c r="B297" s="202"/>
      <c r="C297" s="202"/>
      <c r="D297" s="202"/>
      <c r="E297" s="300"/>
      <c r="F297" s="210"/>
      <c r="G297" s="210"/>
      <c r="H297" s="203"/>
      <c r="I297" s="203"/>
      <c r="J297" s="203"/>
      <c r="K297" s="203"/>
      <c r="L297" s="203"/>
      <c r="M297" s="203"/>
      <c r="N297" s="203"/>
      <c r="O297" s="205"/>
      <c r="P297" s="291"/>
      <c r="Q297" s="265"/>
      <c r="R297" s="265"/>
      <c r="S297" s="265"/>
      <c r="T297" s="265"/>
      <c r="U297" s="265"/>
    </row>
    <row r="298" spans="1:24" ht="30" customHeight="1">
      <c r="A298" s="204" t="str">
        <f>IF(ISBLANK(D298)," ",296-COUNTBLANK($D$5:D298))</f>
        <v xml:space="preserve"> </v>
      </c>
      <c r="B298" s="202"/>
      <c r="C298" s="202"/>
      <c r="D298" s="202"/>
      <c r="E298" s="300"/>
      <c r="F298" s="210"/>
      <c r="G298" s="210"/>
      <c r="H298" s="203"/>
      <c r="I298" s="203"/>
      <c r="J298" s="203"/>
      <c r="K298" s="203"/>
      <c r="L298" s="203"/>
      <c r="M298" s="203"/>
      <c r="N298" s="203"/>
      <c r="O298" s="205"/>
      <c r="P298" s="291"/>
      <c r="Q298" s="265"/>
      <c r="R298" s="265"/>
      <c r="S298" s="265"/>
      <c r="T298" s="265"/>
      <c r="U298" s="265"/>
    </row>
    <row r="299" spans="1:24" ht="30" customHeight="1">
      <c r="A299" s="204" t="str">
        <f>IF(ISBLANK(D299)," ",297-COUNTBLANK($D$5:D299))</f>
        <v xml:space="preserve"> </v>
      </c>
      <c r="B299" s="202"/>
      <c r="C299" s="202"/>
      <c r="D299" s="202"/>
      <c r="E299" s="300"/>
      <c r="F299" s="210"/>
      <c r="G299" s="210"/>
      <c r="H299" s="203"/>
      <c r="I299" s="203"/>
      <c r="J299" s="203"/>
      <c r="K299" s="203"/>
      <c r="L299" s="203"/>
      <c r="M299" s="203"/>
      <c r="N299" s="203"/>
      <c r="O299" s="205"/>
      <c r="P299" s="291"/>
      <c r="Q299" s="265"/>
      <c r="R299" s="265"/>
      <c r="S299" s="265"/>
      <c r="T299" s="265"/>
      <c r="U299" s="265"/>
    </row>
    <row r="300" spans="1:24" ht="30" customHeight="1">
      <c r="A300" s="204" t="str">
        <f>IF(ISBLANK(D300)," ",298-COUNTBLANK($D$5:D300))</f>
        <v xml:space="preserve"> </v>
      </c>
      <c r="B300" s="202"/>
      <c r="C300" s="202"/>
      <c r="D300" s="202"/>
      <c r="E300" s="300"/>
      <c r="F300" s="210"/>
      <c r="G300" s="210"/>
      <c r="H300" s="203"/>
      <c r="I300" s="203"/>
      <c r="J300" s="203"/>
      <c r="K300" s="203"/>
      <c r="L300" s="203"/>
      <c r="M300" s="203"/>
      <c r="N300" s="203"/>
      <c r="O300" s="205"/>
      <c r="P300" s="291"/>
      <c r="Q300" s="265"/>
      <c r="R300" s="265"/>
      <c r="S300" s="265"/>
      <c r="T300" s="265"/>
      <c r="U300" s="265"/>
    </row>
    <row r="301" spans="1:24" ht="30" customHeight="1">
      <c r="A301" s="204" t="str">
        <f>IF(ISBLANK(D301)," ",299-COUNTBLANK($D$5:D301))</f>
        <v xml:space="preserve"> </v>
      </c>
      <c r="B301" s="202"/>
      <c r="C301" s="202"/>
      <c r="D301" s="202"/>
      <c r="E301" s="300"/>
      <c r="F301" s="210"/>
      <c r="G301" s="210"/>
      <c r="H301" s="203"/>
      <c r="I301" s="203"/>
      <c r="J301" s="203"/>
      <c r="K301" s="203"/>
      <c r="L301" s="203"/>
      <c r="M301" s="203"/>
      <c r="N301" s="203"/>
      <c r="O301" s="205"/>
      <c r="P301" s="291"/>
      <c r="Q301" s="265"/>
      <c r="R301" s="265"/>
      <c r="S301" s="265"/>
      <c r="T301" s="265"/>
      <c r="U301" s="265"/>
    </row>
    <row r="302" spans="1:24" ht="30" customHeight="1">
      <c r="A302" s="204" t="str">
        <f>IF(ISBLANK(D302)," ",300-COUNTBLANK($D$5:D302))</f>
        <v xml:space="preserve"> </v>
      </c>
      <c r="B302" s="202"/>
      <c r="C302" s="202"/>
      <c r="D302" s="202"/>
      <c r="E302" s="300"/>
      <c r="F302" s="210"/>
      <c r="G302" s="210"/>
      <c r="H302" s="203"/>
      <c r="I302" s="203"/>
      <c r="J302" s="203"/>
      <c r="K302" s="203"/>
      <c r="L302" s="203"/>
      <c r="M302" s="203"/>
      <c r="N302" s="203"/>
      <c r="O302" s="205"/>
      <c r="P302" s="291"/>
      <c r="Q302" s="265"/>
      <c r="R302" s="265"/>
      <c r="S302" s="265"/>
      <c r="T302" s="265"/>
      <c r="U302" s="265"/>
    </row>
    <row r="303" spans="1:24" ht="30" customHeight="1">
      <c r="A303" s="204" t="str">
        <f>IF(ISBLANK(D303)," ",301-COUNTBLANK($D$5:D303))</f>
        <v xml:space="preserve"> </v>
      </c>
      <c r="B303" s="202"/>
      <c r="C303" s="202"/>
      <c r="D303" s="202"/>
      <c r="E303" s="300"/>
      <c r="F303" s="210"/>
      <c r="G303" s="210"/>
      <c r="H303" s="203"/>
      <c r="I303" s="203"/>
      <c r="J303" s="203"/>
      <c r="K303" s="203"/>
      <c r="L303" s="203"/>
      <c r="M303" s="203"/>
      <c r="N303" s="203"/>
      <c r="O303" s="205"/>
      <c r="P303" s="291"/>
      <c r="Q303" s="265"/>
      <c r="R303" s="265"/>
      <c r="S303" s="265"/>
      <c r="T303" s="265"/>
      <c r="U303" s="265"/>
    </row>
    <row r="304" spans="1:24" ht="30" customHeight="1">
      <c r="A304" s="204" t="str">
        <f>IF(ISBLANK(D304)," ",302-COUNTBLANK($D$5:D304))</f>
        <v xml:space="preserve"> </v>
      </c>
      <c r="B304" s="202"/>
      <c r="C304" s="202"/>
      <c r="D304" s="202"/>
      <c r="E304" s="300"/>
      <c r="F304" s="210"/>
      <c r="G304" s="210"/>
      <c r="H304" s="203"/>
      <c r="I304" s="203"/>
      <c r="J304" s="203"/>
      <c r="K304" s="203"/>
      <c r="L304" s="203"/>
      <c r="M304" s="203"/>
      <c r="N304" s="203"/>
      <c r="O304" s="205"/>
      <c r="P304" s="291"/>
      <c r="Q304" s="265"/>
      <c r="R304" s="265"/>
      <c r="S304" s="265"/>
      <c r="T304" s="265"/>
      <c r="U304" s="265"/>
    </row>
    <row r="305" spans="1:24" ht="30" customHeight="1">
      <c r="A305" s="204" t="str">
        <f>IF(ISBLANK(D305)," ",303-COUNTBLANK($D$5:D305))</f>
        <v xml:space="preserve"> </v>
      </c>
      <c r="B305" s="202"/>
      <c r="C305" s="202"/>
      <c r="D305" s="202"/>
      <c r="E305" s="300"/>
      <c r="F305" s="210"/>
      <c r="G305" s="210"/>
      <c r="H305" s="203"/>
      <c r="I305" s="203"/>
      <c r="J305" s="203"/>
      <c r="K305" s="203"/>
      <c r="L305" s="203"/>
      <c r="M305" s="203"/>
      <c r="N305" s="203"/>
      <c r="O305" s="205"/>
      <c r="P305" s="291"/>
      <c r="Q305" s="265"/>
      <c r="R305" s="265"/>
      <c r="S305" s="265"/>
      <c r="T305" s="265"/>
      <c r="U305" s="265"/>
    </row>
    <row r="306" spans="1:24" ht="30" customHeight="1">
      <c r="A306" s="204" t="str">
        <f>IF(ISBLANK(D306)," ",304-COUNTBLANK($D$5:D306))</f>
        <v xml:space="preserve"> </v>
      </c>
      <c r="B306" s="202"/>
      <c r="C306" s="202"/>
      <c r="D306" s="202"/>
      <c r="E306" s="300"/>
      <c r="F306" s="210"/>
      <c r="G306" s="210"/>
      <c r="H306" s="203"/>
      <c r="I306" s="203"/>
      <c r="J306" s="203"/>
      <c r="K306" s="203"/>
      <c r="L306" s="203"/>
      <c r="M306" s="203"/>
      <c r="N306" s="203"/>
      <c r="O306" s="205"/>
      <c r="P306" s="291"/>
      <c r="Q306" s="265"/>
      <c r="R306" s="265"/>
      <c r="S306" s="265"/>
      <c r="T306" s="265"/>
      <c r="U306" s="265"/>
    </row>
    <row r="307" spans="1:24" ht="30" customHeight="1">
      <c r="A307" s="204" t="str">
        <f>IF(ISBLANK(D307)," ",305-COUNTBLANK($D$5:D307))</f>
        <v xml:space="preserve"> </v>
      </c>
      <c r="B307" s="202"/>
      <c r="C307" s="202"/>
      <c r="D307" s="202"/>
      <c r="E307" s="300"/>
      <c r="F307" s="210"/>
      <c r="G307" s="210"/>
      <c r="H307" s="203"/>
      <c r="I307" s="203"/>
      <c r="J307" s="203"/>
      <c r="K307" s="203"/>
      <c r="L307" s="203"/>
      <c r="M307" s="203"/>
      <c r="N307" s="203"/>
      <c r="O307" s="205"/>
      <c r="P307" s="291"/>
      <c r="Q307" s="265"/>
      <c r="R307" s="265"/>
      <c r="S307" s="265"/>
      <c r="T307" s="265"/>
      <c r="U307" s="265"/>
    </row>
    <row r="308" spans="1:24" ht="30" customHeight="1">
      <c r="A308" s="204" t="str">
        <f>IF(ISBLANK(D308)," ",306-COUNTBLANK($D$5:D308))</f>
        <v xml:space="preserve"> </v>
      </c>
      <c r="B308" s="202"/>
      <c r="C308" s="202"/>
      <c r="D308" s="202"/>
      <c r="E308" s="300"/>
      <c r="F308" s="210"/>
      <c r="G308" s="210"/>
      <c r="H308" s="203"/>
      <c r="I308" s="203"/>
      <c r="J308" s="203"/>
      <c r="K308" s="203"/>
      <c r="L308" s="203"/>
      <c r="M308" s="203"/>
      <c r="N308" s="203"/>
      <c r="O308" s="205"/>
      <c r="P308" s="291"/>
      <c r="Q308" s="265"/>
      <c r="R308" s="265"/>
      <c r="S308" s="265"/>
      <c r="T308" s="265"/>
      <c r="U308" s="265"/>
    </row>
    <row r="309" spans="1:24" ht="30" customHeight="1">
      <c r="A309" s="204" t="str">
        <f>IF(ISBLANK(D309)," ",307-COUNTBLANK($D$5:D309))</f>
        <v xml:space="preserve"> </v>
      </c>
      <c r="B309" s="202"/>
      <c r="C309" s="202"/>
      <c r="D309" s="202"/>
      <c r="E309" s="300"/>
      <c r="F309" s="210"/>
      <c r="G309" s="210"/>
      <c r="H309" s="203"/>
      <c r="I309" s="203"/>
      <c r="J309" s="203"/>
      <c r="K309" s="203"/>
      <c r="L309" s="203"/>
      <c r="M309" s="203"/>
      <c r="N309" s="203"/>
      <c r="O309" s="205"/>
      <c r="P309" s="291"/>
      <c r="Q309" s="265"/>
      <c r="R309" s="265"/>
      <c r="S309" s="265"/>
      <c r="T309" s="265"/>
      <c r="U309" s="265"/>
    </row>
    <row r="310" spans="1:24" ht="30" customHeight="1">
      <c r="A310" s="204" t="str">
        <f>IF(ISBLANK(D310)," ",308-COUNTBLANK($D$5:D310))</f>
        <v xml:space="preserve"> </v>
      </c>
      <c r="B310" s="202"/>
      <c r="C310" s="202"/>
      <c r="D310" s="202"/>
      <c r="E310" s="300"/>
      <c r="F310" s="210"/>
      <c r="G310" s="210"/>
      <c r="H310" s="203"/>
      <c r="I310" s="203"/>
      <c r="J310" s="203"/>
      <c r="K310" s="203"/>
      <c r="L310" s="203"/>
      <c r="M310" s="203"/>
      <c r="N310" s="203"/>
      <c r="O310" s="205"/>
      <c r="P310" s="291"/>
      <c r="Q310" s="265"/>
      <c r="R310" s="265"/>
      <c r="S310" s="265"/>
      <c r="T310" s="265"/>
      <c r="U310" s="265"/>
    </row>
    <row r="311" spans="1:24" ht="30" customHeight="1">
      <c r="A311" s="204" t="str">
        <f>IF(ISBLANK(D311)," ",309-COUNTBLANK($D$5:D311))</f>
        <v xml:space="preserve"> </v>
      </c>
      <c r="B311" s="202"/>
      <c r="C311" s="202"/>
      <c r="D311" s="202"/>
      <c r="E311" s="300"/>
      <c r="F311" s="210"/>
      <c r="G311" s="210"/>
      <c r="H311" s="203"/>
      <c r="I311" s="203"/>
      <c r="J311" s="203"/>
      <c r="K311" s="203"/>
      <c r="L311" s="203"/>
      <c r="M311" s="203"/>
      <c r="N311" s="203"/>
      <c r="O311" s="205"/>
      <c r="P311" s="291"/>
      <c r="Q311" s="265"/>
      <c r="R311" s="265"/>
      <c r="S311" s="265"/>
      <c r="T311" s="265"/>
      <c r="U311" s="265"/>
    </row>
    <row r="312" spans="1:24" ht="30" customHeight="1">
      <c r="A312" s="204" t="str">
        <f>IF(ISBLANK(D312)," ",310-COUNTBLANK($D$5:D312))</f>
        <v xml:space="preserve"> </v>
      </c>
      <c r="B312" s="202"/>
      <c r="C312" s="202"/>
      <c r="D312" s="202"/>
      <c r="E312" s="300"/>
      <c r="F312" s="210"/>
      <c r="G312" s="210"/>
      <c r="H312" s="203"/>
      <c r="I312" s="203"/>
      <c r="J312" s="203"/>
      <c r="K312" s="203"/>
      <c r="L312" s="203"/>
      <c r="M312" s="203"/>
      <c r="N312" s="203"/>
      <c r="O312" s="205"/>
      <c r="P312" s="291"/>
      <c r="Q312" s="265"/>
      <c r="R312" s="265"/>
      <c r="S312" s="265"/>
      <c r="T312" s="265"/>
      <c r="U312" s="267"/>
    </row>
    <row r="313" spans="1:24" ht="30" customHeight="1">
      <c r="A313" s="204" t="str">
        <f>IF(ISBLANK(D313)," ",311-COUNTBLANK($D$5:D313))</f>
        <v xml:space="preserve"> </v>
      </c>
      <c r="B313" s="202"/>
      <c r="C313" s="202"/>
      <c r="D313" s="202"/>
      <c r="E313" s="300"/>
      <c r="F313" s="210"/>
      <c r="G313" s="210"/>
      <c r="H313" s="203"/>
      <c r="I313" s="203"/>
      <c r="J313" s="203"/>
      <c r="K313" s="203"/>
      <c r="L313" s="203"/>
      <c r="M313" s="203"/>
      <c r="N313" s="203"/>
      <c r="O313" s="205"/>
      <c r="P313" s="291"/>
      <c r="Q313" s="265"/>
      <c r="R313" s="265"/>
      <c r="S313" s="265"/>
      <c r="T313" s="265"/>
      <c r="U313" s="267"/>
    </row>
    <row r="314" spans="1:24" ht="30" customHeight="1">
      <c r="A314" s="204" t="str">
        <f>IF(ISBLANK(D314)," ",312-COUNTBLANK($D$5:D314))</f>
        <v xml:space="preserve"> </v>
      </c>
      <c r="B314" s="202"/>
      <c r="C314" s="202"/>
      <c r="D314" s="202"/>
      <c r="E314" s="300"/>
      <c r="F314" s="210"/>
      <c r="G314" s="210"/>
      <c r="H314" s="203"/>
      <c r="I314" s="203"/>
      <c r="J314" s="203"/>
      <c r="K314" s="203"/>
      <c r="L314" s="203"/>
      <c r="M314" s="203"/>
      <c r="N314" s="203"/>
      <c r="O314" s="205"/>
      <c r="P314" s="291"/>
      <c r="Q314" s="265"/>
      <c r="R314" s="265"/>
      <c r="S314" s="265"/>
      <c r="T314" s="265"/>
      <c r="U314" s="267"/>
    </row>
    <row r="315" spans="1:24" ht="30" customHeight="1">
      <c r="A315" s="204" t="str">
        <f>IF(ISBLANK(D315)," ",313-COUNTBLANK($D$5:D315))</f>
        <v xml:space="preserve"> </v>
      </c>
      <c r="B315" s="202"/>
      <c r="C315" s="202"/>
      <c r="D315" s="202"/>
      <c r="E315" s="300"/>
      <c r="F315" s="210"/>
      <c r="G315" s="210"/>
      <c r="H315" s="203"/>
      <c r="I315" s="203"/>
      <c r="J315" s="203"/>
      <c r="K315" s="203"/>
      <c r="L315" s="203"/>
      <c r="M315" s="203"/>
      <c r="N315" s="203"/>
      <c r="O315" s="205"/>
      <c r="P315" s="291"/>
      <c r="Q315" s="265"/>
      <c r="R315" s="265"/>
      <c r="S315" s="265"/>
      <c r="T315" s="265"/>
      <c r="U315" s="267"/>
    </row>
    <row r="316" spans="1:24" ht="30" customHeight="1">
      <c r="A316" s="304" t="str">
        <f>IF(ISBLANK(D316)," ",314-COUNTBLANK($D$5:D316))</f>
        <v xml:space="preserve"> </v>
      </c>
      <c r="B316" s="296"/>
      <c r="C316" s="305"/>
      <c r="D316" s="306"/>
      <c r="E316" s="297"/>
      <c r="F316" s="298"/>
      <c r="G316" s="298"/>
      <c r="H316" s="282"/>
      <c r="I316" s="282"/>
      <c r="J316" s="282"/>
      <c r="K316" s="282"/>
      <c r="L316" s="282"/>
      <c r="M316" s="282"/>
      <c r="N316" s="282"/>
      <c r="O316" s="283"/>
      <c r="P316" s="303"/>
      <c r="Q316" s="265"/>
      <c r="R316" s="265"/>
      <c r="S316" s="265"/>
      <c r="T316" s="265"/>
      <c r="U316" s="284"/>
      <c r="V316" s="265"/>
      <c r="W316" s="265"/>
      <c r="X316" s="265"/>
    </row>
    <row r="317" spans="1:24" ht="30" customHeight="1">
      <c r="A317" s="260" t="s">
        <v>52</v>
      </c>
      <c r="B317" s="200"/>
      <c r="C317" s="200"/>
      <c r="D317" s="200"/>
      <c r="E317" s="299"/>
      <c r="F317" s="209">
        <f>SUM(F297:F316)</f>
        <v>0</v>
      </c>
      <c r="G317" s="209"/>
      <c r="H317" s="201"/>
      <c r="I317" s="201"/>
      <c r="J317" s="201"/>
      <c r="K317" s="201"/>
      <c r="L317" s="201"/>
      <c r="M317" s="201"/>
      <c r="N317" s="201"/>
      <c r="O317" s="262"/>
      <c r="P317" s="291"/>
      <c r="Q317" s="265"/>
      <c r="R317" s="265"/>
      <c r="S317" s="265"/>
      <c r="T317" s="265"/>
      <c r="U317" s="284"/>
      <c r="V317" s="265"/>
      <c r="W317" s="265"/>
      <c r="X317" s="265"/>
    </row>
    <row r="318" spans="1:24" ht="30" customHeight="1">
      <c r="A318" s="204" t="str">
        <f>IF(ISBLANK(D318)," ",316-COUNTBLANK($D$5:D318))</f>
        <v xml:space="preserve"> </v>
      </c>
      <c r="B318" s="202"/>
      <c r="C318" s="202"/>
      <c r="D318" s="202"/>
      <c r="E318" s="300"/>
      <c r="F318" s="210"/>
      <c r="G318" s="210"/>
      <c r="H318" s="203"/>
      <c r="I318" s="203"/>
      <c r="J318" s="203"/>
      <c r="K318" s="203"/>
      <c r="L318" s="203"/>
      <c r="M318" s="203"/>
      <c r="N318" s="203"/>
      <c r="O318" s="205"/>
      <c r="P318" s="291"/>
      <c r="Q318" s="265"/>
      <c r="R318" s="265"/>
      <c r="S318" s="265"/>
      <c r="T318" s="265"/>
      <c r="U318" s="265"/>
    </row>
    <row r="319" spans="1:24" ht="30" customHeight="1">
      <c r="A319" s="204" t="str">
        <f>IF(ISBLANK(D319)," ",317-COUNTBLANK($D$5:D319))</f>
        <v xml:space="preserve"> </v>
      </c>
      <c r="B319" s="202"/>
      <c r="C319" s="202"/>
      <c r="D319" s="202"/>
      <c r="E319" s="300"/>
      <c r="F319" s="210"/>
      <c r="G319" s="210"/>
      <c r="H319" s="203"/>
      <c r="I319" s="203"/>
      <c r="J319" s="203"/>
      <c r="K319" s="203"/>
      <c r="L319" s="203"/>
      <c r="M319" s="203"/>
      <c r="N319" s="203"/>
      <c r="O319" s="205"/>
      <c r="P319" s="291"/>
      <c r="Q319" s="265"/>
      <c r="R319" s="265"/>
      <c r="S319" s="265"/>
      <c r="T319" s="265"/>
      <c r="U319" s="265"/>
    </row>
    <row r="320" spans="1:24" ht="30" customHeight="1">
      <c r="A320" s="204" t="str">
        <f>IF(ISBLANK(D320)," ",318-COUNTBLANK($D$5:D320))</f>
        <v xml:space="preserve"> </v>
      </c>
      <c r="B320" s="202"/>
      <c r="C320" s="202"/>
      <c r="D320" s="202"/>
      <c r="E320" s="300"/>
      <c r="F320" s="210"/>
      <c r="G320" s="210"/>
      <c r="H320" s="203"/>
      <c r="I320" s="203"/>
      <c r="J320" s="203"/>
      <c r="K320" s="203"/>
      <c r="L320" s="203"/>
      <c r="M320" s="203"/>
      <c r="N320" s="203"/>
      <c r="O320" s="205"/>
      <c r="P320" s="291"/>
      <c r="Q320" s="265"/>
      <c r="R320" s="265"/>
      <c r="S320" s="265"/>
      <c r="T320" s="265"/>
      <c r="U320" s="265"/>
    </row>
    <row r="321" spans="1:21" ht="30" customHeight="1">
      <c r="A321" s="204" t="str">
        <f>IF(ISBLANK(D321)," ",319-COUNTBLANK($D$5:D321))</f>
        <v xml:space="preserve"> </v>
      </c>
      <c r="B321" s="202"/>
      <c r="C321" s="202"/>
      <c r="D321" s="202"/>
      <c r="E321" s="300"/>
      <c r="F321" s="210"/>
      <c r="G321" s="210"/>
      <c r="H321" s="203"/>
      <c r="I321" s="203"/>
      <c r="J321" s="203"/>
      <c r="K321" s="203"/>
      <c r="L321" s="203"/>
      <c r="M321" s="203"/>
      <c r="N321" s="203"/>
      <c r="O321" s="205"/>
      <c r="P321" s="291"/>
      <c r="Q321" s="265"/>
      <c r="R321" s="265"/>
      <c r="S321" s="265"/>
      <c r="T321" s="265"/>
      <c r="U321" s="265"/>
    </row>
    <row r="322" spans="1:21" ht="30" customHeight="1">
      <c r="A322" s="204" t="str">
        <f>IF(ISBLANK(D322)," ",320-COUNTBLANK($D$5:D322))</f>
        <v xml:space="preserve"> </v>
      </c>
      <c r="B322" s="202"/>
      <c r="C322" s="202"/>
      <c r="D322" s="202"/>
      <c r="E322" s="300"/>
      <c r="F322" s="210"/>
      <c r="G322" s="210"/>
      <c r="H322" s="203"/>
      <c r="I322" s="203"/>
      <c r="J322" s="203"/>
      <c r="K322" s="203"/>
      <c r="L322" s="203"/>
      <c r="M322" s="203"/>
      <c r="N322" s="203"/>
      <c r="O322" s="205"/>
      <c r="P322" s="291"/>
      <c r="Q322" s="265"/>
      <c r="R322" s="265"/>
      <c r="S322" s="265"/>
      <c r="T322" s="265"/>
      <c r="U322" s="265"/>
    </row>
    <row r="323" spans="1:21" ht="30" customHeight="1">
      <c r="A323" s="204" t="str">
        <f>IF(ISBLANK(D323)," ",321-COUNTBLANK($D$5:D323))</f>
        <v xml:space="preserve"> </v>
      </c>
      <c r="B323" s="202"/>
      <c r="C323" s="202"/>
      <c r="D323" s="202"/>
      <c r="E323" s="300"/>
      <c r="F323" s="210"/>
      <c r="G323" s="210"/>
      <c r="H323" s="203"/>
      <c r="I323" s="203"/>
      <c r="J323" s="203"/>
      <c r="K323" s="203"/>
      <c r="L323" s="203"/>
      <c r="M323" s="203"/>
      <c r="N323" s="203"/>
      <c r="O323" s="205"/>
      <c r="P323" s="291"/>
      <c r="Q323" s="265"/>
      <c r="R323" s="265"/>
      <c r="S323" s="265"/>
      <c r="T323" s="265"/>
      <c r="U323" s="265"/>
    </row>
    <row r="324" spans="1:21" ht="30" customHeight="1">
      <c r="A324" s="204" t="str">
        <f>IF(ISBLANK(D324)," ",322-COUNTBLANK($D$5:D324))</f>
        <v xml:space="preserve"> </v>
      </c>
      <c r="B324" s="202"/>
      <c r="C324" s="202"/>
      <c r="D324" s="202"/>
      <c r="E324" s="300"/>
      <c r="F324" s="210"/>
      <c r="G324" s="210"/>
      <c r="H324" s="203"/>
      <c r="I324" s="203"/>
      <c r="J324" s="203"/>
      <c r="K324" s="203"/>
      <c r="L324" s="203"/>
      <c r="M324" s="203"/>
      <c r="N324" s="203"/>
      <c r="O324" s="205"/>
      <c r="P324" s="291"/>
      <c r="Q324" s="265"/>
      <c r="R324" s="265"/>
      <c r="S324" s="265"/>
      <c r="T324" s="265"/>
      <c r="U324" s="265"/>
    </row>
    <row r="325" spans="1:21" ht="30" customHeight="1">
      <c r="A325" s="204" t="str">
        <f>IF(ISBLANK(D325)," ",323-COUNTBLANK($D$5:D325))</f>
        <v xml:space="preserve"> </v>
      </c>
      <c r="B325" s="202"/>
      <c r="C325" s="202"/>
      <c r="D325" s="202"/>
      <c r="E325" s="300"/>
      <c r="F325" s="210"/>
      <c r="G325" s="210"/>
      <c r="H325" s="203"/>
      <c r="I325" s="203"/>
      <c r="J325" s="203"/>
      <c r="K325" s="203"/>
      <c r="L325" s="203"/>
      <c r="M325" s="203"/>
      <c r="N325" s="203"/>
      <c r="O325" s="205"/>
      <c r="P325" s="291"/>
      <c r="Q325" s="265"/>
      <c r="R325" s="265"/>
      <c r="S325" s="265"/>
      <c r="T325" s="265"/>
      <c r="U325" s="265"/>
    </row>
    <row r="326" spans="1:21" ht="30" customHeight="1">
      <c r="A326" s="204" t="str">
        <f>IF(ISBLANK(D326)," ",324-COUNTBLANK($D$5:D326))</f>
        <v xml:space="preserve"> </v>
      </c>
      <c r="B326" s="202"/>
      <c r="C326" s="202"/>
      <c r="D326" s="202"/>
      <c r="E326" s="300"/>
      <c r="F326" s="210"/>
      <c r="G326" s="210"/>
      <c r="H326" s="203"/>
      <c r="I326" s="203"/>
      <c r="J326" s="203"/>
      <c r="K326" s="203"/>
      <c r="L326" s="203"/>
      <c r="M326" s="203"/>
      <c r="N326" s="203"/>
      <c r="O326" s="205"/>
      <c r="P326" s="291"/>
      <c r="Q326" s="265"/>
      <c r="R326" s="265"/>
      <c r="S326" s="265"/>
      <c r="T326" s="265"/>
      <c r="U326" s="265"/>
    </row>
    <row r="327" spans="1:21" ht="30" customHeight="1">
      <c r="A327" s="204" t="str">
        <f>IF(ISBLANK(D327)," ",325-COUNTBLANK($D$5:D327))</f>
        <v xml:space="preserve"> </v>
      </c>
      <c r="B327" s="202"/>
      <c r="C327" s="202"/>
      <c r="D327" s="202"/>
      <c r="E327" s="300"/>
      <c r="F327" s="210"/>
      <c r="G327" s="210"/>
      <c r="H327" s="203"/>
      <c r="I327" s="203"/>
      <c r="J327" s="203"/>
      <c r="K327" s="203"/>
      <c r="L327" s="203"/>
      <c r="M327" s="203"/>
      <c r="N327" s="203"/>
      <c r="O327" s="205"/>
      <c r="P327" s="291"/>
      <c r="Q327" s="265"/>
      <c r="R327" s="265"/>
      <c r="S327" s="265"/>
      <c r="T327" s="265"/>
      <c r="U327" s="265"/>
    </row>
    <row r="328" spans="1:21" ht="30" customHeight="1">
      <c r="A328" s="204" t="str">
        <f>IF(ISBLANK(D328)," ",326-COUNTBLANK($D$5:D328))</f>
        <v xml:space="preserve"> </v>
      </c>
      <c r="B328" s="202"/>
      <c r="C328" s="202"/>
      <c r="D328" s="202"/>
      <c r="E328" s="300"/>
      <c r="F328" s="210"/>
      <c r="G328" s="210"/>
      <c r="H328" s="203"/>
      <c r="I328" s="203"/>
      <c r="J328" s="203"/>
      <c r="K328" s="203"/>
      <c r="L328" s="203"/>
      <c r="M328" s="203"/>
      <c r="N328" s="203"/>
      <c r="O328" s="205"/>
      <c r="P328" s="291"/>
      <c r="Q328" s="265"/>
      <c r="R328" s="265"/>
      <c r="S328" s="265"/>
      <c r="T328" s="265"/>
      <c r="U328" s="265"/>
    </row>
    <row r="329" spans="1:21" ht="30" customHeight="1">
      <c r="A329" s="204" t="str">
        <f>IF(ISBLANK(D329)," ",327-COUNTBLANK($D$5:D329))</f>
        <v xml:space="preserve"> </v>
      </c>
      <c r="B329" s="202"/>
      <c r="C329" s="202"/>
      <c r="D329" s="202"/>
      <c r="E329" s="300"/>
      <c r="F329" s="210"/>
      <c r="G329" s="210"/>
      <c r="H329" s="203"/>
      <c r="I329" s="203"/>
      <c r="J329" s="203"/>
      <c r="K329" s="203"/>
      <c r="L329" s="203"/>
      <c r="M329" s="203"/>
      <c r="N329" s="203"/>
      <c r="O329" s="205"/>
      <c r="P329" s="291"/>
      <c r="Q329" s="265"/>
      <c r="R329" s="265"/>
      <c r="S329" s="265"/>
      <c r="T329" s="265"/>
      <c r="U329" s="265"/>
    </row>
    <row r="330" spans="1:21" ht="30" customHeight="1">
      <c r="A330" s="204" t="str">
        <f>IF(ISBLANK(D330)," ",328-COUNTBLANK($D$5:D330))</f>
        <v xml:space="preserve"> </v>
      </c>
      <c r="B330" s="202"/>
      <c r="C330" s="202"/>
      <c r="D330" s="202"/>
      <c r="E330" s="300"/>
      <c r="F330" s="210"/>
      <c r="G330" s="210"/>
      <c r="H330" s="203"/>
      <c r="I330" s="203"/>
      <c r="J330" s="203"/>
      <c r="K330" s="203"/>
      <c r="L330" s="203"/>
      <c r="M330" s="203"/>
      <c r="N330" s="203"/>
      <c r="O330" s="205"/>
      <c r="P330" s="291"/>
      <c r="Q330" s="265"/>
      <c r="R330" s="265"/>
      <c r="S330" s="265"/>
      <c r="T330" s="265"/>
      <c r="U330" s="265"/>
    </row>
    <row r="331" spans="1:21" ht="30" customHeight="1">
      <c r="A331" s="204" t="str">
        <f>IF(ISBLANK(D331)," ",329-COUNTBLANK($D$5:D331))</f>
        <v xml:space="preserve"> </v>
      </c>
      <c r="B331" s="202"/>
      <c r="C331" s="202"/>
      <c r="D331" s="202"/>
      <c r="E331" s="300"/>
      <c r="F331" s="210"/>
      <c r="G331" s="210"/>
      <c r="H331" s="203"/>
      <c r="I331" s="203"/>
      <c r="J331" s="203"/>
      <c r="K331" s="203"/>
      <c r="L331" s="203"/>
      <c r="M331" s="203"/>
      <c r="N331" s="203"/>
      <c r="O331" s="205"/>
      <c r="P331" s="291"/>
      <c r="Q331" s="265"/>
      <c r="R331" s="265"/>
      <c r="S331" s="265"/>
      <c r="T331" s="265"/>
      <c r="U331" s="265"/>
    </row>
    <row r="332" spans="1:21" ht="30" customHeight="1">
      <c r="A332" s="204" t="str">
        <f>IF(ISBLANK(D332)," ",330-COUNTBLANK($D$5:D332))</f>
        <v xml:space="preserve"> </v>
      </c>
      <c r="B332" s="202"/>
      <c r="C332" s="202"/>
      <c r="D332" s="202"/>
      <c r="E332" s="300"/>
      <c r="F332" s="210"/>
      <c r="G332" s="210"/>
      <c r="H332" s="203"/>
      <c r="I332" s="203"/>
      <c r="J332" s="203"/>
      <c r="K332" s="203"/>
      <c r="L332" s="203"/>
      <c r="M332" s="203"/>
      <c r="N332" s="203"/>
      <c r="O332" s="205"/>
      <c r="P332" s="291"/>
      <c r="Q332" s="265"/>
      <c r="R332" s="265"/>
      <c r="S332" s="265"/>
      <c r="T332" s="265"/>
      <c r="U332" s="265"/>
    </row>
    <row r="333" spans="1:21" ht="30" customHeight="1">
      <c r="A333" s="204" t="str">
        <f>IF(ISBLANK(D333)," ",331-COUNTBLANK($D$5:D333))</f>
        <v xml:space="preserve"> </v>
      </c>
      <c r="B333" s="202"/>
      <c r="C333" s="202"/>
      <c r="D333" s="202"/>
      <c r="E333" s="300"/>
      <c r="F333" s="210"/>
      <c r="G333" s="210"/>
      <c r="H333" s="203"/>
      <c r="I333" s="203"/>
      <c r="J333" s="203"/>
      <c r="K333" s="203"/>
      <c r="L333" s="203"/>
      <c r="M333" s="203"/>
      <c r="N333" s="203"/>
      <c r="O333" s="205"/>
      <c r="P333" s="291"/>
      <c r="Q333" s="265"/>
      <c r="R333" s="265"/>
      <c r="S333" s="265"/>
      <c r="T333" s="265"/>
      <c r="U333" s="267"/>
    </row>
    <row r="334" spans="1:21" ht="30" customHeight="1">
      <c r="A334" s="204" t="str">
        <f>IF(ISBLANK(D334)," ",332-COUNTBLANK($D$5:D334))</f>
        <v xml:space="preserve"> </v>
      </c>
      <c r="B334" s="202"/>
      <c r="C334" s="202"/>
      <c r="D334" s="202"/>
      <c r="E334" s="300"/>
      <c r="F334" s="210"/>
      <c r="G334" s="210"/>
      <c r="H334" s="203"/>
      <c r="I334" s="203"/>
      <c r="J334" s="203"/>
      <c r="K334" s="203"/>
      <c r="L334" s="203"/>
      <c r="M334" s="203"/>
      <c r="N334" s="203"/>
      <c r="O334" s="205"/>
      <c r="P334" s="291"/>
      <c r="Q334" s="265"/>
      <c r="R334" s="265"/>
      <c r="S334" s="265"/>
      <c r="T334" s="265"/>
      <c r="U334" s="267"/>
    </row>
    <row r="335" spans="1:21" ht="30" customHeight="1">
      <c r="A335" s="204" t="str">
        <f>IF(ISBLANK(D335)," ",333-COUNTBLANK($D$5:D335))</f>
        <v xml:space="preserve"> </v>
      </c>
      <c r="B335" s="202"/>
      <c r="C335" s="202"/>
      <c r="D335" s="202"/>
      <c r="E335" s="300"/>
      <c r="F335" s="210"/>
      <c r="G335" s="210"/>
      <c r="H335" s="203"/>
      <c r="I335" s="203"/>
      <c r="J335" s="203"/>
      <c r="K335" s="203"/>
      <c r="L335" s="203"/>
      <c r="M335" s="203"/>
      <c r="N335" s="203"/>
      <c r="O335" s="205"/>
      <c r="P335" s="291"/>
      <c r="Q335" s="265"/>
      <c r="R335" s="265"/>
      <c r="S335" s="265"/>
      <c r="T335" s="265"/>
      <c r="U335" s="267"/>
    </row>
    <row r="336" spans="1:21" ht="30" customHeight="1">
      <c r="A336" s="204" t="str">
        <f>IF(ISBLANK(D336)," ",334-COUNTBLANK($D$5:D336))</f>
        <v xml:space="preserve"> </v>
      </c>
      <c r="B336" s="202"/>
      <c r="C336" s="202"/>
      <c r="D336" s="202"/>
      <c r="E336" s="300"/>
      <c r="F336" s="210"/>
      <c r="G336" s="210"/>
      <c r="H336" s="203"/>
      <c r="I336" s="203"/>
      <c r="J336" s="203"/>
      <c r="K336" s="203"/>
      <c r="L336" s="203"/>
      <c r="M336" s="203"/>
      <c r="N336" s="203"/>
      <c r="O336" s="205"/>
      <c r="P336" s="291"/>
      <c r="Q336" s="265"/>
      <c r="R336" s="265"/>
      <c r="S336" s="265"/>
      <c r="T336" s="265"/>
      <c r="U336" s="267"/>
    </row>
    <row r="337" spans="1:24" ht="30" customHeight="1">
      <c r="A337" s="304" t="str">
        <f>IF(ISBLANK(D337)," ",335-COUNTBLANK($D$5:D337))</f>
        <v xml:space="preserve"> </v>
      </c>
      <c r="B337" s="296"/>
      <c r="C337" s="305"/>
      <c r="D337" s="306"/>
      <c r="E337" s="297"/>
      <c r="F337" s="298"/>
      <c r="G337" s="298"/>
      <c r="H337" s="282"/>
      <c r="I337" s="282"/>
      <c r="J337" s="282"/>
      <c r="K337" s="282"/>
      <c r="L337" s="282"/>
      <c r="M337" s="282"/>
      <c r="N337" s="282"/>
      <c r="O337" s="283"/>
      <c r="P337" s="303"/>
      <c r="Q337" s="265"/>
      <c r="R337" s="265"/>
      <c r="S337" s="265"/>
      <c r="T337" s="265"/>
      <c r="U337" s="284"/>
      <c r="V337" s="265"/>
      <c r="W337" s="265"/>
      <c r="X337" s="265"/>
    </row>
    <row r="338" spans="1:24" ht="30" customHeight="1">
      <c r="A338" s="260" t="s">
        <v>52</v>
      </c>
      <c r="B338" s="200"/>
      <c r="C338" s="200"/>
      <c r="D338" s="200"/>
      <c r="E338" s="299"/>
      <c r="F338" s="209">
        <f>SUM(F318:F337)</f>
        <v>0</v>
      </c>
      <c r="G338" s="209"/>
      <c r="H338" s="201"/>
      <c r="I338" s="201"/>
      <c r="J338" s="201"/>
      <c r="K338" s="201"/>
      <c r="L338" s="201"/>
      <c r="M338" s="201"/>
      <c r="N338" s="201"/>
      <c r="O338" s="262"/>
      <c r="P338" s="291"/>
      <c r="Q338" s="265"/>
      <c r="R338" s="265"/>
      <c r="S338" s="265"/>
      <c r="T338" s="265"/>
      <c r="U338" s="284"/>
      <c r="V338" s="265"/>
      <c r="W338" s="265"/>
      <c r="X338" s="265"/>
    </row>
    <row r="339" spans="1:24" ht="30" customHeight="1">
      <c r="A339" s="204" t="str">
        <f>IF(ISBLANK(D339)," ",337-COUNTBLANK($D$5:D339))</f>
        <v xml:space="preserve"> </v>
      </c>
      <c r="B339" s="202"/>
      <c r="C339" s="202"/>
      <c r="D339" s="202"/>
      <c r="E339" s="300"/>
      <c r="F339" s="210"/>
      <c r="G339" s="210"/>
      <c r="H339" s="203"/>
      <c r="I339" s="203"/>
      <c r="J339" s="203"/>
      <c r="K339" s="203"/>
      <c r="L339" s="203"/>
      <c r="M339" s="203"/>
      <c r="N339" s="203"/>
      <c r="O339" s="205"/>
      <c r="P339" s="291"/>
      <c r="Q339" s="265"/>
      <c r="R339" s="265"/>
      <c r="S339" s="265"/>
      <c r="T339" s="265"/>
      <c r="U339" s="265"/>
    </row>
    <row r="340" spans="1:24" ht="30" customHeight="1">
      <c r="A340" s="204" t="str">
        <f>IF(ISBLANK(D340)," ",338-COUNTBLANK($D$5:D340))</f>
        <v xml:space="preserve"> </v>
      </c>
      <c r="B340" s="202"/>
      <c r="C340" s="202"/>
      <c r="D340" s="202"/>
      <c r="E340" s="300"/>
      <c r="F340" s="210"/>
      <c r="G340" s="210"/>
      <c r="H340" s="203"/>
      <c r="I340" s="203"/>
      <c r="J340" s="203"/>
      <c r="K340" s="203"/>
      <c r="L340" s="203"/>
      <c r="M340" s="203"/>
      <c r="N340" s="203"/>
      <c r="O340" s="205"/>
      <c r="P340" s="291"/>
      <c r="Q340" s="265"/>
      <c r="R340" s="265"/>
      <c r="S340" s="265"/>
      <c r="T340" s="265"/>
      <c r="U340" s="265"/>
    </row>
    <row r="341" spans="1:24" ht="30" customHeight="1">
      <c r="A341" s="204" t="str">
        <f>IF(ISBLANK(D341)," ",339-COUNTBLANK($D$5:D341))</f>
        <v xml:space="preserve"> </v>
      </c>
      <c r="B341" s="202"/>
      <c r="C341" s="202"/>
      <c r="D341" s="202"/>
      <c r="E341" s="300"/>
      <c r="F341" s="210"/>
      <c r="G341" s="210"/>
      <c r="H341" s="203"/>
      <c r="I341" s="203"/>
      <c r="J341" s="203"/>
      <c r="K341" s="203"/>
      <c r="L341" s="203"/>
      <c r="M341" s="203"/>
      <c r="N341" s="203"/>
      <c r="O341" s="205"/>
      <c r="P341" s="291"/>
      <c r="Q341" s="265"/>
      <c r="R341" s="265"/>
      <c r="S341" s="265"/>
      <c r="T341" s="265"/>
      <c r="U341" s="265"/>
    </row>
    <row r="342" spans="1:24" ht="30" customHeight="1">
      <c r="A342" s="204" t="str">
        <f>IF(ISBLANK(D342)," ",340-COUNTBLANK($D$5:D342))</f>
        <v xml:space="preserve"> </v>
      </c>
      <c r="B342" s="202"/>
      <c r="C342" s="202"/>
      <c r="D342" s="202"/>
      <c r="E342" s="300"/>
      <c r="F342" s="210"/>
      <c r="G342" s="210"/>
      <c r="H342" s="203"/>
      <c r="I342" s="203"/>
      <c r="J342" s="203"/>
      <c r="K342" s="203"/>
      <c r="L342" s="203"/>
      <c r="M342" s="203"/>
      <c r="N342" s="203"/>
      <c r="O342" s="205"/>
      <c r="P342" s="291"/>
      <c r="Q342" s="265"/>
      <c r="R342" s="265"/>
      <c r="S342" s="265"/>
      <c r="T342" s="265"/>
      <c r="U342" s="265"/>
    </row>
    <row r="343" spans="1:24" ht="30" customHeight="1">
      <c r="A343" s="204" t="str">
        <f>IF(ISBLANK(D343)," ",341-COUNTBLANK($D$5:D343))</f>
        <v xml:space="preserve"> </v>
      </c>
      <c r="B343" s="202"/>
      <c r="C343" s="202"/>
      <c r="D343" s="202"/>
      <c r="E343" s="300"/>
      <c r="F343" s="210"/>
      <c r="G343" s="210"/>
      <c r="H343" s="203"/>
      <c r="I343" s="203"/>
      <c r="J343" s="203"/>
      <c r="K343" s="203"/>
      <c r="L343" s="203"/>
      <c r="M343" s="203"/>
      <c r="N343" s="203"/>
      <c r="O343" s="205"/>
      <c r="P343" s="291"/>
      <c r="Q343" s="265"/>
      <c r="R343" s="265"/>
      <c r="S343" s="265"/>
      <c r="T343" s="265"/>
      <c r="U343" s="265"/>
    </row>
    <row r="344" spans="1:24" ht="30" customHeight="1">
      <c r="A344" s="204" t="str">
        <f>IF(ISBLANK(D344)," ",342-COUNTBLANK($D$5:D344))</f>
        <v xml:space="preserve"> </v>
      </c>
      <c r="B344" s="202"/>
      <c r="C344" s="202"/>
      <c r="D344" s="202"/>
      <c r="E344" s="300"/>
      <c r="F344" s="210"/>
      <c r="G344" s="210"/>
      <c r="H344" s="203"/>
      <c r="I344" s="203"/>
      <c r="J344" s="203"/>
      <c r="K344" s="203"/>
      <c r="L344" s="203"/>
      <c r="M344" s="203"/>
      <c r="N344" s="203"/>
      <c r="O344" s="205"/>
      <c r="P344" s="291"/>
      <c r="Q344" s="265"/>
      <c r="R344" s="265"/>
      <c r="S344" s="265"/>
      <c r="T344" s="265"/>
      <c r="U344" s="265"/>
    </row>
    <row r="345" spans="1:24" ht="30" customHeight="1">
      <c r="A345" s="204" t="str">
        <f>IF(ISBLANK(D345)," ",343-COUNTBLANK($D$5:D345))</f>
        <v xml:space="preserve"> </v>
      </c>
      <c r="B345" s="202"/>
      <c r="C345" s="202"/>
      <c r="D345" s="202"/>
      <c r="E345" s="300"/>
      <c r="F345" s="210"/>
      <c r="G345" s="210"/>
      <c r="H345" s="203"/>
      <c r="I345" s="203"/>
      <c r="J345" s="203"/>
      <c r="K345" s="203"/>
      <c r="L345" s="203"/>
      <c r="M345" s="203"/>
      <c r="N345" s="203"/>
      <c r="O345" s="205"/>
      <c r="P345" s="291"/>
      <c r="Q345" s="265"/>
      <c r="R345" s="265"/>
      <c r="S345" s="265"/>
      <c r="T345" s="265"/>
      <c r="U345" s="265"/>
    </row>
    <row r="346" spans="1:24" ht="30" customHeight="1">
      <c r="A346" s="204" t="str">
        <f>IF(ISBLANK(D346)," ",344-COUNTBLANK($D$5:D346))</f>
        <v xml:space="preserve"> </v>
      </c>
      <c r="B346" s="202"/>
      <c r="C346" s="202"/>
      <c r="D346" s="202"/>
      <c r="E346" s="300"/>
      <c r="F346" s="210"/>
      <c r="G346" s="210"/>
      <c r="H346" s="203"/>
      <c r="I346" s="203"/>
      <c r="J346" s="203"/>
      <c r="K346" s="203"/>
      <c r="L346" s="203"/>
      <c r="M346" s="203"/>
      <c r="N346" s="203"/>
      <c r="O346" s="205"/>
      <c r="P346" s="291"/>
      <c r="Q346" s="265"/>
      <c r="R346" s="265"/>
      <c r="S346" s="265"/>
      <c r="T346" s="265"/>
      <c r="U346" s="265"/>
    </row>
    <row r="347" spans="1:24" ht="30" customHeight="1">
      <c r="A347" s="204" t="str">
        <f>IF(ISBLANK(D347)," ",345-COUNTBLANK($D$5:D347))</f>
        <v xml:space="preserve"> </v>
      </c>
      <c r="B347" s="202"/>
      <c r="C347" s="202"/>
      <c r="D347" s="202"/>
      <c r="E347" s="300"/>
      <c r="F347" s="210"/>
      <c r="G347" s="210"/>
      <c r="H347" s="203"/>
      <c r="I347" s="203"/>
      <c r="J347" s="203"/>
      <c r="K347" s="203"/>
      <c r="L347" s="203"/>
      <c r="M347" s="203"/>
      <c r="N347" s="203"/>
      <c r="O347" s="205"/>
      <c r="P347" s="291"/>
      <c r="Q347" s="265"/>
      <c r="R347" s="265"/>
      <c r="S347" s="265"/>
      <c r="T347" s="265"/>
      <c r="U347" s="265"/>
    </row>
    <row r="348" spans="1:24" ht="30" customHeight="1">
      <c r="A348" s="204" t="str">
        <f>IF(ISBLANK(D348)," ",346-COUNTBLANK($D$5:D348))</f>
        <v xml:space="preserve"> </v>
      </c>
      <c r="B348" s="202"/>
      <c r="C348" s="202"/>
      <c r="D348" s="202"/>
      <c r="E348" s="300"/>
      <c r="F348" s="210"/>
      <c r="G348" s="210"/>
      <c r="H348" s="203"/>
      <c r="I348" s="203"/>
      <c r="J348" s="203"/>
      <c r="K348" s="203"/>
      <c r="L348" s="203"/>
      <c r="M348" s="203"/>
      <c r="N348" s="203"/>
      <c r="O348" s="205"/>
      <c r="P348" s="291"/>
      <c r="Q348" s="265"/>
      <c r="R348" s="265"/>
      <c r="S348" s="265"/>
      <c r="T348" s="265"/>
      <c r="U348" s="265"/>
    </row>
    <row r="349" spans="1:24" ht="30" customHeight="1">
      <c r="A349" s="204" t="str">
        <f>IF(ISBLANK(D349)," ",347-COUNTBLANK($D$5:D349))</f>
        <v xml:space="preserve"> </v>
      </c>
      <c r="B349" s="202"/>
      <c r="C349" s="202"/>
      <c r="D349" s="202"/>
      <c r="E349" s="300"/>
      <c r="F349" s="210"/>
      <c r="G349" s="210"/>
      <c r="H349" s="203"/>
      <c r="I349" s="203"/>
      <c r="J349" s="203"/>
      <c r="K349" s="203"/>
      <c r="L349" s="203"/>
      <c r="M349" s="203"/>
      <c r="N349" s="203"/>
      <c r="O349" s="205"/>
      <c r="P349" s="291"/>
      <c r="Q349" s="265"/>
      <c r="R349" s="265"/>
      <c r="S349" s="265"/>
      <c r="T349" s="265"/>
      <c r="U349" s="265"/>
    </row>
    <row r="350" spans="1:24" ht="30" customHeight="1">
      <c r="A350" s="204" t="str">
        <f>IF(ISBLANK(D350)," ",348-COUNTBLANK($D$5:D350))</f>
        <v xml:space="preserve"> </v>
      </c>
      <c r="B350" s="202"/>
      <c r="C350" s="202"/>
      <c r="D350" s="202"/>
      <c r="E350" s="300"/>
      <c r="F350" s="210"/>
      <c r="G350" s="210"/>
      <c r="H350" s="203"/>
      <c r="I350" s="203"/>
      <c r="J350" s="203"/>
      <c r="K350" s="203"/>
      <c r="L350" s="203"/>
      <c r="M350" s="203"/>
      <c r="N350" s="203"/>
      <c r="O350" s="205"/>
      <c r="P350" s="291"/>
      <c r="Q350" s="265"/>
      <c r="R350" s="265"/>
      <c r="S350" s="265"/>
      <c r="T350" s="265"/>
      <c r="U350" s="265"/>
    </row>
    <row r="351" spans="1:24" ht="30" customHeight="1">
      <c r="A351" s="204" t="str">
        <f>IF(ISBLANK(D351)," ",349-COUNTBLANK($D$5:D351))</f>
        <v xml:space="preserve"> </v>
      </c>
      <c r="B351" s="202"/>
      <c r="C351" s="202"/>
      <c r="D351" s="202"/>
      <c r="E351" s="300"/>
      <c r="F351" s="210"/>
      <c r="G351" s="210"/>
      <c r="H351" s="203"/>
      <c r="I351" s="203"/>
      <c r="J351" s="203"/>
      <c r="K351" s="203"/>
      <c r="L351" s="203"/>
      <c r="M351" s="203"/>
      <c r="N351" s="203"/>
      <c r="O351" s="205"/>
      <c r="P351" s="291"/>
      <c r="Q351" s="265"/>
      <c r="R351" s="265"/>
      <c r="S351" s="265"/>
      <c r="T351" s="265"/>
      <c r="U351" s="265"/>
    </row>
    <row r="352" spans="1:24" ht="30" customHeight="1">
      <c r="A352" s="204" t="str">
        <f>IF(ISBLANK(D352)," ",350-COUNTBLANK($D$5:D352))</f>
        <v xml:space="preserve"> </v>
      </c>
      <c r="B352" s="202"/>
      <c r="C352" s="202"/>
      <c r="D352" s="202"/>
      <c r="E352" s="300"/>
      <c r="F352" s="210"/>
      <c r="G352" s="210"/>
      <c r="H352" s="203"/>
      <c r="I352" s="203"/>
      <c r="J352" s="203"/>
      <c r="K352" s="203"/>
      <c r="L352" s="203"/>
      <c r="M352" s="203"/>
      <c r="N352" s="203"/>
      <c r="O352" s="205"/>
      <c r="P352" s="291"/>
      <c r="Q352" s="265"/>
      <c r="R352" s="265"/>
      <c r="S352" s="265"/>
      <c r="T352" s="265"/>
      <c r="U352" s="265"/>
    </row>
    <row r="353" spans="1:24" ht="30" customHeight="1">
      <c r="A353" s="204" t="str">
        <f>IF(ISBLANK(D353)," ",351-COUNTBLANK($D$5:D353))</f>
        <v xml:space="preserve"> </v>
      </c>
      <c r="B353" s="202"/>
      <c r="C353" s="202"/>
      <c r="D353" s="202"/>
      <c r="E353" s="300"/>
      <c r="F353" s="210"/>
      <c r="G353" s="210"/>
      <c r="H353" s="203"/>
      <c r="I353" s="203"/>
      <c r="J353" s="203"/>
      <c r="K353" s="203"/>
      <c r="L353" s="203"/>
      <c r="M353" s="203"/>
      <c r="N353" s="203"/>
      <c r="O353" s="205"/>
      <c r="P353" s="291"/>
      <c r="Q353" s="265"/>
      <c r="R353" s="265"/>
      <c r="S353" s="265"/>
      <c r="T353" s="265"/>
      <c r="U353" s="265"/>
    </row>
    <row r="354" spans="1:24" ht="30" customHeight="1">
      <c r="A354" s="204" t="str">
        <f>IF(ISBLANK(D354)," ",352-COUNTBLANK($D$5:D354))</f>
        <v xml:space="preserve"> </v>
      </c>
      <c r="B354" s="202"/>
      <c r="C354" s="202"/>
      <c r="D354" s="202"/>
      <c r="E354" s="300"/>
      <c r="F354" s="210"/>
      <c r="G354" s="210"/>
      <c r="H354" s="203"/>
      <c r="I354" s="203"/>
      <c r="J354" s="203"/>
      <c r="K354" s="203"/>
      <c r="L354" s="203"/>
      <c r="M354" s="203"/>
      <c r="N354" s="203"/>
      <c r="O354" s="205"/>
      <c r="P354" s="291"/>
      <c r="Q354" s="265"/>
      <c r="R354" s="265"/>
      <c r="S354" s="265"/>
      <c r="T354" s="265"/>
      <c r="U354" s="267"/>
    </row>
    <row r="355" spans="1:24" ht="30" customHeight="1">
      <c r="A355" s="204" t="str">
        <f>IF(ISBLANK(D355)," ",353-COUNTBLANK($D$5:D355))</f>
        <v xml:space="preserve"> </v>
      </c>
      <c r="B355" s="202"/>
      <c r="C355" s="202"/>
      <c r="D355" s="202"/>
      <c r="E355" s="300"/>
      <c r="F355" s="210"/>
      <c r="G355" s="210"/>
      <c r="H355" s="203"/>
      <c r="I355" s="203"/>
      <c r="J355" s="203"/>
      <c r="K355" s="203"/>
      <c r="L355" s="203"/>
      <c r="M355" s="203"/>
      <c r="N355" s="203"/>
      <c r="O355" s="205"/>
      <c r="P355" s="291"/>
      <c r="Q355" s="265"/>
      <c r="R355" s="265"/>
      <c r="S355" s="265"/>
      <c r="T355" s="265"/>
      <c r="U355" s="267"/>
    </row>
    <row r="356" spans="1:24" ht="30" customHeight="1">
      <c r="A356" s="204" t="str">
        <f>IF(ISBLANK(D356)," ",354-COUNTBLANK($D$5:D356))</f>
        <v xml:space="preserve"> </v>
      </c>
      <c r="B356" s="202"/>
      <c r="C356" s="202"/>
      <c r="D356" s="202"/>
      <c r="E356" s="300"/>
      <c r="F356" s="210"/>
      <c r="G356" s="210"/>
      <c r="H356" s="203"/>
      <c r="I356" s="203"/>
      <c r="J356" s="203"/>
      <c r="K356" s="203"/>
      <c r="L356" s="203"/>
      <c r="M356" s="203"/>
      <c r="N356" s="203"/>
      <c r="O356" s="205"/>
      <c r="P356" s="291"/>
      <c r="Q356" s="265"/>
      <c r="R356" s="265"/>
      <c r="S356" s="265"/>
      <c r="T356" s="265"/>
      <c r="U356" s="267"/>
    </row>
    <row r="357" spans="1:24" ht="30" customHeight="1">
      <c r="A357" s="204" t="str">
        <f>IF(ISBLANK(D357)," ",355-COUNTBLANK($D$5:D357))</f>
        <v xml:space="preserve"> </v>
      </c>
      <c r="B357" s="202"/>
      <c r="C357" s="202"/>
      <c r="D357" s="202"/>
      <c r="E357" s="300"/>
      <c r="F357" s="210"/>
      <c r="G357" s="210"/>
      <c r="H357" s="203"/>
      <c r="I357" s="203"/>
      <c r="J357" s="203"/>
      <c r="K357" s="203"/>
      <c r="L357" s="203"/>
      <c r="M357" s="203"/>
      <c r="N357" s="203"/>
      <c r="O357" s="205"/>
      <c r="P357" s="291"/>
      <c r="Q357" s="265"/>
      <c r="R357" s="265"/>
      <c r="S357" s="265"/>
      <c r="T357" s="265"/>
      <c r="U357" s="267"/>
    </row>
    <row r="358" spans="1:24" ht="30" customHeight="1">
      <c r="A358" s="304" t="str">
        <f>IF(ISBLANK(D358)," ",356-COUNTBLANK($D$5:D358))</f>
        <v xml:space="preserve"> </v>
      </c>
      <c r="B358" s="296"/>
      <c r="C358" s="305"/>
      <c r="D358" s="306"/>
      <c r="E358" s="297"/>
      <c r="F358" s="298"/>
      <c r="G358" s="298"/>
      <c r="H358" s="282"/>
      <c r="I358" s="282"/>
      <c r="J358" s="282"/>
      <c r="K358" s="282"/>
      <c r="L358" s="282"/>
      <c r="M358" s="282"/>
      <c r="N358" s="282"/>
      <c r="O358" s="283"/>
      <c r="P358" s="303"/>
      <c r="Q358" s="265"/>
      <c r="R358" s="265"/>
      <c r="S358" s="265"/>
      <c r="T358" s="265"/>
      <c r="U358" s="284"/>
      <c r="V358" s="265"/>
      <c r="W358" s="265"/>
      <c r="X358" s="265"/>
    </row>
    <row r="359" spans="1:24" ht="30" customHeight="1">
      <c r="A359" s="260" t="s">
        <v>52</v>
      </c>
      <c r="B359" s="200"/>
      <c r="C359" s="200"/>
      <c r="D359" s="200"/>
      <c r="E359" s="299"/>
      <c r="F359" s="209">
        <f>SUM(F339:F358)</f>
        <v>0</v>
      </c>
      <c r="G359" s="209"/>
      <c r="H359" s="201"/>
      <c r="I359" s="201"/>
      <c r="J359" s="201"/>
      <c r="K359" s="201"/>
      <c r="L359" s="201"/>
      <c r="M359" s="201"/>
      <c r="N359" s="201"/>
      <c r="O359" s="262"/>
      <c r="P359" s="291"/>
      <c r="Q359" s="265"/>
      <c r="R359" s="265"/>
      <c r="S359" s="265"/>
      <c r="T359" s="265"/>
      <c r="U359" s="284"/>
      <c r="V359" s="265"/>
      <c r="W359" s="265"/>
      <c r="X359" s="265"/>
    </row>
    <row r="360" spans="1:24" ht="30" customHeight="1">
      <c r="A360" s="204" t="str">
        <f>IF(ISBLANK(D360)," ",358-COUNTBLANK($D$5:D360))</f>
        <v xml:space="preserve"> </v>
      </c>
      <c r="B360" s="202"/>
      <c r="C360" s="202"/>
      <c r="D360" s="202"/>
      <c r="E360" s="300"/>
      <c r="F360" s="210"/>
      <c r="G360" s="210"/>
      <c r="H360" s="203"/>
      <c r="I360" s="203"/>
      <c r="J360" s="203"/>
      <c r="K360" s="203"/>
      <c r="L360" s="203"/>
      <c r="M360" s="203"/>
      <c r="N360" s="203"/>
      <c r="O360" s="205"/>
      <c r="P360" s="291"/>
      <c r="Q360" s="265"/>
      <c r="R360" s="265"/>
      <c r="S360" s="265"/>
      <c r="T360" s="265"/>
      <c r="U360" s="265"/>
    </row>
    <row r="361" spans="1:24" ht="30" customHeight="1">
      <c r="A361" s="204" t="str">
        <f>IF(ISBLANK(D361)," ",359-COUNTBLANK($D$5:D361))</f>
        <v xml:space="preserve"> </v>
      </c>
      <c r="B361" s="202"/>
      <c r="C361" s="202"/>
      <c r="D361" s="202"/>
      <c r="E361" s="300"/>
      <c r="F361" s="210"/>
      <c r="G361" s="210"/>
      <c r="H361" s="203"/>
      <c r="I361" s="203"/>
      <c r="J361" s="203"/>
      <c r="K361" s="203"/>
      <c r="L361" s="203"/>
      <c r="M361" s="203"/>
      <c r="N361" s="203"/>
      <c r="O361" s="205"/>
      <c r="P361" s="291"/>
      <c r="Q361" s="265"/>
      <c r="R361" s="265"/>
      <c r="S361" s="265"/>
      <c r="T361" s="265"/>
      <c r="U361" s="265"/>
    </row>
    <row r="362" spans="1:24" ht="30" customHeight="1">
      <c r="A362" s="204" t="str">
        <f>IF(ISBLANK(D362)," ",360-COUNTBLANK($D$5:D362))</f>
        <v xml:space="preserve"> </v>
      </c>
      <c r="B362" s="202"/>
      <c r="C362" s="202"/>
      <c r="D362" s="202"/>
      <c r="E362" s="300"/>
      <c r="F362" s="210"/>
      <c r="G362" s="210"/>
      <c r="H362" s="203"/>
      <c r="I362" s="203"/>
      <c r="J362" s="203"/>
      <c r="K362" s="203"/>
      <c r="L362" s="203"/>
      <c r="M362" s="203"/>
      <c r="N362" s="203"/>
      <c r="O362" s="205"/>
      <c r="P362" s="291"/>
      <c r="Q362" s="265"/>
      <c r="R362" s="265"/>
      <c r="S362" s="265"/>
      <c r="T362" s="265"/>
      <c r="U362" s="265"/>
    </row>
    <row r="363" spans="1:24" ht="30" customHeight="1">
      <c r="A363" s="204" t="str">
        <f>IF(ISBLANK(D363)," ",361-COUNTBLANK($D$5:D363))</f>
        <v xml:space="preserve"> </v>
      </c>
      <c r="B363" s="202"/>
      <c r="C363" s="202"/>
      <c r="D363" s="202"/>
      <c r="E363" s="300"/>
      <c r="F363" s="210"/>
      <c r="G363" s="210"/>
      <c r="H363" s="203"/>
      <c r="I363" s="203"/>
      <c r="J363" s="203"/>
      <c r="K363" s="203"/>
      <c r="L363" s="203"/>
      <c r="M363" s="203"/>
      <c r="N363" s="203"/>
      <c r="O363" s="205"/>
      <c r="P363" s="291"/>
      <c r="Q363" s="265"/>
      <c r="R363" s="265"/>
      <c r="S363" s="265"/>
      <c r="T363" s="265"/>
      <c r="U363" s="265"/>
    </row>
    <row r="364" spans="1:24" ht="30" customHeight="1">
      <c r="A364" s="204" t="str">
        <f>IF(ISBLANK(D364)," ",362-COUNTBLANK($D$5:D364))</f>
        <v xml:space="preserve"> </v>
      </c>
      <c r="B364" s="202"/>
      <c r="C364" s="202"/>
      <c r="D364" s="202"/>
      <c r="E364" s="300"/>
      <c r="F364" s="210"/>
      <c r="G364" s="210"/>
      <c r="H364" s="203"/>
      <c r="I364" s="203"/>
      <c r="J364" s="203"/>
      <c r="K364" s="203"/>
      <c r="L364" s="203"/>
      <c r="M364" s="203"/>
      <c r="N364" s="203"/>
      <c r="O364" s="205"/>
      <c r="P364" s="291"/>
      <c r="Q364" s="265"/>
      <c r="R364" s="265"/>
      <c r="S364" s="265"/>
      <c r="T364" s="265"/>
      <c r="U364" s="265"/>
    </row>
    <row r="365" spans="1:24" ht="30" customHeight="1">
      <c r="A365" s="204" t="str">
        <f>IF(ISBLANK(D365)," ",363-COUNTBLANK($D$5:D365))</f>
        <v xml:space="preserve"> </v>
      </c>
      <c r="B365" s="202"/>
      <c r="C365" s="202"/>
      <c r="D365" s="202"/>
      <c r="E365" s="300"/>
      <c r="F365" s="210"/>
      <c r="G365" s="210"/>
      <c r="H365" s="203"/>
      <c r="I365" s="203"/>
      <c r="J365" s="203"/>
      <c r="K365" s="203"/>
      <c r="L365" s="203"/>
      <c r="M365" s="203"/>
      <c r="N365" s="203"/>
      <c r="O365" s="205"/>
      <c r="P365" s="291"/>
      <c r="Q365" s="265"/>
      <c r="R365" s="265"/>
      <c r="S365" s="265"/>
      <c r="T365" s="265"/>
      <c r="U365" s="265"/>
    </row>
    <row r="366" spans="1:24" ht="30" customHeight="1">
      <c r="A366" s="204" t="str">
        <f>IF(ISBLANK(D366)," ",364-COUNTBLANK($D$5:D366))</f>
        <v xml:space="preserve"> </v>
      </c>
      <c r="B366" s="202"/>
      <c r="C366" s="202"/>
      <c r="D366" s="202"/>
      <c r="E366" s="300"/>
      <c r="F366" s="210"/>
      <c r="G366" s="210"/>
      <c r="H366" s="203"/>
      <c r="I366" s="203"/>
      <c r="J366" s="203"/>
      <c r="K366" s="203"/>
      <c r="L366" s="203"/>
      <c r="M366" s="203"/>
      <c r="N366" s="203"/>
      <c r="O366" s="205"/>
      <c r="P366" s="291"/>
      <c r="Q366" s="265"/>
      <c r="R366" s="265"/>
      <c r="S366" s="265"/>
      <c r="T366" s="265"/>
      <c r="U366" s="265"/>
    </row>
    <row r="367" spans="1:24" ht="30" customHeight="1">
      <c r="A367" s="204" t="str">
        <f>IF(ISBLANK(D367)," ",365-COUNTBLANK($D$5:D367))</f>
        <v xml:space="preserve"> </v>
      </c>
      <c r="B367" s="202"/>
      <c r="C367" s="202"/>
      <c r="D367" s="202"/>
      <c r="E367" s="300"/>
      <c r="F367" s="210"/>
      <c r="G367" s="210"/>
      <c r="H367" s="203"/>
      <c r="I367" s="203"/>
      <c r="J367" s="203"/>
      <c r="K367" s="203"/>
      <c r="L367" s="203"/>
      <c r="M367" s="203"/>
      <c r="N367" s="203"/>
      <c r="O367" s="205"/>
      <c r="P367" s="291"/>
      <c r="Q367" s="265"/>
      <c r="R367" s="265"/>
      <c r="S367" s="265"/>
      <c r="T367" s="265"/>
      <c r="U367" s="265"/>
    </row>
    <row r="368" spans="1:24" ht="30" customHeight="1">
      <c r="A368" s="204" t="str">
        <f>IF(ISBLANK(D368)," ",366-COUNTBLANK($D$5:D368))</f>
        <v xml:space="preserve"> </v>
      </c>
      <c r="B368" s="202"/>
      <c r="C368" s="202"/>
      <c r="D368" s="202"/>
      <c r="E368" s="300"/>
      <c r="F368" s="210"/>
      <c r="G368" s="210"/>
      <c r="H368" s="203"/>
      <c r="I368" s="203"/>
      <c r="J368" s="203"/>
      <c r="K368" s="203"/>
      <c r="L368" s="203"/>
      <c r="M368" s="203"/>
      <c r="N368" s="203"/>
      <c r="O368" s="205"/>
      <c r="P368" s="291"/>
      <c r="Q368" s="265"/>
      <c r="R368" s="265"/>
      <c r="S368" s="265"/>
      <c r="T368" s="265"/>
      <c r="U368" s="265"/>
    </row>
    <row r="369" spans="1:24" ht="30" customHeight="1">
      <c r="A369" s="204" t="str">
        <f>IF(ISBLANK(D369)," ",367-COUNTBLANK($D$5:D369))</f>
        <v xml:space="preserve"> </v>
      </c>
      <c r="B369" s="202"/>
      <c r="C369" s="202"/>
      <c r="D369" s="202"/>
      <c r="E369" s="300"/>
      <c r="F369" s="210"/>
      <c r="G369" s="210"/>
      <c r="H369" s="203"/>
      <c r="I369" s="203"/>
      <c r="J369" s="203"/>
      <c r="K369" s="203"/>
      <c r="L369" s="203"/>
      <c r="M369" s="203"/>
      <c r="N369" s="203"/>
      <c r="O369" s="205"/>
      <c r="P369" s="291"/>
      <c r="Q369" s="265"/>
      <c r="R369" s="265"/>
      <c r="S369" s="265"/>
      <c r="T369" s="265"/>
      <c r="U369" s="265"/>
    </row>
    <row r="370" spans="1:24" ht="30" customHeight="1">
      <c r="A370" s="204" t="str">
        <f>IF(ISBLANK(D370)," ",368-COUNTBLANK($D$5:D370))</f>
        <v xml:space="preserve"> </v>
      </c>
      <c r="B370" s="202"/>
      <c r="C370" s="202"/>
      <c r="D370" s="202"/>
      <c r="E370" s="300"/>
      <c r="F370" s="210"/>
      <c r="G370" s="210"/>
      <c r="H370" s="203"/>
      <c r="I370" s="203"/>
      <c r="J370" s="203"/>
      <c r="K370" s="203"/>
      <c r="L370" s="203"/>
      <c r="M370" s="203"/>
      <c r="N370" s="203"/>
      <c r="O370" s="205"/>
      <c r="P370" s="291"/>
      <c r="Q370" s="265"/>
      <c r="R370" s="265"/>
      <c r="S370" s="265"/>
      <c r="T370" s="265"/>
      <c r="U370" s="265"/>
    </row>
    <row r="371" spans="1:24" ht="30" customHeight="1">
      <c r="A371" s="204" t="str">
        <f>IF(ISBLANK(D371)," ",369-COUNTBLANK($D$5:D371))</f>
        <v xml:space="preserve"> </v>
      </c>
      <c r="B371" s="202"/>
      <c r="C371" s="202"/>
      <c r="D371" s="202"/>
      <c r="E371" s="300"/>
      <c r="F371" s="210"/>
      <c r="G371" s="210"/>
      <c r="H371" s="203"/>
      <c r="I371" s="203"/>
      <c r="J371" s="203"/>
      <c r="K371" s="203"/>
      <c r="L371" s="203"/>
      <c r="M371" s="203"/>
      <c r="N371" s="203"/>
      <c r="O371" s="205"/>
      <c r="P371" s="291"/>
      <c r="Q371" s="265"/>
      <c r="R371" s="265"/>
      <c r="S371" s="265"/>
      <c r="T371" s="265"/>
      <c r="U371" s="265"/>
    </row>
    <row r="372" spans="1:24" ht="30" customHeight="1">
      <c r="A372" s="204" t="str">
        <f>IF(ISBLANK(D372)," ",370-COUNTBLANK($D$5:D372))</f>
        <v xml:space="preserve"> </v>
      </c>
      <c r="B372" s="202"/>
      <c r="C372" s="202"/>
      <c r="D372" s="202"/>
      <c r="E372" s="300"/>
      <c r="F372" s="210"/>
      <c r="G372" s="210"/>
      <c r="H372" s="203"/>
      <c r="I372" s="203"/>
      <c r="J372" s="203"/>
      <c r="K372" s="203"/>
      <c r="L372" s="203"/>
      <c r="M372" s="203"/>
      <c r="N372" s="203"/>
      <c r="O372" s="205"/>
      <c r="P372" s="291"/>
      <c r="Q372" s="265"/>
      <c r="R372" s="265"/>
      <c r="S372" s="265"/>
      <c r="T372" s="265"/>
      <c r="U372" s="265"/>
    </row>
    <row r="373" spans="1:24" ht="30" customHeight="1">
      <c r="A373" s="204" t="str">
        <f>IF(ISBLANK(D373)," ",371-COUNTBLANK($D$5:D373))</f>
        <v xml:space="preserve"> </v>
      </c>
      <c r="B373" s="202"/>
      <c r="C373" s="202"/>
      <c r="D373" s="202"/>
      <c r="E373" s="300"/>
      <c r="F373" s="210"/>
      <c r="G373" s="210"/>
      <c r="H373" s="203"/>
      <c r="I373" s="203"/>
      <c r="J373" s="203"/>
      <c r="K373" s="203"/>
      <c r="L373" s="203"/>
      <c r="M373" s="203"/>
      <c r="N373" s="203"/>
      <c r="O373" s="205"/>
      <c r="P373" s="291"/>
      <c r="Q373" s="265"/>
      <c r="R373" s="265"/>
      <c r="S373" s="265"/>
      <c r="T373" s="265"/>
      <c r="U373" s="265"/>
    </row>
    <row r="374" spans="1:24" ht="30" customHeight="1">
      <c r="A374" s="204" t="str">
        <f>IF(ISBLANK(D374)," ",372-COUNTBLANK($D$5:D374))</f>
        <v xml:space="preserve"> </v>
      </c>
      <c r="B374" s="202"/>
      <c r="C374" s="202"/>
      <c r="D374" s="202"/>
      <c r="E374" s="300"/>
      <c r="F374" s="210"/>
      <c r="G374" s="210"/>
      <c r="H374" s="203"/>
      <c r="I374" s="203"/>
      <c r="J374" s="203"/>
      <c r="K374" s="203"/>
      <c r="L374" s="203"/>
      <c r="M374" s="203"/>
      <c r="N374" s="203"/>
      <c r="O374" s="205"/>
      <c r="P374" s="291"/>
      <c r="Q374" s="265"/>
      <c r="R374" s="265"/>
      <c r="S374" s="265"/>
      <c r="T374" s="265"/>
      <c r="U374" s="265"/>
    </row>
    <row r="375" spans="1:24" ht="30" customHeight="1">
      <c r="A375" s="204" t="str">
        <f>IF(ISBLANK(D375)," ",373-COUNTBLANK($D$5:D375))</f>
        <v xml:space="preserve"> </v>
      </c>
      <c r="B375" s="202"/>
      <c r="C375" s="202"/>
      <c r="D375" s="202"/>
      <c r="E375" s="300"/>
      <c r="F375" s="210"/>
      <c r="G375" s="210"/>
      <c r="H375" s="203"/>
      <c r="I375" s="203"/>
      <c r="J375" s="203"/>
      <c r="K375" s="203"/>
      <c r="L375" s="203"/>
      <c r="M375" s="203"/>
      <c r="N375" s="203"/>
      <c r="O375" s="205"/>
      <c r="P375" s="291"/>
      <c r="Q375" s="265"/>
      <c r="R375" s="265"/>
      <c r="S375" s="265"/>
      <c r="T375" s="265"/>
      <c r="U375" s="267"/>
    </row>
    <row r="376" spans="1:24" ht="30" customHeight="1">
      <c r="A376" s="204" t="str">
        <f>IF(ISBLANK(D376)," ",374-COUNTBLANK($D$5:D376))</f>
        <v xml:space="preserve"> </v>
      </c>
      <c r="B376" s="202"/>
      <c r="C376" s="202"/>
      <c r="D376" s="202"/>
      <c r="E376" s="300"/>
      <c r="F376" s="210"/>
      <c r="G376" s="210"/>
      <c r="H376" s="203"/>
      <c r="I376" s="203"/>
      <c r="J376" s="203"/>
      <c r="K376" s="203"/>
      <c r="L376" s="203"/>
      <c r="M376" s="203"/>
      <c r="N376" s="203"/>
      <c r="O376" s="205"/>
      <c r="P376" s="291"/>
      <c r="Q376" s="265"/>
      <c r="R376" s="265"/>
      <c r="S376" s="265"/>
      <c r="T376" s="265"/>
      <c r="U376" s="267"/>
    </row>
    <row r="377" spans="1:24" ht="30" customHeight="1">
      <c r="A377" s="204" t="str">
        <f>IF(ISBLANK(D377)," ",375-COUNTBLANK($D$5:D377))</f>
        <v xml:space="preserve"> </v>
      </c>
      <c r="B377" s="202"/>
      <c r="C377" s="202"/>
      <c r="D377" s="202"/>
      <c r="E377" s="300"/>
      <c r="F377" s="210"/>
      <c r="G377" s="210"/>
      <c r="H377" s="203"/>
      <c r="I377" s="203"/>
      <c r="J377" s="203"/>
      <c r="K377" s="203"/>
      <c r="L377" s="203"/>
      <c r="M377" s="203"/>
      <c r="N377" s="203"/>
      <c r="O377" s="205"/>
      <c r="P377" s="291"/>
      <c r="Q377" s="265"/>
      <c r="R377" s="265"/>
      <c r="S377" s="265"/>
      <c r="T377" s="265"/>
      <c r="U377" s="267"/>
    </row>
    <row r="378" spans="1:24" ht="30" customHeight="1">
      <c r="A378" s="204" t="str">
        <f>IF(ISBLANK(D378)," ",376-COUNTBLANK($D$5:D378))</f>
        <v xml:space="preserve"> </v>
      </c>
      <c r="B378" s="202"/>
      <c r="C378" s="202"/>
      <c r="D378" s="202"/>
      <c r="E378" s="300"/>
      <c r="F378" s="210"/>
      <c r="G378" s="210"/>
      <c r="H378" s="203"/>
      <c r="I378" s="203"/>
      <c r="J378" s="203"/>
      <c r="K378" s="203"/>
      <c r="L378" s="203"/>
      <c r="M378" s="203"/>
      <c r="N378" s="203"/>
      <c r="O378" s="205"/>
      <c r="P378" s="291"/>
      <c r="Q378" s="265"/>
      <c r="R378" s="265"/>
      <c r="S378" s="265"/>
      <c r="T378" s="265"/>
      <c r="U378" s="267"/>
    </row>
    <row r="379" spans="1:24" ht="30" customHeight="1">
      <c r="A379" s="304" t="str">
        <f>IF(ISBLANK(D379)," ",377-COUNTBLANK($D$5:D379))</f>
        <v xml:space="preserve"> </v>
      </c>
      <c r="B379" s="296"/>
      <c r="C379" s="305"/>
      <c r="D379" s="306"/>
      <c r="E379" s="297"/>
      <c r="F379" s="298"/>
      <c r="G379" s="298"/>
      <c r="H379" s="282"/>
      <c r="I379" s="282"/>
      <c r="J379" s="282"/>
      <c r="K379" s="282"/>
      <c r="L379" s="282"/>
      <c r="M379" s="282"/>
      <c r="N379" s="282"/>
      <c r="O379" s="283"/>
      <c r="P379" s="303"/>
      <c r="Q379" s="265"/>
      <c r="R379" s="265"/>
      <c r="S379" s="265"/>
      <c r="T379" s="265"/>
      <c r="U379" s="284"/>
      <c r="V379" s="265"/>
      <c r="W379" s="265"/>
      <c r="X379" s="265"/>
    </row>
    <row r="380" spans="1:24" ht="30" customHeight="1">
      <c r="A380" s="260" t="s">
        <v>52</v>
      </c>
      <c r="B380" s="200"/>
      <c r="C380" s="200"/>
      <c r="D380" s="200"/>
      <c r="E380" s="299"/>
      <c r="F380" s="209">
        <f>SUM(F360:F379)</f>
        <v>0</v>
      </c>
      <c r="G380" s="209"/>
      <c r="H380" s="201"/>
      <c r="I380" s="201"/>
      <c r="J380" s="201"/>
      <c r="K380" s="201"/>
      <c r="L380" s="201"/>
      <c r="M380" s="201"/>
      <c r="N380" s="201"/>
      <c r="O380" s="262"/>
      <c r="P380" s="291"/>
      <c r="Q380" s="265"/>
      <c r="R380" s="265"/>
      <c r="S380" s="265"/>
      <c r="T380" s="265"/>
      <c r="U380" s="284"/>
      <c r="V380" s="265"/>
      <c r="W380" s="265"/>
      <c r="X380" s="265"/>
    </row>
    <row r="381" spans="1:24" ht="30" customHeight="1">
      <c r="A381" s="204" t="str">
        <f>IF(ISBLANK(D381)," ",379-COUNTBLANK($D$5:D381))</f>
        <v xml:space="preserve"> </v>
      </c>
      <c r="B381" s="202"/>
      <c r="C381" s="202"/>
      <c r="D381" s="202"/>
      <c r="E381" s="300"/>
      <c r="F381" s="210"/>
      <c r="G381" s="210"/>
      <c r="H381" s="203"/>
      <c r="I381" s="203"/>
      <c r="J381" s="203"/>
      <c r="K381" s="203"/>
      <c r="L381" s="203"/>
      <c r="M381" s="203"/>
      <c r="N381" s="203"/>
      <c r="O381" s="205"/>
      <c r="P381" s="291"/>
      <c r="Q381" s="265"/>
      <c r="R381" s="265"/>
      <c r="S381" s="265"/>
      <c r="T381" s="265"/>
      <c r="U381" s="265"/>
    </row>
    <row r="382" spans="1:24" ht="30" customHeight="1">
      <c r="A382" s="204" t="str">
        <f>IF(ISBLANK(D382)," ",380-COUNTBLANK($D$5:D382))</f>
        <v xml:space="preserve"> </v>
      </c>
      <c r="B382" s="202"/>
      <c r="C382" s="202"/>
      <c r="D382" s="202"/>
      <c r="E382" s="300"/>
      <c r="F382" s="210"/>
      <c r="G382" s="210"/>
      <c r="H382" s="203"/>
      <c r="I382" s="203"/>
      <c r="J382" s="203"/>
      <c r="K382" s="203"/>
      <c r="L382" s="203"/>
      <c r="M382" s="203"/>
      <c r="N382" s="203"/>
      <c r="O382" s="205"/>
      <c r="P382" s="291"/>
      <c r="Q382" s="265"/>
      <c r="R382" s="265"/>
      <c r="S382" s="265"/>
      <c r="T382" s="265"/>
      <c r="U382" s="265"/>
    </row>
    <row r="383" spans="1:24" ht="30" customHeight="1">
      <c r="A383" s="204" t="str">
        <f>IF(ISBLANK(D383)," ",381-COUNTBLANK($D$5:D383))</f>
        <v xml:space="preserve"> </v>
      </c>
      <c r="B383" s="202"/>
      <c r="C383" s="202"/>
      <c r="D383" s="202"/>
      <c r="E383" s="300"/>
      <c r="F383" s="210"/>
      <c r="G383" s="210"/>
      <c r="H383" s="203"/>
      <c r="I383" s="203"/>
      <c r="J383" s="203"/>
      <c r="K383" s="203"/>
      <c r="L383" s="203"/>
      <c r="M383" s="203"/>
      <c r="N383" s="203"/>
      <c r="O383" s="205"/>
      <c r="P383" s="291"/>
      <c r="Q383" s="265"/>
      <c r="R383" s="265"/>
      <c r="S383" s="265"/>
      <c r="T383" s="265"/>
      <c r="U383" s="265"/>
    </row>
    <row r="384" spans="1:24" ht="30" customHeight="1">
      <c r="A384" s="204" t="str">
        <f>IF(ISBLANK(D384)," ",382-COUNTBLANK($D$5:D384))</f>
        <v xml:space="preserve"> </v>
      </c>
      <c r="B384" s="202"/>
      <c r="C384" s="202"/>
      <c r="D384" s="202"/>
      <c r="E384" s="300"/>
      <c r="F384" s="210"/>
      <c r="G384" s="210"/>
      <c r="H384" s="203"/>
      <c r="I384" s="203"/>
      <c r="J384" s="203"/>
      <c r="K384" s="203"/>
      <c r="L384" s="203"/>
      <c r="M384" s="203"/>
      <c r="N384" s="203"/>
      <c r="O384" s="205"/>
      <c r="P384" s="291"/>
      <c r="Q384" s="265"/>
      <c r="R384" s="265"/>
      <c r="S384" s="265"/>
      <c r="T384" s="265"/>
      <c r="U384" s="265"/>
    </row>
    <row r="385" spans="1:24" ht="30" customHeight="1">
      <c r="A385" s="204" t="str">
        <f>IF(ISBLANK(D385)," ",383-COUNTBLANK($D$5:D385))</f>
        <v xml:space="preserve"> </v>
      </c>
      <c r="B385" s="202"/>
      <c r="C385" s="202"/>
      <c r="D385" s="202"/>
      <c r="E385" s="300"/>
      <c r="F385" s="210"/>
      <c r="G385" s="210"/>
      <c r="H385" s="203"/>
      <c r="I385" s="203"/>
      <c r="J385" s="203"/>
      <c r="K385" s="203"/>
      <c r="L385" s="203"/>
      <c r="M385" s="203"/>
      <c r="N385" s="203"/>
      <c r="O385" s="205"/>
      <c r="P385" s="291"/>
      <c r="Q385" s="265"/>
      <c r="R385" s="265"/>
      <c r="S385" s="265"/>
      <c r="T385" s="265"/>
      <c r="U385" s="265"/>
    </row>
    <row r="386" spans="1:24" ht="30" customHeight="1">
      <c r="A386" s="204" t="str">
        <f>IF(ISBLANK(D386)," ",384-COUNTBLANK($D$5:D386))</f>
        <v xml:space="preserve"> </v>
      </c>
      <c r="B386" s="202"/>
      <c r="C386" s="202"/>
      <c r="D386" s="202"/>
      <c r="E386" s="300"/>
      <c r="F386" s="210"/>
      <c r="G386" s="210"/>
      <c r="H386" s="203"/>
      <c r="I386" s="203"/>
      <c r="J386" s="203"/>
      <c r="K386" s="203"/>
      <c r="L386" s="203"/>
      <c r="M386" s="203"/>
      <c r="N386" s="203"/>
      <c r="O386" s="205"/>
      <c r="P386" s="291"/>
      <c r="Q386" s="265"/>
      <c r="R386" s="265"/>
      <c r="S386" s="265"/>
      <c r="T386" s="265"/>
      <c r="U386" s="265"/>
    </row>
    <row r="387" spans="1:24" ht="30" customHeight="1">
      <c r="A387" s="204" t="str">
        <f>IF(ISBLANK(D387)," ",385-COUNTBLANK($D$5:D387))</f>
        <v xml:space="preserve"> </v>
      </c>
      <c r="B387" s="202"/>
      <c r="C387" s="202"/>
      <c r="D387" s="202"/>
      <c r="E387" s="300"/>
      <c r="F387" s="210"/>
      <c r="G387" s="210"/>
      <c r="H387" s="203"/>
      <c r="I387" s="203"/>
      <c r="J387" s="203"/>
      <c r="K387" s="203"/>
      <c r="L387" s="203"/>
      <c r="M387" s="203"/>
      <c r="N387" s="203"/>
      <c r="O387" s="205"/>
      <c r="P387" s="291"/>
      <c r="Q387" s="265"/>
      <c r="R387" s="265"/>
      <c r="S387" s="265"/>
      <c r="T387" s="265"/>
      <c r="U387" s="265"/>
    </row>
    <row r="388" spans="1:24" ht="30" customHeight="1">
      <c r="A388" s="204" t="str">
        <f>IF(ISBLANK(D388)," ",386-COUNTBLANK($D$5:D388))</f>
        <v xml:space="preserve"> </v>
      </c>
      <c r="B388" s="202"/>
      <c r="C388" s="202"/>
      <c r="D388" s="202"/>
      <c r="E388" s="300"/>
      <c r="F388" s="210"/>
      <c r="G388" s="210"/>
      <c r="H388" s="203"/>
      <c r="I388" s="203"/>
      <c r="J388" s="203"/>
      <c r="K388" s="203"/>
      <c r="L388" s="203"/>
      <c r="M388" s="203"/>
      <c r="N388" s="203"/>
      <c r="O388" s="205"/>
      <c r="P388" s="291"/>
      <c r="Q388" s="265"/>
      <c r="R388" s="265"/>
      <c r="S388" s="265"/>
      <c r="T388" s="265"/>
      <c r="U388" s="265"/>
    </row>
    <row r="389" spans="1:24" ht="30" customHeight="1">
      <c r="A389" s="204" t="str">
        <f>IF(ISBLANK(D389)," ",387-COUNTBLANK($D$5:D389))</f>
        <v xml:space="preserve"> </v>
      </c>
      <c r="B389" s="202"/>
      <c r="C389" s="202"/>
      <c r="D389" s="202"/>
      <c r="E389" s="300"/>
      <c r="F389" s="210"/>
      <c r="G389" s="210"/>
      <c r="H389" s="203"/>
      <c r="I389" s="203"/>
      <c r="J389" s="203"/>
      <c r="K389" s="203"/>
      <c r="L389" s="203"/>
      <c r="M389" s="203"/>
      <c r="N389" s="203"/>
      <c r="O389" s="205"/>
      <c r="P389" s="291"/>
      <c r="Q389" s="265"/>
      <c r="R389" s="265"/>
      <c r="S389" s="265"/>
      <c r="T389" s="265"/>
      <c r="U389" s="265"/>
    </row>
    <row r="390" spans="1:24" ht="30" customHeight="1">
      <c r="A390" s="204" t="str">
        <f>IF(ISBLANK(D390)," ",388-COUNTBLANK($D$5:D390))</f>
        <v xml:space="preserve"> </v>
      </c>
      <c r="B390" s="202"/>
      <c r="C390" s="202"/>
      <c r="D390" s="202"/>
      <c r="E390" s="300"/>
      <c r="F390" s="210"/>
      <c r="G390" s="210"/>
      <c r="H390" s="203"/>
      <c r="I390" s="203"/>
      <c r="J390" s="203"/>
      <c r="K390" s="203"/>
      <c r="L390" s="203"/>
      <c r="M390" s="203"/>
      <c r="N390" s="203"/>
      <c r="O390" s="205"/>
      <c r="P390" s="291"/>
      <c r="Q390" s="265"/>
      <c r="R390" s="265"/>
      <c r="S390" s="265"/>
      <c r="T390" s="265"/>
      <c r="U390" s="265"/>
    </row>
    <row r="391" spans="1:24" ht="30" customHeight="1">
      <c r="A391" s="204" t="str">
        <f>IF(ISBLANK(D391)," ",389-COUNTBLANK($D$5:D391))</f>
        <v xml:space="preserve"> </v>
      </c>
      <c r="B391" s="202"/>
      <c r="C391" s="202"/>
      <c r="D391" s="202"/>
      <c r="E391" s="300"/>
      <c r="F391" s="210"/>
      <c r="G391" s="210"/>
      <c r="H391" s="203"/>
      <c r="I391" s="203"/>
      <c r="J391" s="203"/>
      <c r="K391" s="203"/>
      <c r="L391" s="203"/>
      <c r="M391" s="203"/>
      <c r="N391" s="203"/>
      <c r="O391" s="205"/>
      <c r="P391" s="291"/>
      <c r="Q391" s="265"/>
      <c r="R391" s="265"/>
      <c r="S391" s="265"/>
      <c r="T391" s="265"/>
      <c r="U391" s="265"/>
    </row>
    <row r="392" spans="1:24" ht="30" customHeight="1">
      <c r="A392" s="204" t="str">
        <f>IF(ISBLANK(D392)," ",390-COUNTBLANK($D$5:D392))</f>
        <v xml:space="preserve"> </v>
      </c>
      <c r="B392" s="202"/>
      <c r="C392" s="202"/>
      <c r="D392" s="202"/>
      <c r="E392" s="300"/>
      <c r="F392" s="210"/>
      <c r="G392" s="210"/>
      <c r="H392" s="203"/>
      <c r="I392" s="203"/>
      <c r="J392" s="203"/>
      <c r="K392" s="203"/>
      <c r="L392" s="203"/>
      <c r="M392" s="203"/>
      <c r="N392" s="203"/>
      <c r="O392" s="205"/>
      <c r="P392" s="291"/>
      <c r="Q392" s="265"/>
      <c r="R392" s="265"/>
      <c r="S392" s="265"/>
      <c r="T392" s="265"/>
      <c r="U392" s="265"/>
    </row>
    <row r="393" spans="1:24" ht="30" customHeight="1">
      <c r="A393" s="204" t="str">
        <f>IF(ISBLANK(D393)," ",391-COUNTBLANK($D$5:D393))</f>
        <v xml:space="preserve"> </v>
      </c>
      <c r="B393" s="202"/>
      <c r="C393" s="202"/>
      <c r="D393" s="202"/>
      <c r="E393" s="300"/>
      <c r="F393" s="210"/>
      <c r="G393" s="210"/>
      <c r="H393" s="203"/>
      <c r="I393" s="203"/>
      <c r="J393" s="203"/>
      <c r="K393" s="203"/>
      <c r="L393" s="203"/>
      <c r="M393" s="203"/>
      <c r="N393" s="203"/>
      <c r="O393" s="205"/>
      <c r="P393" s="291"/>
      <c r="Q393" s="265"/>
      <c r="R393" s="265"/>
      <c r="S393" s="265"/>
      <c r="T393" s="265"/>
      <c r="U393" s="265"/>
    </row>
    <row r="394" spans="1:24" ht="30" customHeight="1">
      <c r="A394" s="204" t="str">
        <f>IF(ISBLANK(D394)," ",392-COUNTBLANK($D$5:D394))</f>
        <v xml:space="preserve"> </v>
      </c>
      <c r="B394" s="202"/>
      <c r="C394" s="202"/>
      <c r="D394" s="202"/>
      <c r="E394" s="300"/>
      <c r="F394" s="210"/>
      <c r="G394" s="210"/>
      <c r="H394" s="203"/>
      <c r="I394" s="203"/>
      <c r="J394" s="203"/>
      <c r="K394" s="203"/>
      <c r="L394" s="203"/>
      <c r="M394" s="203"/>
      <c r="N394" s="203"/>
      <c r="O394" s="205"/>
      <c r="P394" s="291"/>
      <c r="Q394" s="265"/>
      <c r="R394" s="265"/>
      <c r="S394" s="265"/>
      <c r="T394" s="265"/>
      <c r="U394" s="265"/>
    </row>
    <row r="395" spans="1:24" ht="30" customHeight="1">
      <c r="A395" s="204" t="str">
        <f>IF(ISBLANK(D395)," ",393-COUNTBLANK($D$5:D395))</f>
        <v xml:space="preserve"> </v>
      </c>
      <c r="B395" s="202"/>
      <c r="C395" s="202"/>
      <c r="D395" s="202"/>
      <c r="E395" s="300"/>
      <c r="F395" s="210"/>
      <c r="G395" s="210"/>
      <c r="H395" s="203"/>
      <c r="I395" s="203"/>
      <c r="J395" s="203"/>
      <c r="K395" s="203"/>
      <c r="L395" s="203"/>
      <c r="M395" s="203"/>
      <c r="N395" s="203"/>
      <c r="O395" s="205"/>
      <c r="P395" s="291"/>
      <c r="Q395" s="265"/>
      <c r="R395" s="265"/>
      <c r="S395" s="265"/>
      <c r="T395" s="265"/>
      <c r="U395" s="265"/>
    </row>
    <row r="396" spans="1:24" ht="30" customHeight="1">
      <c r="A396" s="204" t="str">
        <f>IF(ISBLANK(D396)," ",394-COUNTBLANK($D$5:D396))</f>
        <v xml:space="preserve"> </v>
      </c>
      <c r="B396" s="202"/>
      <c r="C396" s="202"/>
      <c r="D396" s="202"/>
      <c r="E396" s="300"/>
      <c r="F396" s="210"/>
      <c r="G396" s="210"/>
      <c r="H396" s="203"/>
      <c r="I396" s="203"/>
      <c r="J396" s="203"/>
      <c r="K396" s="203"/>
      <c r="L396" s="203"/>
      <c r="M396" s="203"/>
      <c r="N396" s="203"/>
      <c r="O396" s="205"/>
      <c r="P396" s="291"/>
      <c r="Q396" s="265"/>
      <c r="R396" s="265"/>
      <c r="S396" s="265"/>
      <c r="T396" s="265"/>
      <c r="U396" s="267"/>
    </row>
    <row r="397" spans="1:24" ht="30" customHeight="1">
      <c r="A397" s="204" t="str">
        <f>IF(ISBLANK(D397)," ",395-COUNTBLANK($D$5:D397))</f>
        <v xml:space="preserve"> </v>
      </c>
      <c r="B397" s="202"/>
      <c r="C397" s="202"/>
      <c r="D397" s="202"/>
      <c r="E397" s="300"/>
      <c r="F397" s="210"/>
      <c r="G397" s="210"/>
      <c r="H397" s="203"/>
      <c r="I397" s="203"/>
      <c r="J397" s="203"/>
      <c r="K397" s="203"/>
      <c r="L397" s="203"/>
      <c r="M397" s="203"/>
      <c r="N397" s="203"/>
      <c r="O397" s="205"/>
      <c r="P397" s="291"/>
      <c r="Q397" s="265"/>
      <c r="R397" s="265"/>
      <c r="S397" s="265"/>
      <c r="T397" s="265"/>
      <c r="U397" s="267"/>
    </row>
    <row r="398" spans="1:24" ht="30" customHeight="1">
      <c r="A398" s="204" t="str">
        <f>IF(ISBLANK(D398)," ",396-COUNTBLANK($D$5:D398))</f>
        <v xml:space="preserve"> </v>
      </c>
      <c r="B398" s="202"/>
      <c r="C398" s="202"/>
      <c r="D398" s="202"/>
      <c r="E398" s="300"/>
      <c r="F398" s="210"/>
      <c r="G398" s="210"/>
      <c r="H398" s="203"/>
      <c r="I398" s="203"/>
      <c r="J398" s="203"/>
      <c r="K398" s="203"/>
      <c r="L398" s="203"/>
      <c r="M398" s="203"/>
      <c r="N398" s="203"/>
      <c r="O398" s="205"/>
      <c r="P398" s="291"/>
      <c r="Q398" s="265"/>
      <c r="R398" s="265"/>
      <c r="S398" s="265"/>
      <c r="T398" s="265"/>
      <c r="U398" s="267"/>
    </row>
    <row r="399" spans="1:24" ht="30" customHeight="1">
      <c r="A399" s="204" t="str">
        <f>IF(ISBLANK(D399)," ",397-COUNTBLANK($D$5:D399))</f>
        <v xml:space="preserve"> </v>
      </c>
      <c r="B399" s="202"/>
      <c r="C399" s="202"/>
      <c r="D399" s="202"/>
      <c r="E399" s="300"/>
      <c r="F399" s="210"/>
      <c r="G399" s="210"/>
      <c r="H399" s="203"/>
      <c r="I399" s="203"/>
      <c r="J399" s="203"/>
      <c r="K399" s="203"/>
      <c r="L399" s="203"/>
      <c r="M399" s="203"/>
      <c r="N399" s="203"/>
      <c r="O399" s="205"/>
      <c r="P399" s="291"/>
      <c r="Q399" s="265"/>
      <c r="R399" s="265"/>
      <c r="S399" s="265"/>
      <c r="T399" s="265"/>
      <c r="U399" s="267"/>
    </row>
    <row r="400" spans="1:24" ht="30" customHeight="1">
      <c r="A400" s="304" t="str">
        <f>IF(ISBLANK(D400)," ",398-COUNTBLANK($D$5:D400))</f>
        <v xml:space="preserve"> </v>
      </c>
      <c r="B400" s="296"/>
      <c r="C400" s="305"/>
      <c r="D400" s="306"/>
      <c r="E400" s="297"/>
      <c r="F400" s="298"/>
      <c r="G400" s="298"/>
      <c r="H400" s="282"/>
      <c r="I400" s="282"/>
      <c r="J400" s="282"/>
      <c r="K400" s="282"/>
      <c r="L400" s="282"/>
      <c r="M400" s="282"/>
      <c r="N400" s="282"/>
      <c r="O400" s="283"/>
      <c r="P400" s="303"/>
      <c r="Q400" s="265"/>
      <c r="R400" s="265"/>
      <c r="S400" s="265"/>
      <c r="T400" s="265"/>
      <c r="U400" s="284"/>
      <c r="V400" s="265"/>
      <c r="W400" s="265"/>
      <c r="X400" s="265"/>
    </row>
    <row r="401" spans="1:24" ht="30" customHeight="1">
      <c r="A401" s="260" t="s">
        <v>52</v>
      </c>
      <c r="B401" s="200"/>
      <c r="C401" s="200"/>
      <c r="D401" s="200"/>
      <c r="E401" s="299"/>
      <c r="F401" s="209">
        <f>SUM(F381:F400)</f>
        <v>0</v>
      </c>
      <c r="G401" s="209"/>
      <c r="H401" s="201"/>
      <c r="I401" s="201"/>
      <c r="J401" s="201"/>
      <c r="K401" s="201"/>
      <c r="L401" s="201"/>
      <c r="M401" s="201"/>
      <c r="N401" s="201"/>
      <c r="O401" s="262"/>
      <c r="P401" s="291"/>
      <c r="Q401" s="265"/>
      <c r="R401" s="265"/>
      <c r="S401" s="265"/>
      <c r="T401" s="265"/>
      <c r="U401" s="284"/>
      <c r="V401" s="265"/>
      <c r="W401" s="265"/>
      <c r="X401" s="265"/>
    </row>
    <row r="402" spans="1:24" ht="30" customHeight="1">
      <c r="A402" s="204" t="str">
        <f>IF(ISBLANK(D402)," ",400-COUNTBLANK($D$5:D402))</f>
        <v xml:space="preserve"> </v>
      </c>
      <c r="B402" s="202"/>
      <c r="C402" s="202"/>
      <c r="D402" s="202"/>
      <c r="E402" s="300"/>
      <c r="F402" s="210"/>
      <c r="G402" s="210"/>
      <c r="H402" s="203"/>
      <c r="I402" s="203"/>
      <c r="J402" s="203"/>
      <c r="K402" s="203"/>
      <c r="L402" s="203"/>
      <c r="M402" s="203"/>
      <c r="N402" s="203"/>
      <c r="O402" s="205"/>
      <c r="P402" s="291"/>
      <c r="Q402" s="265"/>
      <c r="R402" s="265"/>
      <c r="S402" s="265"/>
      <c r="T402" s="265"/>
      <c r="U402" s="265"/>
    </row>
    <row r="403" spans="1:24" ht="30" customHeight="1">
      <c r="A403" s="204" t="str">
        <f>IF(ISBLANK(D403)," ",401-COUNTBLANK($D$5:D403))</f>
        <v xml:space="preserve"> </v>
      </c>
      <c r="B403" s="202"/>
      <c r="C403" s="202"/>
      <c r="D403" s="202"/>
      <c r="E403" s="300"/>
      <c r="F403" s="210"/>
      <c r="G403" s="210"/>
      <c r="H403" s="203"/>
      <c r="I403" s="203"/>
      <c r="J403" s="203"/>
      <c r="K403" s="203"/>
      <c r="L403" s="203"/>
      <c r="M403" s="203"/>
      <c r="N403" s="203"/>
      <c r="O403" s="205"/>
      <c r="P403" s="291"/>
      <c r="Q403" s="265"/>
      <c r="R403" s="265"/>
      <c r="S403" s="265"/>
      <c r="T403" s="265"/>
      <c r="U403" s="265"/>
    </row>
    <row r="404" spans="1:24" ht="30" customHeight="1">
      <c r="A404" s="204" t="str">
        <f>IF(ISBLANK(D404)," ",402-COUNTBLANK($D$5:D404))</f>
        <v xml:space="preserve"> </v>
      </c>
      <c r="B404" s="202"/>
      <c r="C404" s="202"/>
      <c r="D404" s="202"/>
      <c r="E404" s="300"/>
      <c r="F404" s="210"/>
      <c r="G404" s="210"/>
      <c r="H404" s="203"/>
      <c r="I404" s="203"/>
      <c r="J404" s="203"/>
      <c r="K404" s="203"/>
      <c r="L404" s="203"/>
      <c r="M404" s="203"/>
      <c r="N404" s="203"/>
      <c r="O404" s="205"/>
      <c r="P404" s="291"/>
      <c r="Q404" s="265"/>
      <c r="R404" s="265"/>
      <c r="S404" s="265"/>
      <c r="T404" s="265"/>
      <c r="U404" s="265"/>
    </row>
    <row r="405" spans="1:24" ht="30" customHeight="1">
      <c r="A405" s="204" t="str">
        <f>IF(ISBLANK(D405)," ",403-COUNTBLANK($D$5:D405))</f>
        <v xml:space="preserve"> </v>
      </c>
      <c r="B405" s="202"/>
      <c r="C405" s="202"/>
      <c r="D405" s="202"/>
      <c r="E405" s="300"/>
      <c r="F405" s="210"/>
      <c r="G405" s="210"/>
      <c r="H405" s="203"/>
      <c r="I405" s="203"/>
      <c r="J405" s="203"/>
      <c r="K405" s="203"/>
      <c r="L405" s="203"/>
      <c r="M405" s="203"/>
      <c r="N405" s="203"/>
      <c r="O405" s="205"/>
      <c r="P405" s="291"/>
      <c r="Q405" s="265"/>
      <c r="R405" s="265"/>
      <c r="S405" s="265"/>
      <c r="T405" s="265"/>
      <c r="U405" s="265"/>
    </row>
    <row r="406" spans="1:24" ht="30" customHeight="1">
      <c r="A406" s="204" t="str">
        <f>IF(ISBLANK(D406)," ",404-COUNTBLANK($D$5:D406))</f>
        <v xml:space="preserve"> </v>
      </c>
      <c r="B406" s="202"/>
      <c r="C406" s="202"/>
      <c r="D406" s="202"/>
      <c r="E406" s="300"/>
      <c r="F406" s="210"/>
      <c r="G406" s="210"/>
      <c r="H406" s="203"/>
      <c r="I406" s="203"/>
      <c r="J406" s="203"/>
      <c r="K406" s="203"/>
      <c r="L406" s="203"/>
      <c r="M406" s="203"/>
      <c r="N406" s="203"/>
      <c r="O406" s="205"/>
      <c r="P406" s="291"/>
      <c r="Q406" s="265"/>
      <c r="R406" s="265"/>
      <c r="S406" s="265"/>
      <c r="T406" s="265"/>
      <c r="U406" s="265"/>
    </row>
    <row r="407" spans="1:24" ht="30" customHeight="1">
      <c r="A407" s="204" t="str">
        <f>IF(ISBLANK(D407)," ",405-COUNTBLANK($D$5:D407))</f>
        <v xml:space="preserve"> </v>
      </c>
      <c r="B407" s="202"/>
      <c r="C407" s="202"/>
      <c r="D407" s="202"/>
      <c r="E407" s="300"/>
      <c r="F407" s="210"/>
      <c r="G407" s="210"/>
      <c r="H407" s="203"/>
      <c r="I407" s="203"/>
      <c r="J407" s="203"/>
      <c r="K407" s="203"/>
      <c r="L407" s="203"/>
      <c r="M407" s="203"/>
      <c r="N407" s="203"/>
      <c r="O407" s="205"/>
      <c r="P407" s="291"/>
      <c r="Q407" s="265"/>
      <c r="R407" s="265"/>
      <c r="S407" s="265"/>
      <c r="T407" s="265"/>
      <c r="U407" s="265"/>
    </row>
    <row r="408" spans="1:24" ht="30" customHeight="1">
      <c r="A408" s="204" t="str">
        <f>IF(ISBLANK(D408)," ",406-COUNTBLANK($D$5:D408))</f>
        <v xml:space="preserve"> </v>
      </c>
      <c r="B408" s="202"/>
      <c r="C408" s="202"/>
      <c r="D408" s="202"/>
      <c r="E408" s="300"/>
      <c r="F408" s="210"/>
      <c r="G408" s="210"/>
      <c r="H408" s="203"/>
      <c r="I408" s="203"/>
      <c r="J408" s="203"/>
      <c r="K408" s="203"/>
      <c r="L408" s="203"/>
      <c r="M408" s="203"/>
      <c r="N408" s="203"/>
      <c r="O408" s="205"/>
      <c r="P408" s="291"/>
      <c r="Q408" s="265"/>
      <c r="R408" s="265"/>
      <c r="S408" s="265"/>
      <c r="T408" s="265"/>
      <c r="U408" s="265"/>
    </row>
    <row r="409" spans="1:24" ht="30" customHeight="1">
      <c r="A409" s="204" t="str">
        <f>IF(ISBLANK(D409)," ",407-COUNTBLANK($D$5:D409))</f>
        <v xml:space="preserve"> </v>
      </c>
      <c r="B409" s="202"/>
      <c r="C409" s="202"/>
      <c r="D409" s="202"/>
      <c r="E409" s="300"/>
      <c r="F409" s="210"/>
      <c r="G409" s="210"/>
      <c r="H409" s="203"/>
      <c r="I409" s="203"/>
      <c r="J409" s="203"/>
      <c r="K409" s="203"/>
      <c r="L409" s="203"/>
      <c r="M409" s="203"/>
      <c r="N409" s="203"/>
      <c r="O409" s="205"/>
      <c r="P409" s="291"/>
      <c r="Q409" s="265"/>
      <c r="R409" s="265"/>
      <c r="S409" s="265"/>
      <c r="T409" s="265"/>
      <c r="U409" s="265"/>
    </row>
    <row r="410" spans="1:24" ht="30" customHeight="1">
      <c r="A410" s="204" t="str">
        <f>IF(ISBLANK(D410)," ",408-COUNTBLANK($D$5:D410))</f>
        <v xml:space="preserve"> </v>
      </c>
      <c r="B410" s="202"/>
      <c r="C410" s="202"/>
      <c r="D410" s="202"/>
      <c r="E410" s="300"/>
      <c r="F410" s="210"/>
      <c r="G410" s="210"/>
      <c r="H410" s="203"/>
      <c r="I410" s="203"/>
      <c r="J410" s="203"/>
      <c r="K410" s="203"/>
      <c r="L410" s="203"/>
      <c r="M410" s="203"/>
      <c r="N410" s="203"/>
      <c r="O410" s="205"/>
      <c r="P410" s="291"/>
      <c r="Q410" s="265"/>
      <c r="R410" s="265"/>
      <c r="S410" s="265"/>
      <c r="T410" s="265"/>
      <c r="U410" s="265"/>
    </row>
    <row r="411" spans="1:24" ht="30" customHeight="1">
      <c r="A411" s="204" t="str">
        <f>IF(ISBLANK(D411)," ",409-COUNTBLANK($D$5:D411))</f>
        <v xml:space="preserve"> </v>
      </c>
      <c r="B411" s="202"/>
      <c r="C411" s="202"/>
      <c r="D411" s="202"/>
      <c r="E411" s="300"/>
      <c r="F411" s="210"/>
      <c r="G411" s="210"/>
      <c r="H411" s="203"/>
      <c r="I411" s="203"/>
      <c r="J411" s="203"/>
      <c r="K411" s="203"/>
      <c r="L411" s="203"/>
      <c r="M411" s="203"/>
      <c r="N411" s="203"/>
      <c r="O411" s="205"/>
      <c r="P411" s="291"/>
      <c r="Q411" s="265"/>
      <c r="R411" s="265"/>
      <c r="S411" s="265"/>
      <c r="T411" s="265"/>
      <c r="U411" s="265"/>
    </row>
    <row r="412" spans="1:24" ht="30" customHeight="1">
      <c r="A412" s="204" t="str">
        <f>IF(ISBLANK(D412)," ",410-COUNTBLANK($D$5:D412))</f>
        <v xml:space="preserve"> </v>
      </c>
      <c r="B412" s="202"/>
      <c r="C412" s="202"/>
      <c r="D412" s="202"/>
      <c r="E412" s="300"/>
      <c r="F412" s="210"/>
      <c r="G412" s="210"/>
      <c r="H412" s="203"/>
      <c r="I412" s="203"/>
      <c r="J412" s="203"/>
      <c r="K412" s="203"/>
      <c r="L412" s="203"/>
      <c r="M412" s="203"/>
      <c r="N412" s="203"/>
      <c r="O412" s="205"/>
      <c r="P412" s="291"/>
      <c r="Q412" s="265"/>
      <c r="R412" s="265"/>
      <c r="S412" s="265"/>
      <c r="T412" s="265"/>
      <c r="U412" s="265"/>
    </row>
    <row r="413" spans="1:24" ht="30" customHeight="1">
      <c r="A413" s="204" t="str">
        <f>IF(ISBLANK(D413)," ",411-COUNTBLANK($D$5:D413))</f>
        <v xml:space="preserve"> </v>
      </c>
      <c r="B413" s="202"/>
      <c r="C413" s="202"/>
      <c r="D413" s="202"/>
      <c r="E413" s="300"/>
      <c r="F413" s="210"/>
      <c r="G413" s="210"/>
      <c r="H413" s="203"/>
      <c r="I413" s="203"/>
      <c r="J413" s="203"/>
      <c r="K413" s="203"/>
      <c r="L413" s="203"/>
      <c r="M413" s="203"/>
      <c r="N413" s="203"/>
      <c r="O413" s="205"/>
      <c r="P413" s="291"/>
      <c r="Q413" s="265"/>
      <c r="R413" s="265"/>
      <c r="S413" s="265"/>
      <c r="T413" s="265"/>
      <c r="U413" s="265"/>
    </row>
    <row r="414" spans="1:24" ht="30" customHeight="1">
      <c r="A414" s="204" t="str">
        <f>IF(ISBLANK(D414)," ",412-COUNTBLANK($D$5:D414))</f>
        <v xml:space="preserve"> </v>
      </c>
      <c r="B414" s="202"/>
      <c r="C414" s="202"/>
      <c r="D414" s="202"/>
      <c r="E414" s="300"/>
      <c r="F414" s="210"/>
      <c r="G414" s="210"/>
      <c r="H414" s="203"/>
      <c r="I414" s="203"/>
      <c r="J414" s="203"/>
      <c r="K414" s="203"/>
      <c r="L414" s="203"/>
      <c r="M414" s="203"/>
      <c r="N414" s="203"/>
      <c r="O414" s="205"/>
      <c r="P414" s="291"/>
      <c r="Q414" s="265"/>
      <c r="R414" s="265"/>
      <c r="S414" s="265"/>
      <c r="T414" s="265"/>
      <c r="U414" s="265"/>
    </row>
    <row r="415" spans="1:24" ht="30" customHeight="1">
      <c r="A415" s="204" t="str">
        <f>IF(ISBLANK(D415)," ",413-COUNTBLANK($D$5:D415))</f>
        <v xml:space="preserve"> </v>
      </c>
      <c r="B415" s="202"/>
      <c r="C415" s="202"/>
      <c r="D415" s="202"/>
      <c r="E415" s="300"/>
      <c r="F415" s="210"/>
      <c r="G415" s="210"/>
      <c r="H415" s="203"/>
      <c r="I415" s="203"/>
      <c r="J415" s="203"/>
      <c r="K415" s="203"/>
      <c r="L415" s="203"/>
      <c r="M415" s="203"/>
      <c r="N415" s="203"/>
      <c r="O415" s="205"/>
      <c r="P415" s="291"/>
      <c r="Q415" s="265"/>
      <c r="R415" s="265"/>
      <c r="S415" s="265"/>
      <c r="T415" s="265"/>
      <c r="U415" s="265"/>
    </row>
    <row r="416" spans="1:24" ht="27.75" customHeight="1">
      <c r="A416" s="204" t="str">
        <f>IF(ISBLANK(D416)," ",414-COUNTBLANK($D$5:D416))</f>
        <v xml:space="preserve"> </v>
      </c>
      <c r="B416" s="202"/>
      <c r="C416" s="202"/>
      <c r="D416" s="202"/>
      <c r="E416" s="300"/>
      <c r="F416" s="210"/>
      <c r="G416" s="210"/>
      <c r="H416" s="203"/>
      <c r="I416" s="203"/>
      <c r="J416" s="203"/>
      <c r="K416" s="203"/>
      <c r="L416" s="203"/>
      <c r="M416" s="203"/>
      <c r="N416" s="203"/>
      <c r="O416" s="205"/>
      <c r="P416" s="291"/>
      <c r="Q416" s="265"/>
      <c r="R416" s="265"/>
      <c r="S416" s="265"/>
      <c r="T416" s="265"/>
      <c r="U416" s="265"/>
    </row>
    <row r="417" spans="1:24" ht="27.75" customHeight="1">
      <c r="A417" s="204" t="str">
        <f>IF(ISBLANK(D417)," ",415-COUNTBLANK($D$5:D417))</f>
        <v xml:space="preserve"> </v>
      </c>
      <c r="B417" s="202"/>
      <c r="C417" s="202"/>
      <c r="D417" s="202"/>
      <c r="E417" s="300"/>
      <c r="F417" s="210"/>
      <c r="G417" s="210"/>
      <c r="H417" s="203"/>
      <c r="I417" s="203"/>
      <c r="J417" s="203"/>
      <c r="K417" s="203"/>
      <c r="L417" s="203"/>
      <c r="M417" s="203"/>
      <c r="N417" s="203"/>
      <c r="O417" s="205"/>
      <c r="P417" s="291"/>
      <c r="Q417" s="265"/>
      <c r="R417" s="265"/>
      <c r="S417" s="265"/>
      <c r="T417" s="265"/>
      <c r="U417" s="267"/>
    </row>
    <row r="418" spans="1:24" ht="27.75" customHeight="1">
      <c r="A418" s="204" t="str">
        <f>IF(ISBLANK(D418)," ",416-COUNTBLANK($D$5:D418))</f>
        <v xml:space="preserve"> </v>
      </c>
      <c r="B418" s="202"/>
      <c r="C418" s="202"/>
      <c r="D418" s="202"/>
      <c r="E418" s="300"/>
      <c r="F418" s="210"/>
      <c r="G418" s="210"/>
      <c r="H418" s="203"/>
      <c r="I418" s="203"/>
      <c r="J418" s="203"/>
      <c r="K418" s="203"/>
      <c r="L418" s="203"/>
      <c r="M418" s="203"/>
      <c r="N418" s="203"/>
      <c r="O418" s="205"/>
      <c r="P418" s="291"/>
      <c r="Q418" s="265"/>
      <c r="R418" s="265"/>
      <c r="S418" s="265"/>
      <c r="T418" s="265"/>
      <c r="U418" s="267"/>
    </row>
    <row r="419" spans="1:24" ht="27.75" customHeight="1">
      <c r="A419" s="204" t="str">
        <f>IF(ISBLANK(D419)," ",417-COUNTBLANK($D$5:D419))</f>
        <v xml:space="preserve"> </v>
      </c>
      <c r="B419" s="202"/>
      <c r="C419" s="202"/>
      <c r="D419" s="202"/>
      <c r="E419" s="300"/>
      <c r="F419" s="210"/>
      <c r="G419" s="210"/>
      <c r="H419" s="203"/>
      <c r="I419" s="203"/>
      <c r="J419" s="203"/>
      <c r="K419" s="203"/>
      <c r="L419" s="203"/>
      <c r="M419" s="203"/>
      <c r="N419" s="203"/>
      <c r="O419" s="205"/>
      <c r="P419" s="291"/>
      <c r="Q419" s="265"/>
      <c r="R419" s="265"/>
      <c r="S419" s="265"/>
      <c r="T419" s="265"/>
      <c r="U419" s="267"/>
    </row>
    <row r="420" spans="1:24" ht="27.75" customHeight="1">
      <c r="A420" s="204" t="str">
        <f>IF(ISBLANK(D420)," ",418-COUNTBLANK($D$5:D420))</f>
        <v xml:space="preserve"> </v>
      </c>
      <c r="B420" s="202"/>
      <c r="C420" s="202"/>
      <c r="D420" s="202"/>
      <c r="E420" s="300"/>
      <c r="F420" s="210"/>
      <c r="G420" s="210"/>
      <c r="H420" s="203"/>
      <c r="I420" s="203"/>
      <c r="J420" s="203"/>
      <c r="K420" s="203"/>
      <c r="L420" s="203"/>
      <c r="M420" s="203"/>
      <c r="N420" s="203"/>
      <c r="O420" s="205"/>
      <c r="P420" s="291"/>
      <c r="Q420" s="265"/>
      <c r="R420" s="265"/>
      <c r="S420" s="265"/>
      <c r="T420" s="265"/>
      <c r="U420" s="267"/>
    </row>
    <row r="421" spans="1:24" ht="27.75" customHeight="1">
      <c r="A421" s="304" t="str">
        <f>IF(ISBLANK(D421)," ",419-COUNTBLANK($D$5:D421))</f>
        <v xml:space="preserve"> </v>
      </c>
      <c r="B421" s="296"/>
      <c r="C421" s="305"/>
      <c r="D421" s="306"/>
      <c r="E421" s="297"/>
      <c r="F421" s="298"/>
      <c r="G421" s="298"/>
      <c r="H421" s="282"/>
      <c r="I421" s="282"/>
      <c r="J421" s="282"/>
      <c r="K421" s="282"/>
      <c r="L421" s="282"/>
      <c r="M421" s="282"/>
      <c r="N421" s="282"/>
      <c r="O421" s="283"/>
      <c r="P421" s="303"/>
      <c r="Q421" s="265"/>
      <c r="R421" s="265"/>
      <c r="S421" s="265"/>
      <c r="T421" s="265"/>
      <c r="U421" s="284"/>
      <c r="V421" s="265"/>
      <c r="W421" s="265"/>
      <c r="X421" s="265"/>
    </row>
    <row r="422" spans="1:24" ht="27.75" customHeight="1">
      <c r="A422" s="260" t="s">
        <v>52</v>
      </c>
      <c r="B422" s="200"/>
      <c r="C422" s="200"/>
      <c r="D422" s="200"/>
      <c r="E422" s="299"/>
      <c r="F422" s="209">
        <f>SUM(F402:F421)</f>
        <v>0</v>
      </c>
      <c r="G422" s="209"/>
      <c r="H422" s="201"/>
      <c r="I422" s="201"/>
      <c r="J422" s="201"/>
      <c r="K422" s="201"/>
      <c r="L422" s="201"/>
      <c r="M422" s="201"/>
      <c r="N422" s="201"/>
      <c r="O422" s="262"/>
      <c r="P422" s="291"/>
      <c r="Q422" s="265"/>
      <c r="R422" s="265"/>
      <c r="S422" s="265"/>
      <c r="T422" s="265"/>
      <c r="U422" s="284"/>
      <c r="V422" s="265"/>
      <c r="W422" s="265"/>
      <c r="X422" s="265"/>
    </row>
    <row r="423" spans="1:24" ht="27.75" customHeight="1">
      <c r="A423" s="204" t="str">
        <f>IF(ISBLANK(D423)," ",421-COUNTBLANK($D$5:D423))</f>
        <v xml:space="preserve"> </v>
      </c>
      <c r="B423" s="202"/>
      <c r="C423" s="202"/>
      <c r="D423" s="202"/>
      <c r="E423" s="300"/>
      <c r="F423" s="210"/>
      <c r="G423" s="210"/>
      <c r="H423" s="203"/>
      <c r="I423" s="203"/>
      <c r="J423" s="203"/>
      <c r="K423" s="203"/>
      <c r="L423" s="203"/>
      <c r="M423" s="203"/>
      <c r="N423" s="203"/>
      <c r="O423" s="205"/>
      <c r="P423" s="291"/>
      <c r="Q423" s="265"/>
      <c r="R423" s="265"/>
      <c r="S423" s="265"/>
      <c r="T423" s="265"/>
      <c r="U423" s="265"/>
    </row>
    <row r="424" spans="1:24" ht="27.75" customHeight="1">
      <c r="A424" s="204" t="str">
        <f>IF(ISBLANK(D424)," ",422-COUNTBLANK($D$5:D424))</f>
        <v xml:space="preserve"> </v>
      </c>
      <c r="B424" s="202"/>
      <c r="C424" s="202"/>
      <c r="D424" s="202"/>
      <c r="E424" s="300"/>
      <c r="F424" s="210"/>
      <c r="G424" s="210"/>
      <c r="H424" s="203"/>
      <c r="I424" s="203"/>
      <c r="J424" s="203"/>
      <c r="K424" s="203"/>
      <c r="L424" s="203"/>
      <c r="M424" s="203"/>
      <c r="N424" s="203"/>
      <c r="O424" s="205"/>
      <c r="P424" s="291"/>
      <c r="Q424" s="265"/>
      <c r="R424" s="265"/>
      <c r="S424" s="265"/>
      <c r="T424" s="265"/>
      <c r="U424" s="265"/>
    </row>
    <row r="425" spans="1:24" ht="27.75" customHeight="1">
      <c r="A425" s="204" t="str">
        <f>IF(ISBLANK(D425)," ",423-COUNTBLANK($D$5:D425))</f>
        <v xml:space="preserve"> </v>
      </c>
      <c r="B425" s="202"/>
      <c r="C425" s="202"/>
      <c r="D425" s="202"/>
      <c r="E425" s="300"/>
      <c r="F425" s="210"/>
      <c r="G425" s="210"/>
      <c r="H425" s="203"/>
      <c r="I425" s="203"/>
      <c r="J425" s="203"/>
      <c r="K425" s="203"/>
      <c r="L425" s="203"/>
      <c r="M425" s="203"/>
      <c r="N425" s="203"/>
      <c r="O425" s="205"/>
      <c r="P425" s="291"/>
      <c r="Q425" s="265"/>
      <c r="R425" s="265"/>
      <c r="S425" s="265"/>
      <c r="T425" s="265"/>
      <c r="U425" s="265"/>
    </row>
    <row r="426" spans="1:24" ht="27.75" customHeight="1">
      <c r="A426" s="204" t="str">
        <f>IF(ISBLANK(D426)," ",424-COUNTBLANK($D$5:D426))</f>
        <v xml:space="preserve"> </v>
      </c>
      <c r="B426" s="202"/>
      <c r="C426" s="202"/>
      <c r="D426" s="202"/>
      <c r="E426" s="300"/>
      <c r="F426" s="210"/>
      <c r="G426" s="210"/>
      <c r="H426" s="203"/>
      <c r="I426" s="203"/>
      <c r="J426" s="203"/>
      <c r="K426" s="203"/>
      <c r="L426" s="203"/>
      <c r="M426" s="203"/>
      <c r="N426" s="203"/>
      <c r="O426" s="205"/>
      <c r="P426" s="291"/>
      <c r="Q426" s="265"/>
      <c r="R426" s="265"/>
      <c r="S426" s="265"/>
      <c r="T426" s="265"/>
      <c r="U426" s="265"/>
    </row>
    <row r="427" spans="1:24" ht="27.75" customHeight="1">
      <c r="A427" s="204" t="str">
        <f>IF(ISBLANK(D427)," ",425-COUNTBLANK($D$5:D427))</f>
        <v xml:space="preserve"> </v>
      </c>
      <c r="B427" s="202"/>
      <c r="C427" s="202"/>
      <c r="D427" s="202"/>
      <c r="E427" s="300"/>
      <c r="F427" s="210"/>
      <c r="G427" s="210"/>
      <c r="H427" s="203"/>
      <c r="I427" s="203"/>
      <c r="J427" s="203"/>
      <c r="K427" s="203"/>
      <c r="L427" s="203"/>
      <c r="M427" s="203"/>
      <c r="N427" s="203"/>
      <c r="O427" s="205"/>
      <c r="P427" s="291"/>
      <c r="Q427" s="265"/>
      <c r="R427" s="265"/>
      <c r="S427" s="265"/>
      <c r="T427" s="265"/>
      <c r="U427" s="265"/>
    </row>
    <row r="428" spans="1:24" ht="27.75" customHeight="1">
      <c r="A428" s="204" t="str">
        <f>IF(ISBLANK(D428)," ",426-COUNTBLANK($D$5:D428))</f>
        <v xml:space="preserve"> </v>
      </c>
      <c r="B428" s="202"/>
      <c r="C428" s="202"/>
      <c r="D428" s="202"/>
      <c r="E428" s="300"/>
      <c r="F428" s="210"/>
      <c r="G428" s="210"/>
      <c r="H428" s="203"/>
      <c r="I428" s="203"/>
      <c r="J428" s="203"/>
      <c r="K428" s="203"/>
      <c r="L428" s="203"/>
      <c r="M428" s="203"/>
      <c r="N428" s="203"/>
      <c r="O428" s="205"/>
      <c r="P428" s="291"/>
      <c r="Q428" s="265"/>
      <c r="R428" s="265"/>
      <c r="S428" s="265"/>
      <c r="T428" s="265"/>
      <c r="U428" s="265"/>
    </row>
    <row r="429" spans="1:24" ht="27.75" customHeight="1">
      <c r="A429" s="204" t="str">
        <f>IF(ISBLANK(D429)," ",427-COUNTBLANK($D$5:D429))</f>
        <v xml:space="preserve"> </v>
      </c>
      <c r="B429" s="202"/>
      <c r="C429" s="202"/>
      <c r="D429" s="202"/>
      <c r="E429" s="300"/>
      <c r="F429" s="210"/>
      <c r="G429" s="210"/>
      <c r="H429" s="203"/>
      <c r="I429" s="203"/>
      <c r="J429" s="203"/>
      <c r="K429" s="203"/>
      <c r="L429" s="203"/>
      <c r="M429" s="203"/>
      <c r="N429" s="203"/>
      <c r="O429" s="205"/>
      <c r="P429" s="291"/>
      <c r="Q429" s="265"/>
      <c r="R429" s="265"/>
      <c r="S429" s="265"/>
      <c r="T429" s="265"/>
      <c r="U429" s="265"/>
    </row>
    <row r="430" spans="1:24" ht="27.75" customHeight="1">
      <c r="A430" s="204" t="str">
        <f>IF(ISBLANK(D430)," ",428-COUNTBLANK($D$5:D430))</f>
        <v xml:space="preserve"> </v>
      </c>
      <c r="B430" s="202"/>
      <c r="C430" s="202"/>
      <c r="D430" s="202"/>
      <c r="E430" s="300"/>
      <c r="F430" s="210"/>
      <c r="G430" s="210"/>
      <c r="H430" s="203"/>
      <c r="I430" s="203"/>
      <c r="J430" s="203"/>
      <c r="K430" s="203"/>
      <c r="L430" s="203"/>
      <c r="M430" s="203"/>
      <c r="N430" s="203"/>
      <c r="O430" s="205"/>
      <c r="P430" s="291"/>
      <c r="Q430" s="265"/>
      <c r="R430" s="265"/>
      <c r="S430" s="265"/>
      <c r="T430" s="265"/>
      <c r="U430" s="265"/>
    </row>
    <row r="431" spans="1:24" ht="27.75" customHeight="1">
      <c r="A431" s="204" t="str">
        <f>IF(ISBLANK(D431)," ",429-COUNTBLANK($D$5:D431))</f>
        <v xml:space="preserve"> </v>
      </c>
      <c r="B431" s="202"/>
      <c r="C431" s="202"/>
      <c r="D431" s="202"/>
      <c r="E431" s="300"/>
      <c r="F431" s="210"/>
      <c r="G431" s="210"/>
      <c r="H431" s="203"/>
      <c r="I431" s="203"/>
      <c r="J431" s="203"/>
      <c r="K431" s="203"/>
      <c r="L431" s="203"/>
      <c r="M431" s="203"/>
      <c r="N431" s="203"/>
      <c r="O431" s="205"/>
      <c r="P431" s="291"/>
      <c r="Q431" s="265"/>
      <c r="R431" s="265"/>
      <c r="S431" s="265"/>
      <c r="T431" s="265"/>
      <c r="U431" s="265"/>
    </row>
    <row r="432" spans="1:24" ht="27.75" customHeight="1">
      <c r="A432" s="204" t="str">
        <f>IF(ISBLANK(D432)," ",430-COUNTBLANK($D$5:D432))</f>
        <v xml:space="preserve"> </v>
      </c>
      <c r="B432" s="202"/>
      <c r="C432" s="202"/>
      <c r="D432" s="202"/>
      <c r="E432" s="300"/>
      <c r="F432" s="210"/>
      <c r="G432" s="210"/>
      <c r="H432" s="203"/>
      <c r="I432" s="203"/>
      <c r="J432" s="203"/>
      <c r="K432" s="203"/>
      <c r="L432" s="203"/>
      <c r="M432" s="203"/>
      <c r="N432" s="203"/>
      <c r="O432" s="205"/>
      <c r="P432" s="291"/>
      <c r="Q432" s="265"/>
      <c r="R432" s="265"/>
      <c r="S432" s="265"/>
      <c r="T432" s="265"/>
      <c r="U432" s="265"/>
    </row>
    <row r="433" spans="1:24" ht="27.75" customHeight="1">
      <c r="A433" s="204" t="str">
        <f>IF(ISBLANK(D433)," ",431-COUNTBLANK($D$5:D433))</f>
        <v xml:space="preserve"> </v>
      </c>
      <c r="B433" s="202"/>
      <c r="C433" s="202"/>
      <c r="D433" s="202"/>
      <c r="E433" s="300"/>
      <c r="F433" s="210"/>
      <c r="G433" s="210"/>
      <c r="H433" s="203"/>
      <c r="I433" s="203"/>
      <c r="J433" s="203"/>
      <c r="K433" s="203"/>
      <c r="L433" s="203"/>
      <c r="M433" s="203"/>
      <c r="N433" s="203"/>
      <c r="O433" s="205"/>
      <c r="P433" s="291"/>
      <c r="Q433" s="265"/>
      <c r="R433" s="265"/>
      <c r="S433" s="265"/>
      <c r="T433" s="265"/>
      <c r="U433" s="265"/>
    </row>
    <row r="434" spans="1:24" ht="27.75" customHeight="1">
      <c r="A434" s="204" t="str">
        <f>IF(ISBLANK(D434)," ",432-COUNTBLANK($D$5:D434))</f>
        <v xml:space="preserve"> </v>
      </c>
      <c r="B434" s="202"/>
      <c r="C434" s="202"/>
      <c r="D434" s="202"/>
      <c r="E434" s="300"/>
      <c r="F434" s="210"/>
      <c r="G434" s="210"/>
      <c r="H434" s="203"/>
      <c r="I434" s="203"/>
      <c r="J434" s="203"/>
      <c r="K434" s="203"/>
      <c r="L434" s="203"/>
      <c r="M434" s="203"/>
      <c r="N434" s="203"/>
      <c r="O434" s="205"/>
      <c r="P434" s="291"/>
      <c r="Q434" s="265"/>
      <c r="R434" s="265"/>
      <c r="S434" s="265"/>
      <c r="T434" s="265"/>
      <c r="U434" s="265"/>
    </row>
    <row r="435" spans="1:24" ht="27.75" customHeight="1">
      <c r="A435" s="204" t="str">
        <f>IF(ISBLANK(D435)," ",433-COUNTBLANK($D$5:D435))</f>
        <v xml:space="preserve"> </v>
      </c>
      <c r="B435" s="202"/>
      <c r="C435" s="202"/>
      <c r="D435" s="202"/>
      <c r="E435" s="300"/>
      <c r="F435" s="210"/>
      <c r="G435" s="210"/>
      <c r="H435" s="203"/>
      <c r="I435" s="203"/>
      <c r="J435" s="203"/>
      <c r="K435" s="203"/>
      <c r="L435" s="203"/>
      <c r="M435" s="203"/>
      <c r="N435" s="203"/>
      <c r="O435" s="205"/>
      <c r="P435" s="291"/>
      <c r="Q435" s="265"/>
      <c r="R435" s="265"/>
      <c r="S435" s="265"/>
      <c r="T435" s="265"/>
      <c r="U435" s="265"/>
    </row>
    <row r="436" spans="1:24" ht="27.75" customHeight="1">
      <c r="A436" s="204" t="str">
        <f>IF(ISBLANK(D436)," ",434-COUNTBLANK($D$5:D436))</f>
        <v xml:space="preserve"> </v>
      </c>
      <c r="B436" s="202"/>
      <c r="C436" s="202"/>
      <c r="D436" s="202"/>
      <c r="E436" s="300"/>
      <c r="F436" s="210"/>
      <c r="G436" s="210"/>
      <c r="H436" s="203"/>
      <c r="I436" s="203"/>
      <c r="J436" s="203"/>
      <c r="K436" s="203"/>
      <c r="L436" s="203"/>
      <c r="M436" s="203"/>
      <c r="N436" s="203"/>
      <c r="O436" s="205"/>
      <c r="P436" s="291"/>
      <c r="Q436" s="265"/>
      <c r="R436" s="265"/>
      <c r="S436" s="265"/>
      <c r="T436" s="265"/>
      <c r="U436" s="265"/>
    </row>
    <row r="437" spans="1:24" ht="27.75" customHeight="1">
      <c r="A437" s="204" t="str">
        <f>IF(ISBLANK(D437)," ",435-COUNTBLANK($D$5:D437))</f>
        <v xml:space="preserve"> </v>
      </c>
      <c r="B437" s="202"/>
      <c r="C437" s="202"/>
      <c r="D437" s="202"/>
      <c r="E437" s="300"/>
      <c r="F437" s="210"/>
      <c r="G437" s="210"/>
      <c r="H437" s="203"/>
      <c r="I437" s="203"/>
      <c r="J437" s="203"/>
      <c r="K437" s="203"/>
      <c r="L437" s="203"/>
      <c r="M437" s="203"/>
      <c r="N437" s="203"/>
      <c r="O437" s="205"/>
      <c r="P437" s="291"/>
      <c r="Q437" s="265"/>
      <c r="R437" s="265"/>
      <c r="S437" s="265"/>
      <c r="T437" s="265"/>
      <c r="U437" s="265"/>
    </row>
    <row r="438" spans="1:24" ht="27.75" customHeight="1">
      <c r="A438" s="204" t="str">
        <f>IF(ISBLANK(D438)," ",436-COUNTBLANK($D$5:D438))</f>
        <v xml:space="preserve"> </v>
      </c>
      <c r="B438" s="202"/>
      <c r="C438" s="202"/>
      <c r="D438" s="202"/>
      <c r="E438" s="300"/>
      <c r="F438" s="210"/>
      <c r="G438" s="210"/>
      <c r="H438" s="203"/>
      <c r="I438" s="203"/>
      <c r="J438" s="203"/>
      <c r="K438" s="203"/>
      <c r="L438" s="203"/>
      <c r="M438" s="203"/>
      <c r="N438" s="203"/>
      <c r="O438" s="205"/>
      <c r="P438" s="291"/>
      <c r="Q438" s="265"/>
      <c r="R438" s="265"/>
      <c r="S438" s="265"/>
      <c r="T438" s="265"/>
      <c r="U438" s="267"/>
    </row>
    <row r="439" spans="1:24" ht="27.75" customHeight="1">
      <c r="A439" s="204" t="str">
        <f>IF(ISBLANK(D439)," ",437-COUNTBLANK($D$5:D439))</f>
        <v xml:space="preserve"> </v>
      </c>
      <c r="B439" s="202"/>
      <c r="C439" s="202"/>
      <c r="D439" s="202"/>
      <c r="E439" s="300"/>
      <c r="F439" s="210"/>
      <c r="G439" s="210"/>
      <c r="H439" s="203"/>
      <c r="I439" s="203"/>
      <c r="J439" s="203"/>
      <c r="K439" s="203"/>
      <c r="L439" s="203"/>
      <c r="M439" s="203"/>
      <c r="N439" s="203"/>
      <c r="O439" s="205"/>
      <c r="P439" s="291"/>
      <c r="Q439" s="265"/>
      <c r="R439" s="265"/>
      <c r="S439" s="265"/>
      <c r="T439" s="265"/>
      <c r="U439" s="267"/>
    </row>
    <row r="440" spans="1:24" ht="27.75" customHeight="1">
      <c r="A440" s="204" t="str">
        <f>IF(ISBLANK(D440)," ",438-COUNTBLANK($D$5:D440))</f>
        <v xml:space="preserve"> </v>
      </c>
      <c r="B440" s="202"/>
      <c r="C440" s="202"/>
      <c r="D440" s="202"/>
      <c r="E440" s="300"/>
      <c r="F440" s="210"/>
      <c r="G440" s="210"/>
      <c r="H440" s="203"/>
      <c r="I440" s="203"/>
      <c r="J440" s="203"/>
      <c r="K440" s="203"/>
      <c r="L440" s="203"/>
      <c r="M440" s="203"/>
      <c r="N440" s="203"/>
      <c r="O440" s="205"/>
      <c r="P440" s="291"/>
      <c r="Q440" s="265"/>
      <c r="R440" s="265"/>
      <c r="S440" s="265"/>
      <c r="T440" s="265"/>
      <c r="U440" s="267"/>
    </row>
    <row r="441" spans="1:24" ht="27.75" customHeight="1">
      <c r="A441" s="204" t="str">
        <f>IF(ISBLANK(D441)," ",439-COUNTBLANK($D$5:D441))</f>
        <v xml:space="preserve"> </v>
      </c>
      <c r="B441" s="202"/>
      <c r="C441" s="202"/>
      <c r="D441" s="202"/>
      <c r="E441" s="300"/>
      <c r="F441" s="210"/>
      <c r="G441" s="210"/>
      <c r="H441" s="203"/>
      <c r="I441" s="203"/>
      <c r="J441" s="203"/>
      <c r="K441" s="203"/>
      <c r="L441" s="203"/>
      <c r="M441" s="203"/>
      <c r="N441" s="203"/>
      <c r="O441" s="205"/>
      <c r="P441" s="291"/>
      <c r="Q441" s="265"/>
      <c r="R441" s="265"/>
      <c r="S441" s="265"/>
      <c r="T441" s="265"/>
      <c r="U441" s="267"/>
    </row>
    <row r="442" spans="1:24" ht="27.75" customHeight="1">
      <c r="A442" s="304" t="str">
        <f>IF(ISBLANK(D442)," ",440-COUNTBLANK($D$5:D442))</f>
        <v xml:space="preserve"> </v>
      </c>
      <c r="B442" s="296"/>
      <c r="C442" s="305"/>
      <c r="D442" s="306"/>
      <c r="E442" s="297"/>
      <c r="F442" s="298"/>
      <c r="G442" s="298"/>
      <c r="H442" s="282"/>
      <c r="I442" s="282"/>
      <c r="J442" s="282"/>
      <c r="K442" s="282"/>
      <c r="L442" s="282"/>
      <c r="M442" s="282"/>
      <c r="N442" s="282"/>
      <c r="O442" s="283"/>
      <c r="P442" s="303"/>
      <c r="Q442" s="265"/>
      <c r="R442" s="265"/>
      <c r="S442" s="265"/>
      <c r="T442" s="265"/>
      <c r="U442" s="284"/>
      <c r="V442" s="265"/>
      <c r="W442" s="265"/>
      <c r="X442" s="265"/>
    </row>
    <row r="443" spans="1:24" ht="27.75" customHeight="1">
      <c r="A443" s="260" t="s">
        <v>52</v>
      </c>
      <c r="B443" s="200"/>
      <c r="C443" s="200"/>
      <c r="D443" s="200"/>
      <c r="E443" s="299"/>
      <c r="F443" s="209">
        <f>SUM(F423:F442)</f>
        <v>0</v>
      </c>
      <c r="G443" s="209"/>
      <c r="H443" s="201"/>
      <c r="I443" s="201"/>
      <c r="J443" s="201"/>
      <c r="K443" s="201"/>
      <c r="L443" s="201"/>
      <c r="M443" s="201"/>
      <c r="N443" s="201"/>
      <c r="O443" s="262"/>
      <c r="P443" s="291"/>
      <c r="Q443" s="265"/>
      <c r="R443" s="265"/>
      <c r="S443" s="265"/>
      <c r="T443" s="265"/>
      <c r="U443" s="284"/>
      <c r="V443" s="265"/>
      <c r="W443" s="265"/>
      <c r="X443" s="265"/>
    </row>
    <row r="444" spans="1:24" ht="27.75" customHeight="1">
      <c r="A444" s="204" t="str">
        <f>IF(ISBLANK(D444)," ",442-COUNTBLANK($D$5:D444))</f>
        <v xml:space="preserve"> </v>
      </c>
      <c r="B444" s="202"/>
      <c r="C444" s="202"/>
      <c r="D444" s="202"/>
      <c r="E444" s="300"/>
      <c r="F444" s="210"/>
      <c r="G444" s="210"/>
      <c r="H444" s="203"/>
      <c r="I444" s="203"/>
      <c r="J444" s="203"/>
      <c r="K444" s="203"/>
      <c r="L444" s="203"/>
      <c r="M444" s="203"/>
      <c r="N444" s="203"/>
      <c r="O444" s="205"/>
      <c r="P444" s="291"/>
      <c r="Q444" s="265"/>
      <c r="R444" s="265"/>
      <c r="S444" s="265"/>
      <c r="T444" s="265"/>
      <c r="U444" s="265"/>
    </row>
    <row r="445" spans="1:24" ht="27.75" customHeight="1">
      <c r="A445" s="204" t="str">
        <f>IF(ISBLANK(D445)," ",443-COUNTBLANK($D$5:D445))</f>
        <v xml:space="preserve"> </v>
      </c>
      <c r="B445" s="202"/>
      <c r="C445" s="202"/>
      <c r="D445" s="202"/>
      <c r="E445" s="300"/>
      <c r="F445" s="210"/>
      <c r="G445" s="210"/>
      <c r="H445" s="203"/>
      <c r="I445" s="203"/>
      <c r="J445" s="203"/>
      <c r="K445" s="203"/>
      <c r="L445" s="203"/>
      <c r="M445" s="203"/>
      <c r="N445" s="203"/>
      <c r="O445" s="205"/>
      <c r="P445" s="291"/>
      <c r="Q445" s="265"/>
      <c r="R445" s="265"/>
      <c r="S445" s="265"/>
      <c r="T445" s="265"/>
      <c r="U445" s="265"/>
    </row>
    <row r="446" spans="1:24" ht="27.75" customHeight="1">
      <c r="A446" s="204" t="str">
        <f>IF(ISBLANK(D446)," ",444-COUNTBLANK($D$5:D446))</f>
        <v xml:space="preserve"> </v>
      </c>
      <c r="B446" s="202"/>
      <c r="C446" s="202"/>
      <c r="D446" s="202"/>
      <c r="E446" s="300"/>
      <c r="F446" s="210"/>
      <c r="G446" s="210"/>
      <c r="H446" s="203"/>
      <c r="I446" s="203"/>
      <c r="J446" s="203"/>
      <c r="K446" s="203"/>
      <c r="L446" s="203"/>
      <c r="M446" s="203"/>
      <c r="N446" s="203"/>
      <c r="O446" s="205"/>
      <c r="P446" s="291"/>
      <c r="Q446" s="265"/>
      <c r="R446" s="265"/>
      <c r="S446" s="265"/>
      <c r="T446" s="265"/>
      <c r="U446" s="265"/>
    </row>
    <row r="447" spans="1:24" ht="27.75" customHeight="1">
      <c r="A447" s="204" t="str">
        <f>IF(ISBLANK(D447)," ",445-COUNTBLANK($D$5:D447))</f>
        <v xml:space="preserve"> </v>
      </c>
      <c r="B447" s="202"/>
      <c r="C447" s="202"/>
      <c r="D447" s="202"/>
      <c r="E447" s="300"/>
      <c r="F447" s="210"/>
      <c r="G447" s="210"/>
      <c r="H447" s="203"/>
      <c r="I447" s="203"/>
      <c r="J447" s="203"/>
      <c r="K447" s="203"/>
      <c r="L447" s="203"/>
      <c r="M447" s="203"/>
      <c r="N447" s="203"/>
      <c r="O447" s="205"/>
      <c r="P447" s="291"/>
      <c r="Q447" s="265"/>
      <c r="R447" s="265"/>
      <c r="S447" s="265"/>
      <c r="T447" s="265"/>
      <c r="U447" s="265"/>
    </row>
    <row r="448" spans="1:24" ht="27.75" customHeight="1">
      <c r="A448" s="204" t="str">
        <f>IF(ISBLANK(D448)," ",446-COUNTBLANK($D$5:D448))</f>
        <v xml:space="preserve"> </v>
      </c>
      <c r="B448" s="202"/>
      <c r="C448" s="202"/>
      <c r="D448" s="202"/>
      <c r="E448" s="300"/>
      <c r="F448" s="210"/>
      <c r="G448" s="210"/>
      <c r="H448" s="203"/>
      <c r="I448" s="203"/>
      <c r="J448" s="203"/>
      <c r="K448" s="203"/>
      <c r="L448" s="203"/>
      <c r="M448" s="203"/>
      <c r="N448" s="203"/>
      <c r="O448" s="205"/>
      <c r="P448" s="291"/>
      <c r="Q448" s="265"/>
      <c r="R448" s="265"/>
      <c r="S448" s="265"/>
      <c r="T448" s="265"/>
      <c r="U448" s="265"/>
    </row>
    <row r="449" spans="1:24" ht="27.75" customHeight="1">
      <c r="A449" s="204" t="str">
        <f>IF(ISBLANK(D449)," ",447-COUNTBLANK($D$5:D449))</f>
        <v xml:space="preserve"> </v>
      </c>
      <c r="B449" s="202"/>
      <c r="C449" s="202"/>
      <c r="D449" s="202"/>
      <c r="E449" s="300"/>
      <c r="F449" s="210"/>
      <c r="G449" s="210"/>
      <c r="H449" s="203"/>
      <c r="I449" s="203"/>
      <c r="J449" s="203"/>
      <c r="K449" s="203"/>
      <c r="L449" s="203"/>
      <c r="M449" s="203"/>
      <c r="N449" s="203"/>
      <c r="O449" s="205"/>
      <c r="P449" s="291"/>
      <c r="Q449" s="265"/>
      <c r="R449" s="265"/>
      <c r="S449" s="265"/>
      <c r="T449" s="265"/>
      <c r="U449" s="265"/>
    </row>
    <row r="450" spans="1:24" ht="27.75" customHeight="1">
      <c r="A450" s="204" t="str">
        <f>IF(ISBLANK(D450)," ",448-COUNTBLANK($D$5:D450))</f>
        <v xml:space="preserve"> </v>
      </c>
      <c r="B450" s="202"/>
      <c r="C450" s="202"/>
      <c r="D450" s="202"/>
      <c r="E450" s="300"/>
      <c r="F450" s="210"/>
      <c r="G450" s="210"/>
      <c r="H450" s="203"/>
      <c r="I450" s="203"/>
      <c r="J450" s="203"/>
      <c r="K450" s="203"/>
      <c r="L450" s="203"/>
      <c r="M450" s="203"/>
      <c r="N450" s="203"/>
      <c r="O450" s="205"/>
      <c r="P450" s="291"/>
      <c r="Q450" s="265"/>
      <c r="R450" s="265"/>
      <c r="S450" s="265"/>
      <c r="T450" s="265"/>
      <c r="U450" s="265"/>
    </row>
    <row r="451" spans="1:24" ht="27.75" customHeight="1">
      <c r="A451" s="204" t="str">
        <f>IF(ISBLANK(D451)," ",449-COUNTBLANK($D$5:D451))</f>
        <v xml:space="preserve"> </v>
      </c>
      <c r="B451" s="202"/>
      <c r="C451" s="202"/>
      <c r="D451" s="202"/>
      <c r="E451" s="300"/>
      <c r="F451" s="210"/>
      <c r="G451" s="210"/>
      <c r="H451" s="203"/>
      <c r="I451" s="203"/>
      <c r="J451" s="203"/>
      <c r="K451" s="203"/>
      <c r="L451" s="203"/>
      <c r="M451" s="203"/>
      <c r="N451" s="203"/>
      <c r="O451" s="205"/>
      <c r="P451" s="291"/>
      <c r="Q451" s="265"/>
      <c r="R451" s="265"/>
      <c r="S451" s="265"/>
      <c r="T451" s="265"/>
      <c r="U451" s="265"/>
    </row>
    <row r="452" spans="1:24" ht="27.75" customHeight="1">
      <c r="A452" s="204" t="str">
        <f>IF(ISBLANK(D452)," ",450-COUNTBLANK($D$5:D452))</f>
        <v xml:space="preserve"> </v>
      </c>
      <c r="B452" s="202"/>
      <c r="C452" s="202"/>
      <c r="D452" s="202"/>
      <c r="E452" s="300"/>
      <c r="F452" s="210"/>
      <c r="G452" s="210"/>
      <c r="H452" s="203"/>
      <c r="I452" s="203"/>
      <c r="J452" s="203"/>
      <c r="K452" s="203"/>
      <c r="L452" s="203"/>
      <c r="M452" s="203"/>
      <c r="N452" s="203"/>
      <c r="O452" s="205"/>
      <c r="P452" s="291"/>
      <c r="Q452" s="265"/>
      <c r="R452" s="265"/>
      <c r="S452" s="265"/>
      <c r="T452" s="265"/>
      <c r="U452" s="265"/>
    </row>
    <row r="453" spans="1:24" ht="27.75" customHeight="1">
      <c r="A453" s="204" t="str">
        <f>IF(ISBLANK(D453)," ",451-COUNTBLANK($D$5:D453))</f>
        <v xml:space="preserve"> </v>
      </c>
      <c r="B453" s="202"/>
      <c r="C453" s="202"/>
      <c r="D453" s="202"/>
      <c r="E453" s="300"/>
      <c r="F453" s="210"/>
      <c r="G453" s="210"/>
      <c r="H453" s="203"/>
      <c r="I453" s="203"/>
      <c r="J453" s="203"/>
      <c r="K453" s="203"/>
      <c r="L453" s="203"/>
      <c r="M453" s="203"/>
      <c r="N453" s="203"/>
      <c r="O453" s="205"/>
      <c r="P453" s="291"/>
      <c r="Q453" s="265"/>
      <c r="R453" s="265"/>
      <c r="S453" s="265"/>
      <c r="T453" s="265"/>
      <c r="U453" s="265"/>
    </row>
    <row r="454" spans="1:24" ht="27.75" customHeight="1">
      <c r="A454" s="204" t="str">
        <f>IF(ISBLANK(D454)," ",452-COUNTBLANK($D$5:D454))</f>
        <v xml:space="preserve"> </v>
      </c>
      <c r="B454" s="202"/>
      <c r="C454" s="202"/>
      <c r="D454" s="202"/>
      <c r="E454" s="300"/>
      <c r="F454" s="210"/>
      <c r="G454" s="210"/>
      <c r="H454" s="203"/>
      <c r="I454" s="203"/>
      <c r="J454" s="203"/>
      <c r="K454" s="203"/>
      <c r="L454" s="203"/>
      <c r="M454" s="203"/>
      <c r="N454" s="203"/>
      <c r="O454" s="205"/>
      <c r="P454" s="291"/>
      <c r="Q454" s="265"/>
      <c r="R454" s="265"/>
      <c r="S454" s="265"/>
      <c r="T454" s="265"/>
      <c r="U454" s="265"/>
    </row>
    <row r="455" spans="1:24" ht="27.75" customHeight="1">
      <c r="A455" s="204" t="str">
        <f>IF(ISBLANK(D455)," ",453-COUNTBLANK($D$5:D455))</f>
        <v xml:space="preserve"> </v>
      </c>
      <c r="B455" s="202"/>
      <c r="C455" s="202"/>
      <c r="D455" s="202"/>
      <c r="E455" s="300"/>
      <c r="F455" s="210"/>
      <c r="G455" s="210"/>
      <c r="H455" s="203"/>
      <c r="I455" s="203"/>
      <c r="J455" s="203"/>
      <c r="K455" s="203"/>
      <c r="L455" s="203"/>
      <c r="M455" s="203"/>
      <c r="N455" s="203"/>
      <c r="O455" s="205"/>
      <c r="P455" s="291"/>
      <c r="Q455" s="265"/>
      <c r="R455" s="265"/>
      <c r="S455" s="265"/>
      <c r="T455" s="265"/>
      <c r="U455" s="265"/>
    </row>
    <row r="456" spans="1:24" ht="27.75" customHeight="1">
      <c r="A456" s="204" t="str">
        <f>IF(ISBLANK(D456)," ",454-COUNTBLANK($D$5:D456))</f>
        <v xml:space="preserve"> </v>
      </c>
      <c r="B456" s="202"/>
      <c r="C456" s="202"/>
      <c r="D456" s="202"/>
      <c r="E456" s="300"/>
      <c r="F456" s="210"/>
      <c r="G456" s="210"/>
      <c r="H456" s="203"/>
      <c r="I456" s="203"/>
      <c r="J456" s="203"/>
      <c r="K456" s="203"/>
      <c r="L456" s="203"/>
      <c r="M456" s="203"/>
      <c r="N456" s="203"/>
      <c r="O456" s="205"/>
      <c r="P456" s="291"/>
      <c r="Q456" s="265"/>
      <c r="R456" s="265"/>
      <c r="S456" s="265"/>
      <c r="T456" s="265"/>
      <c r="U456" s="265"/>
    </row>
    <row r="457" spans="1:24" ht="27.75" customHeight="1">
      <c r="A457" s="204" t="str">
        <f>IF(ISBLANK(D457)," ",455-COUNTBLANK($D$5:D457))</f>
        <v xml:space="preserve"> </v>
      </c>
      <c r="B457" s="202"/>
      <c r="C457" s="202"/>
      <c r="D457" s="202"/>
      <c r="E457" s="300"/>
      <c r="F457" s="210"/>
      <c r="G457" s="210"/>
      <c r="H457" s="203"/>
      <c r="I457" s="203"/>
      <c r="J457" s="203"/>
      <c r="K457" s="203"/>
      <c r="L457" s="203"/>
      <c r="M457" s="203"/>
      <c r="N457" s="203"/>
      <c r="O457" s="205"/>
      <c r="P457" s="291"/>
      <c r="Q457" s="265"/>
      <c r="R457" s="265"/>
      <c r="S457" s="265"/>
      <c r="T457" s="265"/>
      <c r="U457" s="265"/>
    </row>
    <row r="458" spans="1:24" ht="27.75" customHeight="1">
      <c r="A458" s="204" t="str">
        <f>IF(ISBLANK(D458)," ",456-COUNTBLANK($D$5:D458))</f>
        <v xml:space="preserve"> </v>
      </c>
      <c r="B458" s="202"/>
      <c r="C458" s="202"/>
      <c r="D458" s="202"/>
      <c r="E458" s="300"/>
      <c r="F458" s="210"/>
      <c r="G458" s="210"/>
      <c r="H458" s="203"/>
      <c r="I458" s="203"/>
      <c r="J458" s="203"/>
      <c r="K458" s="203"/>
      <c r="L458" s="203"/>
      <c r="M458" s="203"/>
      <c r="N458" s="203"/>
      <c r="O458" s="205"/>
      <c r="P458" s="291"/>
      <c r="Q458" s="265"/>
      <c r="R458" s="265"/>
      <c r="S458" s="265"/>
      <c r="T458" s="265"/>
      <c r="U458" s="265"/>
    </row>
    <row r="459" spans="1:24" ht="27.75" customHeight="1">
      <c r="A459" s="204" t="str">
        <f>IF(ISBLANK(D459)," ",457-COUNTBLANK($D$5:D459))</f>
        <v xml:space="preserve"> </v>
      </c>
      <c r="B459" s="202"/>
      <c r="C459" s="202"/>
      <c r="D459" s="202"/>
      <c r="E459" s="300"/>
      <c r="F459" s="210"/>
      <c r="G459" s="210"/>
      <c r="H459" s="203"/>
      <c r="I459" s="203"/>
      <c r="J459" s="203"/>
      <c r="K459" s="203"/>
      <c r="L459" s="203"/>
      <c r="M459" s="203"/>
      <c r="N459" s="203"/>
      <c r="O459" s="205"/>
      <c r="P459" s="291"/>
      <c r="Q459" s="265"/>
      <c r="R459" s="265"/>
      <c r="S459" s="265"/>
      <c r="T459" s="265"/>
      <c r="U459" s="267"/>
    </row>
    <row r="460" spans="1:24" ht="27.75" customHeight="1">
      <c r="A460" s="204" t="str">
        <f>IF(ISBLANK(D460)," ",458-COUNTBLANK($D$5:D460))</f>
        <v xml:space="preserve"> </v>
      </c>
      <c r="B460" s="202"/>
      <c r="C460" s="202"/>
      <c r="D460" s="202"/>
      <c r="E460" s="300"/>
      <c r="F460" s="210"/>
      <c r="G460" s="210"/>
      <c r="H460" s="203"/>
      <c r="I460" s="203"/>
      <c r="J460" s="203"/>
      <c r="K460" s="203"/>
      <c r="L460" s="203"/>
      <c r="M460" s="203"/>
      <c r="N460" s="203"/>
      <c r="O460" s="205"/>
      <c r="P460" s="291"/>
      <c r="Q460" s="265"/>
      <c r="R460" s="265"/>
      <c r="S460" s="265"/>
      <c r="T460" s="265"/>
      <c r="U460" s="267"/>
    </row>
    <row r="461" spans="1:24" ht="27.75" customHeight="1">
      <c r="A461" s="204" t="str">
        <f>IF(ISBLANK(D461)," ",459-COUNTBLANK($D$5:D461))</f>
        <v xml:space="preserve"> </v>
      </c>
      <c r="B461" s="202"/>
      <c r="C461" s="202"/>
      <c r="D461" s="202"/>
      <c r="E461" s="300"/>
      <c r="F461" s="210"/>
      <c r="G461" s="210"/>
      <c r="H461" s="203"/>
      <c r="I461" s="203"/>
      <c r="J461" s="203"/>
      <c r="K461" s="203"/>
      <c r="L461" s="203"/>
      <c r="M461" s="203"/>
      <c r="N461" s="203"/>
      <c r="O461" s="205"/>
      <c r="P461" s="291"/>
      <c r="Q461" s="265"/>
      <c r="R461" s="265"/>
      <c r="S461" s="265"/>
      <c r="T461" s="265"/>
      <c r="U461" s="267"/>
    </row>
    <row r="462" spans="1:24" ht="27.75" customHeight="1">
      <c r="A462" s="204" t="str">
        <f>IF(ISBLANK(D462)," ",460-COUNTBLANK($D$5:D462))</f>
        <v xml:space="preserve"> </v>
      </c>
      <c r="B462" s="202"/>
      <c r="C462" s="202"/>
      <c r="D462" s="202"/>
      <c r="E462" s="300"/>
      <c r="F462" s="210"/>
      <c r="G462" s="210"/>
      <c r="H462" s="203"/>
      <c r="I462" s="203"/>
      <c r="J462" s="203"/>
      <c r="K462" s="203"/>
      <c r="L462" s="203"/>
      <c r="M462" s="203"/>
      <c r="N462" s="203"/>
      <c r="O462" s="205"/>
      <c r="P462" s="291"/>
      <c r="Q462" s="265"/>
      <c r="R462" s="265"/>
      <c r="S462" s="265"/>
      <c r="T462" s="265"/>
      <c r="U462" s="267"/>
    </row>
    <row r="463" spans="1:24" ht="27.75" customHeight="1">
      <c r="A463" s="304" t="str">
        <f>IF(ISBLANK(D463)," ",461-COUNTBLANK($D$5:D463))</f>
        <v xml:space="preserve"> </v>
      </c>
      <c r="B463" s="296"/>
      <c r="C463" s="305"/>
      <c r="D463" s="306"/>
      <c r="E463" s="297"/>
      <c r="F463" s="298"/>
      <c r="G463" s="298"/>
      <c r="H463" s="282"/>
      <c r="I463" s="282"/>
      <c r="J463" s="282"/>
      <c r="K463" s="282"/>
      <c r="L463" s="282"/>
      <c r="M463" s="282"/>
      <c r="N463" s="282"/>
      <c r="O463" s="283"/>
      <c r="P463" s="303"/>
      <c r="Q463" s="265"/>
      <c r="R463" s="265"/>
      <c r="S463" s="265"/>
      <c r="T463" s="265"/>
      <c r="U463" s="284"/>
      <c r="V463" s="265"/>
      <c r="W463" s="265"/>
      <c r="X463" s="265"/>
    </row>
    <row r="464" spans="1:24" ht="27.75" customHeight="1">
      <c r="A464" s="260" t="s">
        <v>52</v>
      </c>
      <c r="B464" s="200"/>
      <c r="C464" s="200"/>
      <c r="D464" s="200"/>
      <c r="E464" s="299"/>
      <c r="F464" s="209">
        <f>SUM(F444:F463)</f>
        <v>0</v>
      </c>
      <c r="G464" s="209"/>
      <c r="H464" s="201"/>
      <c r="I464" s="201"/>
      <c r="J464" s="201"/>
      <c r="K464" s="201"/>
      <c r="L464" s="201"/>
      <c r="M464" s="201"/>
      <c r="N464" s="201"/>
      <c r="O464" s="262"/>
      <c r="P464" s="291"/>
      <c r="Q464" s="265"/>
      <c r="R464" s="265"/>
      <c r="S464" s="265"/>
      <c r="T464" s="265"/>
      <c r="U464" s="284"/>
      <c r="V464" s="265"/>
      <c r="W464" s="265"/>
      <c r="X464" s="265"/>
    </row>
    <row r="465" spans="1:21" ht="27.75" customHeight="1">
      <c r="A465" s="204" t="str">
        <f>IF(ISBLANK(D465)," ",463-COUNTBLANK($D$5:D465))</f>
        <v xml:space="preserve"> </v>
      </c>
      <c r="B465" s="202"/>
      <c r="C465" s="202"/>
      <c r="D465" s="202"/>
      <c r="E465" s="300"/>
      <c r="F465" s="210"/>
      <c r="G465" s="210"/>
      <c r="H465" s="203"/>
      <c r="I465" s="203"/>
      <c r="J465" s="203"/>
      <c r="K465" s="203"/>
      <c r="L465" s="203"/>
      <c r="M465" s="203"/>
      <c r="N465" s="203"/>
      <c r="O465" s="205"/>
      <c r="P465" s="291"/>
      <c r="Q465" s="265"/>
      <c r="R465" s="265"/>
      <c r="S465" s="265"/>
      <c r="T465" s="265"/>
      <c r="U465" s="265"/>
    </row>
    <row r="466" spans="1:21" ht="27.75" customHeight="1">
      <c r="A466" s="204" t="str">
        <f>IF(ISBLANK(D466)," ",464-COUNTBLANK($D$5:D466))</f>
        <v xml:space="preserve"> </v>
      </c>
      <c r="B466" s="202"/>
      <c r="C466" s="202"/>
      <c r="D466" s="202"/>
      <c r="E466" s="300"/>
      <c r="F466" s="210"/>
      <c r="G466" s="210"/>
      <c r="H466" s="203"/>
      <c r="I466" s="203"/>
      <c r="J466" s="203"/>
      <c r="K466" s="203"/>
      <c r="L466" s="203"/>
      <c r="M466" s="203"/>
      <c r="N466" s="203"/>
      <c r="O466" s="205"/>
      <c r="P466" s="291"/>
      <c r="Q466" s="265"/>
      <c r="R466" s="265"/>
      <c r="S466" s="265"/>
      <c r="T466" s="265"/>
      <c r="U466" s="265"/>
    </row>
    <row r="467" spans="1:21" ht="27.75" customHeight="1">
      <c r="A467" s="204" t="str">
        <f>IF(ISBLANK(D467)," ",465-COUNTBLANK($D$5:D467))</f>
        <v xml:space="preserve"> </v>
      </c>
      <c r="B467" s="202"/>
      <c r="C467" s="202"/>
      <c r="D467" s="202"/>
      <c r="E467" s="300"/>
      <c r="F467" s="210"/>
      <c r="G467" s="210"/>
      <c r="H467" s="203"/>
      <c r="I467" s="203"/>
      <c r="J467" s="203"/>
      <c r="K467" s="203"/>
      <c r="L467" s="203"/>
      <c r="M467" s="203"/>
      <c r="N467" s="203"/>
      <c r="O467" s="205"/>
      <c r="P467" s="291"/>
      <c r="Q467" s="265"/>
      <c r="R467" s="265"/>
      <c r="S467" s="265"/>
      <c r="T467" s="265"/>
      <c r="U467" s="265"/>
    </row>
    <row r="468" spans="1:21" ht="27.75" customHeight="1">
      <c r="A468" s="204" t="str">
        <f>IF(ISBLANK(D468)," ",466-COUNTBLANK($D$5:D468))</f>
        <v xml:space="preserve"> </v>
      </c>
      <c r="B468" s="202"/>
      <c r="C468" s="202"/>
      <c r="D468" s="202"/>
      <c r="E468" s="300"/>
      <c r="F468" s="210"/>
      <c r="G468" s="210"/>
      <c r="H468" s="203"/>
      <c r="I468" s="203"/>
      <c r="J468" s="203"/>
      <c r="K468" s="203"/>
      <c r="L468" s="203"/>
      <c r="M468" s="203"/>
      <c r="N468" s="203"/>
      <c r="O468" s="205"/>
      <c r="P468" s="291"/>
      <c r="Q468" s="265"/>
      <c r="R468" s="265"/>
      <c r="S468" s="265"/>
      <c r="T468" s="265"/>
      <c r="U468" s="265"/>
    </row>
    <row r="469" spans="1:21" ht="27.75" customHeight="1">
      <c r="A469" s="204" t="str">
        <f>IF(ISBLANK(D469)," ",467-COUNTBLANK($D$5:D469))</f>
        <v xml:space="preserve"> </v>
      </c>
      <c r="B469" s="202"/>
      <c r="C469" s="202"/>
      <c r="D469" s="202"/>
      <c r="E469" s="300"/>
      <c r="F469" s="210"/>
      <c r="G469" s="210"/>
      <c r="H469" s="203"/>
      <c r="I469" s="203"/>
      <c r="J469" s="203"/>
      <c r="K469" s="203"/>
      <c r="L469" s="203"/>
      <c r="M469" s="203"/>
      <c r="N469" s="203"/>
      <c r="O469" s="205"/>
      <c r="P469" s="291"/>
      <c r="Q469" s="265"/>
      <c r="R469" s="265"/>
      <c r="S469" s="265"/>
      <c r="T469" s="265"/>
      <c r="U469" s="265"/>
    </row>
    <row r="470" spans="1:21" ht="27.75" customHeight="1">
      <c r="A470" s="204" t="str">
        <f>IF(ISBLANK(D470)," ",468-COUNTBLANK($D$5:D470))</f>
        <v xml:space="preserve"> </v>
      </c>
      <c r="B470" s="202"/>
      <c r="C470" s="202"/>
      <c r="D470" s="202"/>
      <c r="E470" s="300"/>
      <c r="F470" s="210"/>
      <c r="G470" s="210"/>
      <c r="H470" s="203"/>
      <c r="I470" s="203"/>
      <c r="J470" s="203"/>
      <c r="K470" s="203"/>
      <c r="L470" s="203"/>
      <c r="M470" s="203"/>
      <c r="N470" s="203"/>
      <c r="O470" s="205"/>
      <c r="P470" s="291"/>
      <c r="Q470" s="265"/>
      <c r="R470" s="265"/>
      <c r="S470" s="265"/>
      <c r="T470" s="265"/>
      <c r="U470" s="265"/>
    </row>
    <row r="471" spans="1:21" ht="27.75" customHeight="1">
      <c r="A471" s="204" t="str">
        <f>IF(ISBLANK(D471)," ",469-COUNTBLANK($D$5:D471))</f>
        <v xml:space="preserve"> </v>
      </c>
      <c r="B471" s="202"/>
      <c r="C471" s="202"/>
      <c r="D471" s="202"/>
      <c r="E471" s="300"/>
      <c r="F471" s="210"/>
      <c r="G471" s="210"/>
      <c r="H471" s="203"/>
      <c r="I471" s="203"/>
      <c r="J471" s="203"/>
      <c r="K471" s="203"/>
      <c r="L471" s="203"/>
      <c r="M471" s="203"/>
      <c r="N471" s="203"/>
      <c r="O471" s="205"/>
      <c r="P471" s="291"/>
      <c r="Q471" s="265"/>
      <c r="R471" s="265"/>
      <c r="S471" s="265"/>
      <c r="T471" s="265"/>
      <c r="U471" s="265"/>
    </row>
    <row r="472" spans="1:21" ht="27.75" customHeight="1">
      <c r="A472" s="204" t="str">
        <f>IF(ISBLANK(D472)," ",470-COUNTBLANK($D$5:D472))</f>
        <v xml:space="preserve"> </v>
      </c>
      <c r="B472" s="202"/>
      <c r="C472" s="202"/>
      <c r="D472" s="202"/>
      <c r="E472" s="300"/>
      <c r="F472" s="210"/>
      <c r="G472" s="210"/>
      <c r="H472" s="203"/>
      <c r="I472" s="203"/>
      <c r="J472" s="203"/>
      <c r="K472" s="203"/>
      <c r="L472" s="203"/>
      <c r="M472" s="203"/>
      <c r="N472" s="203"/>
      <c r="O472" s="205"/>
      <c r="P472" s="291"/>
      <c r="Q472" s="265"/>
      <c r="R472" s="265"/>
      <c r="S472" s="265"/>
      <c r="T472" s="265"/>
      <c r="U472" s="265"/>
    </row>
    <row r="473" spans="1:21" ht="27.75" customHeight="1">
      <c r="A473" s="204" t="str">
        <f>IF(ISBLANK(D473)," ",471-COUNTBLANK($D$5:D473))</f>
        <v xml:space="preserve"> </v>
      </c>
      <c r="B473" s="202"/>
      <c r="C473" s="202"/>
      <c r="D473" s="202"/>
      <c r="E473" s="300"/>
      <c r="F473" s="210"/>
      <c r="G473" s="210"/>
      <c r="H473" s="203"/>
      <c r="I473" s="203"/>
      <c r="J473" s="203"/>
      <c r="K473" s="203"/>
      <c r="L473" s="203"/>
      <c r="M473" s="203"/>
      <c r="N473" s="203"/>
      <c r="O473" s="205"/>
      <c r="P473" s="291"/>
      <c r="Q473" s="265"/>
      <c r="R473" s="265"/>
      <c r="S473" s="265"/>
      <c r="T473" s="265"/>
      <c r="U473" s="265"/>
    </row>
    <row r="474" spans="1:21" ht="27.75" customHeight="1">
      <c r="A474" s="204" t="str">
        <f>IF(ISBLANK(D474)," ",472-COUNTBLANK($D$5:D474))</f>
        <v xml:space="preserve"> </v>
      </c>
      <c r="B474" s="202"/>
      <c r="C474" s="202"/>
      <c r="D474" s="202"/>
      <c r="E474" s="300"/>
      <c r="F474" s="210"/>
      <c r="G474" s="210"/>
      <c r="H474" s="203"/>
      <c r="I474" s="203"/>
      <c r="J474" s="203"/>
      <c r="K474" s="203"/>
      <c r="L474" s="203"/>
      <c r="M474" s="203"/>
      <c r="N474" s="203"/>
      <c r="O474" s="205"/>
      <c r="P474" s="291"/>
      <c r="Q474" s="265"/>
      <c r="R474" s="265"/>
      <c r="S474" s="265"/>
      <c r="T474" s="265"/>
      <c r="U474" s="265"/>
    </row>
    <row r="475" spans="1:21" ht="27.75" customHeight="1">
      <c r="A475" s="204" t="str">
        <f>IF(ISBLANK(D475)," ",473-COUNTBLANK($D$5:D475))</f>
        <v xml:space="preserve"> </v>
      </c>
      <c r="B475" s="202"/>
      <c r="C475" s="202"/>
      <c r="D475" s="202"/>
      <c r="E475" s="300"/>
      <c r="F475" s="210"/>
      <c r="G475" s="210"/>
      <c r="H475" s="203"/>
      <c r="I475" s="203"/>
      <c r="J475" s="203"/>
      <c r="K475" s="203"/>
      <c r="L475" s="203"/>
      <c r="M475" s="203"/>
      <c r="N475" s="203"/>
      <c r="O475" s="205"/>
      <c r="P475" s="291"/>
      <c r="Q475" s="265"/>
      <c r="R475" s="265"/>
      <c r="S475" s="265"/>
      <c r="T475" s="265"/>
      <c r="U475" s="265"/>
    </row>
    <row r="476" spans="1:21" ht="27.75" customHeight="1">
      <c r="A476" s="204" t="str">
        <f>IF(ISBLANK(D476)," ",474-COUNTBLANK($D$5:D476))</f>
        <v xml:space="preserve"> </v>
      </c>
      <c r="B476" s="202"/>
      <c r="C476" s="202"/>
      <c r="D476" s="202"/>
      <c r="E476" s="300"/>
      <c r="F476" s="210"/>
      <c r="G476" s="210"/>
      <c r="H476" s="203"/>
      <c r="I476" s="203"/>
      <c r="J476" s="203"/>
      <c r="K476" s="203"/>
      <c r="L476" s="203"/>
      <c r="M476" s="203"/>
      <c r="N476" s="203"/>
      <c r="O476" s="205"/>
      <c r="P476" s="291"/>
      <c r="Q476" s="265"/>
      <c r="R476" s="265"/>
      <c r="S476" s="265"/>
      <c r="T476" s="265"/>
      <c r="U476" s="265"/>
    </row>
    <row r="477" spans="1:21" ht="27.75" customHeight="1">
      <c r="A477" s="204" t="str">
        <f>IF(ISBLANK(D477)," ",475-COUNTBLANK($D$5:D477))</f>
        <v xml:space="preserve"> </v>
      </c>
      <c r="B477" s="202"/>
      <c r="C477" s="202"/>
      <c r="D477" s="202"/>
      <c r="E477" s="300"/>
      <c r="F477" s="210"/>
      <c r="G477" s="210"/>
      <c r="H477" s="203"/>
      <c r="I477" s="203"/>
      <c r="J477" s="203"/>
      <c r="K477" s="203"/>
      <c r="L477" s="203"/>
      <c r="M477" s="203"/>
      <c r="N477" s="203"/>
      <c r="O477" s="205"/>
      <c r="P477" s="291"/>
      <c r="Q477" s="265"/>
      <c r="R477" s="265"/>
      <c r="S477" s="265"/>
      <c r="T477" s="265"/>
      <c r="U477" s="265"/>
    </row>
    <row r="478" spans="1:21" ht="27.75" customHeight="1">
      <c r="A478" s="204" t="str">
        <f>IF(ISBLANK(D478)," ",476-COUNTBLANK($D$5:D478))</f>
        <v xml:space="preserve"> </v>
      </c>
      <c r="B478" s="202"/>
      <c r="C478" s="202"/>
      <c r="D478" s="202"/>
      <c r="E478" s="300"/>
      <c r="F478" s="210"/>
      <c r="G478" s="210"/>
      <c r="H478" s="203"/>
      <c r="I478" s="203"/>
      <c r="J478" s="203"/>
      <c r="K478" s="203"/>
      <c r="L478" s="203"/>
      <c r="M478" s="203"/>
      <c r="N478" s="203"/>
      <c r="O478" s="205"/>
      <c r="P478" s="291"/>
      <c r="Q478" s="265"/>
      <c r="R478" s="265"/>
      <c r="S478" s="265"/>
      <c r="T478" s="265"/>
      <c r="U478" s="265"/>
    </row>
    <row r="479" spans="1:21" ht="27.75" customHeight="1">
      <c r="A479" s="204" t="str">
        <f>IF(ISBLANK(D479)," ",477-COUNTBLANK($D$5:D479))</f>
        <v xml:space="preserve"> </v>
      </c>
      <c r="B479" s="202"/>
      <c r="C479" s="202"/>
      <c r="D479" s="202"/>
      <c r="E479" s="300"/>
      <c r="F479" s="210"/>
      <c r="G479" s="210"/>
      <c r="H479" s="203"/>
      <c r="I479" s="203"/>
      <c r="J479" s="203"/>
      <c r="K479" s="203"/>
      <c r="L479" s="203"/>
      <c r="M479" s="203"/>
      <c r="N479" s="203"/>
      <c r="O479" s="205"/>
      <c r="P479" s="291"/>
      <c r="Q479" s="265"/>
      <c r="R479" s="265"/>
      <c r="S479" s="265"/>
      <c r="T479" s="265"/>
      <c r="U479" s="265"/>
    </row>
    <row r="480" spans="1:21" ht="27.75" customHeight="1">
      <c r="A480" s="204" t="str">
        <f>IF(ISBLANK(D480)," ",478-COUNTBLANK($D$5:D480))</f>
        <v xml:space="preserve"> </v>
      </c>
      <c r="B480" s="202"/>
      <c r="C480" s="202"/>
      <c r="D480" s="202"/>
      <c r="E480" s="300"/>
      <c r="F480" s="210"/>
      <c r="G480" s="210"/>
      <c r="H480" s="203"/>
      <c r="I480" s="203"/>
      <c r="J480" s="203"/>
      <c r="K480" s="203"/>
      <c r="L480" s="203"/>
      <c r="M480" s="203"/>
      <c r="N480" s="203"/>
      <c r="O480" s="205"/>
      <c r="P480" s="291"/>
      <c r="Q480" s="265"/>
      <c r="R480" s="265"/>
      <c r="S480" s="265"/>
      <c r="T480" s="265"/>
      <c r="U480" s="267"/>
    </row>
    <row r="481" spans="1:24" ht="27.75" customHeight="1">
      <c r="A481" s="204" t="str">
        <f>IF(ISBLANK(D481)," ",479-COUNTBLANK($D$5:D481))</f>
        <v xml:space="preserve"> </v>
      </c>
      <c r="B481" s="202"/>
      <c r="C481" s="202"/>
      <c r="D481" s="202"/>
      <c r="E481" s="300"/>
      <c r="F481" s="210"/>
      <c r="G481" s="210"/>
      <c r="H481" s="203"/>
      <c r="I481" s="203"/>
      <c r="J481" s="203"/>
      <c r="K481" s="203"/>
      <c r="L481" s="203"/>
      <c r="M481" s="203"/>
      <c r="N481" s="203"/>
      <c r="O481" s="205"/>
      <c r="P481" s="291"/>
      <c r="Q481" s="265"/>
      <c r="R481" s="265"/>
      <c r="S481" s="265"/>
      <c r="T481" s="265"/>
      <c r="U481" s="267"/>
    </row>
    <row r="482" spans="1:24" ht="27.75" customHeight="1">
      <c r="A482" s="204" t="str">
        <f>IF(ISBLANK(D482)," ",480-COUNTBLANK($D$5:D482))</f>
        <v xml:space="preserve"> </v>
      </c>
      <c r="B482" s="202"/>
      <c r="C482" s="202"/>
      <c r="D482" s="202"/>
      <c r="E482" s="300"/>
      <c r="F482" s="210"/>
      <c r="G482" s="210"/>
      <c r="H482" s="203"/>
      <c r="I482" s="203"/>
      <c r="J482" s="203"/>
      <c r="K482" s="203"/>
      <c r="L482" s="203"/>
      <c r="M482" s="203"/>
      <c r="N482" s="203"/>
      <c r="O482" s="205"/>
      <c r="P482" s="291"/>
      <c r="Q482" s="265"/>
      <c r="R482" s="265"/>
      <c r="S482" s="265"/>
      <c r="T482" s="265"/>
      <c r="U482" s="267"/>
    </row>
    <row r="483" spans="1:24" ht="27.75" customHeight="1">
      <c r="A483" s="204" t="str">
        <f>IF(ISBLANK(D483)," ",481-COUNTBLANK($D$5:D483))</f>
        <v xml:space="preserve"> </v>
      </c>
      <c r="B483" s="202"/>
      <c r="C483" s="202"/>
      <c r="D483" s="202"/>
      <c r="E483" s="300"/>
      <c r="F483" s="210"/>
      <c r="G483" s="210"/>
      <c r="H483" s="203"/>
      <c r="I483" s="203"/>
      <c r="J483" s="203"/>
      <c r="K483" s="203"/>
      <c r="L483" s="203"/>
      <c r="M483" s="203"/>
      <c r="N483" s="203"/>
      <c r="O483" s="205"/>
      <c r="P483" s="291"/>
      <c r="Q483" s="265"/>
      <c r="R483" s="265"/>
      <c r="S483" s="265"/>
      <c r="T483" s="265"/>
      <c r="U483" s="267"/>
    </row>
    <row r="484" spans="1:24" ht="27.75" customHeight="1">
      <c r="A484" s="304" t="str">
        <f>IF(ISBLANK(D484)," ",482-COUNTBLANK($D$5:D484))</f>
        <v xml:space="preserve"> </v>
      </c>
      <c r="B484" s="296"/>
      <c r="C484" s="305"/>
      <c r="D484" s="306"/>
      <c r="E484" s="297"/>
      <c r="F484" s="298"/>
      <c r="G484" s="298"/>
      <c r="H484" s="282"/>
      <c r="I484" s="282"/>
      <c r="J484" s="282"/>
      <c r="K484" s="282"/>
      <c r="L484" s="282"/>
      <c r="M484" s="282"/>
      <c r="N484" s="282"/>
      <c r="O484" s="283"/>
      <c r="P484" s="303"/>
      <c r="Q484" s="265"/>
      <c r="R484" s="265"/>
      <c r="S484" s="265"/>
      <c r="T484" s="265"/>
      <c r="U484" s="284"/>
      <c r="V484" s="265"/>
      <c r="W484" s="265"/>
      <c r="X484" s="265"/>
    </row>
    <row r="485" spans="1:24" ht="27.75" customHeight="1">
      <c r="A485" s="260" t="s">
        <v>52</v>
      </c>
      <c r="B485" s="200"/>
      <c r="C485" s="200"/>
      <c r="D485" s="200"/>
      <c r="E485" s="299"/>
      <c r="F485" s="209">
        <f>SUM(F465:F484)</f>
        <v>0</v>
      </c>
      <c r="G485" s="209"/>
      <c r="H485" s="201"/>
      <c r="I485" s="201"/>
      <c r="J485" s="201"/>
      <c r="K485" s="201"/>
      <c r="L485" s="201"/>
      <c r="M485" s="201"/>
      <c r="N485" s="201"/>
      <c r="O485" s="262"/>
      <c r="P485" s="291"/>
      <c r="Q485" s="265"/>
      <c r="R485" s="265"/>
      <c r="S485" s="265"/>
      <c r="T485" s="265"/>
      <c r="U485" s="284"/>
      <c r="V485" s="265"/>
      <c r="W485" s="265"/>
      <c r="X485" s="265"/>
    </row>
    <row r="486" spans="1:24" ht="27.75" customHeight="1">
      <c r="A486" s="204" t="str">
        <f>IF(ISBLANK(D486)," ",484-COUNTBLANK($D$5:D486))</f>
        <v xml:space="preserve"> </v>
      </c>
      <c r="B486" s="202"/>
      <c r="C486" s="202"/>
      <c r="D486" s="202"/>
      <c r="E486" s="300"/>
      <c r="F486" s="210"/>
      <c r="G486" s="210"/>
      <c r="H486" s="203"/>
      <c r="I486" s="203"/>
      <c r="J486" s="203"/>
      <c r="K486" s="203"/>
      <c r="L486" s="203"/>
      <c r="M486" s="203"/>
      <c r="N486" s="203"/>
      <c r="O486" s="205"/>
      <c r="P486" s="291"/>
      <c r="Q486" s="265"/>
      <c r="R486" s="265"/>
      <c r="S486" s="265"/>
      <c r="T486" s="265"/>
      <c r="U486" s="265"/>
    </row>
    <row r="487" spans="1:24" ht="27.75" customHeight="1">
      <c r="A487" s="204" t="str">
        <f>IF(ISBLANK(D487)," ",485-COUNTBLANK($D$5:D487))</f>
        <v xml:space="preserve"> </v>
      </c>
      <c r="B487" s="202"/>
      <c r="C487" s="202"/>
      <c r="D487" s="202"/>
      <c r="E487" s="300"/>
      <c r="F487" s="210"/>
      <c r="G487" s="210"/>
      <c r="H487" s="203"/>
      <c r="I487" s="203"/>
      <c r="J487" s="203"/>
      <c r="K487" s="203"/>
      <c r="L487" s="203"/>
      <c r="M487" s="203"/>
      <c r="N487" s="203"/>
      <c r="O487" s="205"/>
      <c r="P487" s="291"/>
      <c r="Q487" s="265"/>
      <c r="R487" s="265"/>
      <c r="S487" s="265"/>
      <c r="T487" s="265"/>
      <c r="U487" s="265"/>
    </row>
    <row r="488" spans="1:24" ht="27.75" customHeight="1">
      <c r="A488" s="204" t="str">
        <f>IF(ISBLANK(D488)," ",486-COUNTBLANK($D$5:D488))</f>
        <v xml:space="preserve"> </v>
      </c>
      <c r="B488" s="202"/>
      <c r="C488" s="202"/>
      <c r="D488" s="202"/>
      <c r="E488" s="300"/>
      <c r="F488" s="210"/>
      <c r="G488" s="210"/>
      <c r="H488" s="203"/>
      <c r="I488" s="203"/>
      <c r="J488" s="203"/>
      <c r="K488" s="203"/>
      <c r="L488" s="203"/>
      <c r="M488" s="203"/>
      <c r="N488" s="203"/>
      <c r="O488" s="205"/>
      <c r="P488" s="291"/>
      <c r="Q488" s="265"/>
      <c r="R488" s="265"/>
      <c r="S488" s="265"/>
      <c r="T488" s="265"/>
      <c r="U488" s="265"/>
    </row>
    <row r="489" spans="1:24" ht="27.75" customHeight="1">
      <c r="A489" s="204" t="str">
        <f>IF(ISBLANK(D489)," ",487-COUNTBLANK($D$5:D489))</f>
        <v xml:space="preserve"> </v>
      </c>
      <c r="B489" s="202"/>
      <c r="C489" s="202"/>
      <c r="D489" s="202"/>
      <c r="E489" s="300"/>
      <c r="F489" s="210"/>
      <c r="G489" s="210"/>
      <c r="H489" s="203"/>
      <c r="I489" s="203"/>
      <c r="J489" s="203"/>
      <c r="K489" s="203"/>
      <c r="L489" s="203"/>
      <c r="M489" s="203"/>
      <c r="N489" s="203"/>
      <c r="O489" s="205"/>
      <c r="P489" s="291"/>
      <c r="Q489" s="265"/>
      <c r="R489" s="265"/>
      <c r="S489" s="265"/>
      <c r="T489" s="265"/>
      <c r="U489" s="265"/>
    </row>
    <row r="490" spans="1:24" ht="27.75" customHeight="1">
      <c r="A490" s="204" t="str">
        <f>IF(ISBLANK(D490)," ",488-COUNTBLANK($D$5:D490))</f>
        <v xml:space="preserve"> </v>
      </c>
      <c r="B490" s="202"/>
      <c r="C490" s="202"/>
      <c r="D490" s="202"/>
      <c r="E490" s="300"/>
      <c r="F490" s="210"/>
      <c r="G490" s="210"/>
      <c r="H490" s="203"/>
      <c r="I490" s="203"/>
      <c r="J490" s="203"/>
      <c r="K490" s="203"/>
      <c r="L490" s="203"/>
      <c r="M490" s="203"/>
      <c r="N490" s="203"/>
      <c r="O490" s="205"/>
      <c r="P490" s="291"/>
      <c r="Q490" s="265"/>
      <c r="R490" s="265"/>
      <c r="S490" s="265"/>
      <c r="T490" s="265"/>
      <c r="U490" s="265"/>
    </row>
    <row r="491" spans="1:24" ht="27.75" customHeight="1">
      <c r="A491" s="204" t="str">
        <f>IF(ISBLANK(D491)," ",489-COUNTBLANK($D$5:D491))</f>
        <v xml:space="preserve"> </v>
      </c>
      <c r="B491" s="202"/>
      <c r="C491" s="202"/>
      <c r="D491" s="202"/>
      <c r="E491" s="300"/>
      <c r="F491" s="210"/>
      <c r="G491" s="210"/>
      <c r="H491" s="203"/>
      <c r="I491" s="203"/>
      <c r="J491" s="203"/>
      <c r="K491" s="203"/>
      <c r="L491" s="203"/>
      <c r="M491" s="203"/>
      <c r="N491" s="203"/>
      <c r="O491" s="205"/>
      <c r="P491" s="291"/>
      <c r="Q491" s="265"/>
      <c r="R491" s="265"/>
      <c r="S491" s="265"/>
      <c r="T491" s="265"/>
      <c r="U491" s="265"/>
    </row>
    <row r="492" spans="1:24" ht="27.75" customHeight="1">
      <c r="A492" s="204" t="str">
        <f>IF(ISBLANK(D492)," ",490-COUNTBLANK($D$5:D492))</f>
        <v xml:space="preserve"> </v>
      </c>
      <c r="B492" s="202"/>
      <c r="C492" s="202"/>
      <c r="D492" s="202"/>
      <c r="E492" s="300"/>
      <c r="F492" s="210"/>
      <c r="G492" s="210"/>
      <c r="H492" s="203"/>
      <c r="I492" s="203"/>
      <c r="J492" s="203"/>
      <c r="K492" s="203"/>
      <c r="L492" s="203"/>
      <c r="M492" s="203"/>
      <c r="N492" s="203"/>
      <c r="O492" s="205"/>
      <c r="P492" s="291"/>
      <c r="Q492" s="265"/>
      <c r="R492" s="265"/>
      <c r="S492" s="265"/>
      <c r="T492" s="265"/>
      <c r="U492" s="265"/>
    </row>
    <row r="493" spans="1:24" ht="27.75" customHeight="1">
      <c r="A493" s="204" t="str">
        <f>IF(ISBLANK(D493)," ",491-COUNTBLANK($D$5:D493))</f>
        <v xml:space="preserve"> </v>
      </c>
      <c r="B493" s="202"/>
      <c r="C493" s="202"/>
      <c r="D493" s="202"/>
      <c r="E493" s="300"/>
      <c r="F493" s="210"/>
      <c r="G493" s="210"/>
      <c r="H493" s="203"/>
      <c r="I493" s="203"/>
      <c r="J493" s="203"/>
      <c r="K493" s="203"/>
      <c r="L493" s="203"/>
      <c r="M493" s="203"/>
      <c r="N493" s="203"/>
      <c r="O493" s="205"/>
      <c r="P493" s="291"/>
      <c r="Q493" s="265"/>
      <c r="R493" s="265"/>
      <c r="S493" s="265"/>
      <c r="T493" s="265"/>
      <c r="U493" s="265"/>
    </row>
    <row r="494" spans="1:24" ht="27.75" customHeight="1">
      <c r="A494" s="204" t="str">
        <f>IF(ISBLANK(D494)," ",492-COUNTBLANK($D$5:D494))</f>
        <v xml:space="preserve"> </v>
      </c>
      <c r="B494" s="202"/>
      <c r="C494" s="202"/>
      <c r="D494" s="202"/>
      <c r="E494" s="300"/>
      <c r="F494" s="210"/>
      <c r="G494" s="210"/>
      <c r="H494" s="203"/>
      <c r="I494" s="203"/>
      <c r="J494" s="203"/>
      <c r="K494" s="203"/>
      <c r="L494" s="203"/>
      <c r="M494" s="203"/>
      <c r="N494" s="203"/>
      <c r="O494" s="205"/>
      <c r="P494" s="291"/>
      <c r="Q494" s="265"/>
      <c r="R494" s="265"/>
      <c r="S494" s="265"/>
      <c r="T494" s="265"/>
      <c r="U494" s="265"/>
    </row>
    <row r="495" spans="1:24" ht="27.75" customHeight="1">
      <c r="A495" s="204" t="str">
        <f>IF(ISBLANK(D495)," ",493-COUNTBLANK($D$5:D495))</f>
        <v xml:space="preserve"> </v>
      </c>
      <c r="B495" s="202"/>
      <c r="C495" s="202"/>
      <c r="D495" s="202"/>
      <c r="E495" s="300"/>
      <c r="F495" s="210"/>
      <c r="G495" s="210"/>
      <c r="H495" s="203"/>
      <c r="I495" s="203"/>
      <c r="J495" s="203"/>
      <c r="K495" s="203"/>
      <c r="L495" s="203"/>
      <c r="M495" s="203"/>
      <c r="N495" s="203"/>
      <c r="O495" s="205"/>
      <c r="P495" s="291"/>
      <c r="Q495" s="265"/>
      <c r="R495" s="265"/>
      <c r="S495" s="265"/>
      <c r="T495" s="265"/>
      <c r="U495" s="265"/>
    </row>
    <row r="496" spans="1:24" ht="27.75" customHeight="1">
      <c r="A496" s="204" t="str">
        <f>IF(ISBLANK(D496)," ",494-COUNTBLANK($D$5:D496))</f>
        <v xml:space="preserve"> </v>
      </c>
      <c r="B496" s="202"/>
      <c r="C496" s="202"/>
      <c r="D496" s="202"/>
      <c r="E496" s="300"/>
      <c r="F496" s="210"/>
      <c r="G496" s="210"/>
      <c r="H496" s="203"/>
      <c r="I496" s="203"/>
      <c r="J496" s="203"/>
      <c r="K496" s="203"/>
      <c r="L496" s="203"/>
      <c r="M496" s="203"/>
      <c r="N496" s="203"/>
      <c r="O496" s="205"/>
      <c r="P496" s="291"/>
      <c r="Q496" s="265"/>
      <c r="R496" s="265"/>
      <c r="S496" s="265"/>
      <c r="T496" s="265"/>
      <c r="U496" s="265"/>
    </row>
    <row r="497" spans="1:24" ht="27.75" customHeight="1">
      <c r="A497" s="204" t="str">
        <f>IF(ISBLANK(D497)," ",495-COUNTBLANK($D$5:D497))</f>
        <v xml:space="preserve"> </v>
      </c>
      <c r="B497" s="202"/>
      <c r="C497" s="202"/>
      <c r="D497" s="202"/>
      <c r="E497" s="300"/>
      <c r="F497" s="210"/>
      <c r="G497" s="210"/>
      <c r="H497" s="203"/>
      <c r="I497" s="203"/>
      <c r="J497" s="203"/>
      <c r="K497" s="203"/>
      <c r="L497" s="203"/>
      <c r="M497" s="203"/>
      <c r="N497" s="203"/>
      <c r="O497" s="205"/>
      <c r="P497" s="291"/>
      <c r="Q497" s="265"/>
      <c r="R497" s="265"/>
      <c r="S497" s="265"/>
      <c r="T497" s="265"/>
      <c r="U497" s="265"/>
    </row>
    <row r="498" spans="1:24" ht="27.75" customHeight="1">
      <c r="A498" s="204" t="str">
        <f>IF(ISBLANK(D498)," ",496-COUNTBLANK($D$5:D498))</f>
        <v xml:space="preserve"> </v>
      </c>
      <c r="B498" s="202"/>
      <c r="C498" s="202"/>
      <c r="D498" s="202"/>
      <c r="E498" s="300"/>
      <c r="F498" s="210"/>
      <c r="G498" s="210"/>
      <c r="H498" s="203"/>
      <c r="I498" s="203"/>
      <c r="J498" s="203"/>
      <c r="K498" s="203"/>
      <c r="L498" s="203"/>
      <c r="M498" s="203"/>
      <c r="N498" s="203"/>
      <c r="O498" s="205"/>
      <c r="P498" s="291"/>
      <c r="Q498" s="265"/>
      <c r="R498" s="265"/>
      <c r="S498" s="265"/>
      <c r="T498" s="265"/>
      <c r="U498" s="265"/>
    </row>
    <row r="499" spans="1:24" ht="27.75" customHeight="1">
      <c r="A499" s="204" t="str">
        <f>IF(ISBLANK(D499)," ",497-COUNTBLANK($D$5:D499))</f>
        <v xml:space="preserve"> </v>
      </c>
      <c r="B499" s="202"/>
      <c r="C499" s="202"/>
      <c r="D499" s="202"/>
      <c r="E499" s="300"/>
      <c r="F499" s="210"/>
      <c r="G499" s="210"/>
      <c r="H499" s="203"/>
      <c r="I499" s="203"/>
      <c r="J499" s="203"/>
      <c r="K499" s="203"/>
      <c r="L499" s="203"/>
      <c r="M499" s="203"/>
      <c r="N499" s="203"/>
      <c r="O499" s="205"/>
      <c r="P499" s="291"/>
      <c r="Q499" s="265"/>
      <c r="R499" s="265"/>
      <c r="S499" s="265"/>
      <c r="T499" s="265"/>
      <c r="U499" s="265"/>
    </row>
    <row r="500" spans="1:24" ht="27.75" customHeight="1">
      <c r="A500" s="204" t="str">
        <f>IF(ISBLANK(D500)," ",498-COUNTBLANK($D$5:D500))</f>
        <v xml:space="preserve"> </v>
      </c>
      <c r="B500" s="202"/>
      <c r="C500" s="202"/>
      <c r="D500" s="202"/>
      <c r="E500" s="300"/>
      <c r="F500" s="210"/>
      <c r="G500" s="210"/>
      <c r="H500" s="203"/>
      <c r="I500" s="203"/>
      <c r="J500" s="203"/>
      <c r="K500" s="203"/>
      <c r="L500" s="203"/>
      <c r="M500" s="203"/>
      <c r="N500" s="203"/>
      <c r="O500" s="205"/>
      <c r="P500" s="291"/>
      <c r="Q500" s="265"/>
      <c r="R500" s="265"/>
      <c r="S500" s="265"/>
      <c r="T500" s="265"/>
      <c r="U500" s="265"/>
    </row>
    <row r="501" spans="1:24" ht="27.75" customHeight="1">
      <c r="A501" s="204" t="str">
        <f>IF(ISBLANK(D501)," ",499-COUNTBLANK($D$5:D501))</f>
        <v xml:space="preserve"> </v>
      </c>
      <c r="B501" s="202"/>
      <c r="C501" s="202"/>
      <c r="D501" s="202"/>
      <c r="E501" s="300"/>
      <c r="F501" s="210"/>
      <c r="G501" s="210"/>
      <c r="H501" s="203"/>
      <c r="I501" s="203"/>
      <c r="J501" s="203"/>
      <c r="K501" s="203"/>
      <c r="L501" s="203"/>
      <c r="M501" s="203"/>
      <c r="N501" s="203"/>
      <c r="O501" s="205"/>
      <c r="P501" s="291"/>
      <c r="Q501" s="265"/>
      <c r="R501" s="265"/>
      <c r="S501" s="265"/>
      <c r="T501" s="265"/>
      <c r="U501" s="267"/>
    </row>
    <row r="502" spans="1:24" ht="27.75" customHeight="1">
      <c r="A502" s="204" t="str">
        <f>IF(ISBLANK(D502)," ",500-COUNTBLANK($D$5:D502))</f>
        <v xml:space="preserve"> </v>
      </c>
      <c r="B502" s="202"/>
      <c r="C502" s="202"/>
      <c r="D502" s="202"/>
      <c r="E502" s="300"/>
      <c r="F502" s="210"/>
      <c r="G502" s="210"/>
      <c r="H502" s="203"/>
      <c r="I502" s="203"/>
      <c r="J502" s="203"/>
      <c r="K502" s="203"/>
      <c r="L502" s="203"/>
      <c r="M502" s="203"/>
      <c r="N502" s="203"/>
      <c r="O502" s="205"/>
      <c r="P502" s="291"/>
      <c r="Q502" s="265"/>
      <c r="R502" s="265"/>
      <c r="S502" s="265"/>
      <c r="T502" s="265"/>
      <c r="U502" s="267"/>
    </row>
    <row r="503" spans="1:24" ht="27.75" customHeight="1">
      <c r="A503" s="204" t="str">
        <f>IF(ISBLANK(D503)," ",501-COUNTBLANK($D$5:D503))</f>
        <v xml:space="preserve"> </v>
      </c>
      <c r="B503" s="202"/>
      <c r="C503" s="202"/>
      <c r="D503" s="202"/>
      <c r="E503" s="300"/>
      <c r="F503" s="210"/>
      <c r="G503" s="210"/>
      <c r="H503" s="203"/>
      <c r="I503" s="203"/>
      <c r="J503" s="203"/>
      <c r="K503" s="203"/>
      <c r="L503" s="203"/>
      <c r="M503" s="203"/>
      <c r="N503" s="203"/>
      <c r="O503" s="205"/>
      <c r="P503" s="291"/>
      <c r="Q503" s="265"/>
      <c r="R503" s="265"/>
      <c r="S503" s="265"/>
      <c r="T503" s="265"/>
      <c r="U503" s="267"/>
    </row>
    <row r="504" spans="1:24" ht="27.75" customHeight="1">
      <c r="A504" s="204" t="str">
        <f>IF(ISBLANK(D504)," ",502-COUNTBLANK($D$5:D504))</f>
        <v xml:space="preserve"> </v>
      </c>
      <c r="B504" s="202"/>
      <c r="C504" s="202"/>
      <c r="D504" s="202"/>
      <c r="E504" s="300"/>
      <c r="F504" s="210"/>
      <c r="G504" s="210"/>
      <c r="H504" s="203"/>
      <c r="I504" s="203"/>
      <c r="J504" s="203"/>
      <c r="K504" s="203"/>
      <c r="L504" s="203"/>
      <c r="M504" s="203"/>
      <c r="N504" s="203"/>
      <c r="O504" s="205"/>
      <c r="P504" s="291"/>
      <c r="Q504" s="265"/>
      <c r="R504" s="265"/>
      <c r="S504" s="265"/>
      <c r="T504" s="265"/>
      <c r="U504" s="267"/>
    </row>
    <row r="505" spans="1:24" ht="27.75" customHeight="1">
      <c r="A505" s="304" t="str">
        <f>IF(ISBLANK(D505)," ",503-COUNTBLANK($D$5:D505))</f>
        <v xml:space="preserve"> </v>
      </c>
      <c r="B505" s="296"/>
      <c r="C505" s="305"/>
      <c r="D505" s="306"/>
      <c r="E505" s="297"/>
      <c r="F505" s="298"/>
      <c r="G505" s="298"/>
      <c r="H505" s="282"/>
      <c r="I505" s="282"/>
      <c r="J505" s="282"/>
      <c r="K505" s="282"/>
      <c r="L505" s="282"/>
      <c r="M505" s="282"/>
      <c r="N505" s="282"/>
      <c r="O505" s="283"/>
      <c r="P505" s="303"/>
      <c r="Q505" s="265"/>
      <c r="R505" s="265"/>
      <c r="S505" s="265"/>
      <c r="T505" s="265"/>
      <c r="U505" s="284"/>
      <c r="V505" s="265"/>
      <c r="W505" s="265"/>
      <c r="X505" s="265"/>
    </row>
    <row r="506" spans="1:24" ht="27.75" customHeight="1">
      <c r="A506" s="240" t="s">
        <v>52</v>
      </c>
      <c r="F506" s="309">
        <f>SUM(F486:F505)</f>
        <v>0</v>
      </c>
      <c r="Q506" s="265"/>
      <c r="R506" s="265"/>
      <c r="S506" s="265"/>
      <c r="T506" s="265"/>
      <c r="U506" s="284"/>
      <c r="V506" s="265"/>
      <c r="W506" s="265"/>
      <c r="X506" s="265"/>
    </row>
    <row r="507" spans="1:24" ht="27.75" customHeight="1">
      <c r="A507" s="240" t="str">
        <f>IF(ISBLANK(D507)," ",505-COUNTBLANK($D$5:D507))</f>
        <v xml:space="preserve"> </v>
      </c>
      <c r="Q507" s="265"/>
      <c r="R507" s="265"/>
      <c r="S507" s="265"/>
      <c r="T507" s="265"/>
      <c r="U507" s="265"/>
    </row>
    <row r="508" spans="1:24" ht="27.75" customHeight="1">
      <c r="A508" s="240" t="str">
        <f>IF(ISBLANK(D508)," ",506-COUNTBLANK($D$5:D508))</f>
        <v xml:space="preserve"> </v>
      </c>
      <c r="Q508" s="265"/>
      <c r="R508" s="265"/>
      <c r="S508" s="265"/>
      <c r="T508" s="265"/>
      <c r="U508" s="265"/>
    </row>
    <row r="509" spans="1:24" ht="27.75" customHeight="1">
      <c r="A509" s="240" t="str">
        <f>IF(ISBLANK(D509)," ",507-COUNTBLANK($D$5:D509))</f>
        <v xml:space="preserve"> </v>
      </c>
      <c r="Q509" s="265"/>
      <c r="R509" s="265"/>
      <c r="S509" s="265"/>
      <c r="T509" s="265"/>
      <c r="U509" s="265"/>
    </row>
    <row r="510" spans="1:24" ht="27.75" customHeight="1">
      <c r="A510" s="240" t="str">
        <f>IF(ISBLANK(D510)," ",508-COUNTBLANK($D$5:D510))</f>
        <v xml:space="preserve"> </v>
      </c>
      <c r="Q510" s="265"/>
      <c r="R510" s="265"/>
      <c r="S510" s="265"/>
      <c r="T510" s="265"/>
      <c r="U510" s="265"/>
    </row>
    <row r="511" spans="1:24" ht="27.75" customHeight="1">
      <c r="A511" s="240" t="str">
        <f>IF(ISBLANK(D511)," ",509-COUNTBLANK($D$5:D511))</f>
        <v xml:space="preserve"> </v>
      </c>
      <c r="Q511" s="265"/>
      <c r="R511" s="265"/>
      <c r="S511" s="265"/>
      <c r="T511" s="265"/>
      <c r="U511" s="265"/>
    </row>
    <row r="512" spans="1:24" ht="27.75" customHeight="1">
      <c r="A512" s="240" t="str">
        <f>IF(ISBLANK(D512)," ",510-COUNTBLANK($D$5:D512))</f>
        <v xml:space="preserve"> </v>
      </c>
      <c r="Q512" s="265"/>
      <c r="R512" s="265"/>
      <c r="S512" s="265"/>
      <c r="T512" s="265"/>
      <c r="U512" s="265"/>
    </row>
    <row r="513" spans="1:24" ht="27.75" customHeight="1">
      <c r="A513" s="240" t="str">
        <f>IF(ISBLANK(D513)," ",511-COUNTBLANK($D$5:D513))</f>
        <v xml:space="preserve"> </v>
      </c>
      <c r="Q513" s="265"/>
      <c r="R513" s="265"/>
      <c r="S513" s="265"/>
      <c r="T513" s="265"/>
      <c r="U513" s="265"/>
    </row>
    <row r="514" spans="1:24" ht="27.75" customHeight="1">
      <c r="A514" s="240" t="str">
        <f>IF(ISBLANK(D514)," ",512-COUNTBLANK($D$5:D514))</f>
        <v xml:space="preserve"> </v>
      </c>
      <c r="Q514" s="265"/>
      <c r="R514" s="265"/>
      <c r="S514" s="265"/>
      <c r="T514" s="265"/>
      <c r="U514" s="265"/>
    </row>
    <row r="515" spans="1:24" ht="27.75" customHeight="1">
      <c r="A515" s="240" t="str">
        <f>IF(ISBLANK(D515)," ",513-COUNTBLANK($D$5:D515))</f>
        <v xml:space="preserve"> </v>
      </c>
      <c r="Q515" s="265"/>
      <c r="R515" s="265"/>
      <c r="S515" s="265"/>
      <c r="T515" s="265"/>
      <c r="U515" s="265"/>
    </row>
    <row r="516" spans="1:24" ht="27.75" customHeight="1">
      <c r="A516" s="240" t="str">
        <f>IF(ISBLANK(D516)," ",514-COUNTBLANK($D$5:D516))</f>
        <v xml:space="preserve"> </v>
      </c>
      <c r="Q516" s="265"/>
      <c r="R516" s="265"/>
      <c r="S516" s="265"/>
      <c r="T516" s="265"/>
      <c r="U516" s="265"/>
    </row>
    <row r="517" spans="1:24" ht="27.75" customHeight="1">
      <c r="A517" s="240" t="str">
        <f>IF(ISBLANK(D517)," ",515-COUNTBLANK($D$5:D517))</f>
        <v xml:space="preserve"> </v>
      </c>
      <c r="Q517" s="265"/>
      <c r="R517" s="265"/>
      <c r="S517" s="265"/>
      <c r="T517" s="265"/>
      <c r="U517" s="265"/>
    </row>
    <row r="518" spans="1:24" ht="27.75" customHeight="1">
      <c r="A518" s="240" t="str">
        <f>IF(ISBLANK(D518)," ",516-COUNTBLANK($D$5:D518))</f>
        <v xml:space="preserve"> </v>
      </c>
      <c r="Q518" s="265"/>
      <c r="R518" s="265"/>
      <c r="S518" s="265"/>
      <c r="T518" s="265"/>
      <c r="U518" s="265"/>
    </row>
    <row r="519" spans="1:24" ht="27.75" customHeight="1">
      <c r="A519" s="240" t="str">
        <f>IF(ISBLANK(D519)," ",517-COUNTBLANK($D$5:D519))</f>
        <v xml:space="preserve"> </v>
      </c>
      <c r="Q519" s="265"/>
      <c r="R519" s="265"/>
      <c r="S519" s="265"/>
      <c r="T519" s="265"/>
      <c r="U519" s="265"/>
    </row>
    <row r="520" spans="1:24" ht="27.75" customHeight="1">
      <c r="A520" s="240" t="str">
        <f>IF(ISBLANK(D520)," ",518-COUNTBLANK($D$5:D520))</f>
        <v xml:space="preserve"> </v>
      </c>
      <c r="Q520" s="265"/>
      <c r="R520" s="265"/>
      <c r="S520" s="265"/>
      <c r="T520" s="265"/>
      <c r="U520" s="265"/>
    </row>
    <row r="521" spans="1:24" ht="27.75" customHeight="1">
      <c r="A521" s="240" t="str">
        <f>IF(ISBLANK(D521)," ",519-COUNTBLANK($D$5:D521))</f>
        <v xml:space="preserve"> </v>
      </c>
      <c r="Q521" s="265"/>
      <c r="R521" s="265"/>
      <c r="S521" s="265"/>
      <c r="T521" s="265"/>
      <c r="U521" s="265"/>
    </row>
    <row r="522" spans="1:24" ht="27.75" customHeight="1">
      <c r="A522" s="240" t="str">
        <f>IF(ISBLANK(D522)," ",520-COUNTBLANK($D$5:D522))</f>
        <v xml:space="preserve"> </v>
      </c>
      <c r="Q522" s="265"/>
      <c r="R522" s="265"/>
      <c r="S522" s="265"/>
      <c r="T522" s="265"/>
      <c r="U522" s="267"/>
    </row>
    <row r="523" spans="1:24" ht="27.75" customHeight="1">
      <c r="A523" s="240" t="str">
        <f>IF(ISBLANK(D523)," ",521-COUNTBLANK($D$5:D523))</f>
        <v xml:space="preserve"> </v>
      </c>
      <c r="Q523" s="265"/>
      <c r="R523" s="265"/>
      <c r="S523" s="265"/>
      <c r="T523" s="265"/>
      <c r="U523" s="267"/>
    </row>
    <row r="524" spans="1:24" ht="27.75" customHeight="1">
      <c r="A524" s="240" t="str">
        <f>IF(ISBLANK(D524)," ",522-COUNTBLANK($D$5:D524))</f>
        <v xml:space="preserve"> </v>
      </c>
      <c r="Q524" s="265"/>
      <c r="R524" s="265"/>
      <c r="S524" s="265"/>
      <c r="T524" s="265"/>
      <c r="U524" s="267"/>
    </row>
    <row r="525" spans="1:24" ht="27.75" customHeight="1">
      <c r="A525" s="240" t="str">
        <f>IF(ISBLANK(D525)," ",523-COUNTBLANK($D$5:D525))</f>
        <v xml:space="preserve"> </v>
      </c>
      <c r="Q525" s="265"/>
      <c r="R525" s="265"/>
      <c r="S525" s="265"/>
      <c r="T525" s="265"/>
      <c r="U525" s="267"/>
    </row>
    <row r="526" spans="1:24" ht="27.75" customHeight="1">
      <c r="A526" s="240" t="str">
        <f>IF(ISBLANK(D526)," ",524-COUNTBLANK($D$5:D526))</f>
        <v xml:space="preserve"> </v>
      </c>
      <c r="Q526" s="265"/>
      <c r="R526" s="265"/>
      <c r="S526" s="265"/>
      <c r="T526" s="265"/>
      <c r="U526" s="284"/>
      <c r="V526" s="265"/>
      <c r="W526" s="265"/>
      <c r="X526" s="265"/>
    </row>
    <row r="527" spans="1:24" ht="27.75" customHeight="1">
      <c r="A527" s="240" t="s">
        <v>52</v>
      </c>
      <c r="F527" s="309">
        <f>SUM(F507:F526)</f>
        <v>0</v>
      </c>
      <c r="Q527" s="265"/>
      <c r="R527" s="265"/>
      <c r="S527" s="265"/>
      <c r="T527" s="265"/>
      <c r="U527" s="284"/>
      <c r="V527" s="265"/>
      <c r="W527" s="265"/>
      <c r="X527" s="265"/>
    </row>
    <row r="528" spans="1:24" ht="27.75" customHeight="1">
      <c r="Q528" s="265"/>
      <c r="R528" s="265"/>
      <c r="S528" s="265"/>
      <c r="T528" s="265"/>
      <c r="U528" s="265"/>
    </row>
    <row r="529" spans="17:21" ht="27.75" customHeight="1">
      <c r="Q529" s="265"/>
      <c r="R529" s="265"/>
      <c r="S529" s="265"/>
      <c r="T529" s="265"/>
      <c r="U529" s="265"/>
    </row>
    <row r="530" spans="17:21" ht="27.75" customHeight="1">
      <c r="Q530" s="265"/>
      <c r="R530" s="265"/>
      <c r="S530" s="265"/>
      <c r="T530" s="265"/>
      <c r="U530" s="265"/>
    </row>
    <row r="531" spans="17:21" ht="27.75" customHeight="1">
      <c r="Q531" s="265"/>
      <c r="R531" s="265"/>
      <c r="S531" s="265"/>
      <c r="T531" s="265"/>
      <c r="U531" s="265"/>
    </row>
    <row r="532" spans="17:21" ht="27.75" customHeight="1">
      <c r="Q532" s="265"/>
      <c r="R532" s="265"/>
      <c r="S532" s="265"/>
      <c r="T532" s="265"/>
      <c r="U532" s="265"/>
    </row>
    <row r="533" spans="17:21" ht="27.75" customHeight="1">
      <c r="Q533" s="265"/>
      <c r="R533" s="265"/>
      <c r="S533" s="265"/>
      <c r="T533" s="265"/>
      <c r="U533" s="265"/>
    </row>
    <row r="534" spans="17:21" ht="27.75" customHeight="1">
      <c r="Q534" s="265"/>
      <c r="R534" s="265"/>
      <c r="S534" s="265"/>
      <c r="T534" s="265"/>
      <c r="U534" s="265"/>
    </row>
    <row r="535" spans="17:21" ht="27.75" customHeight="1">
      <c r="Q535" s="265"/>
      <c r="R535" s="265"/>
      <c r="S535" s="265"/>
      <c r="T535" s="265"/>
      <c r="U535" s="265"/>
    </row>
    <row r="536" spans="17:21" ht="27.75" customHeight="1">
      <c r="Q536" s="265"/>
      <c r="R536" s="265"/>
      <c r="S536" s="265"/>
      <c r="T536" s="265"/>
      <c r="U536" s="265"/>
    </row>
    <row r="537" spans="17:21" ht="27.75" customHeight="1">
      <c r="Q537" s="265"/>
      <c r="R537" s="265"/>
      <c r="S537" s="265"/>
      <c r="T537" s="265"/>
      <c r="U537" s="265"/>
    </row>
    <row r="538" spans="17:21" ht="27.75" customHeight="1">
      <c r="Q538" s="265"/>
      <c r="R538" s="265"/>
      <c r="S538" s="265"/>
      <c r="T538" s="265"/>
      <c r="U538" s="265"/>
    </row>
    <row r="539" spans="17:21" ht="27.75" customHeight="1">
      <c r="Q539" s="265"/>
      <c r="R539" s="265"/>
      <c r="S539" s="265"/>
      <c r="T539" s="265"/>
      <c r="U539" s="265"/>
    </row>
    <row r="540" spans="17:21" ht="27.75" customHeight="1">
      <c r="Q540" s="265"/>
      <c r="R540" s="265"/>
      <c r="S540" s="265"/>
      <c r="T540" s="265"/>
      <c r="U540" s="265"/>
    </row>
    <row r="541" spans="17:21" ht="27.75" customHeight="1">
      <c r="Q541" s="265"/>
      <c r="R541" s="265"/>
      <c r="S541" s="265"/>
      <c r="T541" s="265"/>
      <c r="U541" s="265"/>
    </row>
    <row r="542" spans="17:21" ht="27.75" customHeight="1">
      <c r="Q542" s="265"/>
      <c r="R542" s="265"/>
      <c r="S542" s="265"/>
      <c r="T542" s="265"/>
      <c r="U542" s="265"/>
    </row>
    <row r="543" spans="17:21" ht="27.75" customHeight="1">
      <c r="Q543" s="265"/>
      <c r="R543" s="265"/>
      <c r="S543" s="265"/>
      <c r="T543" s="265"/>
      <c r="U543" s="267"/>
    </row>
    <row r="544" spans="17:21" ht="27.75" customHeight="1">
      <c r="Q544" s="265"/>
      <c r="R544" s="265"/>
      <c r="S544" s="265"/>
      <c r="T544" s="265"/>
      <c r="U544" s="267"/>
    </row>
    <row r="545" spans="17:24" ht="27.75" customHeight="1">
      <c r="Q545" s="265"/>
      <c r="R545" s="265"/>
      <c r="S545" s="265"/>
      <c r="T545" s="265"/>
      <c r="U545" s="267"/>
    </row>
    <row r="546" spans="17:24" ht="27.75" customHeight="1">
      <c r="Q546" s="265"/>
      <c r="R546" s="265"/>
      <c r="S546" s="265"/>
      <c r="T546" s="265"/>
      <c r="U546" s="267"/>
    </row>
    <row r="547" spans="17:24" ht="27.75" customHeight="1">
      <c r="Q547" s="265"/>
      <c r="R547" s="265"/>
      <c r="S547" s="265"/>
      <c r="T547" s="265"/>
      <c r="U547" s="284"/>
      <c r="V547" s="265"/>
      <c r="W547" s="265"/>
      <c r="X547" s="265"/>
    </row>
    <row r="548" spans="17:24" ht="27.75" customHeight="1">
      <c r="Q548" s="265"/>
      <c r="R548" s="265"/>
      <c r="S548" s="265"/>
      <c r="T548" s="265"/>
      <c r="U548" s="284"/>
      <c r="V548" s="265"/>
      <c r="W548" s="265"/>
      <c r="X548" s="265"/>
    </row>
    <row r="549" spans="17:24" ht="27.75" customHeight="1">
      <c r="Q549" s="265"/>
      <c r="R549" s="265"/>
      <c r="S549" s="265"/>
      <c r="T549" s="265"/>
      <c r="U549" s="265"/>
    </row>
    <row r="550" spans="17:24" ht="27.75" customHeight="1">
      <c r="Q550" s="265"/>
      <c r="R550" s="265"/>
      <c r="S550" s="265"/>
      <c r="T550" s="265"/>
      <c r="U550" s="265"/>
    </row>
    <row r="551" spans="17:24" ht="27.75" customHeight="1">
      <c r="Q551" s="265"/>
      <c r="R551" s="265"/>
      <c r="S551" s="265"/>
      <c r="T551" s="265"/>
      <c r="U551" s="265"/>
    </row>
    <row r="552" spans="17:24" ht="27.75" customHeight="1">
      <c r="Q552" s="265"/>
      <c r="R552" s="265"/>
      <c r="S552" s="265"/>
      <c r="T552" s="265"/>
      <c r="U552" s="265"/>
    </row>
    <row r="553" spans="17:24" ht="27.75" customHeight="1">
      <c r="Q553" s="265"/>
      <c r="R553" s="265"/>
      <c r="S553" s="265"/>
      <c r="T553" s="265"/>
      <c r="U553" s="265"/>
    </row>
    <row r="554" spans="17:24" ht="27.75" customHeight="1">
      <c r="Q554" s="265"/>
      <c r="R554" s="265"/>
      <c r="S554" s="265"/>
      <c r="T554" s="265"/>
      <c r="U554" s="265"/>
    </row>
    <row r="555" spans="17:24" ht="27.75" customHeight="1">
      <c r="Q555" s="265"/>
      <c r="R555" s="265"/>
      <c r="S555" s="265"/>
      <c r="T555" s="265"/>
      <c r="U555" s="265"/>
    </row>
    <row r="556" spans="17:24" ht="27.75" customHeight="1">
      <c r="Q556" s="265"/>
      <c r="R556" s="265"/>
      <c r="S556" s="265"/>
      <c r="T556" s="265"/>
      <c r="U556" s="265"/>
    </row>
    <row r="557" spans="17:24" ht="27.75" customHeight="1">
      <c r="Q557" s="265"/>
      <c r="R557" s="265"/>
      <c r="S557" s="265"/>
      <c r="T557" s="265"/>
      <c r="U557" s="265"/>
    </row>
    <row r="558" spans="17:24" ht="27.75" customHeight="1">
      <c r="Q558" s="265"/>
      <c r="R558" s="265"/>
      <c r="S558" s="265"/>
      <c r="T558" s="265"/>
      <c r="U558" s="265"/>
    </row>
    <row r="559" spans="17:24" ht="27.75" customHeight="1">
      <c r="Q559" s="265"/>
      <c r="R559" s="265"/>
      <c r="S559" s="265"/>
      <c r="T559" s="265"/>
      <c r="U559" s="265"/>
    </row>
    <row r="560" spans="17:24" ht="27.75" customHeight="1">
      <c r="Q560" s="265"/>
      <c r="R560" s="265"/>
      <c r="S560" s="265"/>
      <c r="T560" s="265"/>
      <c r="U560" s="265"/>
    </row>
    <row r="561" spans="17:24" ht="27.75" customHeight="1">
      <c r="Q561" s="265"/>
      <c r="R561" s="265"/>
      <c r="S561" s="265"/>
      <c r="T561" s="265"/>
      <c r="U561" s="265"/>
    </row>
    <row r="562" spans="17:24" ht="27.75" customHeight="1">
      <c r="Q562" s="265"/>
      <c r="R562" s="265"/>
      <c r="S562" s="265"/>
      <c r="T562" s="265"/>
      <c r="U562" s="265"/>
    </row>
    <row r="563" spans="17:24" ht="27.75" customHeight="1">
      <c r="Q563" s="265"/>
      <c r="R563" s="265"/>
      <c r="S563" s="265"/>
      <c r="T563" s="265"/>
      <c r="U563" s="265"/>
    </row>
    <row r="564" spans="17:24" ht="27.75" customHeight="1">
      <c r="Q564" s="265"/>
      <c r="R564" s="265"/>
      <c r="S564" s="265"/>
      <c r="T564" s="265"/>
      <c r="U564" s="267"/>
    </row>
    <row r="565" spans="17:24" ht="27.75" customHeight="1">
      <c r="Q565" s="265"/>
      <c r="R565" s="265"/>
      <c r="S565" s="265"/>
      <c r="T565" s="265"/>
      <c r="U565" s="267"/>
    </row>
    <row r="566" spans="17:24" ht="27.75" customHeight="1">
      <c r="Q566" s="265"/>
      <c r="R566" s="265"/>
      <c r="S566" s="265"/>
      <c r="T566" s="265"/>
      <c r="U566" s="267"/>
    </row>
    <row r="567" spans="17:24" ht="27.75" customHeight="1">
      <c r="Q567" s="265"/>
      <c r="R567" s="265"/>
      <c r="S567" s="265"/>
      <c r="T567" s="265"/>
      <c r="U567" s="267"/>
    </row>
    <row r="568" spans="17:24" ht="27.75" customHeight="1">
      <c r="Q568" s="265"/>
      <c r="R568" s="265"/>
      <c r="S568" s="265"/>
      <c r="T568" s="265"/>
      <c r="U568" s="284"/>
      <c r="V568" s="265"/>
      <c r="W568" s="265"/>
      <c r="X568" s="265"/>
    </row>
    <row r="569" spans="17:24" ht="27.75" customHeight="1">
      <c r="Q569" s="265"/>
      <c r="R569" s="265"/>
      <c r="S569" s="265"/>
      <c r="T569" s="265"/>
      <c r="U569" s="284"/>
      <c r="V569" s="265"/>
      <c r="W569" s="265"/>
      <c r="X569" s="265"/>
    </row>
    <row r="570" spans="17:24" ht="27.75" customHeight="1">
      <c r="Q570" s="265"/>
      <c r="R570" s="265"/>
      <c r="S570" s="265"/>
      <c r="T570" s="265"/>
      <c r="U570" s="265"/>
    </row>
    <row r="571" spans="17:24" ht="27.75" customHeight="1">
      <c r="Q571" s="265"/>
      <c r="R571" s="265"/>
      <c r="S571" s="265"/>
      <c r="T571" s="265"/>
      <c r="U571" s="265"/>
    </row>
    <row r="572" spans="17:24" ht="27.75" customHeight="1">
      <c r="Q572" s="265"/>
      <c r="R572" s="265"/>
      <c r="S572" s="265"/>
      <c r="T572" s="265"/>
      <c r="U572" s="265"/>
    </row>
    <row r="573" spans="17:24" ht="27.75" customHeight="1">
      <c r="Q573" s="265"/>
      <c r="R573" s="265"/>
      <c r="S573" s="265"/>
      <c r="T573" s="265"/>
      <c r="U573" s="265"/>
    </row>
    <row r="574" spans="17:24" ht="27.75" customHeight="1">
      <c r="Q574" s="265"/>
      <c r="R574" s="265"/>
      <c r="S574" s="265"/>
      <c r="T574" s="265"/>
      <c r="U574" s="265"/>
    </row>
    <row r="575" spans="17:24" ht="27.75" customHeight="1">
      <c r="Q575" s="265"/>
      <c r="R575" s="265"/>
      <c r="S575" s="265"/>
      <c r="T575" s="265"/>
      <c r="U575" s="265"/>
    </row>
    <row r="576" spans="17:24" ht="27.75" customHeight="1">
      <c r="Q576" s="265"/>
      <c r="R576" s="265"/>
      <c r="S576" s="265"/>
      <c r="T576" s="265"/>
      <c r="U576" s="265"/>
    </row>
    <row r="577" spans="17:24" ht="27.75" customHeight="1">
      <c r="Q577" s="265"/>
      <c r="R577" s="265"/>
      <c r="S577" s="265"/>
      <c r="T577" s="265"/>
      <c r="U577" s="265"/>
    </row>
    <row r="578" spans="17:24" ht="27.75" customHeight="1">
      <c r="Q578" s="265"/>
      <c r="R578" s="265"/>
      <c r="S578" s="265"/>
      <c r="T578" s="265"/>
      <c r="U578" s="265"/>
    </row>
    <row r="579" spans="17:24" ht="27.75" customHeight="1">
      <c r="Q579" s="265"/>
      <c r="R579" s="265"/>
      <c r="S579" s="265"/>
      <c r="T579" s="265"/>
      <c r="U579" s="265"/>
    </row>
    <row r="580" spans="17:24" ht="27.75" customHeight="1">
      <c r="Q580" s="265"/>
      <c r="R580" s="265"/>
      <c r="S580" s="265"/>
      <c r="T580" s="265"/>
      <c r="U580" s="265"/>
    </row>
    <row r="581" spans="17:24" ht="27.75" customHeight="1">
      <c r="Q581" s="265"/>
      <c r="R581" s="265"/>
      <c r="S581" s="265"/>
      <c r="T581" s="265"/>
      <c r="U581" s="265"/>
    </row>
    <row r="582" spans="17:24" ht="27.75" customHeight="1">
      <c r="Q582" s="265"/>
      <c r="R582" s="265"/>
      <c r="S582" s="265"/>
      <c r="T582" s="265"/>
      <c r="U582" s="265"/>
    </row>
    <row r="583" spans="17:24" ht="27.75" customHeight="1">
      <c r="Q583" s="265"/>
      <c r="R583" s="265"/>
      <c r="S583" s="265"/>
      <c r="T583" s="265"/>
      <c r="U583" s="265"/>
    </row>
    <row r="584" spans="17:24" ht="27.75" customHeight="1">
      <c r="Q584" s="265"/>
      <c r="R584" s="265"/>
      <c r="S584" s="265"/>
      <c r="T584" s="265"/>
      <c r="U584" s="265"/>
    </row>
    <row r="585" spans="17:24" ht="27.75" customHeight="1">
      <c r="Q585" s="265"/>
      <c r="R585" s="265"/>
      <c r="S585" s="265"/>
      <c r="T585" s="265"/>
      <c r="U585" s="267"/>
    </row>
    <row r="586" spans="17:24" ht="27.75" customHeight="1">
      <c r="Q586" s="265"/>
      <c r="R586" s="265"/>
      <c r="S586" s="265"/>
      <c r="T586" s="265"/>
      <c r="U586" s="267"/>
    </row>
    <row r="587" spans="17:24" ht="27.75" customHeight="1">
      <c r="Q587" s="265"/>
      <c r="R587" s="265"/>
      <c r="S587" s="265"/>
      <c r="T587" s="265"/>
      <c r="U587" s="267"/>
    </row>
    <row r="588" spans="17:24" ht="27.75" customHeight="1">
      <c r="Q588" s="265"/>
      <c r="R588" s="265"/>
      <c r="S588" s="265"/>
      <c r="T588" s="265"/>
      <c r="U588" s="267"/>
    </row>
    <row r="589" spans="17:24" ht="27.75" customHeight="1">
      <c r="Q589" s="265"/>
      <c r="R589" s="265"/>
      <c r="S589" s="265"/>
      <c r="T589" s="265"/>
      <c r="U589" s="284"/>
      <c r="V589" s="265"/>
      <c r="W589" s="265"/>
      <c r="X589" s="265"/>
    </row>
    <row r="590" spans="17:24" ht="27.75" customHeight="1">
      <c r="Q590" s="265"/>
      <c r="R590" s="265"/>
      <c r="S590" s="265"/>
      <c r="T590" s="265"/>
      <c r="U590" s="284"/>
      <c r="V590" s="265"/>
      <c r="W590" s="265"/>
      <c r="X590" s="265"/>
    </row>
    <row r="591" spans="17:24">
      <c r="Q591" s="311"/>
      <c r="R591" s="311"/>
      <c r="S591" s="311"/>
      <c r="T591" s="311"/>
      <c r="U591" s="311"/>
    </row>
    <row r="592" spans="17:24">
      <c r="Q592" s="311"/>
      <c r="R592" s="311"/>
      <c r="S592" s="311"/>
      <c r="T592" s="311"/>
      <c r="U592" s="311"/>
    </row>
  </sheetData>
  <mergeCells count="6">
    <mergeCell ref="B3:C3"/>
    <mergeCell ref="F3:H3"/>
    <mergeCell ref="D3:D4"/>
    <mergeCell ref="I3:J3"/>
    <mergeCell ref="P3:P4"/>
    <mergeCell ref="K3:L3"/>
  </mergeCells>
  <phoneticPr fontId="12" type="noConversion"/>
  <printOptions horizontalCentered="1"/>
  <pageMargins left="0.19685039370078741" right="0.19685039370078741" top="0.39370078740157483" bottom="0.59055118110236227" header="0" footer="0.19685039370078741"/>
  <pageSetup paperSize="9" scale="87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3"/>
  <sheetViews>
    <sheetView showGridLines="0" showZeros="0" view="pageBreakPreview" zoomScaleSheetLayoutView="100" workbookViewId="0">
      <selection activeCell="V39" sqref="V39"/>
    </sheetView>
  </sheetViews>
  <sheetFormatPr defaultRowHeight="11.25"/>
  <cols>
    <col min="1" max="1" width="4.33203125" style="240" customWidth="1"/>
    <col min="2" max="3" width="6.33203125" style="307" customWidth="1"/>
    <col min="4" max="4" width="3.77734375" style="240" customWidth="1"/>
    <col min="5" max="5" width="7.77734375" style="308" customWidth="1"/>
    <col min="6" max="6" width="7.77734375" style="309" customWidth="1"/>
    <col min="7" max="7" width="8.33203125" style="310" customWidth="1"/>
    <col min="8" max="8" width="17.44140625" style="240" customWidth="1"/>
    <col min="9" max="9" width="6.77734375" style="240" customWidth="1"/>
    <col min="10" max="10" width="20.77734375" style="311" customWidth="1"/>
    <col min="11" max="11" width="9.77734375" style="313" customWidth="1"/>
    <col min="12" max="17" width="9.77734375" style="240" customWidth="1"/>
    <col min="18" max="18" width="10.77734375" style="240" customWidth="1"/>
    <col min="19" max="16384" width="8.88671875" style="240"/>
  </cols>
  <sheetData>
    <row r="1" spans="1:18" ht="30" customHeight="1">
      <c r="A1" s="314" t="s">
        <v>58</v>
      </c>
      <c r="B1" s="315"/>
      <c r="C1" s="315"/>
      <c r="D1" s="248"/>
      <c r="E1" s="316"/>
      <c r="F1" s="317"/>
      <c r="G1" s="248"/>
      <c r="H1" s="248"/>
      <c r="I1" s="248"/>
      <c r="J1" s="237"/>
      <c r="K1" s="238"/>
      <c r="L1" s="239"/>
      <c r="M1" s="239"/>
      <c r="N1" s="239"/>
      <c r="O1" s="239"/>
      <c r="P1" s="239"/>
      <c r="Q1" s="239"/>
      <c r="R1" s="239"/>
    </row>
    <row r="2" spans="1:18" ht="19.899999999999999" customHeight="1">
      <c r="A2" s="239"/>
      <c r="B2" s="242"/>
      <c r="C2" s="242"/>
      <c r="D2" s="239"/>
      <c r="E2" s="243"/>
      <c r="F2" s="244"/>
      <c r="G2" s="245"/>
      <c r="H2" s="246"/>
      <c r="I2" s="248"/>
      <c r="J2" s="245"/>
      <c r="K2" s="238"/>
      <c r="L2" s="239"/>
      <c r="M2" s="239"/>
      <c r="N2" s="239"/>
      <c r="O2" s="239"/>
      <c r="P2" s="239"/>
      <c r="Q2" s="239"/>
      <c r="R2" s="239"/>
    </row>
    <row r="3" spans="1:18" ht="10.15" customHeight="1">
      <c r="A3" s="252"/>
      <c r="B3" s="251"/>
      <c r="C3" s="251"/>
      <c r="D3" s="252"/>
      <c r="E3" s="253"/>
      <c r="F3" s="254"/>
      <c r="G3" s="255"/>
      <c r="H3" s="252"/>
      <c r="I3" s="252"/>
      <c r="J3" s="257"/>
      <c r="K3" s="238"/>
      <c r="L3" s="239"/>
      <c r="M3" s="239"/>
      <c r="N3" s="239"/>
      <c r="O3" s="239"/>
      <c r="P3" s="239"/>
      <c r="Q3" s="239"/>
      <c r="R3" s="239"/>
    </row>
    <row r="4" spans="1:18" ht="18" customHeight="1">
      <c r="A4" s="107" t="s">
        <v>39</v>
      </c>
      <c r="B4" s="499" t="s">
        <v>40</v>
      </c>
      <c r="C4" s="500"/>
      <c r="D4" s="501" t="s">
        <v>41</v>
      </c>
      <c r="E4" s="206" t="s">
        <v>42</v>
      </c>
      <c r="F4" s="337" t="s">
        <v>43</v>
      </c>
      <c r="G4" s="499" t="s">
        <v>131</v>
      </c>
      <c r="H4" s="500"/>
      <c r="I4" s="503" t="s">
        <v>31</v>
      </c>
      <c r="J4" s="495" t="s">
        <v>31</v>
      </c>
      <c r="K4" s="497" t="s">
        <v>71</v>
      </c>
      <c r="L4" s="239"/>
      <c r="M4" s="258"/>
      <c r="N4" s="258"/>
      <c r="O4" s="258"/>
      <c r="P4" s="258"/>
      <c r="Q4" s="258"/>
      <c r="R4" s="258"/>
    </row>
    <row r="5" spans="1:18" ht="18" customHeight="1">
      <c r="A5" s="62" t="s">
        <v>47</v>
      </c>
      <c r="B5" s="65" t="s">
        <v>136</v>
      </c>
      <c r="C5" s="65" t="s">
        <v>137</v>
      </c>
      <c r="D5" s="502"/>
      <c r="E5" s="208" t="s">
        <v>59</v>
      </c>
      <c r="F5" s="65" t="s">
        <v>129</v>
      </c>
      <c r="G5" s="65" t="s">
        <v>49</v>
      </c>
      <c r="H5" s="338" t="s">
        <v>50</v>
      </c>
      <c r="I5" s="504"/>
      <c r="J5" s="496"/>
      <c r="K5" s="498"/>
      <c r="L5" s="258"/>
      <c r="M5" s="259"/>
      <c r="N5" s="259"/>
      <c r="O5" s="259"/>
      <c r="P5" s="259"/>
      <c r="Q5" s="259"/>
      <c r="R5" s="239"/>
    </row>
    <row r="6" spans="1:18" ht="18" customHeight="1">
      <c r="A6" s="204">
        <v>1</v>
      </c>
      <c r="B6" s="202" t="s">
        <v>1273</v>
      </c>
      <c r="C6" s="202"/>
      <c r="D6" s="202" t="s">
        <v>93</v>
      </c>
      <c r="E6" s="300">
        <v>183</v>
      </c>
      <c r="F6" s="210">
        <v>183</v>
      </c>
      <c r="G6" s="203" t="s">
        <v>451</v>
      </c>
      <c r="H6" s="203" t="s">
        <v>452</v>
      </c>
      <c r="I6" s="276"/>
      <c r="J6" s="263" t="str">
        <f t="shared" ref="J6:J69" si="0">CONCATENATE(D6,G6)</f>
        <v>임공</v>
      </c>
      <c r="K6" s="264">
        <v>7050</v>
      </c>
      <c r="L6" s="265"/>
      <c r="M6" s="265"/>
      <c r="N6" s="265"/>
      <c r="O6" s="265"/>
      <c r="P6" s="265"/>
      <c r="Q6" s="265"/>
      <c r="R6" s="265"/>
    </row>
    <row r="7" spans="1:18" ht="18" customHeight="1">
      <c r="A7" s="204">
        <v>2</v>
      </c>
      <c r="B7" s="202" t="s">
        <v>1274</v>
      </c>
      <c r="C7" s="202"/>
      <c r="D7" s="202" t="s">
        <v>93</v>
      </c>
      <c r="E7" s="300">
        <v>156</v>
      </c>
      <c r="F7" s="210">
        <v>156</v>
      </c>
      <c r="G7" s="203" t="s">
        <v>1391</v>
      </c>
      <c r="H7" s="203" t="s">
        <v>534</v>
      </c>
      <c r="I7" s="276"/>
      <c r="J7" s="263" t="str">
        <f t="shared" si="0"/>
        <v>임이남구 
외1인</v>
      </c>
      <c r="K7" s="264">
        <v>10800</v>
      </c>
      <c r="L7" s="265"/>
      <c r="M7" s="265"/>
      <c r="N7" s="265"/>
      <c r="O7" s="265"/>
      <c r="P7" s="265"/>
      <c r="Q7" s="265"/>
      <c r="R7" s="265"/>
    </row>
    <row r="8" spans="1:18" ht="18" customHeight="1">
      <c r="A8" s="204">
        <v>3</v>
      </c>
      <c r="B8" s="202" t="s">
        <v>1275</v>
      </c>
      <c r="C8" s="202"/>
      <c r="D8" s="202" t="s">
        <v>93</v>
      </c>
      <c r="E8" s="300">
        <v>99</v>
      </c>
      <c r="F8" s="210">
        <v>99</v>
      </c>
      <c r="G8" s="203" t="s">
        <v>1391</v>
      </c>
      <c r="H8" s="203" t="s">
        <v>534</v>
      </c>
      <c r="I8" s="276"/>
      <c r="J8" s="263" t="str">
        <f t="shared" si="0"/>
        <v>임이남구 
외1인</v>
      </c>
      <c r="K8" s="264">
        <v>3130</v>
      </c>
      <c r="L8" s="265"/>
      <c r="M8" s="265"/>
      <c r="N8" s="265"/>
      <c r="O8" s="265"/>
      <c r="P8" s="265"/>
      <c r="Q8" s="265"/>
      <c r="R8" s="265"/>
    </row>
    <row r="9" spans="1:18" ht="18" customHeight="1">
      <c r="A9" s="204">
        <v>4</v>
      </c>
      <c r="B9" s="202" t="s">
        <v>1276</v>
      </c>
      <c r="C9" s="202"/>
      <c r="D9" s="202" t="s">
        <v>93</v>
      </c>
      <c r="E9" s="300">
        <v>124</v>
      </c>
      <c r="F9" s="210">
        <v>124</v>
      </c>
      <c r="G9" s="203" t="s">
        <v>451</v>
      </c>
      <c r="H9" s="203" t="s">
        <v>452</v>
      </c>
      <c r="I9" s="276"/>
      <c r="J9" s="263" t="str">
        <f t="shared" si="0"/>
        <v>임공</v>
      </c>
      <c r="K9" s="264">
        <v>6470</v>
      </c>
      <c r="L9" s="265"/>
      <c r="M9" s="265"/>
      <c r="N9" s="265"/>
      <c r="O9" s="265"/>
      <c r="P9" s="265"/>
      <c r="Q9" s="265"/>
      <c r="R9" s="265"/>
    </row>
    <row r="10" spans="1:18" ht="18" customHeight="1">
      <c r="A10" s="204">
        <v>5</v>
      </c>
      <c r="B10" s="202" t="s">
        <v>1277</v>
      </c>
      <c r="C10" s="202"/>
      <c r="D10" s="202" t="s">
        <v>93</v>
      </c>
      <c r="E10" s="300">
        <v>62</v>
      </c>
      <c r="F10" s="210">
        <v>62</v>
      </c>
      <c r="G10" s="203" t="s">
        <v>451</v>
      </c>
      <c r="H10" s="203" t="s">
        <v>452</v>
      </c>
      <c r="I10" s="276"/>
      <c r="J10" s="263" t="str">
        <f t="shared" si="0"/>
        <v>임공</v>
      </c>
      <c r="K10" s="264">
        <v>11500</v>
      </c>
      <c r="L10" s="265"/>
      <c r="M10" s="265"/>
      <c r="N10" s="265"/>
      <c r="O10" s="265"/>
      <c r="P10" s="265"/>
      <c r="Q10" s="265"/>
      <c r="R10" s="265"/>
    </row>
    <row r="11" spans="1:18" ht="18" customHeight="1">
      <c r="A11" s="204">
        <v>6</v>
      </c>
      <c r="B11" s="202" t="s">
        <v>1278</v>
      </c>
      <c r="C11" s="202"/>
      <c r="D11" s="202" t="s">
        <v>93</v>
      </c>
      <c r="E11" s="300">
        <v>66</v>
      </c>
      <c r="F11" s="210">
        <v>66</v>
      </c>
      <c r="G11" s="203" t="s">
        <v>451</v>
      </c>
      <c r="H11" s="203" t="s">
        <v>452</v>
      </c>
      <c r="I11" s="276"/>
      <c r="J11" s="263" t="str">
        <f t="shared" si="0"/>
        <v>임공</v>
      </c>
      <c r="K11" s="266">
        <v>11500</v>
      </c>
      <c r="L11" s="265"/>
      <c r="M11" s="265"/>
      <c r="N11" s="265"/>
      <c r="O11" s="265"/>
      <c r="P11" s="265"/>
      <c r="Q11" s="265"/>
      <c r="R11" s="267"/>
    </row>
    <row r="12" spans="1:18" ht="18" customHeight="1">
      <c r="A12" s="204">
        <v>7</v>
      </c>
      <c r="B12" s="202" t="s">
        <v>1279</v>
      </c>
      <c r="C12" s="202"/>
      <c r="D12" s="202" t="s">
        <v>93</v>
      </c>
      <c r="E12" s="300">
        <v>53</v>
      </c>
      <c r="F12" s="210">
        <v>53</v>
      </c>
      <c r="G12" s="203" t="s">
        <v>451</v>
      </c>
      <c r="H12" s="203" t="s">
        <v>452</v>
      </c>
      <c r="I12" s="276"/>
      <c r="J12" s="263" t="str">
        <f t="shared" si="0"/>
        <v>임공</v>
      </c>
      <c r="K12" s="266">
        <v>11500</v>
      </c>
      <c r="L12" s="265"/>
      <c r="M12" s="265"/>
      <c r="N12" s="265"/>
      <c r="O12" s="265"/>
      <c r="P12" s="265"/>
      <c r="Q12" s="265"/>
      <c r="R12" s="267"/>
    </row>
    <row r="13" spans="1:18" ht="18" customHeight="1">
      <c r="A13" s="204">
        <v>8</v>
      </c>
      <c r="B13" s="202" t="s">
        <v>1280</v>
      </c>
      <c r="C13" s="202"/>
      <c r="D13" s="202" t="s">
        <v>93</v>
      </c>
      <c r="E13" s="300">
        <v>38</v>
      </c>
      <c r="F13" s="210">
        <v>38</v>
      </c>
      <c r="G13" s="203" t="s">
        <v>451</v>
      </c>
      <c r="H13" s="203" t="s">
        <v>452</v>
      </c>
      <c r="I13" s="276"/>
      <c r="J13" s="263" t="str">
        <f t="shared" si="0"/>
        <v>임공</v>
      </c>
      <c r="K13" s="266">
        <v>9830</v>
      </c>
      <c r="L13" s="265"/>
      <c r="M13" s="265"/>
      <c r="N13" s="265"/>
      <c r="O13" s="265"/>
      <c r="P13" s="265"/>
      <c r="Q13" s="265"/>
      <c r="R13" s="267"/>
    </row>
    <row r="14" spans="1:18" ht="18" customHeight="1">
      <c r="A14" s="204">
        <v>9</v>
      </c>
      <c r="B14" s="202" t="s">
        <v>1281</v>
      </c>
      <c r="C14" s="202"/>
      <c r="D14" s="202" t="s">
        <v>93</v>
      </c>
      <c r="E14" s="300">
        <v>626</v>
      </c>
      <c r="F14" s="210">
        <v>626</v>
      </c>
      <c r="G14" s="203" t="s">
        <v>451</v>
      </c>
      <c r="H14" s="203" t="s">
        <v>452</v>
      </c>
      <c r="I14" s="276"/>
      <c r="J14" s="263" t="str">
        <f t="shared" si="0"/>
        <v>임공</v>
      </c>
      <c r="K14" s="266">
        <v>11500</v>
      </c>
      <c r="L14" s="265"/>
      <c r="M14" s="265"/>
      <c r="N14" s="265"/>
      <c r="O14" s="265"/>
      <c r="P14" s="265"/>
      <c r="Q14" s="265"/>
      <c r="R14" s="267"/>
    </row>
    <row r="15" spans="1:18" ht="18" customHeight="1">
      <c r="A15" s="204">
        <v>10</v>
      </c>
      <c r="B15" s="202" t="s">
        <v>1282</v>
      </c>
      <c r="C15" s="202"/>
      <c r="D15" s="202" t="s">
        <v>93</v>
      </c>
      <c r="E15" s="300">
        <v>15</v>
      </c>
      <c r="F15" s="210">
        <v>15</v>
      </c>
      <c r="G15" s="203" t="s">
        <v>451</v>
      </c>
      <c r="H15" s="203" t="s">
        <v>452</v>
      </c>
      <c r="I15" s="276"/>
      <c r="J15" s="263" t="str">
        <f t="shared" si="0"/>
        <v>임공</v>
      </c>
      <c r="K15" s="266">
        <v>9240</v>
      </c>
      <c r="L15" s="265"/>
      <c r="M15" s="265"/>
      <c r="N15" s="265"/>
      <c r="O15" s="265"/>
      <c r="P15" s="265"/>
      <c r="Q15" s="265"/>
      <c r="R15" s="267"/>
    </row>
    <row r="16" spans="1:18" ht="18" customHeight="1">
      <c r="A16" s="204">
        <v>11</v>
      </c>
      <c r="B16" s="202" t="s">
        <v>1283</v>
      </c>
      <c r="C16" s="202"/>
      <c r="D16" s="202" t="s">
        <v>93</v>
      </c>
      <c r="E16" s="300">
        <v>55</v>
      </c>
      <c r="F16" s="210">
        <v>55</v>
      </c>
      <c r="G16" s="203" t="s">
        <v>451</v>
      </c>
      <c r="H16" s="203" t="s">
        <v>452</v>
      </c>
      <c r="I16" s="276"/>
      <c r="J16" s="263" t="str">
        <f t="shared" si="0"/>
        <v>임공</v>
      </c>
      <c r="K16" s="266">
        <v>11500</v>
      </c>
      <c r="L16" s="265"/>
      <c r="M16" s="265"/>
      <c r="N16" s="265"/>
      <c r="O16" s="265"/>
      <c r="P16" s="265"/>
      <c r="Q16" s="265"/>
      <c r="R16" s="267"/>
    </row>
    <row r="17" spans="1:18" ht="18" customHeight="1">
      <c r="A17" s="204">
        <v>12</v>
      </c>
      <c r="B17" s="202" t="s">
        <v>1284</v>
      </c>
      <c r="C17" s="202"/>
      <c r="D17" s="202" t="s">
        <v>93</v>
      </c>
      <c r="E17" s="300">
        <v>1077</v>
      </c>
      <c r="F17" s="210">
        <v>1077</v>
      </c>
      <c r="G17" s="203" t="s">
        <v>451</v>
      </c>
      <c r="H17" s="203" t="s">
        <v>452</v>
      </c>
      <c r="I17" s="276"/>
      <c r="J17" s="263" t="str">
        <f t="shared" si="0"/>
        <v>임공</v>
      </c>
      <c r="K17" s="266">
        <v>6850</v>
      </c>
      <c r="L17" s="265"/>
      <c r="M17" s="265"/>
      <c r="N17" s="265"/>
      <c r="O17" s="265"/>
      <c r="P17" s="265"/>
      <c r="Q17" s="265"/>
      <c r="R17" s="267"/>
    </row>
    <row r="18" spans="1:18" s="329" customFormat="1" ht="18" customHeight="1">
      <c r="A18" s="204">
        <v>13</v>
      </c>
      <c r="B18" s="202" t="s">
        <v>1285</v>
      </c>
      <c r="C18" s="202"/>
      <c r="D18" s="202" t="s">
        <v>93</v>
      </c>
      <c r="E18" s="300">
        <v>648</v>
      </c>
      <c r="F18" s="210">
        <v>277</v>
      </c>
      <c r="G18" s="203" t="s">
        <v>1392</v>
      </c>
      <c r="H18" s="203" t="s">
        <v>1393</v>
      </c>
      <c r="I18" s="276"/>
      <c r="J18" s="263" t="str">
        <f t="shared" si="0"/>
        <v>임담양국씨
희량공파</v>
      </c>
      <c r="K18" s="326">
        <v>6850</v>
      </c>
      <c r="L18" s="327"/>
      <c r="M18" s="327"/>
      <c r="N18" s="327"/>
      <c r="O18" s="327"/>
      <c r="P18" s="327"/>
      <c r="Q18" s="327"/>
      <c r="R18" s="328"/>
    </row>
    <row r="19" spans="1:18" ht="18" customHeight="1">
      <c r="A19" s="204">
        <v>14</v>
      </c>
      <c r="B19" s="202" t="s">
        <v>1286</v>
      </c>
      <c r="C19" s="202"/>
      <c r="D19" s="202" t="s">
        <v>93</v>
      </c>
      <c r="E19" s="300">
        <v>1140</v>
      </c>
      <c r="F19" s="210">
        <v>1140</v>
      </c>
      <c r="G19" s="203" t="s">
        <v>451</v>
      </c>
      <c r="H19" s="203" t="s">
        <v>452</v>
      </c>
      <c r="I19" s="276"/>
      <c r="J19" s="263" t="str">
        <f t="shared" si="0"/>
        <v>임공</v>
      </c>
      <c r="K19" s="266">
        <v>10300</v>
      </c>
      <c r="L19" s="265"/>
      <c r="M19" s="265"/>
      <c r="N19" s="265"/>
      <c r="O19" s="265"/>
      <c r="P19" s="265"/>
      <c r="Q19" s="265"/>
      <c r="R19" s="267"/>
    </row>
    <row r="20" spans="1:18" ht="18" customHeight="1">
      <c r="A20" s="204">
        <v>15</v>
      </c>
      <c r="B20" s="202" t="s">
        <v>1287</v>
      </c>
      <c r="C20" s="202"/>
      <c r="D20" s="202" t="s">
        <v>93</v>
      </c>
      <c r="E20" s="300">
        <v>666</v>
      </c>
      <c r="F20" s="210">
        <v>666</v>
      </c>
      <c r="G20" s="203" t="s">
        <v>451</v>
      </c>
      <c r="H20" s="203" t="s">
        <v>452</v>
      </c>
      <c r="I20" s="276"/>
      <c r="J20" s="263" t="str">
        <f t="shared" si="0"/>
        <v>임공</v>
      </c>
      <c r="K20" s="266">
        <v>7070</v>
      </c>
      <c r="L20" s="265"/>
      <c r="M20" s="265"/>
      <c r="N20" s="265"/>
      <c r="O20" s="265"/>
      <c r="P20" s="265"/>
      <c r="Q20" s="265"/>
      <c r="R20" s="267"/>
    </row>
    <row r="21" spans="1:18" ht="18" customHeight="1">
      <c r="A21" s="204">
        <v>16</v>
      </c>
      <c r="B21" s="202" t="s">
        <v>1288</v>
      </c>
      <c r="C21" s="202"/>
      <c r="D21" s="202" t="s">
        <v>93</v>
      </c>
      <c r="E21" s="300">
        <v>80</v>
      </c>
      <c r="F21" s="210">
        <v>80</v>
      </c>
      <c r="G21" s="203" t="s">
        <v>451</v>
      </c>
      <c r="H21" s="203" t="s">
        <v>452</v>
      </c>
      <c r="I21" s="276"/>
      <c r="J21" s="263" t="str">
        <f t="shared" si="0"/>
        <v>임공</v>
      </c>
      <c r="K21" s="266">
        <v>10300</v>
      </c>
      <c r="L21" s="265"/>
      <c r="M21" s="265"/>
      <c r="N21" s="265"/>
      <c r="O21" s="265"/>
      <c r="P21" s="265"/>
      <c r="Q21" s="265"/>
      <c r="R21" s="267"/>
    </row>
    <row r="22" spans="1:18" ht="18" customHeight="1">
      <c r="A22" s="204">
        <v>17</v>
      </c>
      <c r="B22" s="202" t="s">
        <v>1289</v>
      </c>
      <c r="C22" s="202"/>
      <c r="D22" s="202" t="s">
        <v>93</v>
      </c>
      <c r="E22" s="300">
        <v>353</v>
      </c>
      <c r="F22" s="210">
        <v>353</v>
      </c>
      <c r="G22" s="203" t="s">
        <v>451</v>
      </c>
      <c r="H22" s="203" t="s">
        <v>452</v>
      </c>
      <c r="I22" s="276"/>
      <c r="J22" s="263" t="str">
        <f t="shared" si="0"/>
        <v>임공</v>
      </c>
      <c r="K22" s="266">
        <v>6850</v>
      </c>
      <c r="L22" s="265"/>
      <c r="M22" s="265"/>
      <c r="N22" s="265"/>
      <c r="O22" s="265"/>
      <c r="P22" s="265"/>
      <c r="Q22" s="265"/>
      <c r="R22" s="267"/>
    </row>
    <row r="23" spans="1:18" ht="18" customHeight="1">
      <c r="A23" s="204">
        <v>18</v>
      </c>
      <c r="B23" s="202" t="s">
        <v>1290</v>
      </c>
      <c r="C23" s="202"/>
      <c r="D23" s="202" t="s">
        <v>93</v>
      </c>
      <c r="E23" s="300">
        <v>754</v>
      </c>
      <c r="F23" s="210">
        <v>754</v>
      </c>
      <c r="G23" s="203" t="s">
        <v>451</v>
      </c>
      <c r="H23" s="203" t="s">
        <v>452</v>
      </c>
      <c r="I23" s="276"/>
      <c r="J23" s="263" t="str">
        <f t="shared" si="0"/>
        <v>임공</v>
      </c>
      <c r="K23" s="266">
        <v>7070</v>
      </c>
      <c r="L23" s="265"/>
      <c r="M23" s="265"/>
      <c r="N23" s="265"/>
      <c r="O23" s="265"/>
      <c r="P23" s="265"/>
      <c r="Q23" s="265"/>
      <c r="R23" s="267"/>
    </row>
    <row r="24" spans="1:18" ht="18" customHeight="1">
      <c r="A24" s="204">
        <v>19</v>
      </c>
      <c r="B24" s="202" t="s">
        <v>1291</v>
      </c>
      <c r="C24" s="202"/>
      <c r="D24" s="202" t="s">
        <v>898</v>
      </c>
      <c r="E24" s="300"/>
      <c r="F24" s="210">
        <v>31</v>
      </c>
      <c r="G24" s="203" t="s">
        <v>511</v>
      </c>
      <c r="H24" s="203"/>
      <c r="I24" s="276"/>
      <c r="J24" s="263" t="str">
        <f t="shared" si="0"/>
        <v>가국</v>
      </c>
      <c r="K24" s="266"/>
      <c r="L24" s="265"/>
      <c r="M24" s="265"/>
      <c r="N24" s="265"/>
      <c r="O24" s="265"/>
      <c r="P24" s="265"/>
      <c r="Q24" s="265"/>
      <c r="R24" s="267"/>
    </row>
    <row r="25" spans="1:18" ht="18" customHeight="1">
      <c r="A25" s="204">
        <v>20</v>
      </c>
      <c r="B25" s="202" t="s">
        <v>1292</v>
      </c>
      <c r="C25" s="202"/>
      <c r="D25" s="202" t="s">
        <v>93</v>
      </c>
      <c r="E25" s="300">
        <v>283</v>
      </c>
      <c r="F25" s="210">
        <v>283</v>
      </c>
      <c r="G25" s="203" t="s">
        <v>451</v>
      </c>
      <c r="H25" s="203" t="s">
        <v>452</v>
      </c>
      <c r="I25" s="276"/>
      <c r="J25" s="263" t="str">
        <f t="shared" si="0"/>
        <v>임공</v>
      </c>
      <c r="K25" s="266">
        <v>6850</v>
      </c>
      <c r="L25" s="265"/>
      <c r="M25" s="265"/>
      <c r="N25" s="265"/>
      <c r="O25" s="265"/>
      <c r="P25" s="265"/>
      <c r="Q25" s="265"/>
      <c r="R25" s="267"/>
    </row>
    <row r="26" spans="1:18" ht="18" customHeight="1">
      <c r="A26" s="204">
        <v>21</v>
      </c>
      <c r="B26" s="202" t="s">
        <v>1293</v>
      </c>
      <c r="C26" s="202"/>
      <c r="D26" s="202" t="s">
        <v>93</v>
      </c>
      <c r="E26" s="300">
        <v>1972</v>
      </c>
      <c r="F26" s="210">
        <v>1972</v>
      </c>
      <c r="G26" s="203" t="s">
        <v>451</v>
      </c>
      <c r="H26" s="203" t="s">
        <v>452</v>
      </c>
      <c r="I26" s="276"/>
      <c r="J26" s="263" t="str">
        <f t="shared" si="0"/>
        <v>임공</v>
      </c>
      <c r="K26" s="266">
        <v>5730</v>
      </c>
      <c r="L26" s="265"/>
      <c r="M26" s="265"/>
      <c r="N26" s="265"/>
      <c r="O26" s="265"/>
      <c r="P26" s="265"/>
      <c r="Q26" s="265"/>
      <c r="R26" s="267"/>
    </row>
    <row r="27" spans="1:18" ht="18" customHeight="1">
      <c r="A27" s="204">
        <v>22</v>
      </c>
      <c r="B27" s="202" t="s">
        <v>1294</v>
      </c>
      <c r="C27" s="202"/>
      <c r="D27" s="202" t="s">
        <v>93</v>
      </c>
      <c r="E27" s="300">
        <v>2759</v>
      </c>
      <c r="F27" s="210">
        <v>2759</v>
      </c>
      <c r="G27" s="203" t="s">
        <v>451</v>
      </c>
      <c r="H27" s="203" t="s">
        <v>452</v>
      </c>
      <c r="I27" s="276"/>
      <c r="J27" s="263" t="str">
        <f t="shared" si="0"/>
        <v>임공</v>
      </c>
      <c r="K27" s="266">
        <v>6510</v>
      </c>
      <c r="L27" s="265"/>
      <c r="M27" s="265"/>
      <c r="N27" s="265"/>
      <c r="O27" s="265"/>
      <c r="P27" s="265"/>
      <c r="Q27" s="265"/>
      <c r="R27" s="267"/>
    </row>
    <row r="28" spans="1:18" ht="18" customHeight="1">
      <c r="A28" s="204">
        <v>23</v>
      </c>
      <c r="B28" s="202" t="s">
        <v>971</v>
      </c>
      <c r="C28" s="202"/>
      <c r="D28" s="202" t="s">
        <v>93</v>
      </c>
      <c r="E28" s="300">
        <v>8</v>
      </c>
      <c r="F28" s="210">
        <v>8</v>
      </c>
      <c r="G28" s="203" t="s">
        <v>451</v>
      </c>
      <c r="H28" s="203" t="s">
        <v>452</v>
      </c>
      <c r="I28" s="276"/>
      <c r="J28" s="263" t="str">
        <f t="shared" si="0"/>
        <v>임공</v>
      </c>
      <c r="K28" s="266">
        <v>8570</v>
      </c>
      <c r="L28" s="265"/>
      <c r="M28" s="265"/>
      <c r="N28" s="265"/>
      <c r="O28" s="265"/>
      <c r="P28" s="265"/>
      <c r="Q28" s="265"/>
      <c r="R28" s="267"/>
    </row>
    <row r="29" spans="1:18" ht="18" customHeight="1">
      <c r="A29" s="204">
        <v>24</v>
      </c>
      <c r="B29" s="202" t="s">
        <v>1295</v>
      </c>
      <c r="C29" s="202"/>
      <c r="D29" s="202" t="s">
        <v>93</v>
      </c>
      <c r="E29" s="300">
        <v>6867</v>
      </c>
      <c r="F29" s="210">
        <v>6867</v>
      </c>
      <c r="G29" s="203" t="s">
        <v>451</v>
      </c>
      <c r="H29" s="203" t="s">
        <v>452</v>
      </c>
      <c r="I29" s="276"/>
      <c r="J29" s="263" t="str">
        <f t="shared" si="0"/>
        <v>임공</v>
      </c>
      <c r="K29" s="266">
        <v>10200</v>
      </c>
      <c r="L29" s="265"/>
      <c r="M29" s="265"/>
      <c r="N29" s="265"/>
      <c r="O29" s="265"/>
      <c r="P29" s="265"/>
      <c r="Q29" s="265"/>
      <c r="R29" s="267"/>
    </row>
    <row r="30" spans="1:18" ht="18" customHeight="1">
      <c r="A30" s="204">
        <v>25</v>
      </c>
      <c r="B30" s="202" t="s">
        <v>1296</v>
      </c>
      <c r="C30" s="202"/>
      <c r="D30" s="202" t="s">
        <v>7</v>
      </c>
      <c r="E30" s="300">
        <v>43</v>
      </c>
      <c r="F30" s="210">
        <v>43</v>
      </c>
      <c r="G30" s="203" t="s">
        <v>1394</v>
      </c>
      <c r="H30" s="203" t="s">
        <v>1395</v>
      </c>
      <c r="I30" s="276"/>
      <c r="J30" s="263" t="str">
        <f t="shared" si="0"/>
        <v>전신정우
외1인</v>
      </c>
      <c r="K30" s="266">
        <v>13000</v>
      </c>
      <c r="L30" s="265"/>
      <c r="M30" s="265"/>
      <c r="N30" s="265"/>
      <c r="O30" s="265"/>
      <c r="P30" s="265"/>
      <c r="Q30" s="265"/>
      <c r="R30" s="267"/>
    </row>
    <row r="31" spans="1:18" ht="18" customHeight="1">
      <c r="A31" s="204">
        <v>26</v>
      </c>
      <c r="B31" s="202" t="s">
        <v>1297</v>
      </c>
      <c r="C31" s="202"/>
      <c r="D31" s="202" t="s">
        <v>93</v>
      </c>
      <c r="E31" s="300">
        <v>448</v>
      </c>
      <c r="F31" s="210">
        <v>448</v>
      </c>
      <c r="G31" s="203" t="s">
        <v>451</v>
      </c>
      <c r="H31" s="203" t="s">
        <v>1396</v>
      </c>
      <c r="I31" s="276"/>
      <c r="J31" s="263" t="str">
        <f t="shared" si="0"/>
        <v>임공</v>
      </c>
      <c r="K31" s="266">
        <v>8010</v>
      </c>
      <c r="L31" s="265"/>
      <c r="M31" s="265"/>
      <c r="N31" s="265"/>
      <c r="O31" s="265"/>
      <c r="P31" s="265"/>
      <c r="Q31" s="265"/>
      <c r="R31" s="267"/>
    </row>
    <row r="32" spans="1:18" ht="18" customHeight="1">
      <c r="A32" s="204">
        <v>27</v>
      </c>
      <c r="B32" s="202" t="s">
        <v>1298</v>
      </c>
      <c r="C32" s="202"/>
      <c r="D32" s="202" t="s">
        <v>93</v>
      </c>
      <c r="E32" s="300">
        <v>722</v>
      </c>
      <c r="F32" s="210">
        <v>722</v>
      </c>
      <c r="G32" s="203" t="s">
        <v>451</v>
      </c>
      <c r="H32" s="203" t="s">
        <v>537</v>
      </c>
      <c r="I32" s="276"/>
      <c r="J32" s="263" t="str">
        <f t="shared" si="0"/>
        <v>임공</v>
      </c>
      <c r="K32" s="266">
        <v>2040</v>
      </c>
      <c r="L32" s="265"/>
      <c r="M32" s="265"/>
      <c r="N32" s="265"/>
      <c r="O32" s="265"/>
      <c r="P32" s="265"/>
      <c r="Q32" s="265"/>
      <c r="R32" s="267"/>
    </row>
    <row r="33" spans="1:18" ht="18" customHeight="1">
      <c r="A33" s="204">
        <v>28</v>
      </c>
      <c r="B33" s="202" t="s">
        <v>1299</v>
      </c>
      <c r="C33" s="202"/>
      <c r="D33" s="202" t="s">
        <v>455</v>
      </c>
      <c r="E33" s="300">
        <v>1924</v>
      </c>
      <c r="F33" s="210">
        <v>319</v>
      </c>
      <c r="G33" s="203" t="s">
        <v>511</v>
      </c>
      <c r="H33" s="203" t="s">
        <v>514</v>
      </c>
      <c r="I33" s="276"/>
      <c r="J33" s="263" t="str">
        <f t="shared" si="0"/>
        <v>도국</v>
      </c>
      <c r="K33" s="266"/>
      <c r="L33" s="265"/>
      <c r="M33" s="265"/>
      <c r="N33" s="265"/>
      <c r="O33" s="265"/>
      <c r="P33" s="265"/>
      <c r="Q33" s="265"/>
      <c r="R33" s="267"/>
    </row>
    <row r="34" spans="1:18" ht="18" customHeight="1">
      <c r="A34" s="204">
        <v>29</v>
      </c>
      <c r="B34" s="202" t="s">
        <v>1300</v>
      </c>
      <c r="C34" s="202"/>
      <c r="D34" s="202" t="s">
        <v>8</v>
      </c>
      <c r="E34" s="300">
        <v>712</v>
      </c>
      <c r="F34" s="210">
        <v>712</v>
      </c>
      <c r="G34" s="203" t="s">
        <v>451</v>
      </c>
      <c r="H34" s="203" t="s">
        <v>452</v>
      </c>
      <c r="I34" s="276"/>
      <c r="J34" s="263" t="str">
        <f t="shared" si="0"/>
        <v>답공</v>
      </c>
      <c r="K34" s="266">
        <v>7970</v>
      </c>
      <c r="L34" s="265"/>
      <c r="M34" s="265"/>
      <c r="N34" s="265"/>
      <c r="O34" s="265"/>
      <c r="P34" s="265"/>
      <c r="Q34" s="265"/>
      <c r="R34" s="267"/>
    </row>
    <row r="35" spans="1:18" ht="18" customHeight="1">
      <c r="A35" s="204">
        <v>30</v>
      </c>
      <c r="B35" s="202" t="s">
        <v>1301</v>
      </c>
      <c r="C35" s="202"/>
      <c r="D35" s="202" t="s">
        <v>8</v>
      </c>
      <c r="E35" s="300">
        <v>547</v>
      </c>
      <c r="F35" s="210">
        <v>547</v>
      </c>
      <c r="G35" s="203" t="s">
        <v>451</v>
      </c>
      <c r="H35" s="203" t="s">
        <v>452</v>
      </c>
      <c r="I35" s="276"/>
      <c r="J35" s="263" t="str">
        <f t="shared" si="0"/>
        <v>답공</v>
      </c>
      <c r="K35" s="266">
        <v>6870</v>
      </c>
      <c r="L35" s="265"/>
      <c r="M35" s="265"/>
      <c r="N35" s="265"/>
      <c r="O35" s="265"/>
      <c r="P35" s="265"/>
      <c r="Q35" s="265"/>
      <c r="R35" s="267"/>
    </row>
    <row r="36" spans="1:18" ht="18" customHeight="1">
      <c r="A36" s="204">
        <v>31</v>
      </c>
      <c r="B36" s="202" t="s">
        <v>692</v>
      </c>
      <c r="C36" s="202"/>
      <c r="D36" s="202" t="s">
        <v>8</v>
      </c>
      <c r="E36" s="300">
        <v>1790</v>
      </c>
      <c r="F36" s="210">
        <v>1790</v>
      </c>
      <c r="G36" s="203" t="s">
        <v>451</v>
      </c>
      <c r="H36" s="203" t="s">
        <v>452</v>
      </c>
      <c r="I36" s="276"/>
      <c r="J36" s="263" t="str">
        <f t="shared" si="0"/>
        <v>답공</v>
      </c>
      <c r="K36" s="266">
        <v>6610</v>
      </c>
      <c r="L36" s="265"/>
      <c r="M36" s="265"/>
      <c r="N36" s="265"/>
      <c r="O36" s="265"/>
      <c r="P36" s="265"/>
      <c r="Q36" s="265"/>
      <c r="R36" s="267"/>
    </row>
    <row r="37" spans="1:18" ht="18" customHeight="1">
      <c r="A37" s="204">
        <v>33</v>
      </c>
      <c r="B37" s="202" t="s">
        <v>1302</v>
      </c>
      <c r="C37" s="202"/>
      <c r="D37" s="202" t="s">
        <v>93</v>
      </c>
      <c r="E37" s="300">
        <v>2113</v>
      </c>
      <c r="F37" s="210">
        <v>2113</v>
      </c>
      <c r="G37" s="203" t="s">
        <v>451</v>
      </c>
      <c r="H37" s="203" t="s">
        <v>452</v>
      </c>
      <c r="I37" s="276"/>
      <c r="J37" s="263" t="str">
        <f t="shared" si="0"/>
        <v>임공</v>
      </c>
      <c r="K37" s="266">
        <v>5630</v>
      </c>
      <c r="L37" s="265"/>
      <c r="M37" s="265"/>
      <c r="N37" s="265"/>
      <c r="O37" s="265"/>
      <c r="P37" s="265"/>
      <c r="Q37" s="265"/>
      <c r="R37" s="267"/>
    </row>
    <row r="38" spans="1:18" ht="18" customHeight="1">
      <c r="A38" s="204">
        <v>34</v>
      </c>
      <c r="B38" s="202" t="s">
        <v>1303</v>
      </c>
      <c r="C38" s="202"/>
      <c r="D38" s="202" t="s">
        <v>93</v>
      </c>
      <c r="E38" s="300">
        <v>2341</v>
      </c>
      <c r="F38" s="210">
        <v>2341</v>
      </c>
      <c r="G38" s="203" t="s">
        <v>451</v>
      </c>
      <c r="H38" s="203" t="s">
        <v>452</v>
      </c>
      <c r="I38" s="276"/>
      <c r="J38" s="263" t="str">
        <f t="shared" si="0"/>
        <v>임공</v>
      </c>
      <c r="K38" s="266">
        <v>5230</v>
      </c>
      <c r="L38" s="265"/>
      <c r="M38" s="265"/>
      <c r="N38" s="265"/>
      <c r="O38" s="265"/>
      <c r="P38" s="265"/>
      <c r="Q38" s="265"/>
      <c r="R38" s="267"/>
    </row>
    <row r="39" spans="1:18" ht="18" customHeight="1">
      <c r="A39" s="204">
        <v>36</v>
      </c>
      <c r="B39" s="202" t="s">
        <v>1304</v>
      </c>
      <c r="C39" s="202"/>
      <c r="D39" s="202" t="s">
        <v>93</v>
      </c>
      <c r="E39" s="300">
        <v>51</v>
      </c>
      <c r="F39" s="210">
        <v>51</v>
      </c>
      <c r="G39" s="203" t="s">
        <v>451</v>
      </c>
      <c r="H39" s="203" t="s">
        <v>452</v>
      </c>
      <c r="I39" s="276"/>
      <c r="J39" s="263" t="str">
        <f t="shared" si="0"/>
        <v>임공</v>
      </c>
      <c r="K39" s="266">
        <v>5630</v>
      </c>
      <c r="L39" s="265"/>
      <c r="M39" s="265"/>
      <c r="N39" s="265"/>
      <c r="O39" s="265"/>
      <c r="P39" s="265"/>
      <c r="Q39" s="265"/>
      <c r="R39" s="267"/>
    </row>
    <row r="40" spans="1:18" ht="18" customHeight="1">
      <c r="A40" s="204">
        <v>37</v>
      </c>
      <c r="B40" s="202" t="s">
        <v>1305</v>
      </c>
      <c r="C40" s="202"/>
      <c r="D40" s="202" t="s">
        <v>7</v>
      </c>
      <c r="E40" s="300">
        <v>68</v>
      </c>
      <c r="F40" s="210">
        <v>68</v>
      </c>
      <c r="G40" s="203" t="s">
        <v>451</v>
      </c>
      <c r="H40" s="203" t="s">
        <v>452</v>
      </c>
      <c r="I40" s="276"/>
      <c r="J40" s="263" t="str">
        <f t="shared" si="0"/>
        <v>전공</v>
      </c>
      <c r="K40" s="266">
        <v>7820</v>
      </c>
      <c r="L40" s="265"/>
      <c r="M40" s="265"/>
      <c r="N40" s="265"/>
      <c r="O40" s="265"/>
      <c r="P40" s="265"/>
      <c r="Q40" s="265"/>
      <c r="R40" s="267"/>
    </row>
    <row r="41" spans="1:18" ht="18" customHeight="1">
      <c r="A41" s="204">
        <v>38</v>
      </c>
      <c r="B41" s="202" t="s">
        <v>1306</v>
      </c>
      <c r="C41" s="202"/>
      <c r="D41" s="202" t="s">
        <v>7</v>
      </c>
      <c r="E41" s="300">
        <v>251</v>
      </c>
      <c r="F41" s="210">
        <v>251</v>
      </c>
      <c r="G41" s="203" t="s">
        <v>451</v>
      </c>
      <c r="H41" s="203" t="s">
        <v>452</v>
      </c>
      <c r="I41" s="276"/>
      <c r="J41" s="263" t="str">
        <f t="shared" si="0"/>
        <v>전공</v>
      </c>
      <c r="K41" s="266">
        <v>7820</v>
      </c>
      <c r="L41" s="265"/>
      <c r="M41" s="265"/>
      <c r="N41" s="265"/>
      <c r="O41" s="265"/>
      <c r="P41" s="265"/>
      <c r="Q41" s="265"/>
      <c r="R41" s="267"/>
    </row>
    <row r="42" spans="1:18" ht="18" customHeight="1">
      <c r="A42" s="204">
        <v>39</v>
      </c>
      <c r="B42" s="202" t="s">
        <v>1307</v>
      </c>
      <c r="C42" s="202"/>
      <c r="D42" s="202" t="s">
        <v>7</v>
      </c>
      <c r="E42" s="300">
        <v>994</v>
      </c>
      <c r="F42" s="210">
        <v>994</v>
      </c>
      <c r="G42" s="203" t="s">
        <v>451</v>
      </c>
      <c r="H42" s="203" t="s">
        <v>452</v>
      </c>
      <c r="I42" s="276"/>
      <c r="J42" s="263" t="str">
        <f t="shared" si="0"/>
        <v>전공</v>
      </c>
      <c r="K42" s="266">
        <v>7360</v>
      </c>
      <c r="L42" s="265" t="s">
        <v>97</v>
      </c>
      <c r="M42" s="265"/>
      <c r="N42" s="265"/>
      <c r="O42" s="265"/>
      <c r="P42" s="265"/>
      <c r="Q42" s="265"/>
      <c r="R42" s="267"/>
    </row>
    <row r="43" spans="1:18" ht="18" customHeight="1">
      <c r="A43" s="204">
        <v>40</v>
      </c>
      <c r="B43" s="202" t="s">
        <v>1308</v>
      </c>
      <c r="C43" s="202"/>
      <c r="D43" s="202" t="s">
        <v>93</v>
      </c>
      <c r="E43" s="300">
        <v>665</v>
      </c>
      <c r="F43" s="210">
        <v>665</v>
      </c>
      <c r="G43" s="203" t="s">
        <v>451</v>
      </c>
      <c r="H43" s="203" t="s">
        <v>452</v>
      </c>
      <c r="I43" s="276"/>
      <c r="J43" s="263" t="str">
        <f t="shared" si="0"/>
        <v>임공</v>
      </c>
      <c r="K43" s="266">
        <v>7200</v>
      </c>
      <c r="L43" s="265"/>
      <c r="M43" s="265"/>
      <c r="N43" s="265"/>
      <c r="O43" s="265"/>
      <c r="P43" s="265"/>
      <c r="Q43" s="265"/>
      <c r="R43" s="267"/>
    </row>
    <row r="44" spans="1:18" ht="18" customHeight="1">
      <c r="A44" s="204">
        <v>41</v>
      </c>
      <c r="B44" s="202" t="s">
        <v>1309</v>
      </c>
      <c r="C44" s="202"/>
      <c r="D44" s="202" t="s">
        <v>93</v>
      </c>
      <c r="E44" s="300">
        <v>1255</v>
      </c>
      <c r="F44" s="210">
        <v>988</v>
      </c>
      <c r="G44" s="203" t="s">
        <v>451</v>
      </c>
      <c r="H44" s="203" t="s">
        <v>452</v>
      </c>
      <c r="I44" s="276"/>
      <c r="J44" s="263" t="str">
        <f t="shared" si="0"/>
        <v>임공</v>
      </c>
      <c r="K44" s="266">
        <v>5340</v>
      </c>
      <c r="L44" s="265"/>
      <c r="M44" s="265"/>
      <c r="N44" s="265"/>
      <c r="O44" s="265"/>
      <c r="P44" s="265"/>
      <c r="Q44" s="265"/>
      <c r="R44" s="267"/>
    </row>
    <row r="45" spans="1:18" ht="18" customHeight="1">
      <c r="A45" s="204">
        <v>43</v>
      </c>
      <c r="B45" s="202" t="s">
        <v>1310</v>
      </c>
      <c r="C45" s="202"/>
      <c r="D45" s="202" t="s">
        <v>93</v>
      </c>
      <c r="E45" s="300">
        <v>375</v>
      </c>
      <c r="F45" s="210">
        <v>375</v>
      </c>
      <c r="G45" s="203" t="s">
        <v>451</v>
      </c>
      <c r="H45" s="203" t="s">
        <v>452</v>
      </c>
      <c r="I45" s="276"/>
      <c r="J45" s="263" t="str">
        <f t="shared" si="0"/>
        <v>임공</v>
      </c>
      <c r="K45" s="266">
        <v>4990</v>
      </c>
      <c r="L45" s="265"/>
      <c r="M45" s="265"/>
      <c r="N45" s="265"/>
      <c r="O45" s="265"/>
      <c r="P45" s="265"/>
      <c r="Q45" s="265"/>
      <c r="R45" s="267"/>
    </row>
    <row r="46" spans="1:18" ht="18" customHeight="1">
      <c r="A46" s="204">
        <v>44</v>
      </c>
      <c r="B46" s="202" t="s">
        <v>1311</v>
      </c>
      <c r="C46" s="202"/>
      <c r="D46" s="202" t="s">
        <v>93</v>
      </c>
      <c r="E46" s="300">
        <v>2117</v>
      </c>
      <c r="F46" s="210">
        <v>2117</v>
      </c>
      <c r="G46" s="203" t="s">
        <v>451</v>
      </c>
      <c r="H46" s="203" t="s">
        <v>452</v>
      </c>
      <c r="I46" s="276"/>
      <c r="J46" s="263" t="str">
        <f t="shared" si="0"/>
        <v>임공</v>
      </c>
      <c r="K46" s="266">
        <v>8570</v>
      </c>
      <c r="L46" s="265"/>
      <c r="M46" s="265"/>
      <c r="N46" s="265"/>
      <c r="O46" s="265"/>
      <c r="P46" s="265"/>
      <c r="Q46" s="265"/>
      <c r="R46" s="267"/>
    </row>
    <row r="47" spans="1:18" ht="18" customHeight="1">
      <c r="A47" s="204">
        <v>45</v>
      </c>
      <c r="B47" s="202" t="s">
        <v>1312</v>
      </c>
      <c r="C47" s="202"/>
      <c r="D47" s="202" t="s">
        <v>455</v>
      </c>
      <c r="E47" s="300">
        <v>355</v>
      </c>
      <c r="F47" s="210">
        <v>355</v>
      </c>
      <c r="G47" s="203" t="s">
        <v>451</v>
      </c>
      <c r="H47" s="203" t="s">
        <v>537</v>
      </c>
      <c r="I47" s="276"/>
      <c r="J47" s="263" t="str">
        <f t="shared" si="0"/>
        <v>도공</v>
      </c>
      <c r="K47" s="266"/>
      <c r="L47" s="265"/>
      <c r="M47" s="265"/>
      <c r="N47" s="265"/>
      <c r="O47" s="265"/>
      <c r="P47" s="265"/>
      <c r="Q47" s="265"/>
      <c r="R47" s="267"/>
    </row>
    <row r="48" spans="1:18" ht="18" customHeight="1">
      <c r="A48" s="204">
        <v>46</v>
      </c>
      <c r="B48" s="202" t="s">
        <v>1313</v>
      </c>
      <c r="C48" s="202"/>
      <c r="D48" s="202" t="s">
        <v>455</v>
      </c>
      <c r="E48" s="300">
        <v>23</v>
      </c>
      <c r="F48" s="210">
        <v>23</v>
      </c>
      <c r="G48" s="203" t="s">
        <v>451</v>
      </c>
      <c r="H48" s="203" t="s">
        <v>452</v>
      </c>
      <c r="I48" s="276"/>
      <c r="J48" s="263" t="str">
        <f t="shared" si="0"/>
        <v>도공</v>
      </c>
      <c r="K48" s="266"/>
      <c r="L48" s="265"/>
      <c r="M48" s="265"/>
      <c r="N48" s="265"/>
      <c r="O48" s="265"/>
      <c r="P48" s="265"/>
      <c r="Q48" s="265"/>
      <c r="R48" s="267"/>
    </row>
    <row r="49" spans="1:18" ht="18" customHeight="1">
      <c r="A49" s="204">
        <v>47</v>
      </c>
      <c r="B49" s="202" t="s">
        <v>493</v>
      </c>
      <c r="C49" s="202"/>
      <c r="D49" s="202" t="s">
        <v>455</v>
      </c>
      <c r="E49" s="300">
        <v>53</v>
      </c>
      <c r="F49" s="210">
        <v>24</v>
      </c>
      <c r="G49" s="203" t="s">
        <v>451</v>
      </c>
      <c r="H49" s="203" t="s">
        <v>537</v>
      </c>
      <c r="I49" s="276"/>
      <c r="J49" s="263" t="str">
        <f t="shared" si="0"/>
        <v>도공</v>
      </c>
      <c r="K49" s="266"/>
      <c r="L49" s="265"/>
      <c r="M49" s="265"/>
      <c r="N49" s="265"/>
      <c r="O49" s="265"/>
      <c r="P49" s="265"/>
      <c r="Q49" s="265"/>
      <c r="R49" s="267"/>
    </row>
    <row r="50" spans="1:18" ht="18" customHeight="1">
      <c r="A50" s="204">
        <v>48</v>
      </c>
      <c r="B50" s="202" t="s">
        <v>689</v>
      </c>
      <c r="C50" s="202"/>
      <c r="D50" s="202" t="s">
        <v>8</v>
      </c>
      <c r="E50" s="300">
        <v>814</v>
      </c>
      <c r="F50" s="210">
        <v>814</v>
      </c>
      <c r="G50" s="203" t="s">
        <v>451</v>
      </c>
      <c r="H50" s="203" t="s">
        <v>452</v>
      </c>
      <c r="I50" s="276"/>
      <c r="J50" s="263" t="str">
        <f t="shared" si="0"/>
        <v>답공</v>
      </c>
      <c r="K50" s="266">
        <v>7140</v>
      </c>
      <c r="L50" s="265"/>
      <c r="M50" s="265"/>
      <c r="N50" s="265"/>
      <c r="O50" s="265"/>
      <c r="P50" s="265"/>
      <c r="Q50" s="265"/>
      <c r="R50" s="267"/>
    </row>
    <row r="51" spans="1:18" ht="18" customHeight="1">
      <c r="A51" s="204">
        <v>49</v>
      </c>
      <c r="B51" s="202" t="s">
        <v>1314</v>
      </c>
      <c r="C51" s="202"/>
      <c r="D51" s="202" t="s">
        <v>8</v>
      </c>
      <c r="E51" s="300">
        <v>1048</v>
      </c>
      <c r="F51" s="210">
        <v>1048</v>
      </c>
      <c r="G51" s="203" t="s">
        <v>451</v>
      </c>
      <c r="H51" s="203" t="s">
        <v>452</v>
      </c>
      <c r="I51" s="276"/>
      <c r="J51" s="263" t="str">
        <f t="shared" si="0"/>
        <v>답공</v>
      </c>
      <c r="K51" s="266">
        <v>6610</v>
      </c>
      <c r="L51" s="265"/>
      <c r="M51" s="265"/>
      <c r="N51" s="265"/>
      <c r="O51" s="265"/>
      <c r="P51" s="265"/>
      <c r="Q51" s="265"/>
      <c r="R51" s="267"/>
    </row>
    <row r="52" spans="1:18" ht="18" customHeight="1">
      <c r="A52" s="204">
        <v>50</v>
      </c>
      <c r="B52" s="202" t="s">
        <v>1315</v>
      </c>
      <c r="C52" s="202"/>
      <c r="D52" s="202" t="s">
        <v>8</v>
      </c>
      <c r="E52" s="300">
        <v>269</v>
      </c>
      <c r="F52" s="210">
        <v>269</v>
      </c>
      <c r="G52" s="203" t="s">
        <v>451</v>
      </c>
      <c r="H52" s="203" t="s">
        <v>452</v>
      </c>
      <c r="I52" s="276"/>
      <c r="J52" s="263" t="str">
        <f t="shared" si="0"/>
        <v>답공</v>
      </c>
      <c r="K52" s="266">
        <v>6610</v>
      </c>
      <c r="L52" s="265"/>
      <c r="M52" s="265"/>
      <c r="N52" s="265"/>
      <c r="O52" s="265"/>
      <c r="P52" s="265"/>
      <c r="Q52" s="265"/>
      <c r="R52" s="267"/>
    </row>
    <row r="53" spans="1:18" ht="18" customHeight="1">
      <c r="A53" s="204">
        <v>51</v>
      </c>
      <c r="B53" s="202" t="s">
        <v>1316</v>
      </c>
      <c r="C53" s="202"/>
      <c r="D53" s="202" t="s">
        <v>8</v>
      </c>
      <c r="E53" s="300">
        <v>139</v>
      </c>
      <c r="F53" s="210">
        <v>139</v>
      </c>
      <c r="G53" s="203" t="s">
        <v>451</v>
      </c>
      <c r="H53" s="203" t="s">
        <v>452</v>
      </c>
      <c r="I53" s="276"/>
      <c r="J53" s="263" t="str">
        <f t="shared" si="0"/>
        <v>답공</v>
      </c>
      <c r="K53" s="266">
        <v>6610</v>
      </c>
      <c r="L53" s="265"/>
      <c r="M53" s="265"/>
      <c r="N53" s="265"/>
      <c r="O53" s="265"/>
      <c r="P53" s="265"/>
      <c r="Q53" s="265"/>
      <c r="R53" s="267"/>
    </row>
    <row r="54" spans="1:18" ht="18" customHeight="1">
      <c r="A54" s="204">
        <v>52</v>
      </c>
      <c r="B54" s="202" t="s">
        <v>1317</v>
      </c>
      <c r="C54" s="202"/>
      <c r="D54" s="202" t="s">
        <v>7</v>
      </c>
      <c r="E54" s="300">
        <v>921</v>
      </c>
      <c r="F54" s="210">
        <v>921</v>
      </c>
      <c r="G54" s="203" t="s">
        <v>451</v>
      </c>
      <c r="H54" s="203" t="s">
        <v>452</v>
      </c>
      <c r="I54" s="276"/>
      <c r="J54" s="263" t="str">
        <f t="shared" si="0"/>
        <v>전공</v>
      </c>
      <c r="K54" s="266">
        <v>7540</v>
      </c>
      <c r="L54" s="265"/>
      <c r="M54" s="265"/>
      <c r="N54" s="265"/>
      <c r="O54" s="265"/>
      <c r="P54" s="265"/>
      <c r="Q54" s="265"/>
      <c r="R54" s="267"/>
    </row>
    <row r="55" spans="1:18" ht="18" customHeight="1">
      <c r="A55" s="204">
        <v>53</v>
      </c>
      <c r="B55" s="202" t="s">
        <v>1318</v>
      </c>
      <c r="C55" s="202"/>
      <c r="D55" s="202" t="s">
        <v>8</v>
      </c>
      <c r="E55" s="300">
        <v>464</v>
      </c>
      <c r="F55" s="210">
        <v>464</v>
      </c>
      <c r="G55" s="203" t="s">
        <v>451</v>
      </c>
      <c r="H55" s="203" t="s">
        <v>452</v>
      </c>
      <c r="I55" s="276"/>
      <c r="J55" s="263" t="str">
        <f t="shared" si="0"/>
        <v>답공</v>
      </c>
      <c r="K55" s="266">
        <v>7290</v>
      </c>
      <c r="L55" s="265"/>
      <c r="M55" s="265"/>
      <c r="N55" s="265"/>
      <c r="O55" s="265"/>
      <c r="P55" s="265"/>
      <c r="Q55" s="265"/>
      <c r="R55" s="267"/>
    </row>
    <row r="56" spans="1:18" ht="18" customHeight="1">
      <c r="A56" s="204">
        <v>54</v>
      </c>
      <c r="B56" s="202" t="s">
        <v>1319</v>
      </c>
      <c r="C56" s="202"/>
      <c r="D56" s="202" t="s">
        <v>462</v>
      </c>
      <c r="E56" s="300"/>
      <c r="F56" s="210">
        <v>171</v>
      </c>
      <c r="G56" s="203" t="s">
        <v>451</v>
      </c>
      <c r="H56" s="203" t="s">
        <v>452</v>
      </c>
      <c r="I56" s="276"/>
      <c r="J56" s="263" t="str">
        <f t="shared" si="0"/>
        <v>구공</v>
      </c>
      <c r="K56" s="266"/>
      <c r="L56" s="265"/>
      <c r="M56" s="265"/>
      <c r="N56" s="265"/>
      <c r="O56" s="265"/>
      <c r="P56" s="265"/>
      <c r="Q56" s="265"/>
      <c r="R56" s="267"/>
    </row>
    <row r="57" spans="1:18" ht="18" customHeight="1">
      <c r="A57" s="204">
        <v>55</v>
      </c>
      <c r="B57" s="202" t="s">
        <v>1320</v>
      </c>
      <c r="C57" s="202"/>
      <c r="D57" s="202" t="s">
        <v>7</v>
      </c>
      <c r="E57" s="300">
        <v>1063</v>
      </c>
      <c r="F57" s="210">
        <v>1063</v>
      </c>
      <c r="G57" s="203" t="s">
        <v>451</v>
      </c>
      <c r="H57" s="203" t="s">
        <v>452</v>
      </c>
      <c r="I57" s="276"/>
      <c r="J57" s="263" t="str">
        <f t="shared" si="0"/>
        <v>전공</v>
      </c>
      <c r="K57" s="266">
        <v>8000</v>
      </c>
      <c r="L57" s="265"/>
      <c r="M57" s="265"/>
      <c r="N57" s="265"/>
      <c r="O57" s="265"/>
      <c r="P57" s="265"/>
      <c r="Q57" s="265"/>
      <c r="R57" s="267"/>
    </row>
    <row r="58" spans="1:18" ht="18" customHeight="1">
      <c r="A58" s="204">
        <v>56</v>
      </c>
      <c r="B58" s="202" t="s">
        <v>1321</v>
      </c>
      <c r="C58" s="202"/>
      <c r="D58" s="202" t="s">
        <v>93</v>
      </c>
      <c r="E58" s="300">
        <v>2</v>
      </c>
      <c r="F58" s="210">
        <v>2</v>
      </c>
      <c r="G58" s="203" t="s">
        <v>451</v>
      </c>
      <c r="H58" s="203" t="s">
        <v>452</v>
      </c>
      <c r="I58" s="276"/>
      <c r="J58" s="263" t="str">
        <f t="shared" si="0"/>
        <v>임공</v>
      </c>
      <c r="K58" s="266">
        <v>5340</v>
      </c>
      <c r="L58" s="265"/>
      <c r="M58" s="265"/>
      <c r="N58" s="265"/>
      <c r="O58" s="265"/>
      <c r="P58" s="265"/>
      <c r="Q58" s="265"/>
      <c r="R58" s="267"/>
    </row>
    <row r="59" spans="1:18" ht="18" customHeight="1">
      <c r="A59" s="204">
        <v>57</v>
      </c>
      <c r="B59" s="202" t="s">
        <v>1322</v>
      </c>
      <c r="C59" s="202"/>
      <c r="D59" s="202" t="s">
        <v>93</v>
      </c>
      <c r="E59" s="300">
        <v>12</v>
      </c>
      <c r="F59" s="210">
        <v>12</v>
      </c>
      <c r="G59" s="203" t="s">
        <v>451</v>
      </c>
      <c r="H59" s="203" t="s">
        <v>452</v>
      </c>
      <c r="I59" s="276"/>
      <c r="J59" s="263" t="str">
        <f t="shared" si="0"/>
        <v>임공</v>
      </c>
      <c r="K59" s="266">
        <v>5340</v>
      </c>
      <c r="L59" s="265"/>
      <c r="M59" s="265"/>
      <c r="N59" s="265"/>
      <c r="O59" s="265"/>
      <c r="P59" s="265"/>
      <c r="Q59" s="265"/>
      <c r="R59" s="267"/>
    </row>
    <row r="60" spans="1:18" ht="18" customHeight="1">
      <c r="A60" s="204">
        <v>58</v>
      </c>
      <c r="B60" s="202" t="s">
        <v>1323</v>
      </c>
      <c r="C60" s="202"/>
      <c r="D60" s="202" t="s">
        <v>93</v>
      </c>
      <c r="E60" s="300">
        <v>3853</v>
      </c>
      <c r="F60" s="210">
        <v>3853</v>
      </c>
      <c r="G60" s="203" t="s">
        <v>451</v>
      </c>
      <c r="H60" s="203" t="s">
        <v>452</v>
      </c>
      <c r="I60" s="276"/>
      <c r="J60" s="263" t="str">
        <f t="shared" si="0"/>
        <v>임공</v>
      </c>
      <c r="K60" s="266">
        <v>7000</v>
      </c>
      <c r="L60" s="265"/>
      <c r="M60" s="265"/>
      <c r="N60" s="265"/>
      <c r="O60" s="265"/>
      <c r="P60" s="265"/>
      <c r="Q60" s="265"/>
      <c r="R60" s="267"/>
    </row>
    <row r="61" spans="1:18" ht="18" customHeight="1">
      <c r="A61" s="204">
        <v>59</v>
      </c>
      <c r="B61" s="202" t="s">
        <v>1324</v>
      </c>
      <c r="C61" s="202"/>
      <c r="D61" s="202" t="s">
        <v>93</v>
      </c>
      <c r="E61" s="300">
        <v>2379</v>
      </c>
      <c r="F61" s="210">
        <v>2379</v>
      </c>
      <c r="G61" s="203" t="s">
        <v>451</v>
      </c>
      <c r="H61" s="203" t="s">
        <v>452</v>
      </c>
      <c r="I61" s="276"/>
      <c r="J61" s="263" t="str">
        <f t="shared" si="0"/>
        <v>임공</v>
      </c>
      <c r="K61" s="266">
        <v>7000</v>
      </c>
      <c r="L61" s="265"/>
      <c r="M61" s="265"/>
      <c r="N61" s="265"/>
      <c r="O61" s="265"/>
      <c r="P61" s="265"/>
      <c r="Q61" s="265"/>
      <c r="R61" s="267"/>
    </row>
    <row r="62" spans="1:18" ht="18" customHeight="1">
      <c r="A62" s="204">
        <v>60</v>
      </c>
      <c r="B62" s="202" t="s">
        <v>1036</v>
      </c>
      <c r="C62" s="202"/>
      <c r="D62" s="202" t="s">
        <v>93</v>
      </c>
      <c r="E62" s="300">
        <v>2364</v>
      </c>
      <c r="F62" s="210">
        <v>2364</v>
      </c>
      <c r="G62" s="203" t="s">
        <v>451</v>
      </c>
      <c r="H62" s="203" t="s">
        <v>452</v>
      </c>
      <c r="I62" s="276"/>
      <c r="J62" s="263" t="str">
        <f t="shared" si="0"/>
        <v>임공</v>
      </c>
      <c r="K62" s="266">
        <v>7210</v>
      </c>
      <c r="L62" s="265"/>
      <c r="M62" s="265"/>
      <c r="N62" s="265"/>
      <c r="O62" s="265"/>
      <c r="P62" s="265"/>
      <c r="Q62" s="265"/>
      <c r="R62" s="267"/>
    </row>
    <row r="63" spans="1:18" ht="18" customHeight="1">
      <c r="A63" s="204">
        <v>61</v>
      </c>
      <c r="B63" s="202" t="s">
        <v>1037</v>
      </c>
      <c r="C63" s="202"/>
      <c r="D63" s="202" t="s">
        <v>93</v>
      </c>
      <c r="E63" s="300">
        <v>12358</v>
      </c>
      <c r="F63" s="210">
        <v>12358</v>
      </c>
      <c r="G63" s="203" t="s">
        <v>451</v>
      </c>
      <c r="H63" s="203" t="s">
        <v>452</v>
      </c>
      <c r="I63" s="276"/>
      <c r="J63" s="263" t="str">
        <f t="shared" si="0"/>
        <v>임공</v>
      </c>
      <c r="K63" s="266">
        <v>5400</v>
      </c>
      <c r="L63" s="265"/>
      <c r="M63" s="265"/>
      <c r="N63" s="265"/>
      <c r="O63" s="265"/>
      <c r="P63" s="265"/>
      <c r="Q63" s="265"/>
      <c r="R63" s="267"/>
    </row>
    <row r="64" spans="1:18" ht="18" customHeight="1">
      <c r="A64" s="204">
        <v>62</v>
      </c>
      <c r="B64" s="202" t="s">
        <v>1325</v>
      </c>
      <c r="C64" s="202"/>
      <c r="D64" s="202" t="s">
        <v>462</v>
      </c>
      <c r="E64" s="300">
        <v>262.89999999999998</v>
      </c>
      <c r="F64" s="210">
        <v>262.89999999999998</v>
      </c>
      <c r="G64" s="203" t="s">
        <v>511</v>
      </c>
      <c r="H64" s="203" t="s">
        <v>512</v>
      </c>
      <c r="I64" s="276"/>
      <c r="J64" s="263" t="str">
        <f t="shared" si="0"/>
        <v>구국</v>
      </c>
      <c r="K64" s="266"/>
      <c r="L64" s="265"/>
      <c r="M64" s="265"/>
      <c r="N64" s="265"/>
      <c r="O64" s="265"/>
      <c r="P64" s="265"/>
      <c r="Q64" s="265"/>
      <c r="R64" s="267"/>
    </row>
    <row r="65" spans="1:18" ht="18" customHeight="1">
      <c r="A65" s="204">
        <v>63</v>
      </c>
      <c r="B65" s="202" t="s">
        <v>1326</v>
      </c>
      <c r="C65" s="202"/>
      <c r="D65" s="202" t="s">
        <v>8</v>
      </c>
      <c r="E65" s="300">
        <v>1322.1</v>
      </c>
      <c r="F65" s="210">
        <v>1322.1</v>
      </c>
      <c r="G65" s="203" t="s">
        <v>451</v>
      </c>
      <c r="H65" s="203" t="s">
        <v>452</v>
      </c>
      <c r="I65" s="276"/>
      <c r="J65" s="263" t="str">
        <f t="shared" si="0"/>
        <v>답공</v>
      </c>
      <c r="K65" s="266">
        <v>8000</v>
      </c>
      <c r="L65" s="265"/>
      <c r="M65" s="265"/>
      <c r="N65" s="265"/>
      <c r="O65" s="265"/>
      <c r="P65" s="265"/>
      <c r="Q65" s="265"/>
      <c r="R65" s="267"/>
    </row>
    <row r="66" spans="1:18" ht="18" customHeight="1">
      <c r="A66" s="204">
        <v>64</v>
      </c>
      <c r="B66" s="202" t="s">
        <v>1327</v>
      </c>
      <c r="C66" s="202"/>
      <c r="D66" s="202" t="s">
        <v>8</v>
      </c>
      <c r="E66" s="300">
        <v>2721</v>
      </c>
      <c r="F66" s="210">
        <v>2721</v>
      </c>
      <c r="G66" s="203" t="s">
        <v>451</v>
      </c>
      <c r="H66" s="203" t="s">
        <v>452</v>
      </c>
      <c r="I66" s="276"/>
      <c r="J66" s="263" t="str">
        <f t="shared" si="0"/>
        <v>답공</v>
      </c>
      <c r="K66" s="266">
        <v>8000</v>
      </c>
      <c r="L66" s="265"/>
      <c r="M66" s="265"/>
      <c r="N66" s="265"/>
      <c r="O66" s="265"/>
      <c r="P66" s="265"/>
      <c r="Q66" s="265"/>
      <c r="R66" s="267"/>
    </row>
    <row r="67" spans="1:18" ht="18" customHeight="1">
      <c r="A67" s="204">
        <v>65</v>
      </c>
      <c r="B67" s="202" t="s">
        <v>1328</v>
      </c>
      <c r="C67" s="202"/>
      <c r="D67" s="202" t="s">
        <v>8</v>
      </c>
      <c r="E67" s="300">
        <v>3286.4</v>
      </c>
      <c r="F67" s="210">
        <v>3286.4</v>
      </c>
      <c r="G67" s="203" t="s">
        <v>451</v>
      </c>
      <c r="H67" s="203" t="s">
        <v>452</v>
      </c>
      <c r="I67" s="276"/>
      <c r="J67" s="263" t="str">
        <f t="shared" si="0"/>
        <v>답공</v>
      </c>
      <c r="K67" s="266">
        <v>8000</v>
      </c>
      <c r="L67" s="265"/>
      <c r="M67" s="265"/>
      <c r="N67" s="265"/>
      <c r="O67" s="265"/>
      <c r="P67" s="265"/>
      <c r="Q67" s="265"/>
      <c r="R67" s="267"/>
    </row>
    <row r="68" spans="1:18" ht="18" customHeight="1">
      <c r="A68" s="204">
        <v>66</v>
      </c>
      <c r="B68" s="202" t="s">
        <v>1329</v>
      </c>
      <c r="C68" s="202"/>
      <c r="D68" s="202" t="s">
        <v>8</v>
      </c>
      <c r="E68" s="300">
        <v>1494.1</v>
      </c>
      <c r="F68" s="210">
        <v>1494.1</v>
      </c>
      <c r="G68" s="203" t="s">
        <v>451</v>
      </c>
      <c r="H68" s="203" t="s">
        <v>452</v>
      </c>
      <c r="I68" s="276"/>
      <c r="J68" s="263" t="str">
        <f t="shared" si="0"/>
        <v>답공</v>
      </c>
      <c r="K68" s="266">
        <v>8000</v>
      </c>
      <c r="L68" s="265"/>
      <c r="M68" s="265"/>
      <c r="N68" s="265"/>
      <c r="O68" s="265"/>
      <c r="P68" s="265"/>
      <c r="Q68" s="265"/>
      <c r="R68" s="267"/>
    </row>
    <row r="69" spans="1:18" ht="18" customHeight="1">
      <c r="A69" s="204">
        <v>67</v>
      </c>
      <c r="B69" s="202" t="s">
        <v>1330</v>
      </c>
      <c r="C69" s="202"/>
      <c r="D69" s="202" t="s">
        <v>8</v>
      </c>
      <c r="E69" s="300">
        <v>1139.2</v>
      </c>
      <c r="F69" s="210">
        <v>1139.2</v>
      </c>
      <c r="G69" s="203" t="s">
        <v>451</v>
      </c>
      <c r="H69" s="203" t="s">
        <v>452</v>
      </c>
      <c r="I69" s="276"/>
      <c r="J69" s="263" t="str">
        <f t="shared" si="0"/>
        <v>답공</v>
      </c>
      <c r="K69" s="266">
        <v>8000</v>
      </c>
      <c r="L69" s="265"/>
      <c r="M69" s="265"/>
      <c r="N69" s="265"/>
      <c r="O69" s="265"/>
      <c r="P69" s="265"/>
      <c r="Q69" s="265"/>
      <c r="R69" s="267"/>
    </row>
    <row r="70" spans="1:18" ht="18" customHeight="1">
      <c r="A70" s="204">
        <v>68</v>
      </c>
      <c r="B70" s="202" t="s">
        <v>1331</v>
      </c>
      <c r="C70" s="202"/>
      <c r="D70" s="202" t="s">
        <v>8</v>
      </c>
      <c r="E70" s="300">
        <v>1477.2</v>
      </c>
      <c r="F70" s="210">
        <v>1477.2</v>
      </c>
      <c r="G70" s="203" t="s">
        <v>451</v>
      </c>
      <c r="H70" s="203" t="s">
        <v>452</v>
      </c>
      <c r="I70" s="276"/>
      <c r="J70" s="263" t="str">
        <f t="shared" ref="J70:J128" si="1">CONCATENATE(D70,G70)</f>
        <v>답공</v>
      </c>
      <c r="K70" s="266">
        <v>8000</v>
      </c>
      <c r="L70" s="265"/>
      <c r="M70" s="265"/>
      <c r="N70" s="265"/>
      <c r="O70" s="265"/>
      <c r="P70" s="265"/>
      <c r="Q70" s="265"/>
      <c r="R70" s="267"/>
    </row>
    <row r="71" spans="1:18" ht="18" customHeight="1">
      <c r="A71" s="204">
        <v>69</v>
      </c>
      <c r="B71" s="202" t="s">
        <v>1332</v>
      </c>
      <c r="C71" s="202"/>
      <c r="D71" s="202" t="s">
        <v>8</v>
      </c>
      <c r="E71" s="300">
        <v>1127</v>
      </c>
      <c r="F71" s="210">
        <v>1127</v>
      </c>
      <c r="G71" s="203" t="s">
        <v>451</v>
      </c>
      <c r="H71" s="203" t="s">
        <v>452</v>
      </c>
      <c r="I71" s="276"/>
      <c r="J71" s="263" t="str">
        <f t="shared" si="1"/>
        <v>답공</v>
      </c>
      <c r="K71" s="266">
        <v>8000</v>
      </c>
      <c r="L71" s="265"/>
      <c r="M71" s="265"/>
      <c r="N71" s="265"/>
      <c r="O71" s="265"/>
      <c r="P71" s="265"/>
      <c r="Q71" s="265"/>
      <c r="R71" s="267"/>
    </row>
    <row r="72" spans="1:18" ht="18" customHeight="1">
      <c r="A72" s="204">
        <v>70</v>
      </c>
      <c r="B72" s="202" t="s">
        <v>1333</v>
      </c>
      <c r="C72" s="202"/>
      <c r="D72" s="202" t="s">
        <v>8</v>
      </c>
      <c r="E72" s="300">
        <v>1455.7</v>
      </c>
      <c r="F72" s="210">
        <v>1455.7</v>
      </c>
      <c r="G72" s="203" t="s">
        <v>451</v>
      </c>
      <c r="H72" s="203" t="s">
        <v>452</v>
      </c>
      <c r="I72" s="276"/>
      <c r="J72" s="263" t="str">
        <f t="shared" si="1"/>
        <v>답공</v>
      </c>
      <c r="K72" s="266">
        <v>8000</v>
      </c>
      <c r="L72" s="265"/>
      <c r="M72" s="265"/>
      <c r="N72" s="265"/>
      <c r="O72" s="265"/>
      <c r="P72" s="265"/>
      <c r="Q72" s="265"/>
      <c r="R72" s="267"/>
    </row>
    <row r="73" spans="1:18" ht="18" customHeight="1">
      <c r="A73" s="204">
        <v>71</v>
      </c>
      <c r="B73" s="202" t="s">
        <v>1334</v>
      </c>
      <c r="C73" s="202"/>
      <c r="D73" s="202" t="s">
        <v>8</v>
      </c>
      <c r="E73" s="300">
        <v>971.6</v>
      </c>
      <c r="F73" s="210">
        <v>971.6</v>
      </c>
      <c r="G73" s="203" t="s">
        <v>451</v>
      </c>
      <c r="H73" s="203" t="s">
        <v>452</v>
      </c>
      <c r="I73" s="276"/>
      <c r="J73" s="263" t="str">
        <f t="shared" si="1"/>
        <v>답공</v>
      </c>
      <c r="K73" s="266">
        <v>8000</v>
      </c>
      <c r="L73" s="265"/>
      <c r="M73" s="265"/>
      <c r="N73" s="265"/>
      <c r="O73" s="265"/>
      <c r="P73" s="265"/>
      <c r="Q73" s="265"/>
      <c r="R73" s="267"/>
    </row>
    <row r="74" spans="1:18" ht="18" customHeight="1">
      <c r="A74" s="204">
        <v>72</v>
      </c>
      <c r="B74" s="202" t="s">
        <v>1335</v>
      </c>
      <c r="C74" s="202"/>
      <c r="D74" s="202" t="s">
        <v>8</v>
      </c>
      <c r="E74" s="300">
        <v>499.7</v>
      </c>
      <c r="F74" s="210">
        <v>499.7</v>
      </c>
      <c r="G74" s="203" t="s">
        <v>451</v>
      </c>
      <c r="H74" s="203" t="s">
        <v>452</v>
      </c>
      <c r="I74" s="276"/>
      <c r="J74" s="263" t="str">
        <f t="shared" si="1"/>
        <v>답공</v>
      </c>
      <c r="K74" s="266">
        <v>8000</v>
      </c>
      <c r="L74" s="265"/>
      <c r="M74" s="265"/>
      <c r="N74" s="265"/>
      <c r="O74" s="265"/>
      <c r="P74" s="265"/>
      <c r="Q74" s="265"/>
      <c r="R74" s="267"/>
    </row>
    <row r="75" spans="1:18" ht="18" customHeight="1">
      <c r="A75" s="204">
        <v>73</v>
      </c>
      <c r="B75" s="202" t="s">
        <v>1336</v>
      </c>
      <c r="C75" s="202"/>
      <c r="D75" s="202" t="s">
        <v>8</v>
      </c>
      <c r="E75" s="300">
        <v>1914.6</v>
      </c>
      <c r="F75" s="210">
        <v>1914.6</v>
      </c>
      <c r="G75" s="203" t="s">
        <v>451</v>
      </c>
      <c r="H75" s="203" t="s">
        <v>452</v>
      </c>
      <c r="I75" s="276"/>
      <c r="J75" s="263" t="str">
        <f t="shared" si="1"/>
        <v>답공</v>
      </c>
      <c r="K75" s="266">
        <v>8000</v>
      </c>
      <c r="L75" s="265"/>
      <c r="M75" s="265"/>
      <c r="N75" s="265"/>
      <c r="O75" s="265"/>
      <c r="P75" s="265"/>
      <c r="Q75" s="265"/>
      <c r="R75" s="267"/>
    </row>
    <row r="76" spans="1:18" ht="18" customHeight="1">
      <c r="A76" s="204">
        <v>74</v>
      </c>
      <c r="B76" s="202" t="s">
        <v>1337</v>
      </c>
      <c r="C76" s="202"/>
      <c r="D76" s="202" t="s">
        <v>455</v>
      </c>
      <c r="E76" s="300">
        <v>1548.8</v>
      </c>
      <c r="F76" s="210">
        <v>1548.8</v>
      </c>
      <c r="G76" s="203" t="s">
        <v>511</v>
      </c>
      <c r="H76" s="203" t="s">
        <v>512</v>
      </c>
      <c r="I76" s="276"/>
      <c r="J76" s="263" t="str">
        <f t="shared" si="1"/>
        <v>도국</v>
      </c>
      <c r="K76" s="266"/>
      <c r="L76" s="265"/>
      <c r="M76" s="265"/>
      <c r="N76" s="265"/>
      <c r="O76" s="265"/>
      <c r="P76" s="265"/>
      <c r="Q76" s="265"/>
      <c r="R76" s="267"/>
    </row>
    <row r="77" spans="1:18" ht="18" customHeight="1">
      <c r="A77" s="204">
        <v>75</v>
      </c>
      <c r="B77" s="202" t="s">
        <v>1338</v>
      </c>
      <c r="C77" s="202"/>
      <c r="D77" s="202" t="s">
        <v>1390</v>
      </c>
      <c r="E77" s="300">
        <v>597.9</v>
      </c>
      <c r="F77" s="210">
        <v>597.9</v>
      </c>
      <c r="G77" s="203" t="s">
        <v>511</v>
      </c>
      <c r="H77" s="203" t="s">
        <v>514</v>
      </c>
      <c r="I77" s="276"/>
      <c r="J77" s="263" t="str">
        <f t="shared" si="1"/>
        <v>천국</v>
      </c>
      <c r="K77" s="266"/>
      <c r="L77" s="265"/>
      <c r="M77" s="265"/>
      <c r="N77" s="265"/>
      <c r="O77" s="265"/>
      <c r="P77" s="265"/>
      <c r="Q77" s="265"/>
      <c r="R77" s="267"/>
    </row>
    <row r="78" spans="1:18" ht="18" customHeight="1">
      <c r="A78" s="204">
        <v>76</v>
      </c>
      <c r="B78" s="202" t="s">
        <v>1339</v>
      </c>
      <c r="C78" s="202"/>
      <c r="D78" s="202" t="s">
        <v>8</v>
      </c>
      <c r="E78" s="300">
        <v>2258.5</v>
      </c>
      <c r="F78" s="210">
        <v>2258.5</v>
      </c>
      <c r="G78" s="203" t="s">
        <v>451</v>
      </c>
      <c r="H78" s="203" t="s">
        <v>452</v>
      </c>
      <c r="I78" s="276"/>
      <c r="J78" s="263" t="str">
        <f t="shared" si="1"/>
        <v>답공</v>
      </c>
      <c r="K78" s="266">
        <v>8000</v>
      </c>
      <c r="L78" s="265"/>
      <c r="M78" s="265"/>
      <c r="N78" s="265"/>
      <c r="O78" s="265"/>
      <c r="P78" s="265"/>
      <c r="Q78" s="265"/>
      <c r="R78" s="267"/>
    </row>
    <row r="79" spans="1:18" ht="18" customHeight="1">
      <c r="A79" s="204">
        <v>77</v>
      </c>
      <c r="B79" s="202" t="s">
        <v>1340</v>
      </c>
      <c r="C79" s="202"/>
      <c r="D79" s="202" t="s">
        <v>93</v>
      </c>
      <c r="E79" s="300">
        <v>82</v>
      </c>
      <c r="F79" s="210">
        <v>82</v>
      </c>
      <c r="G79" s="203" t="s">
        <v>451</v>
      </c>
      <c r="H79" s="203" t="s">
        <v>452</v>
      </c>
      <c r="I79" s="276"/>
      <c r="J79" s="263" t="str">
        <f t="shared" si="1"/>
        <v>임공</v>
      </c>
      <c r="K79" s="266">
        <v>5340</v>
      </c>
      <c r="L79" s="265"/>
      <c r="M79" s="265"/>
      <c r="N79" s="265"/>
      <c r="O79" s="265"/>
      <c r="P79" s="265"/>
      <c r="Q79" s="265"/>
      <c r="R79" s="267"/>
    </row>
    <row r="80" spans="1:18" ht="18" customHeight="1">
      <c r="A80" s="204">
        <v>78</v>
      </c>
      <c r="B80" s="202" t="s">
        <v>1341</v>
      </c>
      <c r="C80" s="202"/>
      <c r="D80" s="202" t="s">
        <v>93</v>
      </c>
      <c r="E80" s="300">
        <v>327</v>
      </c>
      <c r="F80" s="210">
        <v>327</v>
      </c>
      <c r="G80" s="203" t="s">
        <v>451</v>
      </c>
      <c r="H80" s="203" t="s">
        <v>452</v>
      </c>
      <c r="I80" s="276"/>
      <c r="J80" s="263" t="str">
        <f t="shared" si="1"/>
        <v>임공</v>
      </c>
      <c r="K80" s="266">
        <v>5230</v>
      </c>
      <c r="L80" s="265"/>
      <c r="M80" s="265"/>
      <c r="N80" s="265"/>
      <c r="O80" s="265"/>
      <c r="P80" s="265"/>
      <c r="Q80" s="265"/>
      <c r="R80" s="267"/>
    </row>
    <row r="81" spans="1:18" ht="18" customHeight="1">
      <c r="A81" s="204">
        <v>79</v>
      </c>
      <c r="B81" s="202" t="s">
        <v>1342</v>
      </c>
      <c r="C81" s="202"/>
      <c r="D81" s="202" t="s">
        <v>93</v>
      </c>
      <c r="E81" s="300">
        <v>156</v>
      </c>
      <c r="F81" s="210">
        <v>156</v>
      </c>
      <c r="G81" s="203" t="s">
        <v>451</v>
      </c>
      <c r="H81" s="203" t="s">
        <v>452</v>
      </c>
      <c r="I81" s="276"/>
      <c r="J81" s="263" t="str">
        <f t="shared" si="1"/>
        <v>임공</v>
      </c>
      <c r="K81" s="266">
        <v>5070</v>
      </c>
      <c r="L81" s="265"/>
      <c r="M81" s="265"/>
      <c r="N81" s="265"/>
      <c r="O81" s="265"/>
      <c r="P81" s="265"/>
      <c r="Q81" s="265"/>
      <c r="R81" s="267"/>
    </row>
    <row r="82" spans="1:18" ht="18" customHeight="1">
      <c r="A82" s="204">
        <v>80</v>
      </c>
      <c r="B82" s="202" t="s">
        <v>1343</v>
      </c>
      <c r="C82" s="202"/>
      <c r="D82" s="202" t="s">
        <v>8</v>
      </c>
      <c r="E82" s="300">
        <v>827</v>
      </c>
      <c r="F82" s="210">
        <v>827</v>
      </c>
      <c r="G82" s="203" t="s">
        <v>451</v>
      </c>
      <c r="H82" s="203" t="s">
        <v>452</v>
      </c>
      <c r="I82" s="276"/>
      <c r="J82" s="263" t="str">
        <f t="shared" si="1"/>
        <v>답공</v>
      </c>
      <c r="K82" s="266">
        <v>7360</v>
      </c>
      <c r="L82" s="265"/>
      <c r="M82" s="265"/>
      <c r="N82" s="265"/>
      <c r="O82" s="265"/>
      <c r="P82" s="265"/>
      <c r="Q82" s="265"/>
      <c r="R82" s="267"/>
    </row>
    <row r="83" spans="1:18" ht="18" customHeight="1">
      <c r="A83" s="204">
        <v>81</v>
      </c>
      <c r="B83" s="202" t="s">
        <v>1344</v>
      </c>
      <c r="C83" s="202"/>
      <c r="D83" s="202" t="s">
        <v>462</v>
      </c>
      <c r="E83" s="300">
        <v>421.7</v>
      </c>
      <c r="F83" s="210">
        <v>421.7</v>
      </c>
      <c r="G83" s="203" t="s">
        <v>511</v>
      </c>
      <c r="H83" s="203" t="s">
        <v>512</v>
      </c>
      <c r="I83" s="276"/>
      <c r="J83" s="263" t="str">
        <f t="shared" si="1"/>
        <v>구국</v>
      </c>
      <c r="K83" s="266"/>
      <c r="L83" s="265"/>
      <c r="M83" s="265"/>
      <c r="N83" s="265"/>
      <c r="O83" s="265"/>
      <c r="P83" s="265"/>
      <c r="Q83" s="265"/>
      <c r="R83" s="267"/>
    </row>
    <row r="84" spans="1:18" ht="18" customHeight="1">
      <c r="A84" s="204">
        <v>82</v>
      </c>
      <c r="B84" s="202" t="s">
        <v>1345</v>
      </c>
      <c r="C84" s="202"/>
      <c r="D84" s="202" t="s">
        <v>455</v>
      </c>
      <c r="E84" s="300">
        <v>1082</v>
      </c>
      <c r="F84" s="210">
        <v>1082</v>
      </c>
      <c r="G84" s="203" t="s">
        <v>511</v>
      </c>
      <c r="H84" s="203" t="s">
        <v>512</v>
      </c>
      <c r="I84" s="276"/>
      <c r="J84" s="263" t="str">
        <f t="shared" si="1"/>
        <v>도국</v>
      </c>
      <c r="K84" s="266"/>
      <c r="L84" s="265"/>
      <c r="M84" s="265"/>
      <c r="N84" s="265"/>
      <c r="O84" s="265"/>
      <c r="P84" s="265"/>
      <c r="Q84" s="265"/>
      <c r="R84" s="267"/>
    </row>
    <row r="85" spans="1:18" ht="18" customHeight="1">
      <c r="A85" s="204">
        <v>83</v>
      </c>
      <c r="B85" s="202" t="s">
        <v>1346</v>
      </c>
      <c r="C85" s="202"/>
      <c r="D85" s="202" t="s">
        <v>8</v>
      </c>
      <c r="E85" s="300">
        <v>1075.5999999999999</v>
      </c>
      <c r="F85" s="210">
        <v>1075.5999999999999</v>
      </c>
      <c r="G85" s="203" t="s">
        <v>451</v>
      </c>
      <c r="H85" s="203" t="s">
        <v>452</v>
      </c>
      <c r="I85" s="276"/>
      <c r="J85" s="263" t="str">
        <f t="shared" si="1"/>
        <v>답공</v>
      </c>
      <c r="K85" s="266">
        <v>8000</v>
      </c>
      <c r="L85" s="265"/>
      <c r="M85" s="265"/>
      <c r="N85" s="265"/>
      <c r="O85" s="265"/>
      <c r="P85" s="265"/>
      <c r="Q85" s="265"/>
      <c r="R85" s="267"/>
    </row>
    <row r="86" spans="1:18" ht="18" customHeight="1">
      <c r="A86" s="204">
        <v>84</v>
      </c>
      <c r="B86" s="202" t="s">
        <v>1347</v>
      </c>
      <c r="C86" s="202"/>
      <c r="D86" s="202" t="s">
        <v>8</v>
      </c>
      <c r="E86" s="300">
        <v>891.7</v>
      </c>
      <c r="F86" s="210">
        <v>891.7</v>
      </c>
      <c r="G86" s="203" t="s">
        <v>451</v>
      </c>
      <c r="H86" s="203" t="s">
        <v>452</v>
      </c>
      <c r="I86" s="276"/>
      <c r="J86" s="263" t="str">
        <f t="shared" si="1"/>
        <v>답공</v>
      </c>
      <c r="K86" s="266">
        <v>8000</v>
      </c>
      <c r="L86" s="265"/>
      <c r="M86" s="265"/>
      <c r="N86" s="265"/>
      <c r="O86" s="265"/>
      <c r="P86" s="265"/>
      <c r="Q86" s="265"/>
      <c r="R86" s="267"/>
    </row>
    <row r="87" spans="1:18" ht="18" customHeight="1">
      <c r="A87" s="204">
        <v>85</v>
      </c>
      <c r="B87" s="202" t="s">
        <v>1348</v>
      </c>
      <c r="C87" s="202"/>
      <c r="D87" s="202" t="s">
        <v>462</v>
      </c>
      <c r="E87" s="300">
        <v>607.6</v>
      </c>
      <c r="F87" s="210">
        <v>607.6</v>
      </c>
      <c r="G87" s="203" t="s">
        <v>511</v>
      </c>
      <c r="H87" s="203" t="s">
        <v>512</v>
      </c>
      <c r="I87" s="276"/>
      <c r="J87" s="263" t="str">
        <f t="shared" si="1"/>
        <v>구국</v>
      </c>
      <c r="K87" s="266"/>
      <c r="L87" s="265"/>
      <c r="M87" s="265"/>
      <c r="N87" s="265"/>
      <c r="O87" s="265"/>
      <c r="P87" s="265"/>
      <c r="Q87" s="265"/>
      <c r="R87" s="267"/>
    </row>
    <row r="88" spans="1:18" ht="18" customHeight="1">
      <c r="A88" s="204">
        <v>86</v>
      </c>
      <c r="B88" s="202" t="s">
        <v>1349</v>
      </c>
      <c r="C88" s="202"/>
      <c r="D88" s="202" t="s">
        <v>8</v>
      </c>
      <c r="E88" s="300">
        <v>874.3</v>
      </c>
      <c r="F88" s="210">
        <v>874.3</v>
      </c>
      <c r="G88" s="203" t="s">
        <v>451</v>
      </c>
      <c r="H88" s="203" t="s">
        <v>452</v>
      </c>
      <c r="I88" s="276"/>
      <c r="J88" s="263" t="str">
        <f t="shared" si="1"/>
        <v>답공</v>
      </c>
      <c r="K88" s="266">
        <v>8000</v>
      </c>
      <c r="L88" s="265"/>
      <c r="M88" s="265"/>
      <c r="N88" s="265"/>
      <c r="O88" s="265"/>
      <c r="P88" s="265"/>
      <c r="Q88" s="265"/>
      <c r="R88" s="267"/>
    </row>
    <row r="89" spans="1:18" ht="18" customHeight="1">
      <c r="A89" s="204">
        <v>87</v>
      </c>
      <c r="B89" s="202" t="s">
        <v>1350</v>
      </c>
      <c r="C89" s="202"/>
      <c r="D89" s="202" t="s">
        <v>8</v>
      </c>
      <c r="E89" s="300">
        <v>712.8</v>
      </c>
      <c r="F89" s="210">
        <v>712.8</v>
      </c>
      <c r="G89" s="203" t="s">
        <v>451</v>
      </c>
      <c r="H89" s="203" t="s">
        <v>452</v>
      </c>
      <c r="I89" s="276"/>
      <c r="J89" s="263" t="str">
        <f t="shared" si="1"/>
        <v>답공</v>
      </c>
      <c r="K89" s="266">
        <v>8000</v>
      </c>
      <c r="L89" s="265"/>
      <c r="M89" s="265"/>
      <c r="N89" s="265"/>
      <c r="O89" s="265"/>
      <c r="P89" s="265"/>
      <c r="Q89" s="265"/>
      <c r="R89" s="267"/>
    </row>
    <row r="90" spans="1:18" ht="18" customHeight="1">
      <c r="A90" s="204">
        <v>88</v>
      </c>
      <c r="B90" s="202" t="s">
        <v>1351</v>
      </c>
      <c r="C90" s="202"/>
      <c r="D90" s="202" t="s">
        <v>8</v>
      </c>
      <c r="E90" s="300">
        <v>273</v>
      </c>
      <c r="F90" s="210">
        <v>273</v>
      </c>
      <c r="G90" s="203" t="s">
        <v>451</v>
      </c>
      <c r="H90" s="203" t="s">
        <v>452</v>
      </c>
      <c r="I90" s="276"/>
      <c r="J90" s="263" t="str">
        <f t="shared" si="1"/>
        <v>답공</v>
      </c>
      <c r="K90" s="266">
        <v>8000</v>
      </c>
      <c r="L90" s="265"/>
      <c r="M90" s="265"/>
      <c r="N90" s="265"/>
      <c r="O90" s="265"/>
      <c r="P90" s="265"/>
      <c r="Q90" s="265"/>
      <c r="R90" s="267"/>
    </row>
    <row r="91" spans="1:18" ht="18" customHeight="1">
      <c r="A91" s="204">
        <v>89</v>
      </c>
      <c r="B91" s="202" t="s">
        <v>1352</v>
      </c>
      <c r="C91" s="202"/>
      <c r="D91" s="202" t="s">
        <v>8</v>
      </c>
      <c r="E91" s="300">
        <v>358.4</v>
      </c>
      <c r="F91" s="210">
        <v>358.4</v>
      </c>
      <c r="G91" s="203" t="s">
        <v>451</v>
      </c>
      <c r="H91" s="203" t="s">
        <v>452</v>
      </c>
      <c r="I91" s="276"/>
      <c r="J91" s="263" t="str">
        <f t="shared" si="1"/>
        <v>답공</v>
      </c>
      <c r="K91" s="266">
        <v>8000</v>
      </c>
      <c r="L91" s="265"/>
      <c r="M91" s="265"/>
      <c r="N91" s="265"/>
      <c r="O91" s="265"/>
      <c r="P91" s="265"/>
      <c r="Q91" s="265"/>
      <c r="R91" s="267"/>
    </row>
    <row r="92" spans="1:18" ht="18" customHeight="1">
      <c r="A92" s="204">
        <v>90</v>
      </c>
      <c r="B92" s="202" t="s">
        <v>1353</v>
      </c>
      <c r="C92" s="202"/>
      <c r="D92" s="202" t="s">
        <v>8</v>
      </c>
      <c r="E92" s="300">
        <v>464.8</v>
      </c>
      <c r="F92" s="210">
        <v>464.8</v>
      </c>
      <c r="G92" s="203" t="s">
        <v>451</v>
      </c>
      <c r="H92" s="203" t="s">
        <v>452</v>
      </c>
      <c r="I92" s="276"/>
      <c r="J92" s="263" t="str">
        <f t="shared" si="1"/>
        <v>답공</v>
      </c>
      <c r="K92" s="266">
        <v>8000</v>
      </c>
      <c r="L92" s="265"/>
      <c r="M92" s="265"/>
      <c r="N92" s="265"/>
      <c r="O92" s="265"/>
      <c r="P92" s="265"/>
      <c r="Q92" s="265"/>
      <c r="R92" s="267"/>
    </row>
    <row r="93" spans="1:18" ht="18" customHeight="1">
      <c r="A93" s="204">
        <v>91</v>
      </c>
      <c r="B93" s="202" t="s">
        <v>1354</v>
      </c>
      <c r="C93" s="202"/>
      <c r="D93" s="202" t="s">
        <v>8</v>
      </c>
      <c r="E93" s="300">
        <v>686.1</v>
      </c>
      <c r="F93" s="210">
        <v>686.1</v>
      </c>
      <c r="G93" s="203" t="s">
        <v>451</v>
      </c>
      <c r="H93" s="203" t="s">
        <v>452</v>
      </c>
      <c r="I93" s="276"/>
      <c r="J93" s="263" t="str">
        <f t="shared" si="1"/>
        <v>답공</v>
      </c>
      <c r="K93" s="266">
        <v>8000</v>
      </c>
      <c r="L93" s="265"/>
      <c r="M93" s="265"/>
      <c r="N93" s="265"/>
      <c r="O93" s="265"/>
      <c r="P93" s="265"/>
      <c r="Q93" s="265"/>
      <c r="R93" s="267"/>
    </row>
    <row r="94" spans="1:18" ht="18" customHeight="1">
      <c r="A94" s="204">
        <v>92</v>
      </c>
      <c r="B94" s="202" t="s">
        <v>1355</v>
      </c>
      <c r="C94" s="202"/>
      <c r="D94" s="202" t="s">
        <v>8</v>
      </c>
      <c r="E94" s="300">
        <v>1538.5</v>
      </c>
      <c r="F94" s="210">
        <v>1538.5</v>
      </c>
      <c r="G94" s="203" t="s">
        <v>451</v>
      </c>
      <c r="H94" s="203" t="s">
        <v>452</v>
      </c>
      <c r="I94" s="276"/>
      <c r="J94" s="263" t="str">
        <f t="shared" si="1"/>
        <v>답공</v>
      </c>
      <c r="K94" s="266">
        <v>8000</v>
      </c>
      <c r="L94" s="265"/>
      <c r="M94" s="265"/>
      <c r="N94" s="265"/>
      <c r="O94" s="265"/>
      <c r="P94" s="265"/>
      <c r="Q94" s="265"/>
      <c r="R94" s="267"/>
    </row>
    <row r="95" spans="1:18" ht="18" customHeight="1">
      <c r="A95" s="204">
        <v>93</v>
      </c>
      <c r="B95" s="202" t="s">
        <v>1356</v>
      </c>
      <c r="C95" s="202"/>
      <c r="D95" s="202" t="s">
        <v>8</v>
      </c>
      <c r="E95" s="300">
        <v>2235.6999999999998</v>
      </c>
      <c r="F95" s="210">
        <v>2235.6999999999998</v>
      </c>
      <c r="G95" s="203" t="s">
        <v>451</v>
      </c>
      <c r="H95" s="203" t="s">
        <v>452</v>
      </c>
      <c r="I95" s="276"/>
      <c r="J95" s="263" t="str">
        <f t="shared" si="1"/>
        <v>답공</v>
      </c>
      <c r="K95" s="266">
        <v>8000</v>
      </c>
      <c r="L95" s="265"/>
      <c r="M95" s="265"/>
      <c r="N95" s="265"/>
      <c r="O95" s="265"/>
      <c r="P95" s="265"/>
      <c r="Q95" s="265"/>
      <c r="R95" s="267"/>
    </row>
    <row r="96" spans="1:18" ht="18" customHeight="1">
      <c r="A96" s="204">
        <v>94</v>
      </c>
      <c r="B96" s="202" t="s">
        <v>1357</v>
      </c>
      <c r="C96" s="202"/>
      <c r="D96" s="202" t="s">
        <v>8</v>
      </c>
      <c r="E96" s="300">
        <v>2175.1999999999998</v>
      </c>
      <c r="F96" s="210">
        <v>2175.1999999999998</v>
      </c>
      <c r="G96" s="203" t="s">
        <v>451</v>
      </c>
      <c r="H96" s="203" t="s">
        <v>452</v>
      </c>
      <c r="I96" s="276"/>
      <c r="J96" s="263" t="str">
        <f t="shared" si="1"/>
        <v>답공</v>
      </c>
      <c r="K96" s="266">
        <v>8000</v>
      </c>
      <c r="L96" s="265"/>
      <c r="M96" s="265"/>
      <c r="N96" s="265"/>
      <c r="O96" s="265"/>
      <c r="P96" s="265"/>
      <c r="Q96" s="265"/>
      <c r="R96" s="267"/>
    </row>
    <row r="97" spans="1:18" ht="18" customHeight="1">
      <c r="A97" s="204">
        <v>95</v>
      </c>
      <c r="B97" s="202" t="s">
        <v>1358</v>
      </c>
      <c r="C97" s="202"/>
      <c r="D97" s="202" t="s">
        <v>8</v>
      </c>
      <c r="E97" s="300">
        <v>1110</v>
      </c>
      <c r="F97" s="210">
        <v>1110</v>
      </c>
      <c r="G97" s="203" t="s">
        <v>451</v>
      </c>
      <c r="H97" s="203" t="s">
        <v>452</v>
      </c>
      <c r="I97" s="276"/>
      <c r="J97" s="263" t="str">
        <f t="shared" si="1"/>
        <v>답공</v>
      </c>
      <c r="K97" s="266">
        <v>8000</v>
      </c>
      <c r="L97" s="265"/>
      <c r="M97" s="265"/>
      <c r="N97" s="265"/>
      <c r="O97" s="265"/>
      <c r="P97" s="265"/>
      <c r="Q97" s="265"/>
      <c r="R97" s="267"/>
    </row>
    <row r="98" spans="1:18" ht="18" customHeight="1">
      <c r="A98" s="204">
        <v>96</v>
      </c>
      <c r="B98" s="202" t="s">
        <v>1359</v>
      </c>
      <c r="C98" s="202"/>
      <c r="D98" s="202" t="s">
        <v>8</v>
      </c>
      <c r="E98" s="300">
        <v>999.2</v>
      </c>
      <c r="F98" s="210">
        <v>999.2</v>
      </c>
      <c r="G98" s="203" t="s">
        <v>451</v>
      </c>
      <c r="H98" s="203" t="s">
        <v>452</v>
      </c>
      <c r="I98" s="276"/>
      <c r="J98" s="263" t="str">
        <f t="shared" si="1"/>
        <v>답공</v>
      </c>
      <c r="K98" s="266">
        <v>8000</v>
      </c>
      <c r="L98" s="265"/>
      <c r="M98" s="265"/>
      <c r="N98" s="265"/>
      <c r="O98" s="265"/>
      <c r="P98" s="265"/>
      <c r="Q98" s="265"/>
      <c r="R98" s="267"/>
    </row>
    <row r="99" spans="1:18" ht="18" customHeight="1">
      <c r="A99" s="204">
        <v>97</v>
      </c>
      <c r="B99" s="202" t="s">
        <v>1360</v>
      </c>
      <c r="C99" s="202"/>
      <c r="D99" s="202" t="s">
        <v>8</v>
      </c>
      <c r="E99" s="300">
        <v>2037.2</v>
      </c>
      <c r="F99" s="210">
        <v>2037.2</v>
      </c>
      <c r="G99" s="203" t="s">
        <v>451</v>
      </c>
      <c r="H99" s="203" t="s">
        <v>452</v>
      </c>
      <c r="I99" s="276"/>
      <c r="J99" s="263" t="str">
        <f t="shared" si="1"/>
        <v>답공</v>
      </c>
      <c r="K99" s="266">
        <v>8000</v>
      </c>
      <c r="L99" s="265"/>
      <c r="M99" s="265"/>
      <c r="N99" s="265"/>
      <c r="O99" s="265"/>
      <c r="P99" s="265"/>
      <c r="Q99" s="265"/>
      <c r="R99" s="267"/>
    </row>
    <row r="100" spans="1:18" ht="18" customHeight="1">
      <c r="A100" s="204">
        <v>98</v>
      </c>
      <c r="B100" s="202" t="s">
        <v>1361</v>
      </c>
      <c r="C100" s="202"/>
      <c r="D100" s="202" t="s">
        <v>8</v>
      </c>
      <c r="E100" s="300">
        <v>1410.3</v>
      </c>
      <c r="F100" s="210">
        <v>1410.3</v>
      </c>
      <c r="G100" s="203" t="s">
        <v>451</v>
      </c>
      <c r="H100" s="203" t="s">
        <v>452</v>
      </c>
      <c r="I100" s="276"/>
      <c r="J100" s="263" t="str">
        <f t="shared" si="1"/>
        <v>답공</v>
      </c>
      <c r="K100" s="266">
        <v>8000</v>
      </c>
      <c r="L100" s="265"/>
      <c r="M100" s="265"/>
      <c r="N100" s="265"/>
      <c r="O100" s="265"/>
      <c r="P100" s="265"/>
      <c r="Q100" s="265"/>
      <c r="R100" s="267"/>
    </row>
    <row r="101" spans="1:18" ht="18" customHeight="1">
      <c r="A101" s="204">
        <v>99</v>
      </c>
      <c r="B101" s="202" t="s">
        <v>1362</v>
      </c>
      <c r="C101" s="202"/>
      <c r="D101" s="202" t="s">
        <v>455</v>
      </c>
      <c r="E101" s="300">
        <v>435.1</v>
      </c>
      <c r="F101" s="210">
        <v>435.1</v>
      </c>
      <c r="G101" s="203" t="s">
        <v>511</v>
      </c>
      <c r="H101" s="203" t="s">
        <v>512</v>
      </c>
      <c r="I101" s="276"/>
      <c r="J101" s="263" t="str">
        <f t="shared" si="1"/>
        <v>도국</v>
      </c>
      <c r="K101" s="266"/>
      <c r="L101" s="265"/>
      <c r="M101" s="265"/>
      <c r="N101" s="265"/>
      <c r="O101" s="265"/>
      <c r="P101" s="265"/>
      <c r="Q101" s="265"/>
      <c r="R101" s="267"/>
    </row>
    <row r="102" spans="1:18" ht="18" customHeight="1">
      <c r="A102" s="204">
        <v>100</v>
      </c>
      <c r="B102" s="202" t="s">
        <v>1363</v>
      </c>
      <c r="C102" s="202"/>
      <c r="D102" s="202" t="s">
        <v>462</v>
      </c>
      <c r="E102" s="300">
        <v>38</v>
      </c>
      <c r="F102" s="210">
        <v>38</v>
      </c>
      <c r="G102" s="203" t="s">
        <v>511</v>
      </c>
      <c r="H102" s="203" t="s">
        <v>512</v>
      </c>
      <c r="I102" s="276"/>
      <c r="J102" s="263" t="str">
        <f t="shared" si="1"/>
        <v>구국</v>
      </c>
      <c r="K102" s="266"/>
      <c r="L102" s="265"/>
      <c r="M102" s="265"/>
      <c r="N102" s="265"/>
      <c r="O102" s="265"/>
      <c r="P102" s="265"/>
      <c r="Q102" s="265"/>
      <c r="R102" s="267"/>
    </row>
    <row r="103" spans="1:18" ht="18" customHeight="1">
      <c r="A103" s="204">
        <v>101</v>
      </c>
      <c r="B103" s="202" t="s">
        <v>1364</v>
      </c>
      <c r="C103" s="202"/>
      <c r="D103" s="202" t="s">
        <v>459</v>
      </c>
      <c r="E103" s="300">
        <v>61</v>
      </c>
      <c r="F103" s="210">
        <v>61</v>
      </c>
      <c r="G103" s="203" t="s">
        <v>451</v>
      </c>
      <c r="H103" s="203" t="s">
        <v>452</v>
      </c>
      <c r="I103" s="276"/>
      <c r="J103" s="263" t="str">
        <f t="shared" si="1"/>
        <v>대공</v>
      </c>
      <c r="K103" s="266">
        <v>8000</v>
      </c>
      <c r="L103" s="265"/>
      <c r="M103" s="265"/>
      <c r="N103" s="265"/>
      <c r="O103" s="265"/>
      <c r="P103" s="265"/>
      <c r="Q103" s="265"/>
      <c r="R103" s="267"/>
    </row>
    <row r="104" spans="1:18" ht="18" customHeight="1">
      <c r="A104" s="204">
        <v>102</v>
      </c>
      <c r="B104" s="202" t="s">
        <v>1365</v>
      </c>
      <c r="C104" s="202"/>
      <c r="D104" s="202" t="s">
        <v>8</v>
      </c>
      <c r="E104" s="300">
        <v>283.7</v>
      </c>
      <c r="F104" s="210">
        <v>283.7</v>
      </c>
      <c r="G104" s="203" t="s">
        <v>451</v>
      </c>
      <c r="H104" s="203" t="s">
        <v>452</v>
      </c>
      <c r="I104" s="276"/>
      <c r="J104" s="263" t="str">
        <f t="shared" si="1"/>
        <v>답공</v>
      </c>
      <c r="K104" s="266">
        <v>8000</v>
      </c>
      <c r="L104" s="265"/>
      <c r="M104" s="265"/>
      <c r="N104" s="265"/>
      <c r="O104" s="265"/>
      <c r="P104" s="265"/>
      <c r="Q104" s="265"/>
      <c r="R104" s="267"/>
    </row>
    <row r="105" spans="1:18" ht="18" customHeight="1">
      <c r="A105" s="204">
        <v>103</v>
      </c>
      <c r="B105" s="202" t="s">
        <v>1366</v>
      </c>
      <c r="C105" s="202"/>
      <c r="D105" s="202" t="s">
        <v>8</v>
      </c>
      <c r="E105" s="300">
        <v>160.30000000000001</v>
      </c>
      <c r="F105" s="210">
        <v>160.30000000000001</v>
      </c>
      <c r="G105" s="203" t="s">
        <v>451</v>
      </c>
      <c r="H105" s="203" t="s">
        <v>452</v>
      </c>
      <c r="I105" s="276"/>
      <c r="J105" s="263" t="str">
        <f t="shared" si="1"/>
        <v>답공</v>
      </c>
      <c r="K105" s="266">
        <v>8000</v>
      </c>
      <c r="L105" s="265"/>
      <c r="M105" s="265"/>
      <c r="N105" s="265"/>
      <c r="O105" s="265"/>
      <c r="P105" s="265"/>
      <c r="Q105" s="265"/>
      <c r="R105" s="267"/>
    </row>
    <row r="106" spans="1:18" ht="18" customHeight="1">
      <c r="A106" s="204">
        <v>104</v>
      </c>
      <c r="B106" s="202" t="s">
        <v>1367</v>
      </c>
      <c r="C106" s="202"/>
      <c r="D106" s="202" t="s">
        <v>8</v>
      </c>
      <c r="E106" s="300">
        <v>183.2</v>
      </c>
      <c r="F106" s="210">
        <v>183.2</v>
      </c>
      <c r="G106" s="203" t="s">
        <v>451</v>
      </c>
      <c r="H106" s="203" t="s">
        <v>452</v>
      </c>
      <c r="I106" s="276"/>
      <c r="J106" s="263" t="str">
        <f t="shared" si="1"/>
        <v>답공</v>
      </c>
      <c r="K106" s="264">
        <v>8000</v>
      </c>
      <c r="L106" s="265"/>
      <c r="M106" s="265"/>
      <c r="N106" s="265"/>
      <c r="O106" s="265"/>
      <c r="P106" s="265"/>
      <c r="Q106" s="265"/>
      <c r="R106" s="265"/>
    </row>
    <row r="107" spans="1:18" ht="18" customHeight="1">
      <c r="A107" s="204">
        <v>105</v>
      </c>
      <c r="B107" s="202" t="s">
        <v>1368</v>
      </c>
      <c r="C107" s="202"/>
      <c r="D107" s="202" t="s">
        <v>8</v>
      </c>
      <c r="E107" s="300">
        <v>300</v>
      </c>
      <c r="F107" s="210">
        <v>300</v>
      </c>
      <c r="G107" s="203" t="s">
        <v>451</v>
      </c>
      <c r="H107" s="203" t="s">
        <v>452</v>
      </c>
      <c r="I107" s="276"/>
      <c r="J107" s="263" t="str">
        <f t="shared" si="1"/>
        <v>답공</v>
      </c>
      <c r="K107" s="264"/>
      <c r="L107" s="265"/>
      <c r="M107" s="265"/>
      <c r="N107" s="265"/>
      <c r="O107" s="265"/>
      <c r="P107" s="265"/>
      <c r="Q107" s="265"/>
      <c r="R107" s="265"/>
    </row>
    <row r="108" spans="1:18" ht="18" customHeight="1">
      <c r="A108" s="204">
        <v>106</v>
      </c>
      <c r="B108" s="202" t="s">
        <v>1369</v>
      </c>
      <c r="C108" s="202"/>
      <c r="D108" s="202" t="s">
        <v>462</v>
      </c>
      <c r="E108" s="300">
        <v>918.5</v>
      </c>
      <c r="F108" s="210">
        <v>918.5</v>
      </c>
      <c r="G108" s="203" t="s">
        <v>511</v>
      </c>
      <c r="H108" s="203" t="s">
        <v>512</v>
      </c>
      <c r="I108" s="276"/>
      <c r="J108" s="263" t="str">
        <f t="shared" si="1"/>
        <v>구국</v>
      </c>
      <c r="K108" s="264"/>
      <c r="L108" s="265"/>
      <c r="M108" s="265"/>
      <c r="N108" s="265"/>
      <c r="O108" s="265"/>
      <c r="P108" s="265"/>
      <c r="Q108" s="265"/>
      <c r="R108" s="265"/>
    </row>
    <row r="109" spans="1:18" ht="18" customHeight="1">
      <c r="A109" s="204">
        <v>107</v>
      </c>
      <c r="B109" s="202" t="s">
        <v>1370</v>
      </c>
      <c r="C109" s="202"/>
      <c r="D109" s="202" t="s">
        <v>455</v>
      </c>
      <c r="E109" s="300">
        <v>1538</v>
      </c>
      <c r="F109" s="210">
        <v>1538</v>
      </c>
      <c r="G109" s="203" t="s">
        <v>511</v>
      </c>
      <c r="H109" s="203" t="s">
        <v>512</v>
      </c>
      <c r="I109" s="276"/>
      <c r="J109" s="263" t="str">
        <f t="shared" si="1"/>
        <v>도국</v>
      </c>
      <c r="K109" s="264">
        <v>8000</v>
      </c>
      <c r="L109" s="265"/>
      <c r="M109" s="265"/>
      <c r="N109" s="265"/>
      <c r="O109" s="265"/>
      <c r="P109" s="265"/>
      <c r="Q109" s="265"/>
      <c r="R109" s="265"/>
    </row>
    <row r="110" spans="1:18" ht="18" customHeight="1">
      <c r="A110" s="204">
        <v>108</v>
      </c>
      <c r="B110" s="202" t="s">
        <v>1371</v>
      </c>
      <c r="C110" s="202"/>
      <c r="D110" s="202" t="s">
        <v>8</v>
      </c>
      <c r="E110" s="300">
        <v>591.6</v>
      </c>
      <c r="F110" s="210">
        <v>591.6</v>
      </c>
      <c r="G110" s="203" t="s">
        <v>451</v>
      </c>
      <c r="H110" s="203" t="s">
        <v>452</v>
      </c>
      <c r="I110" s="276"/>
      <c r="J110" s="263" t="str">
        <f t="shared" si="1"/>
        <v>답공</v>
      </c>
      <c r="K110" s="264">
        <v>8000</v>
      </c>
      <c r="L110" s="265"/>
      <c r="M110" s="265"/>
      <c r="N110" s="265"/>
      <c r="O110" s="265"/>
      <c r="P110" s="265"/>
      <c r="Q110" s="265"/>
      <c r="R110" s="265"/>
    </row>
    <row r="111" spans="1:18" ht="18" customHeight="1">
      <c r="A111" s="204">
        <v>109</v>
      </c>
      <c r="B111" s="202" t="s">
        <v>1372</v>
      </c>
      <c r="C111" s="202"/>
      <c r="D111" s="202" t="s">
        <v>8</v>
      </c>
      <c r="E111" s="300">
        <v>375.4</v>
      </c>
      <c r="F111" s="210">
        <v>375.4</v>
      </c>
      <c r="G111" s="203" t="s">
        <v>451</v>
      </c>
      <c r="H111" s="203" t="s">
        <v>452</v>
      </c>
      <c r="I111" s="276"/>
      <c r="J111" s="263" t="str">
        <f t="shared" si="1"/>
        <v>답공</v>
      </c>
      <c r="K111" s="264">
        <v>8000</v>
      </c>
      <c r="L111" s="265"/>
      <c r="M111" s="265"/>
      <c r="N111" s="265"/>
      <c r="O111" s="265"/>
      <c r="P111" s="265"/>
      <c r="Q111" s="265"/>
      <c r="R111" s="265"/>
    </row>
    <row r="112" spans="1:18" ht="18" customHeight="1">
      <c r="A112" s="204">
        <v>110</v>
      </c>
      <c r="B112" s="202" t="s">
        <v>1373</v>
      </c>
      <c r="C112" s="202"/>
      <c r="D112" s="202" t="s">
        <v>8</v>
      </c>
      <c r="E112" s="300">
        <v>350.5</v>
      </c>
      <c r="F112" s="210">
        <v>350.5</v>
      </c>
      <c r="G112" s="203" t="s">
        <v>451</v>
      </c>
      <c r="H112" s="203" t="s">
        <v>452</v>
      </c>
      <c r="I112" s="276"/>
      <c r="J112" s="263" t="str">
        <f t="shared" si="1"/>
        <v>답공</v>
      </c>
      <c r="K112" s="264">
        <v>8000</v>
      </c>
      <c r="L112" s="265"/>
      <c r="M112" s="265"/>
      <c r="N112" s="265"/>
      <c r="O112" s="265"/>
      <c r="P112" s="265"/>
      <c r="Q112" s="265"/>
      <c r="R112" s="265"/>
    </row>
    <row r="113" spans="1:21" ht="18" customHeight="1">
      <c r="A113" s="204">
        <v>111</v>
      </c>
      <c r="B113" s="202" t="s">
        <v>1374</v>
      </c>
      <c r="C113" s="202"/>
      <c r="D113" s="202" t="s">
        <v>8</v>
      </c>
      <c r="E113" s="300">
        <v>1330</v>
      </c>
      <c r="F113" s="210">
        <v>1330</v>
      </c>
      <c r="G113" s="203" t="s">
        <v>451</v>
      </c>
      <c r="H113" s="203" t="s">
        <v>452</v>
      </c>
      <c r="I113" s="276"/>
      <c r="J113" s="263" t="str">
        <f t="shared" si="1"/>
        <v>답공</v>
      </c>
      <c r="K113" s="264"/>
      <c r="L113" s="265"/>
      <c r="M113" s="265"/>
      <c r="N113" s="265"/>
      <c r="O113" s="265"/>
      <c r="P113" s="265"/>
      <c r="Q113" s="265"/>
      <c r="R113" s="265"/>
    </row>
    <row r="114" spans="1:21" ht="18" customHeight="1">
      <c r="A114" s="204">
        <v>112</v>
      </c>
      <c r="B114" s="202" t="s">
        <v>1375</v>
      </c>
      <c r="C114" s="202"/>
      <c r="D114" s="202" t="s">
        <v>462</v>
      </c>
      <c r="E114" s="300">
        <v>259.3</v>
      </c>
      <c r="F114" s="210">
        <v>259.3</v>
      </c>
      <c r="G114" s="203" t="s">
        <v>511</v>
      </c>
      <c r="H114" s="203" t="s">
        <v>512</v>
      </c>
      <c r="I114" s="276"/>
      <c r="J114" s="263" t="str">
        <f t="shared" si="1"/>
        <v>구국</v>
      </c>
      <c r="K114" s="264">
        <v>8160</v>
      </c>
      <c r="L114" s="265"/>
      <c r="M114" s="265"/>
      <c r="N114" s="265"/>
      <c r="O114" s="265"/>
      <c r="P114" s="265"/>
      <c r="Q114" s="265"/>
      <c r="R114" s="265"/>
    </row>
    <row r="115" spans="1:21" ht="18" customHeight="1">
      <c r="A115" s="204">
        <v>113</v>
      </c>
      <c r="B115" s="202" t="s">
        <v>1376</v>
      </c>
      <c r="C115" s="202"/>
      <c r="D115" s="202" t="s">
        <v>7</v>
      </c>
      <c r="E115" s="300">
        <v>165</v>
      </c>
      <c r="F115" s="210">
        <v>165</v>
      </c>
      <c r="G115" s="203" t="s">
        <v>451</v>
      </c>
      <c r="H115" s="203" t="s">
        <v>452</v>
      </c>
      <c r="I115" s="276"/>
      <c r="J115" s="263" t="str">
        <f t="shared" si="1"/>
        <v>전공</v>
      </c>
      <c r="K115" s="264"/>
      <c r="L115" s="265"/>
      <c r="M115" s="265"/>
      <c r="N115" s="265"/>
      <c r="O115" s="265"/>
      <c r="P115" s="265"/>
      <c r="Q115" s="265"/>
      <c r="R115" s="265"/>
    </row>
    <row r="116" spans="1:21" ht="18" customHeight="1">
      <c r="A116" s="204">
        <v>114</v>
      </c>
      <c r="B116" s="202" t="s">
        <v>1377</v>
      </c>
      <c r="C116" s="202"/>
      <c r="D116" s="202" t="s">
        <v>898</v>
      </c>
      <c r="E116" s="300"/>
      <c r="F116" s="210">
        <v>71</v>
      </c>
      <c r="G116" s="203" t="s">
        <v>511</v>
      </c>
      <c r="H116" s="203"/>
      <c r="I116" s="276"/>
      <c r="J116" s="263" t="str">
        <f t="shared" si="1"/>
        <v>가국</v>
      </c>
      <c r="K116" s="264"/>
      <c r="L116" s="265"/>
      <c r="M116" s="265"/>
      <c r="N116" s="265"/>
      <c r="O116" s="265"/>
      <c r="P116" s="265"/>
      <c r="Q116" s="265"/>
      <c r="R116" s="265"/>
    </row>
    <row r="117" spans="1:21" ht="18" customHeight="1">
      <c r="A117" s="204">
        <v>115</v>
      </c>
      <c r="B117" s="202" t="s">
        <v>1378</v>
      </c>
      <c r="C117" s="202"/>
      <c r="D117" s="202" t="s">
        <v>455</v>
      </c>
      <c r="E117" s="300">
        <v>1669</v>
      </c>
      <c r="F117" s="210">
        <v>1669</v>
      </c>
      <c r="G117" s="203" t="s">
        <v>451</v>
      </c>
      <c r="H117" s="203" t="s">
        <v>452</v>
      </c>
      <c r="I117" s="276"/>
      <c r="J117" s="263" t="str">
        <f t="shared" si="1"/>
        <v>도공</v>
      </c>
      <c r="K117" s="264"/>
      <c r="L117" s="265"/>
      <c r="M117" s="265"/>
      <c r="N117" s="265"/>
      <c r="O117" s="265"/>
      <c r="P117" s="265"/>
      <c r="Q117" s="265"/>
      <c r="R117" s="265"/>
    </row>
    <row r="118" spans="1:21" ht="18" customHeight="1">
      <c r="A118" s="204">
        <v>116</v>
      </c>
      <c r="B118" s="202" t="s">
        <v>1379</v>
      </c>
      <c r="C118" s="202"/>
      <c r="D118" s="202" t="s">
        <v>455</v>
      </c>
      <c r="E118" s="300">
        <v>2056</v>
      </c>
      <c r="F118" s="210">
        <v>2056</v>
      </c>
      <c r="G118" s="203" t="s">
        <v>451</v>
      </c>
      <c r="H118" s="203" t="s">
        <v>452</v>
      </c>
      <c r="I118" s="276"/>
      <c r="J118" s="263" t="str">
        <f t="shared" si="1"/>
        <v>도공</v>
      </c>
      <c r="K118" s="264"/>
      <c r="L118" s="265"/>
      <c r="M118" s="265"/>
      <c r="N118" s="265"/>
      <c r="O118" s="265"/>
      <c r="P118" s="265"/>
      <c r="Q118" s="265"/>
      <c r="R118" s="265"/>
    </row>
    <row r="119" spans="1:21" ht="18" customHeight="1">
      <c r="A119" s="204">
        <v>117</v>
      </c>
      <c r="B119" s="202" t="s">
        <v>1380</v>
      </c>
      <c r="C119" s="202"/>
      <c r="D119" s="202" t="s">
        <v>455</v>
      </c>
      <c r="E119" s="300">
        <v>1277</v>
      </c>
      <c r="F119" s="210">
        <v>1231</v>
      </c>
      <c r="G119" s="203" t="s">
        <v>451</v>
      </c>
      <c r="H119" s="203" t="s">
        <v>452</v>
      </c>
      <c r="I119" s="276"/>
      <c r="J119" s="263" t="str">
        <f t="shared" si="1"/>
        <v>도공</v>
      </c>
      <c r="K119" s="264"/>
      <c r="L119" s="265"/>
      <c r="M119" s="265"/>
      <c r="N119" s="265"/>
      <c r="O119" s="265"/>
      <c r="P119" s="265"/>
      <c r="Q119" s="265"/>
      <c r="R119" s="265"/>
    </row>
    <row r="120" spans="1:21" ht="18" customHeight="1">
      <c r="A120" s="204">
        <v>118</v>
      </c>
      <c r="B120" s="202" t="s">
        <v>1381</v>
      </c>
      <c r="C120" s="202"/>
      <c r="D120" s="202" t="s">
        <v>455</v>
      </c>
      <c r="E120" s="300">
        <v>4950</v>
      </c>
      <c r="F120" s="210">
        <v>3724</v>
      </c>
      <c r="G120" s="203" t="s">
        <v>451</v>
      </c>
      <c r="H120" s="203" t="s">
        <v>452</v>
      </c>
      <c r="I120" s="276"/>
      <c r="J120" s="263" t="str">
        <f t="shared" si="1"/>
        <v>도공</v>
      </c>
      <c r="K120" s="264"/>
      <c r="L120" s="265"/>
      <c r="M120" s="265"/>
      <c r="N120" s="265"/>
      <c r="O120" s="265"/>
      <c r="P120" s="265"/>
      <c r="Q120" s="265"/>
      <c r="R120" s="265"/>
    </row>
    <row r="121" spans="1:21" ht="18" customHeight="1">
      <c r="A121" s="204">
        <v>119</v>
      </c>
      <c r="B121" s="202" t="s">
        <v>1382</v>
      </c>
      <c r="C121" s="202"/>
      <c r="D121" s="202" t="s">
        <v>455</v>
      </c>
      <c r="E121" s="300">
        <v>2224</v>
      </c>
      <c r="F121" s="210">
        <v>2224</v>
      </c>
      <c r="G121" s="203" t="s">
        <v>451</v>
      </c>
      <c r="H121" s="203" t="s">
        <v>452</v>
      </c>
      <c r="I121" s="276"/>
      <c r="J121" s="263" t="str">
        <f t="shared" si="1"/>
        <v>도공</v>
      </c>
      <c r="K121" s="266"/>
      <c r="L121" s="265"/>
      <c r="M121" s="265"/>
      <c r="N121" s="265"/>
      <c r="O121" s="265"/>
      <c r="P121" s="265"/>
      <c r="Q121" s="265"/>
      <c r="R121" s="267"/>
    </row>
    <row r="122" spans="1:21" ht="18" customHeight="1">
      <c r="A122" s="204">
        <v>120</v>
      </c>
      <c r="B122" s="202" t="s">
        <v>1383</v>
      </c>
      <c r="C122" s="202"/>
      <c r="D122" s="202" t="s">
        <v>455</v>
      </c>
      <c r="E122" s="300">
        <v>22152</v>
      </c>
      <c r="F122" s="210">
        <v>1761</v>
      </c>
      <c r="G122" s="203" t="s">
        <v>511</v>
      </c>
      <c r="H122" s="203" t="s">
        <v>514</v>
      </c>
      <c r="I122" s="276"/>
      <c r="J122" s="263" t="str">
        <f t="shared" si="1"/>
        <v>도국</v>
      </c>
      <c r="K122" s="266"/>
      <c r="L122" s="265"/>
      <c r="M122" s="265"/>
      <c r="N122" s="265"/>
      <c r="O122" s="265"/>
      <c r="P122" s="265"/>
      <c r="Q122" s="265"/>
      <c r="R122" s="267"/>
    </row>
    <row r="123" spans="1:21" ht="18" customHeight="1">
      <c r="A123" s="204">
        <v>121</v>
      </c>
      <c r="B123" s="202" t="s">
        <v>1384</v>
      </c>
      <c r="C123" s="202"/>
      <c r="D123" s="202" t="s">
        <v>455</v>
      </c>
      <c r="E123" s="300">
        <v>167</v>
      </c>
      <c r="F123" s="210">
        <v>89</v>
      </c>
      <c r="G123" s="203" t="s">
        <v>451</v>
      </c>
      <c r="H123" s="203" t="s">
        <v>452</v>
      </c>
      <c r="I123" s="276"/>
      <c r="J123" s="263" t="str">
        <f t="shared" si="1"/>
        <v>도공</v>
      </c>
      <c r="K123" s="266"/>
      <c r="L123" s="265"/>
      <c r="M123" s="265"/>
      <c r="N123" s="265"/>
      <c r="O123" s="265"/>
      <c r="P123" s="265"/>
      <c r="Q123" s="265"/>
      <c r="R123" s="267"/>
    </row>
    <row r="124" spans="1:21" ht="18" customHeight="1">
      <c r="A124" s="204">
        <v>122</v>
      </c>
      <c r="B124" s="202" t="s">
        <v>1385</v>
      </c>
      <c r="C124" s="202"/>
      <c r="D124" s="202" t="s">
        <v>455</v>
      </c>
      <c r="E124" s="300">
        <v>1959</v>
      </c>
      <c r="F124" s="210">
        <v>1807</v>
      </c>
      <c r="G124" s="203" t="s">
        <v>451</v>
      </c>
      <c r="H124" s="203" t="s">
        <v>452</v>
      </c>
      <c r="I124" s="276"/>
      <c r="J124" s="263" t="str">
        <f t="shared" si="1"/>
        <v>도공</v>
      </c>
      <c r="K124" s="266"/>
      <c r="L124" s="265"/>
      <c r="M124" s="265"/>
      <c r="N124" s="265"/>
      <c r="O124" s="265"/>
      <c r="P124" s="265"/>
      <c r="Q124" s="265"/>
      <c r="R124" s="267"/>
    </row>
    <row r="125" spans="1:21" ht="18" customHeight="1">
      <c r="A125" s="204">
        <v>123</v>
      </c>
      <c r="B125" s="202" t="s">
        <v>1386</v>
      </c>
      <c r="C125" s="202"/>
      <c r="D125" s="202" t="s">
        <v>455</v>
      </c>
      <c r="E125" s="300">
        <v>1097</v>
      </c>
      <c r="F125" s="210">
        <v>480</v>
      </c>
      <c r="G125" s="203" t="s">
        <v>451</v>
      </c>
      <c r="H125" s="203" t="s">
        <v>452</v>
      </c>
      <c r="I125" s="276"/>
      <c r="J125" s="263" t="str">
        <f t="shared" si="1"/>
        <v>도공</v>
      </c>
      <c r="K125" s="264"/>
      <c r="L125" s="265"/>
      <c r="M125" s="265"/>
      <c r="N125" s="265"/>
      <c r="O125" s="265"/>
      <c r="P125" s="265"/>
      <c r="Q125" s="265"/>
      <c r="R125" s="284"/>
      <c r="S125" s="265"/>
      <c r="T125" s="265"/>
      <c r="U125" s="265"/>
    </row>
    <row r="126" spans="1:21" ht="18" customHeight="1">
      <c r="A126" s="204">
        <v>124</v>
      </c>
      <c r="B126" s="202" t="s">
        <v>1387</v>
      </c>
      <c r="C126" s="202"/>
      <c r="D126" s="202" t="s">
        <v>455</v>
      </c>
      <c r="E126" s="300">
        <v>1620</v>
      </c>
      <c r="F126" s="210">
        <v>944</v>
      </c>
      <c r="G126" s="203" t="s">
        <v>451</v>
      </c>
      <c r="H126" s="203" t="s">
        <v>452</v>
      </c>
      <c r="I126" s="276"/>
      <c r="J126" s="263" t="str">
        <f t="shared" si="1"/>
        <v>도공</v>
      </c>
      <c r="K126" s="264"/>
      <c r="L126" s="265"/>
      <c r="M126" s="265"/>
      <c r="N126" s="265"/>
      <c r="O126" s="265"/>
      <c r="P126" s="265"/>
      <c r="Q126" s="265"/>
      <c r="R126" s="265"/>
    </row>
    <row r="127" spans="1:21" ht="18" customHeight="1">
      <c r="A127" s="204">
        <v>125</v>
      </c>
      <c r="B127" s="202" t="s">
        <v>1388</v>
      </c>
      <c r="C127" s="202"/>
      <c r="D127" s="202" t="s">
        <v>455</v>
      </c>
      <c r="E127" s="300">
        <v>1330</v>
      </c>
      <c r="F127" s="210">
        <v>182</v>
      </c>
      <c r="G127" s="203" t="s">
        <v>451</v>
      </c>
      <c r="H127" s="203" t="s">
        <v>452</v>
      </c>
      <c r="I127" s="276"/>
      <c r="J127" s="263" t="str">
        <f t="shared" si="1"/>
        <v>도공</v>
      </c>
      <c r="K127" s="264"/>
      <c r="L127" s="265"/>
      <c r="M127" s="265"/>
      <c r="N127" s="265"/>
      <c r="O127" s="265"/>
      <c r="P127" s="265"/>
      <c r="Q127" s="265"/>
      <c r="R127" s="265"/>
    </row>
    <row r="128" spans="1:21" ht="18" customHeight="1">
      <c r="A128" s="204">
        <v>126</v>
      </c>
      <c r="B128" s="202" t="s">
        <v>1389</v>
      </c>
      <c r="C128" s="202"/>
      <c r="D128" s="202" t="s">
        <v>455</v>
      </c>
      <c r="E128" s="300">
        <v>1098</v>
      </c>
      <c r="F128" s="210">
        <v>12</v>
      </c>
      <c r="G128" s="203" t="s">
        <v>451</v>
      </c>
      <c r="H128" s="203" t="s">
        <v>452</v>
      </c>
      <c r="I128" s="276"/>
      <c r="J128" s="263" t="str">
        <f t="shared" si="1"/>
        <v>도공</v>
      </c>
      <c r="K128" s="264"/>
      <c r="L128" s="265"/>
      <c r="M128" s="265"/>
      <c r="N128" s="265"/>
      <c r="O128" s="265"/>
      <c r="P128" s="265"/>
      <c r="Q128" s="265"/>
      <c r="R128" s="265"/>
    </row>
    <row r="129" spans="1:21" ht="18" customHeight="1">
      <c r="A129" s="204"/>
      <c r="B129" s="202"/>
      <c r="C129" s="202"/>
      <c r="D129" s="202"/>
      <c r="E129" s="300"/>
      <c r="F129" s="210"/>
      <c r="G129" s="203"/>
      <c r="H129" s="203"/>
      <c r="I129" s="276"/>
      <c r="J129" s="263" t="str">
        <f t="shared" ref="J129:J182" si="2">CONCATENATE(D129,G129)</f>
        <v/>
      </c>
      <c r="K129" s="266"/>
      <c r="L129" s="265"/>
      <c r="M129" s="265"/>
      <c r="N129" s="265"/>
      <c r="O129" s="265"/>
      <c r="P129" s="265"/>
      <c r="Q129" s="265"/>
      <c r="R129" s="267"/>
    </row>
    <row r="130" spans="1:21" ht="18" customHeight="1">
      <c r="A130" s="204"/>
      <c r="B130" s="202"/>
      <c r="C130" s="202"/>
      <c r="D130" s="202"/>
      <c r="E130" s="300"/>
      <c r="F130" s="210"/>
      <c r="G130" s="203"/>
      <c r="H130" s="203"/>
      <c r="I130" s="276"/>
      <c r="J130" s="263" t="str">
        <f t="shared" si="2"/>
        <v/>
      </c>
      <c r="K130" s="264"/>
      <c r="L130" s="265"/>
      <c r="M130" s="265"/>
      <c r="N130" s="265"/>
      <c r="O130" s="265"/>
      <c r="P130" s="265"/>
      <c r="Q130" s="265"/>
      <c r="R130" s="284"/>
      <c r="S130" s="265"/>
      <c r="T130" s="265"/>
      <c r="U130" s="265"/>
    </row>
    <row r="131" spans="1:21" ht="18" customHeight="1">
      <c r="A131" s="270" t="s">
        <v>126</v>
      </c>
      <c r="B131" s="271"/>
      <c r="C131" s="271"/>
      <c r="D131" s="271"/>
      <c r="E131" s="272"/>
      <c r="F131" s="340">
        <f>SUM(F6:F130)</f>
        <v>124209.40000000001</v>
      </c>
      <c r="G131" s="282"/>
      <c r="H131" s="282"/>
      <c r="I131" s="283"/>
      <c r="J131" s="263" t="str">
        <f t="shared" si="2"/>
        <v/>
      </c>
      <c r="K131" s="266"/>
      <c r="L131" s="265"/>
      <c r="M131" s="265"/>
      <c r="N131" s="265"/>
      <c r="O131" s="265"/>
      <c r="P131" s="265"/>
      <c r="Q131" s="265"/>
      <c r="R131" s="284"/>
      <c r="S131" s="265"/>
      <c r="T131" s="265"/>
      <c r="U131" s="265"/>
    </row>
    <row r="132" spans="1:21" ht="30" customHeight="1">
      <c r="A132" s="204"/>
      <c r="B132" s="202"/>
      <c r="C132" s="202"/>
      <c r="D132" s="202"/>
      <c r="E132" s="300"/>
      <c r="F132" s="210"/>
      <c r="G132" s="203"/>
      <c r="H132" s="203"/>
      <c r="I132" s="291"/>
      <c r="J132" s="263" t="str">
        <f t="shared" si="2"/>
        <v/>
      </c>
      <c r="K132" s="264"/>
      <c r="L132" s="265"/>
      <c r="M132" s="265"/>
      <c r="N132" s="265"/>
      <c r="O132" s="265"/>
      <c r="P132" s="265"/>
      <c r="Q132" s="265"/>
      <c r="R132" s="265"/>
    </row>
    <row r="133" spans="1:21" ht="30" customHeight="1">
      <c r="A133" s="204"/>
      <c r="B133" s="202"/>
      <c r="C133" s="202"/>
      <c r="D133" s="202"/>
      <c r="E133" s="300"/>
      <c r="F133" s="210"/>
      <c r="G133" s="203"/>
      <c r="H133" s="203"/>
      <c r="I133" s="291"/>
      <c r="J133" s="263" t="str">
        <f t="shared" si="2"/>
        <v/>
      </c>
      <c r="K133" s="264"/>
      <c r="L133" s="265"/>
      <c r="M133" s="265"/>
      <c r="N133" s="265"/>
      <c r="O133" s="265"/>
      <c r="P133" s="265"/>
      <c r="Q133" s="265"/>
      <c r="R133" s="265"/>
    </row>
    <row r="134" spans="1:21" ht="30" customHeight="1">
      <c r="A134" s="204"/>
      <c r="B134" s="202"/>
      <c r="C134" s="202"/>
      <c r="D134" s="202"/>
      <c r="E134" s="300"/>
      <c r="F134" s="210"/>
      <c r="G134" s="203"/>
      <c r="H134" s="203"/>
      <c r="I134" s="291"/>
      <c r="J134" s="263" t="str">
        <f t="shared" si="2"/>
        <v/>
      </c>
      <c r="K134" s="264"/>
      <c r="L134" s="265"/>
      <c r="M134" s="265"/>
      <c r="N134" s="265"/>
      <c r="O134" s="265"/>
      <c r="P134" s="265"/>
      <c r="Q134" s="265"/>
      <c r="R134" s="265"/>
    </row>
    <row r="135" spans="1:21" ht="30" customHeight="1">
      <c r="A135" s="204"/>
      <c r="B135" s="202"/>
      <c r="C135" s="202"/>
      <c r="D135" s="202"/>
      <c r="E135" s="300"/>
      <c r="F135" s="210"/>
      <c r="G135" s="203"/>
      <c r="H135" s="203"/>
      <c r="I135" s="291"/>
      <c r="J135" s="263" t="str">
        <f t="shared" si="2"/>
        <v/>
      </c>
      <c r="K135" s="264"/>
      <c r="L135" s="265"/>
      <c r="M135" s="265"/>
      <c r="N135" s="265"/>
      <c r="O135" s="265"/>
      <c r="P135" s="265"/>
      <c r="Q135" s="265"/>
      <c r="R135" s="265"/>
    </row>
    <row r="136" spans="1:21" ht="30" customHeight="1">
      <c r="A136" s="204"/>
      <c r="B136" s="202"/>
      <c r="C136" s="202"/>
      <c r="D136" s="202"/>
      <c r="E136" s="300"/>
      <c r="F136" s="210"/>
      <c r="G136" s="203"/>
      <c r="H136" s="203"/>
      <c r="I136" s="291"/>
      <c r="J136" s="263" t="str">
        <f t="shared" si="2"/>
        <v/>
      </c>
      <c r="K136" s="264"/>
      <c r="L136" s="265"/>
      <c r="M136" s="265"/>
      <c r="N136" s="265"/>
      <c r="O136" s="265"/>
      <c r="P136" s="265"/>
      <c r="Q136" s="265"/>
      <c r="R136" s="265"/>
    </row>
    <row r="137" spans="1:21" ht="30" customHeight="1">
      <c r="A137" s="204"/>
      <c r="B137" s="202"/>
      <c r="C137" s="202"/>
      <c r="D137" s="202"/>
      <c r="E137" s="300"/>
      <c r="F137" s="210"/>
      <c r="G137" s="203"/>
      <c r="H137" s="203"/>
      <c r="I137" s="291"/>
      <c r="J137" s="263" t="str">
        <f t="shared" si="2"/>
        <v/>
      </c>
      <c r="K137" s="264"/>
      <c r="L137" s="265"/>
      <c r="M137" s="265"/>
      <c r="N137" s="265"/>
      <c r="O137" s="265"/>
      <c r="P137" s="265"/>
      <c r="Q137" s="265"/>
      <c r="R137" s="265"/>
    </row>
    <row r="138" spans="1:21" ht="30" customHeight="1">
      <c r="A138" s="204"/>
      <c r="B138" s="202"/>
      <c r="C138" s="202"/>
      <c r="D138" s="202"/>
      <c r="E138" s="300"/>
      <c r="F138" s="210"/>
      <c r="G138" s="203"/>
      <c r="H138" s="203"/>
      <c r="I138" s="291"/>
      <c r="J138" s="263" t="str">
        <f t="shared" si="2"/>
        <v/>
      </c>
      <c r="K138" s="264"/>
      <c r="L138" s="265"/>
      <c r="M138" s="265"/>
      <c r="N138" s="265"/>
      <c r="O138" s="265"/>
      <c r="P138" s="265"/>
      <c r="Q138" s="265"/>
      <c r="R138" s="265"/>
    </row>
    <row r="139" spans="1:21" ht="30" customHeight="1">
      <c r="A139" s="204"/>
      <c r="B139" s="202"/>
      <c r="C139" s="202"/>
      <c r="D139" s="202"/>
      <c r="E139" s="300"/>
      <c r="F139" s="210"/>
      <c r="G139" s="203"/>
      <c r="H139" s="203"/>
      <c r="I139" s="291"/>
      <c r="J139" s="263" t="str">
        <f t="shared" si="2"/>
        <v/>
      </c>
      <c r="K139" s="264"/>
      <c r="L139" s="265"/>
      <c r="M139" s="265"/>
      <c r="N139" s="265"/>
      <c r="O139" s="265"/>
      <c r="P139" s="265"/>
      <c r="Q139" s="265"/>
      <c r="R139" s="265"/>
    </row>
    <row r="140" spans="1:21" ht="30" customHeight="1">
      <c r="A140" s="204"/>
      <c r="B140" s="202"/>
      <c r="C140" s="202"/>
      <c r="D140" s="202"/>
      <c r="E140" s="300"/>
      <c r="F140" s="210"/>
      <c r="G140" s="203"/>
      <c r="H140" s="203"/>
      <c r="I140" s="291"/>
      <c r="J140" s="263" t="str">
        <f t="shared" si="2"/>
        <v/>
      </c>
      <c r="K140" s="264"/>
      <c r="L140" s="265"/>
      <c r="M140" s="265"/>
      <c r="N140" s="265"/>
      <c r="O140" s="265"/>
      <c r="P140" s="265"/>
      <c r="Q140" s="265"/>
      <c r="R140" s="265"/>
    </row>
    <row r="141" spans="1:21" ht="30" customHeight="1">
      <c r="A141" s="204"/>
      <c r="B141" s="202"/>
      <c r="C141" s="202"/>
      <c r="D141" s="202"/>
      <c r="E141" s="300"/>
      <c r="F141" s="210"/>
      <c r="G141" s="203"/>
      <c r="H141" s="203"/>
      <c r="I141" s="291"/>
      <c r="J141" s="263" t="str">
        <f t="shared" si="2"/>
        <v/>
      </c>
      <c r="K141" s="264"/>
      <c r="L141" s="265"/>
      <c r="M141" s="265"/>
      <c r="N141" s="265"/>
      <c r="O141" s="265"/>
      <c r="P141" s="265"/>
      <c r="Q141" s="265"/>
      <c r="R141" s="265"/>
    </row>
    <row r="142" spans="1:21" ht="30" customHeight="1">
      <c r="A142" s="204"/>
      <c r="B142" s="202"/>
      <c r="C142" s="202"/>
      <c r="D142" s="202"/>
      <c r="E142" s="300"/>
      <c r="F142" s="210"/>
      <c r="G142" s="203"/>
      <c r="H142" s="203"/>
      <c r="I142" s="291"/>
      <c r="J142" s="263" t="str">
        <f t="shared" si="2"/>
        <v/>
      </c>
      <c r="K142" s="264"/>
      <c r="L142" s="265"/>
      <c r="M142" s="265"/>
      <c r="N142" s="265"/>
      <c r="O142" s="265"/>
      <c r="P142" s="265"/>
      <c r="Q142" s="265"/>
      <c r="R142" s="265"/>
    </row>
    <row r="143" spans="1:21" ht="30" customHeight="1">
      <c r="A143" s="204"/>
      <c r="B143" s="202"/>
      <c r="C143" s="202"/>
      <c r="D143" s="202"/>
      <c r="E143" s="300"/>
      <c r="F143" s="210"/>
      <c r="G143" s="203"/>
      <c r="H143" s="203"/>
      <c r="I143" s="291"/>
      <c r="J143" s="263" t="str">
        <f t="shared" si="2"/>
        <v/>
      </c>
      <c r="K143" s="264"/>
      <c r="L143" s="265"/>
      <c r="M143" s="265"/>
      <c r="N143" s="265"/>
      <c r="O143" s="265"/>
      <c r="P143" s="265"/>
      <c r="Q143" s="265"/>
      <c r="R143" s="265"/>
    </row>
    <row r="144" spans="1:21" ht="30" customHeight="1">
      <c r="A144" s="204"/>
      <c r="B144" s="202"/>
      <c r="C144" s="202"/>
      <c r="D144" s="202"/>
      <c r="E144" s="300"/>
      <c r="F144" s="210"/>
      <c r="G144" s="203"/>
      <c r="H144" s="203"/>
      <c r="I144" s="291"/>
      <c r="J144" s="263" t="str">
        <f t="shared" si="2"/>
        <v/>
      </c>
      <c r="K144" s="264"/>
      <c r="L144" s="265"/>
      <c r="M144" s="265"/>
      <c r="N144" s="265"/>
      <c r="O144" s="265"/>
      <c r="P144" s="265"/>
      <c r="Q144" s="265"/>
      <c r="R144" s="265"/>
    </row>
    <row r="145" spans="1:21" ht="30" customHeight="1">
      <c r="A145" s="204"/>
      <c r="B145" s="202"/>
      <c r="C145" s="202"/>
      <c r="D145" s="202"/>
      <c r="E145" s="300"/>
      <c r="F145" s="210"/>
      <c r="G145" s="203"/>
      <c r="H145" s="203"/>
      <c r="I145" s="291"/>
      <c r="J145" s="263" t="str">
        <f t="shared" si="2"/>
        <v/>
      </c>
      <c r="K145" s="264"/>
      <c r="L145" s="265"/>
      <c r="M145" s="265"/>
      <c r="N145" s="265"/>
      <c r="O145" s="265"/>
      <c r="P145" s="265"/>
      <c r="Q145" s="265"/>
      <c r="R145" s="265"/>
    </row>
    <row r="146" spans="1:21" ht="30" customHeight="1">
      <c r="A146" s="204"/>
      <c r="B146" s="202"/>
      <c r="C146" s="202"/>
      <c r="D146" s="202"/>
      <c r="E146" s="300"/>
      <c r="F146" s="210"/>
      <c r="G146" s="203"/>
      <c r="H146" s="203"/>
      <c r="I146" s="291"/>
      <c r="J146" s="263" t="str">
        <f t="shared" si="2"/>
        <v/>
      </c>
      <c r="K146" s="264"/>
      <c r="L146" s="265"/>
      <c r="M146" s="265"/>
      <c r="N146" s="265"/>
      <c r="O146" s="265"/>
      <c r="P146" s="265"/>
      <c r="Q146" s="265"/>
      <c r="R146" s="265"/>
    </row>
    <row r="147" spans="1:21" ht="30" customHeight="1">
      <c r="A147" s="204"/>
      <c r="B147" s="202"/>
      <c r="C147" s="202"/>
      <c r="D147" s="202"/>
      <c r="E147" s="300"/>
      <c r="F147" s="210"/>
      <c r="G147" s="203"/>
      <c r="H147" s="203"/>
      <c r="I147" s="291"/>
      <c r="J147" s="263" t="str">
        <f t="shared" si="2"/>
        <v/>
      </c>
      <c r="K147" s="266"/>
      <c r="L147" s="265"/>
      <c r="M147" s="265"/>
      <c r="N147" s="265"/>
      <c r="O147" s="265"/>
      <c r="P147" s="265"/>
      <c r="Q147" s="265"/>
      <c r="R147" s="267"/>
    </row>
    <row r="148" spans="1:21" ht="30" customHeight="1">
      <c r="A148" s="204"/>
      <c r="B148" s="202"/>
      <c r="C148" s="202"/>
      <c r="D148" s="202"/>
      <c r="E148" s="300"/>
      <c r="F148" s="210"/>
      <c r="G148" s="203"/>
      <c r="H148" s="203"/>
      <c r="I148" s="291"/>
      <c r="J148" s="263" t="str">
        <f t="shared" si="2"/>
        <v/>
      </c>
      <c r="K148" s="266"/>
      <c r="L148" s="265"/>
      <c r="M148" s="265"/>
      <c r="N148" s="265"/>
      <c r="O148" s="265"/>
      <c r="P148" s="265"/>
      <c r="Q148" s="265"/>
      <c r="R148" s="267"/>
    </row>
    <row r="149" spans="1:21" ht="30" customHeight="1">
      <c r="A149" s="204"/>
      <c r="B149" s="202"/>
      <c r="C149" s="202"/>
      <c r="D149" s="202"/>
      <c r="E149" s="300"/>
      <c r="F149" s="210"/>
      <c r="G149" s="203"/>
      <c r="H149" s="203"/>
      <c r="I149" s="291"/>
      <c r="J149" s="263" t="str">
        <f t="shared" si="2"/>
        <v/>
      </c>
      <c r="K149" s="266"/>
      <c r="L149" s="265"/>
      <c r="M149" s="265"/>
      <c r="N149" s="265"/>
      <c r="O149" s="265"/>
      <c r="P149" s="265"/>
      <c r="Q149" s="265"/>
      <c r="R149" s="267"/>
    </row>
    <row r="150" spans="1:21" ht="30" customHeight="1">
      <c r="A150" s="204"/>
      <c r="B150" s="202"/>
      <c r="C150" s="202"/>
      <c r="D150" s="202"/>
      <c r="E150" s="300"/>
      <c r="F150" s="210"/>
      <c r="G150" s="203"/>
      <c r="H150" s="203"/>
      <c r="I150" s="291"/>
      <c r="J150" s="263" t="str">
        <f t="shared" si="2"/>
        <v/>
      </c>
      <c r="K150" s="266"/>
      <c r="L150" s="265"/>
      <c r="M150" s="265"/>
      <c r="N150" s="265"/>
      <c r="O150" s="265"/>
      <c r="P150" s="265"/>
      <c r="Q150" s="265"/>
      <c r="R150" s="267"/>
    </row>
    <row r="151" spans="1:21" ht="30" customHeight="1">
      <c r="A151" s="304"/>
      <c r="B151" s="296"/>
      <c r="C151" s="305"/>
      <c r="D151" s="306"/>
      <c r="E151" s="297"/>
      <c r="F151" s="298"/>
      <c r="G151" s="282"/>
      <c r="H151" s="282"/>
      <c r="I151" s="303"/>
      <c r="J151" s="263" t="str">
        <f t="shared" si="2"/>
        <v/>
      </c>
      <c r="K151" s="264"/>
      <c r="L151" s="265"/>
      <c r="M151" s="265"/>
      <c r="N151" s="265"/>
      <c r="O151" s="265"/>
      <c r="P151" s="265"/>
      <c r="Q151" s="265"/>
      <c r="R151" s="284"/>
      <c r="S151" s="265"/>
      <c r="T151" s="265"/>
      <c r="U151" s="265"/>
    </row>
    <row r="152" spans="1:21" ht="30" customHeight="1">
      <c r="A152" s="260"/>
      <c r="B152" s="200"/>
      <c r="C152" s="200"/>
      <c r="D152" s="200"/>
      <c r="E152" s="299"/>
      <c r="F152" s="209"/>
      <c r="G152" s="201"/>
      <c r="H152" s="201"/>
      <c r="I152" s="291"/>
      <c r="J152" s="263" t="str">
        <f t="shared" si="2"/>
        <v/>
      </c>
      <c r="K152" s="266"/>
      <c r="L152" s="265"/>
      <c r="M152" s="265"/>
      <c r="N152" s="265"/>
      <c r="O152" s="265"/>
      <c r="P152" s="265"/>
      <c r="Q152" s="265"/>
      <c r="R152" s="284"/>
      <c r="S152" s="265"/>
      <c r="T152" s="265"/>
      <c r="U152" s="265"/>
    </row>
    <row r="153" spans="1:21" ht="30" customHeight="1">
      <c r="A153" s="204"/>
      <c r="B153" s="202"/>
      <c r="C153" s="202"/>
      <c r="D153" s="202"/>
      <c r="E153" s="300"/>
      <c r="F153" s="210"/>
      <c r="G153" s="203"/>
      <c r="H153" s="203"/>
      <c r="I153" s="291"/>
      <c r="J153" s="263" t="str">
        <f t="shared" si="2"/>
        <v/>
      </c>
      <c r="K153" s="264"/>
      <c r="L153" s="265"/>
      <c r="M153" s="265"/>
      <c r="N153" s="265"/>
      <c r="O153" s="265"/>
      <c r="P153" s="265"/>
      <c r="Q153" s="265"/>
      <c r="R153" s="265"/>
    </row>
    <row r="154" spans="1:21" ht="30" customHeight="1">
      <c r="A154" s="204"/>
      <c r="B154" s="202"/>
      <c r="C154" s="202"/>
      <c r="D154" s="202"/>
      <c r="E154" s="300"/>
      <c r="F154" s="210"/>
      <c r="G154" s="203"/>
      <c r="H154" s="203"/>
      <c r="I154" s="291"/>
      <c r="J154" s="263" t="str">
        <f t="shared" si="2"/>
        <v/>
      </c>
      <c r="K154" s="264"/>
      <c r="L154" s="265"/>
      <c r="M154" s="265"/>
      <c r="N154" s="265"/>
      <c r="O154" s="265"/>
      <c r="P154" s="265"/>
      <c r="Q154" s="265"/>
      <c r="R154" s="265"/>
    </row>
    <row r="155" spans="1:21" ht="30" customHeight="1">
      <c r="A155" s="204"/>
      <c r="B155" s="202"/>
      <c r="C155" s="202"/>
      <c r="D155" s="202"/>
      <c r="E155" s="300"/>
      <c r="F155" s="210"/>
      <c r="G155" s="203"/>
      <c r="H155" s="203"/>
      <c r="I155" s="291"/>
      <c r="J155" s="263" t="str">
        <f t="shared" si="2"/>
        <v/>
      </c>
      <c r="K155" s="264"/>
      <c r="L155" s="265"/>
      <c r="M155" s="265"/>
      <c r="N155" s="265"/>
      <c r="O155" s="265"/>
      <c r="P155" s="265"/>
      <c r="Q155" s="265"/>
      <c r="R155" s="265"/>
    </row>
    <row r="156" spans="1:21" ht="30" customHeight="1">
      <c r="A156" s="204"/>
      <c r="B156" s="202"/>
      <c r="C156" s="202"/>
      <c r="D156" s="202"/>
      <c r="E156" s="300"/>
      <c r="F156" s="210"/>
      <c r="G156" s="203"/>
      <c r="H156" s="203"/>
      <c r="I156" s="291"/>
      <c r="J156" s="263" t="str">
        <f t="shared" si="2"/>
        <v/>
      </c>
      <c r="K156" s="264"/>
      <c r="L156" s="265"/>
      <c r="M156" s="265"/>
      <c r="N156" s="265"/>
      <c r="O156" s="265"/>
      <c r="P156" s="265"/>
      <c r="Q156" s="265"/>
      <c r="R156" s="265"/>
    </row>
    <row r="157" spans="1:21" ht="30" customHeight="1">
      <c r="A157" s="204"/>
      <c r="B157" s="202"/>
      <c r="C157" s="202"/>
      <c r="D157" s="202"/>
      <c r="E157" s="300"/>
      <c r="F157" s="210"/>
      <c r="G157" s="203"/>
      <c r="H157" s="203"/>
      <c r="I157" s="291"/>
      <c r="J157" s="263" t="str">
        <f t="shared" si="2"/>
        <v/>
      </c>
      <c r="K157" s="264"/>
      <c r="L157" s="265"/>
      <c r="M157" s="265"/>
      <c r="N157" s="265"/>
      <c r="O157" s="265"/>
      <c r="P157" s="265"/>
      <c r="Q157" s="265"/>
      <c r="R157" s="265"/>
    </row>
    <row r="158" spans="1:21" ht="30" customHeight="1">
      <c r="A158" s="204"/>
      <c r="B158" s="202"/>
      <c r="C158" s="202"/>
      <c r="D158" s="202"/>
      <c r="E158" s="300"/>
      <c r="F158" s="210"/>
      <c r="G158" s="203"/>
      <c r="H158" s="203"/>
      <c r="I158" s="291"/>
      <c r="J158" s="263" t="str">
        <f t="shared" si="2"/>
        <v/>
      </c>
      <c r="K158" s="264"/>
      <c r="L158" s="265"/>
      <c r="M158" s="265"/>
      <c r="N158" s="265"/>
      <c r="O158" s="265"/>
      <c r="P158" s="265"/>
      <c r="Q158" s="265"/>
      <c r="R158" s="265"/>
    </row>
    <row r="159" spans="1:21" ht="30" customHeight="1">
      <c r="A159" s="204"/>
      <c r="B159" s="202"/>
      <c r="C159" s="202"/>
      <c r="D159" s="202"/>
      <c r="E159" s="300"/>
      <c r="F159" s="210"/>
      <c r="G159" s="203"/>
      <c r="H159" s="203"/>
      <c r="I159" s="291"/>
      <c r="J159" s="263" t="str">
        <f t="shared" si="2"/>
        <v/>
      </c>
      <c r="K159" s="264"/>
      <c r="L159" s="265"/>
      <c r="M159" s="265"/>
      <c r="N159" s="265"/>
      <c r="O159" s="265"/>
      <c r="P159" s="265"/>
      <c r="Q159" s="265"/>
      <c r="R159" s="265"/>
    </row>
    <row r="160" spans="1:21" ht="30" customHeight="1">
      <c r="A160" s="204"/>
      <c r="B160" s="202"/>
      <c r="C160" s="202"/>
      <c r="D160" s="202"/>
      <c r="E160" s="300"/>
      <c r="F160" s="210"/>
      <c r="G160" s="203"/>
      <c r="H160" s="203"/>
      <c r="I160" s="291"/>
      <c r="J160" s="263" t="str">
        <f t="shared" si="2"/>
        <v/>
      </c>
      <c r="K160" s="264"/>
      <c r="L160" s="265"/>
      <c r="M160" s="265"/>
      <c r="N160" s="265"/>
      <c r="O160" s="265"/>
      <c r="P160" s="265"/>
      <c r="Q160" s="265"/>
      <c r="R160" s="265"/>
    </row>
    <row r="161" spans="1:21" ht="30" customHeight="1">
      <c r="A161" s="204"/>
      <c r="B161" s="202"/>
      <c r="C161" s="202"/>
      <c r="D161" s="202"/>
      <c r="E161" s="300"/>
      <c r="F161" s="210"/>
      <c r="G161" s="203"/>
      <c r="H161" s="203"/>
      <c r="I161" s="291"/>
      <c r="J161" s="263" t="str">
        <f t="shared" si="2"/>
        <v/>
      </c>
      <c r="K161" s="264"/>
      <c r="L161" s="265"/>
      <c r="M161" s="265"/>
      <c r="N161" s="265"/>
      <c r="O161" s="265"/>
      <c r="P161" s="265"/>
      <c r="Q161" s="265"/>
      <c r="R161" s="265"/>
    </row>
    <row r="162" spans="1:21" ht="30" customHeight="1">
      <c r="A162" s="204"/>
      <c r="B162" s="202"/>
      <c r="C162" s="202"/>
      <c r="D162" s="202"/>
      <c r="E162" s="300"/>
      <c r="F162" s="210"/>
      <c r="G162" s="203"/>
      <c r="H162" s="203"/>
      <c r="I162" s="291"/>
      <c r="J162" s="263" t="str">
        <f t="shared" si="2"/>
        <v/>
      </c>
      <c r="K162" s="264"/>
      <c r="L162" s="265"/>
      <c r="M162" s="265"/>
      <c r="N162" s="265"/>
      <c r="O162" s="265"/>
      <c r="P162" s="265"/>
      <c r="Q162" s="265"/>
      <c r="R162" s="265"/>
    </row>
    <row r="163" spans="1:21" ht="30" customHeight="1">
      <c r="A163" s="204"/>
      <c r="B163" s="202"/>
      <c r="C163" s="202"/>
      <c r="D163" s="202"/>
      <c r="E163" s="300"/>
      <c r="F163" s="210"/>
      <c r="G163" s="203"/>
      <c r="H163" s="203"/>
      <c r="I163" s="291"/>
      <c r="J163" s="263" t="str">
        <f t="shared" si="2"/>
        <v/>
      </c>
      <c r="K163" s="264"/>
      <c r="L163" s="265"/>
      <c r="M163" s="265"/>
      <c r="N163" s="265"/>
      <c r="O163" s="265"/>
      <c r="P163" s="265"/>
      <c r="Q163" s="265"/>
      <c r="R163" s="265"/>
    </row>
    <row r="164" spans="1:21" ht="30" customHeight="1">
      <c r="A164" s="204"/>
      <c r="B164" s="202"/>
      <c r="C164" s="202"/>
      <c r="D164" s="202"/>
      <c r="E164" s="300"/>
      <c r="F164" s="210"/>
      <c r="G164" s="203"/>
      <c r="H164" s="203"/>
      <c r="I164" s="291"/>
      <c r="J164" s="263" t="str">
        <f t="shared" si="2"/>
        <v/>
      </c>
      <c r="K164" s="264"/>
      <c r="L164" s="265"/>
      <c r="M164" s="265"/>
      <c r="N164" s="265"/>
      <c r="O164" s="265"/>
      <c r="P164" s="265"/>
      <c r="Q164" s="265"/>
      <c r="R164" s="265"/>
    </row>
    <row r="165" spans="1:21" ht="30" customHeight="1">
      <c r="A165" s="204"/>
      <c r="B165" s="202"/>
      <c r="C165" s="202"/>
      <c r="D165" s="202"/>
      <c r="E165" s="300"/>
      <c r="F165" s="210"/>
      <c r="G165" s="203"/>
      <c r="H165" s="203"/>
      <c r="I165" s="291"/>
      <c r="J165" s="263" t="str">
        <f t="shared" si="2"/>
        <v/>
      </c>
      <c r="K165" s="264"/>
      <c r="L165" s="265"/>
      <c r="M165" s="265"/>
      <c r="N165" s="265"/>
      <c r="O165" s="265"/>
      <c r="P165" s="265"/>
      <c r="Q165" s="265"/>
      <c r="R165" s="265"/>
    </row>
    <row r="166" spans="1:21" ht="30" customHeight="1">
      <c r="A166" s="204"/>
      <c r="B166" s="202"/>
      <c r="C166" s="202"/>
      <c r="D166" s="202"/>
      <c r="E166" s="300"/>
      <c r="F166" s="210"/>
      <c r="G166" s="203"/>
      <c r="H166" s="203"/>
      <c r="I166" s="291"/>
      <c r="J166" s="263" t="str">
        <f t="shared" si="2"/>
        <v/>
      </c>
      <c r="K166" s="264"/>
      <c r="L166" s="265"/>
      <c r="M166" s="265"/>
      <c r="N166" s="265"/>
      <c r="O166" s="265"/>
      <c r="P166" s="265"/>
      <c r="Q166" s="265"/>
      <c r="R166" s="265"/>
    </row>
    <row r="167" spans="1:21" ht="30" customHeight="1">
      <c r="A167" s="204"/>
      <c r="B167" s="202"/>
      <c r="C167" s="202"/>
      <c r="D167" s="202"/>
      <c r="E167" s="300"/>
      <c r="F167" s="210"/>
      <c r="G167" s="203"/>
      <c r="H167" s="203"/>
      <c r="I167" s="291"/>
      <c r="J167" s="263" t="str">
        <f t="shared" si="2"/>
        <v/>
      </c>
      <c r="K167" s="264"/>
      <c r="L167" s="265"/>
      <c r="M167" s="265"/>
      <c r="N167" s="265"/>
      <c r="O167" s="265"/>
      <c r="P167" s="265"/>
      <c r="Q167" s="265"/>
      <c r="R167" s="265"/>
    </row>
    <row r="168" spans="1:21" ht="30" customHeight="1">
      <c r="A168" s="204"/>
      <c r="B168" s="202"/>
      <c r="C168" s="202"/>
      <c r="D168" s="202"/>
      <c r="E168" s="300"/>
      <c r="F168" s="210"/>
      <c r="G168" s="203"/>
      <c r="H168" s="203"/>
      <c r="I168" s="291"/>
      <c r="J168" s="263" t="str">
        <f t="shared" si="2"/>
        <v/>
      </c>
      <c r="K168" s="266"/>
      <c r="L168" s="265"/>
      <c r="M168" s="265"/>
      <c r="N168" s="265"/>
      <c r="O168" s="265"/>
      <c r="P168" s="265"/>
      <c r="Q168" s="265"/>
      <c r="R168" s="267"/>
    </row>
    <row r="169" spans="1:21" ht="30" customHeight="1">
      <c r="A169" s="204"/>
      <c r="B169" s="202"/>
      <c r="C169" s="202"/>
      <c r="D169" s="202"/>
      <c r="E169" s="300"/>
      <c r="F169" s="210"/>
      <c r="G169" s="203"/>
      <c r="H169" s="203"/>
      <c r="I169" s="291"/>
      <c r="J169" s="263" t="str">
        <f t="shared" si="2"/>
        <v/>
      </c>
      <c r="K169" s="266"/>
      <c r="L169" s="265"/>
      <c r="M169" s="265"/>
      <c r="N169" s="265"/>
      <c r="O169" s="265"/>
      <c r="P169" s="265"/>
      <c r="Q169" s="265"/>
      <c r="R169" s="267"/>
    </row>
    <row r="170" spans="1:21" ht="30" customHeight="1">
      <c r="A170" s="204"/>
      <c r="B170" s="202"/>
      <c r="C170" s="202"/>
      <c r="D170" s="202"/>
      <c r="E170" s="300"/>
      <c r="F170" s="210"/>
      <c r="G170" s="203"/>
      <c r="H170" s="203"/>
      <c r="I170" s="291"/>
      <c r="J170" s="263" t="str">
        <f t="shared" si="2"/>
        <v/>
      </c>
      <c r="K170" s="266"/>
      <c r="L170" s="265"/>
      <c r="M170" s="265"/>
      <c r="N170" s="265"/>
      <c r="O170" s="265"/>
      <c r="P170" s="265"/>
      <c r="Q170" s="265"/>
      <c r="R170" s="267"/>
    </row>
    <row r="171" spans="1:21" ht="30" customHeight="1">
      <c r="A171" s="204"/>
      <c r="B171" s="202"/>
      <c r="C171" s="202"/>
      <c r="D171" s="202"/>
      <c r="E171" s="300"/>
      <c r="F171" s="210"/>
      <c r="G171" s="203"/>
      <c r="H171" s="203"/>
      <c r="I171" s="291"/>
      <c r="J171" s="263" t="str">
        <f t="shared" si="2"/>
        <v/>
      </c>
      <c r="K171" s="266"/>
      <c r="L171" s="265"/>
      <c r="M171" s="265"/>
      <c r="N171" s="265"/>
      <c r="O171" s="265"/>
      <c r="P171" s="265"/>
      <c r="Q171" s="265"/>
      <c r="R171" s="267"/>
    </row>
    <row r="172" spans="1:21" ht="30" customHeight="1">
      <c r="A172" s="304"/>
      <c r="B172" s="296"/>
      <c r="C172" s="305"/>
      <c r="D172" s="306"/>
      <c r="E172" s="297"/>
      <c r="F172" s="298"/>
      <c r="G172" s="282"/>
      <c r="H172" s="282"/>
      <c r="I172" s="303"/>
      <c r="J172" s="263" t="str">
        <f t="shared" si="2"/>
        <v/>
      </c>
      <c r="K172" s="264"/>
      <c r="L172" s="265"/>
      <c r="M172" s="265"/>
      <c r="N172" s="265"/>
      <c r="O172" s="265"/>
      <c r="P172" s="265"/>
      <c r="Q172" s="265"/>
      <c r="R172" s="284"/>
      <c r="S172" s="265"/>
      <c r="T172" s="265"/>
      <c r="U172" s="265"/>
    </row>
    <row r="173" spans="1:21" ht="30" customHeight="1">
      <c r="A173" s="260"/>
      <c r="B173" s="200"/>
      <c r="C173" s="200"/>
      <c r="D173" s="200"/>
      <c r="E173" s="299"/>
      <c r="F173" s="209"/>
      <c r="G173" s="201"/>
      <c r="H173" s="201"/>
      <c r="I173" s="291"/>
      <c r="J173" s="263" t="str">
        <f t="shared" si="2"/>
        <v/>
      </c>
      <c r="K173" s="266"/>
      <c r="L173" s="265"/>
      <c r="M173" s="265"/>
      <c r="N173" s="265"/>
      <c r="O173" s="265"/>
      <c r="P173" s="265"/>
      <c r="Q173" s="265"/>
      <c r="R173" s="284"/>
      <c r="S173" s="265"/>
      <c r="T173" s="265"/>
      <c r="U173" s="265"/>
    </row>
    <row r="174" spans="1:21" ht="30" customHeight="1">
      <c r="A174" s="204"/>
      <c r="B174" s="202"/>
      <c r="C174" s="202"/>
      <c r="D174" s="202"/>
      <c r="E174" s="300"/>
      <c r="F174" s="210"/>
      <c r="G174" s="203"/>
      <c r="H174" s="203"/>
      <c r="I174" s="291"/>
      <c r="J174" s="263" t="str">
        <f t="shared" si="2"/>
        <v/>
      </c>
      <c r="K174" s="264"/>
      <c r="L174" s="265"/>
      <c r="M174" s="265"/>
      <c r="N174" s="265"/>
      <c r="O174" s="265"/>
      <c r="P174" s="265"/>
      <c r="Q174" s="265"/>
      <c r="R174" s="265"/>
    </row>
    <row r="175" spans="1:21" ht="30" customHeight="1">
      <c r="A175" s="204"/>
      <c r="B175" s="202"/>
      <c r="C175" s="202"/>
      <c r="D175" s="202"/>
      <c r="E175" s="300"/>
      <c r="F175" s="210"/>
      <c r="G175" s="203"/>
      <c r="H175" s="203"/>
      <c r="I175" s="291"/>
      <c r="J175" s="263" t="str">
        <f t="shared" si="2"/>
        <v/>
      </c>
      <c r="K175" s="264"/>
      <c r="L175" s="265"/>
      <c r="M175" s="265"/>
      <c r="N175" s="265"/>
      <c r="O175" s="265"/>
      <c r="P175" s="265"/>
      <c r="Q175" s="265"/>
      <c r="R175" s="265"/>
    </row>
    <row r="176" spans="1:21" ht="30" customHeight="1">
      <c r="A176" s="204"/>
      <c r="B176" s="202"/>
      <c r="C176" s="202"/>
      <c r="D176" s="202"/>
      <c r="E176" s="300"/>
      <c r="F176" s="210"/>
      <c r="G176" s="203"/>
      <c r="H176" s="203"/>
      <c r="I176" s="291"/>
      <c r="J176" s="263" t="str">
        <f t="shared" si="2"/>
        <v/>
      </c>
      <c r="K176" s="264"/>
      <c r="L176" s="265"/>
      <c r="M176" s="265"/>
      <c r="N176" s="265"/>
      <c r="O176" s="265"/>
      <c r="P176" s="265"/>
      <c r="Q176" s="265"/>
      <c r="R176" s="265"/>
    </row>
    <row r="177" spans="1:18" ht="30" customHeight="1">
      <c r="A177" s="204"/>
      <c r="B177" s="202"/>
      <c r="C177" s="202"/>
      <c r="D177" s="202"/>
      <c r="E177" s="300"/>
      <c r="F177" s="210"/>
      <c r="G177" s="203"/>
      <c r="H177" s="203"/>
      <c r="I177" s="291"/>
      <c r="J177" s="263" t="str">
        <f t="shared" si="2"/>
        <v/>
      </c>
      <c r="K177" s="264"/>
      <c r="L177" s="265"/>
      <c r="M177" s="265"/>
      <c r="N177" s="265"/>
      <c r="O177" s="265"/>
      <c r="P177" s="265"/>
      <c r="Q177" s="265"/>
      <c r="R177" s="265"/>
    </row>
    <row r="178" spans="1:18" ht="30" customHeight="1">
      <c r="A178" s="204"/>
      <c r="B178" s="202"/>
      <c r="C178" s="202"/>
      <c r="D178" s="202"/>
      <c r="E178" s="300"/>
      <c r="F178" s="210"/>
      <c r="G178" s="203"/>
      <c r="H178" s="203"/>
      <c r="I178" s="291"/>
      <c r="J178" s="263" t="str">
        <f t="shared" si="2"/>
        <v/>
      </c>
      <c r="K178" s="264"/>
      <c r="L178" s="265"/>
      <c r="M178" s="265"/>
      <c r="N178" s="265"/>
      <c r="O178" s="265"/>
      <c r="P178" s="265"/>
      <c r="Q178" s="265"/>
      <c r="R178" s="265"/>
    </row>
    <row r="179" spans="1:18" ht="30" customHeight="1">
      <c r="A179" s="204"/>
      <c r="B179" s="202"/>
      <c r="C179" s="202"/>
      <c r="D179" s="202"/>
      <c r="E179" s="300"/>
      <c r="F179" s="210"/>
      <c r="G179" s="203"/>
      <c r="H179" s="203"/>
      <c r="I179" s="291"/>
      <c r="J179" s="263" t="str">
        <f t="shared" si="2"/>
        <v/>
      </c>
      <c r="K179" s="264"/>
      <c r="L179" s="265"/>
      <c r="M179" s="265"/>
      <c r="N179" s="265"/>
      <c r="O179" s="265"/>
      <c r="P179" s="265"/>
      <c r="Q179" s="265"/>
      <c r="R179" s="265"/>
    </row>
    <row r="180" spans="1:18" ht="30" customHeight="1">
      <c r="A180" s="204"/>
      <c r="B180" s="202"/>
      <c r="C180" s="202"/>
      <c r="D180" s="202"/>
      <c r="E180" s="300"/>
      <c r="F180" s="210"/>
      <c r="G180" s="203"/>
      <c r="H180" s="203"/>
      <c r="I180" s="291"/>
      <c r="J180" s="263" t="str">
        <f t="shared" si="2"/>
        <v/>
      </c>
      <c r="K180" s="264"/>
      <c r="L180" s="265"/>
      <c r="M180" s="265"/>
      <c r="N180" s="265"/>
      <c r="O180" s="265"/>
      <c r="P180" s="265"/>
      <c r="Q180" s="265"/>
      <c r="R180" s="265"/>
    </row>
    <row r="181" spans="1:18" ht="30" customHeight="1">
      <c r="A181" s="204"/>
      <c r="B181" s="202"/>
      <c r="C181" s="202"/>
      <c r="D181" s="202"/>
      <c r="E181" s="300"/>
      <c r="F181" s="210"/>
      <c r="G181" s="203"/>
      <c r="H181" s="203"/>
      <c r="I181" s="291"/>
      <c r="J181" s="263" t="str">
        <f t="shared" si="2"/>
        <v/>
      </c>
      <c r="K181" s="264"/>
      <c r="L181" s="265"/>
      <c r="M181" s="265"/>
      <c r="N181" s="265"/>
      <c r="O181" s="265"/>
      <c r="P181" s="265"/>
      <c r="Q181" s="265"/>
      <c r="R181" s="265"/>
    </row>
    <row r="182" spans="1:18" ht="30" customHeight="1">
      <c r="A182" s="204"/>
      <c r="B182" s="202"/>
      <c r="C182" s="202"/>
      <c r="D182" s="202"/>
      <c r="E182" s="300"/>
      <c r="F182" s="210"/>
      <c r="G182" s="203"/>
      <c r="H182" s="203"/>
      <c r="I182" s="291"/>
      <c r="J182" s="263" t="str">
        <f t="shared" si="2"/>
        <v/>
      </c>
      <c r="K182" s="264"/>
      <c r="L182" s="265"/>
      <c r="M182" s="265"/>
      <c r="N182" s="265"/>
      <c r="O182" s="265"/>
      <c r="P182" s="265"/>
      <c r="Q182" s="265"/>
      <c r="R182" s="265"/>
    </row>
    <row r="183" spans="1:18" ht="30" customHeight="1">
      <c r="A183" s="204"/>
      <c r="B183" s="202"/>
      <c r="C183" s="202"/>
      <c r="D183" s="202"/>
      <c r="E183" s="300"/>
      <c r="F183" s="210"/>
      <c r="G183" s="203"/>
      <c r="H183" s="203"/>
      <c r="I183" s="291"/>
      <c r="J183" s="263" t="str">
        <f t="shared" ref="J183:J246" si="3">CONCATENATE(D183,G183)</f>
        <v/>
      </c>
      <c r="K183" s="264"/>
      <c r="L183" s="265"/>
      <c r="M183" s="265"/>
      <c r="N183" s="265"/>
      <c r="O183" s="265"/>
      <c r="P183" s="265"/>
      <c r="Q183" s="265"/>
      <c r="R183" s="265"/>
    </row>
    <row r="184" spans="1:18" ht="30" customHeight="1">
      <c r="A184" s="204"/>
      <c r="B184" s="202"/>
      <c r="C184" s="202"/>
      <c r="D184" s="202"/>
      <c r="E184" s="300"/>
      <c r="F184" s="210"/>
      <c r="G184" s="203"/>
      <c r="H184" s="203"/>
      <c r="I184" s="291"/>
      <c r="J184" s="263" t="str">
        <f t="shared" si="3"/>
        <v/>
      </c>
      <c r="K184" s="264"/>
      <c r="L184" s="265"/>
      <c r="M184" s="265"/>
      <c r="N184" s="265"/>
      <c r="O184" s="265"/>
      <c r="P184" s="265"/>
      <c r="Q184" s="265"/>
      <c r="R184" s="265"/>
    </row>
    <row r="185" spans="1:18" ht="30" customHeight="1">
      <c r="A185" s="204"/>
      <c r="B185" s="202"/>
      <c r="C185" s="202"/>
      <c r="D185" s="202"/>
      <c r="E185" s="300"/>
      <c r="F185" s="210"/>
      <c r="G185" s="203"/>
      <c r="H185" s="203"/>
      <c r="I185" s="291"/>
      <c r="J185" s="263" t="str">
        <f t="shared" si="3"/>
        <v/>
      </c>
      <c r="K185" s="264"/>
      <c r="L185" s="265"/>
      <c r="M185" s="265"/>
      <c r="N185" s="265"/>
      <c r="O185" s="265"/>
      <c r="P185" s="265"/>
      <c r="Q185" s="265"/>
      <c r="R185" s="265"/>
    </row>
    <row r="186" spans="1:18" ht="30" customHeight="1">
      <c r="A186" s="204"/>
      <c r="B186" s="202"/>
      <c r="C186" s="202"/>
      <c r="D186" s="202"/>
      <c r="E186" s="300"/>
      <c r="F186" s="210"/>
      <c r="G186" s="203"/>
      <c r="H186" s="203"/>
      <c r="I186" s="291"/>
      <c r="J186" s="263" t="str">
        <f t="shared" si="3"/>
        <v/>
      </c>
      <c r="K186" s="264"/>
      <c r="L186" s="265"/>
      <c r="M186" s="265"/>
      <c r="N186" s="265"/>
      <c r="O186" s="265"/>
      <c r="P186" s="265"/>
      <c r="Q186" s="265"/>
      <c r="R186" s="265"/>
    </row>
    <row r="187" spans="1:18" ht="30" customHeight="1">
      <c r="A187" s="204"/>
      <c r="B187" s="202"/>
      <c r="C187" s="202"/>
      <c r="D187" s="202"/>
      <c r="E187" s="300"/>
      <c r="F187" s="210"/>
      <c r="G187" s="203"/>
      <c r="H187" s="203"/>
      <c r="I187" s="291"/>
      <c r="J187" s="263" t="str">
        <f t="shared" si="3"/>
        <v/>
      </c>
      <c r="K187" s="264"/>
      <c r="L187" s="265"/>
      <c r="M187" s="265"/>
      <c r="N187" s="265"/>
      <c r="O187" s="265"/>
      <c r="P187" s="265"/>
      <c r="Q187" s="265"/>
      <c r="R187" s="265"/>
    </row>
    <row r="188" spans="1:18" ht="30" customHeight="1">
      <c r="A188" s="204"/>
      <c r="B188" s="202"/>
      <c r="C188" s="202"/>
      <c r="D188" s="202"/>
      <c r="E188" s="300"/>
      <c r="F188" s="210"/>
      <c r="G188" s="203"/>
      <c r="H188" s="203"/>
      <c r="I188" s="291"/>
      <c r="J188" s="263" t="str">
        <f t="shared" si="3"/>
        <v/>
      </c>
      <c r="K188" s="264"/>
      <c r="L188" s="265"/>
      <c r="M188" s="265"/>
      <c r="N188" s="265"/>
      <c r="O188" s="265"/>
      <c r="P188" s="265"/>
      <c r="Q188" s="265"/>
      <c r="R188" s="265"/>
    </row>
    <row r="189" spans="1:18" ht="30" customHeight="1">
      <c r="A189" s="204"/>
      <c r="B189" s="202"/>
      <c r="C189" s="202"/>
      <c r="D189" s="202"/>
      <c r="E189" s="300"/>
      <c r="F189" s="210"/>
      <c r="G189" s="203"/>
      <c r="H189" s="203"/>
      <c r="I189" s="291"/>
      <c r="J189" s="263" t="str">
        <f t="shared" si="3"/>
        <v/>
      </c>
      <c r="K189" s="266"/>
      <c r="L189" s="265"/>
      <c r="M189" s="265"/>
      <c r="N189" s="265"/>
      <c r="O189" s="265"/>
      <c r="P189" s="265"/>
      <c r="Q189" s="265"/>
      <c r="R189" s="267"/>
    </row>
    <row r="190" spans="1:18" ht="30" customHeight="1">
      <c r="A190" s="204"/>
      <c r="B190" s="202"/>
      <c r="C190" s="202"/>
      <c r="D190" s="202"/>
      <c r="E190" s="300"/>
      <c r="F190" s="210"/>
      <c r="G190" s="203"/>
      <c r="H190" s="203"/>
      <c r="I190" s="291"/>
      <c r="J190" s="263" t="str">
        <f t="shared" si="3"/>
        <v/>
      </c>
      <c r="K190" s="266"/>
      <c r="L190" s="265"/>
      <c r="M190" s="265"/>
      <c r="N190" s="265"/>
      <c r="O190" s="265"/>
      <c r="P190" s="265"/>
      <c r="Q190" s="265"/>
      <c r="R190" s="267"/>
    </row>
    <row r="191" spans="1:18" ht="30" customHeight="1">
      <c r="A191" s="204"/>
      <c r="B191" s="202"/>
      <c r="C191" s="202"/>
      <c r="D191" s="202"/>
      <c r="E191" s="300"/>
      <c r="F191" s="210"/>
      <c r="G191" s="203"/>
      <c r="H191" s="203"/>
      <c r="I191" s="291"/>
      <c r="J191" s="263" t="str">
        <f t="shared" si="3"/>
        <v/>
      </c>
      <c r="K191" s="266"/>
      <c r="L191" s="265"/>
      <c r="M191" s="265"/>
      <c r="N191" s="265"/>
      <c r="O191" s="265"/>
      <c r="P191" s="265"/>
      <c r="Q191" s="265"/>
      <c r="R191" s="267"/>
    </row>
    <row r="192" spans="1:18" ht="30" customHeight="1">
      <c r="A192" s="204"/>
      <c r="B192" s="202"/>
      <c r="C192" s="202"/>
      <c r="D192" s="202"/>
      <c r="E192" s="300"/>
      <c r="F192" s="210"/>
      <c r="G192" s="203"/>
      <c r="H192" s="203"/>
      <c r="I192" s="291"/>
      <c r="J192" s="263" t="str">
        <f t="shared" si="3"/>
        <v/>
      </c>
      <c r="K192" s="266"/>
      <c r="L192" s="265"/>
      <c r="M192" s="265"/>
      <c r="N192" s="265"/>
      <c r="O192" s="265"/>
      <c r="P192" s="265"/>
      <c r="Q192" s="265"/>
      <c r="R192" s="267"/>
    </row>
    <row r="193" spans="1:21" ht="30" customHeight="1">
      <c r="A193" s="304"/>
      <c r="B193" s="296"/>
      <c r="C193" s="305"/>
      <c r="D193" s="306"/>
      <c r="E193" s="297"/>
      <c r="F193" s="298"/>
      <c r="G193" s="282"/>
      <c r="H193" s="282"/>
      <c r="I193" s="303"/>
      <c r="J193" s="263" t="str">
        <f t="shared" si="3"/>
        <v/>
      </c>
      <c r="K193" s="264"/>
      <c r="L193" s="265"/>
      <c r="M193" s="265"/>
      <c r="N193" s="265"/>
      <c r="O193" s="265"/>
      <c r="P193" s="265"/>
      <c r="Q193" s="265"/>
      <c r="R193" s="284"/>
      <c r="S193" s="265"/>
      <c r="T193" s="265"/>
      <c r="U193" s="265"/>
    </row>
    <row r="194" spans="1:21" ht="30" customHeight="1">
      <c r="A194" s="260"/>
      <c r="B194" s="200"/>
      <c r="C194" s="200"/>
      <c r="D194" s="200"/>
      <c r="E194" s="299"/>
      <c r="F194" s="209"/>
      <c r="G194" s="201"/>
      <c r="H194" s="201"/>
      <c r="I194" s="291"/>
      <c r="J194" s="263" t="str">
        <f t="shared" si="3"/>
        <v/>
      </c>
      <c r="K194" s="266"/>
      <c r="L194" s="265"/>
      <c r="M194" s="265"/>
      <c r="N194" s="265"/>
      <c r="O194" s="265"/>
      <c r="P194" s="265"/>
      <c r="Q194" s="265"/>
      <c r="R194" s="284"/>
      <c r="S194" s="265"/>
      <c r="T194" s="265"/>
      <c r="U194" s="265"/>
    </row>
    <row r="195" spans="1:21" ht="30" customHeight="1">
      <c r="A195" s="204"/>
      <c r="B195" s="202"/>
      <c r="C195" s="202"/>
      <c r="D195" s="202"/>
      <c r="E195" s="300"/>
      <c r="F195" s="210"/>
      <c r="G195" s="203"/>
      <c r="H195" s="203"/>
      <c r="I195" s="291"/>
      <c r="J195" s="263" t="str">
        <f t="shared" si="3"/>
        <v/>
      </c>
      <c r="K195" s="264"/>
      <c r="L195" s="265"/>
      <c r="M195" s="265"/>
      <c r="N195" s="265"/>
      <c r="O195" s="265"/>
      <c r="P195" s="265"/>
      <c r="Q195" s="265"/>
      <c r="R195" s="265"/>
    </row>
    <row r="196" spans="1:21" ht="30" customHeight="1">
      <c r="A196" s="204"/>
      <c r="B196" s="202"/>
      <c r="C196" s="202"/>
      <c r="D196" s="202"/>
      <c r="E196" s="300"/>
      <c r="F196" s="210"/>
      <c r="G196" s="203"/>
      <c r="H196" s="203"/>
      <c r="I196" s="291"/>
      <c r="J196" s="263" t="str">
        <f t="shared" si="3"/>
        <v/>
      </c>
      <c r="K196" s="264"/>
      <c r="L196" s="265"/>
      <c r="M196" s="265"/>
      <c r="N196" s="265"/>
      <c r="O196" s="265"/>
      <c r="P196" s="265"/>
      <c r="Q196" s="265"/>
      <c r="R196" s="265"/>
    </row>
    <row r="197" spans="1:21" ht="30" customHeight="1">
      <c r="A197" s="204"/>
      <c r="B197" s="202"/>
      <c r="C197" s="202"/>
      <c r="D197" s="202"/>
      <c r="E197" s="300"/>
      <c r="F197" s="210"/>
      <c r="G197" s="203"/>
      <c r="H197" s="203"/>
      <c r="I197" s="291"/>
      <c r="J197" s="263" t="str">
        <f t="shared" si="3"/>
        <v/>
      </c>
      <c r="K197" s="264"/>
      <c r="L197" s="265"/>
      <c r="M197" s="265"/>
      <c r="N197" s="265"/>
      <c r="O197" s="265"/>
      <c r="P197" s="265"/>
      <c r="Q197" s="265"/>
      <c r="R197" s="265"/>
    </row>
    <row r="198" spans="1:21" ht="30" customHeight="1">
      <c r="A198" s="204"/>
      <c r="B198" s="202"/>
      <c r="C198" s="202"/>
      <c r="D198" s="202"/>
      <c r="E198" s="300"/>
      <c r="F198" s="210"/>
      <c r="G198" s="203"/>
      <c r="H198" s="203"/>
      <c r="I198" s="291"/>
      <c r="J198" s="263" t="str">
        <f t="shared" si="3"/>
        <v/>
      </c>
      <c r="K198" s="264"/>
      <c r="L198" s="265"/>
      <c r="M198" s="265"/>
      <c r="N198" s="265"/>
      <c r="O198" s="265"/>
      <c r="P198" s="265"/>
      <c r="Q198" s="265"/>
      <c r="R198" s="265"/>
    </row>
    <row r="199" spans="1:21" ht="30" customHeight="1">
      <c r="A199" s="204"/>
      <c r="B199" s="202"/>
      <c r="C199" s="202"/>
      <c r="D199" s="202"/>
      <c r="E199" s="300"/>
      <c r="F199" s="210"/>
      <c r="G199" s="203"/>
      <c r="H199" s="203"/>
      <c r="I199" s="291"/>
      <c r="J199" s="263" t="str">
        <f t="shared" si="3"/>
        <v/>
      </c>
      <c r="K199" s="264"/>
      <c r="L199" s="265"/>
      <c r="M199" s="265"/>
      <c r="N199" s="265"/>
      <c r="O199" s="265"/>
      <c r="P199" s="265"/>
      <c r="Q199" s="265"/>
      <c r="R199" s="265"/>
    </row>
    <row r="200" spans="1:21" ht="30" customHeight="1">
      <c r="A200" s="204" t="str">
        <f>IF(ISBLANK(D200)," ",113-COUNTBLANK($D$6:D200))</f>
        <v xml:space="preserve"> </v>
      </c>
      <c r="B200" s="202"/>
      <c r="C200" s="202"/>
      <c r="D200" s="202"/>
      <c r="E200" s="300"/>
      <c r="F200" s="210"/>
      <c r="G200" s="203"/>
      <c r="H200" s="203"/>
      <c r="I200" s="291"/>
      <c r="J200" s="263" t="str">
        <f t="shared" si="3"/>
        <v/>
      </c>
      <c r="K200" s="264"/>
      <c r="L200" s="265"/>
      <c r="M200" s="265"/>
      <c r="N200" s="265"/>
      <c r="O200" s="265"/>
      <c r="P200" s="265"/>
      <c r="Q200" s="265"/>
      <c r="R200" s="265"/>
    </row>
    <row r="201" spans="1:21" ht="30" customHeight="1">
      <c r="A201" s="204" t="str">
        <f>IF(ISBLANK(D201)," ",114-COUNTBLANK($D$6:D201))</f>
        <v xml:space="preserve"> </v>
      </c>
      <c r="B201" s="202"/>
      <c r="C201" s="202"/>
      <c r="D201" s="202"/>
      <c r="E201" s="300"/>
      <c r="F201" s="210"/>
      <c r="G201" s="203"/>
      <c r="H201" s="203"/>
      <c r="I201" s="291"/>
      <c r="J201" s="263" t="str">
        <f t="shared" si="3"/>
        <v/>
      </c>
      <c r="K201" s="264"/>
      <c r="L201" s="265"/>
      <c r="M201" s="265"/>
      <c r="N201" s="265"/>
      <c r="O201" s="265"/>
      <c r="P201" s="265"/>
      <c r="Q201" s="265"/>
      <c r="R201" s="265"/>
    </row>
    <row r="202" spans="1:21" ht="30" customHeight="1">
      <c r="A202" s="204" t="str">
        <f>IF(ISBLANK(D202)," ",115-COUNTBLANK($D$6:D202))</f>
        <v xml:space="preserve"> </v>
      </c>
      <c r="B202" s="202"/>
      <c r="C202" s="202"/>
      <c r="D202" s="202"/>
      <c r="E202" s="300"/>
      <c r="F202" s="210"/>
      <c r="G202" s="203"/>
      <c r="H202" s="203"/>
      <c r="I202" s="291"/>
      <c r="J202" s="263" t="str">
        <f t="shared" si="3"/>
        <v/>
      </c>
      <c r="K202" s="264"/>
      <c r="L202" s="265"/>
      <c r="M202" s="265"/>
      <c r="N202" s="265"/>
      <c r="O202" s="265"/>
      <c r="P202" s="265"/>
      <c r="Q202" s="265"/>
      <c r="R202" s="265"/>
    </row>
    <row r="203" spans="1:21" ht="30" customHeight="1">
      <c r="A203" s="204" t="str">
        <f>IF(ISBLANK(D203)," ",116-COUNTBLANK($D$6:D203))</f>
        <v xml:space="preserve"> </v>
      </c>
      <c r="B203" s="202"/>
      <c r="C203" s="202"/>
      <c r="D203" s="202"/>
      <c r="E203" s="300"/>
      <c r="F203" s="210"/>
      <c r="G203" s="203"/>
      <c r="H203" s="203"/>
      <c r="I203" s="291"/>
      <c r="J203" s="263" t="str">
        <f t="shared" si="3"/>
        <v/>
      </c>
      <c r="K203" s="264"/>
      <c r="L203" s="265"/>
      <c r="M203" s="265"/>
      <c r="N203" s="265"/>
      <c r="O203" s="265"/>
      <c r="P203" s="265"/>
      <c r="Q203" s="265"/>
      <c r="R203" s="265"/>
    </row>
    <row r="204" spans="1:21" ht="30" customHeight="1">
      <c r="A204" s="204" t="str">
        <f>IF(ISBLANK(D204)," ",117-COUNTBLANK($D$6:D204))</f>
        <v xml:space="preserve"> </v>
      </c>
      <c r="B204" s="202"/>
      <c r="C204" s="202"/>
      <c r="D204" s="202"/>
      <c r="E204" s="300"/>
      <c r="F204" s="210"/>
      <c r="G204" s="203"/>
      <c r="H204" s="203"/>
      <c r="I204" s="291"/>
      <c r="J204" s="263" t="str">
        <f t="shared" si="3"/>
        <v/>
      </c>
      <c r="K204" s="264"/>
      <c r="L204" s="265"/>
      <c r="M204" s="265"/>
      <c r="N204" s="265"/>
      <c r="O204" s="265"/>
      <c r="P204" s="265"/>
      <c r="Q204" s="265"/>
      <c r="R204" s="265"/>
    </row>
    <row r="205" spans="1:21" ht="30" customHeight="1">
      <c r="A205" s="204" t="str">
        <f>IF(ISBLANK(D205)," ",118-COUNTBLANK($D$6:D205))</f>
        <v xml:space="preserve"> </v>
      </c>
      <c r="B205" s="202"/>
      <c r="C205" s="202"/>
      <c r="D205" s="202"/>
      <c r="E205" s="300"/>
      <c r="F205" s="210"/>
      <c r="G205" s="203"/>
      <c r="H205" s="203"/>
      <c r="I205" s="291"/>
      <c r="J205" s="263" t="str">
        <f t="shared" si="3"/>
        <v/>
      </c>
      <c r="K205" s="264"/>
      <c r="L205" s="265"/>
      <c r="M205" s="265"/>
      <c r="N205" s="265"/>
      <c r="O205" s="265"/>
      <c r="P205" s="265"/>
      <c r="Q205" s="265"/>
      <c r="R205" s="265"/>
    </row>
    <row r="206" spans="1:21" ht="30" customHeight="1">
      <c r="A206" s="204" t="str">
        <f>IF(ISBLANK(D206)," ",119-COUNTBLANK($D$6:D206))</f>
        <v xml:space="preserve"> </v>
      </c>
      <c r="B206" s="202"/>
      <c r="C206" s="202"/>
      <c r="D206" s="202"/>
      <c r="E206" s="300"/>
      <c r="F206" s="210"/>
      <c r="G206" s="203"/>
      <c r="H206" s="203"/>
      <c r="I206" s="291"/>
      <c r="J206" s="263" t="str">
        <f t="shared" si="3"/>
        <v/>
      </c>
      <c r="K206" s="264"/>
      <c r="L206" s="265"/>
      <c r="M206" s="265"/>
      <c r="N206" s="265"/>
      <c r="O206" s="265"/>
      <c r="P206" s="265"/>
      <c r="Q206" s="265"/>
      <c r="R206" s="265"/>
    </row>
    <row r="207" spans="1:21" ht="30" customHeight="1">
      <c r="A207" s="204" t="str">
        <f>IF(ISBLANK(D207)," ",120-COUNTBLANK($D$6:D207))</f>
        <v xml:space="preserve"> </v>
      </c>
      <c r="B207" s="202"/>
      <c r="C207" s="202"/>
      <c r="D207" s="202"/>
      <c r="E207" s="300"/>
      <c r="F207" s="210"/>
      <c r="G207" s="203"/>
      <c r="H207" s="203"/>
      <c r="I207" s="291"/>
      <c r="J207" s="263" t="str">
        <f t="shared" si="3"/>
        <v/>
      </c>
      <c r="K207" s="264"/>
      <c r="L207" s="265"/>
      <c r="M207" s="265"/>
      <c r="N207" s="265"/>
      <c r="O207" s="265"/>
      <c r="P207" s="265"/>
      <c r="Q207" s="265"/>
      <c r="R207" s="265"/>
    </row>
    <row r="208" spans="1:21" ht="30" customHeight="1">
      <c r="A208" s="204" t="str">
        <f>IF(ISBLANK(D208)," ",121-COUNTBLANK($D$6:D208))</f>
        <v xml:space="preserve"> </v>
      </c>
      <c r="B208" s="202"/>
      <c r="C208" s="202"/>
      <c r="D208" s="202"/>
      <c r="E208" s="300"/>
      <c r="F208" s="210"/>
      <c r="G208" s="203"/>
      <c r="H208" s="203"/>
      <c r="I208" s="291"/>
      <c r="J208" s="263" t="str">
        <f t="shared" si="3"/>
        <v/>
      </c>
      <c r="K208" s="264"/>
      <c r="L208" s="265"/>
      <c r="M208" s="265"/>
      <c r="N208" s="265"/>
      <c r="O208" s="265"/>
      <c r="P208" s="265"/>
      <c r="Q208" s="265"/>
      <c r="R208" s="265"/>
    </row>
    <row r="209" spans="1:21" ht="30" customHeight="1">
      <c r="A209" s="204" t="str">
        <f>IF(ISBLANK(D209)," ",122-COUNTBLANK($D$6:D209))</f>
        <v xml:space="preserve"> </v>
      </c>
      <c r="B209" s="202"/>
      <c r="C209" s="202"/>
      <c r="D209" s="202"/>
      <c r="E209" s="300"/>
      <c r="F209" s="210"/>
      <c r="G209" s="203"/>
      <c r="H209" s="203"/>
      <c r="I209" s="291"/>
      <c r="J209" s="263" t="str">
        <f t="shared" si="3"/>
        <v/>
      </c>
      <c r="K209" s="264"/>
      <c r="L209" s="265"/>
      <c r="M209" s="265"/>
      <c r="N209" s="265"/>
      <c r="O209" s="265"/>
      <c r="P209" s="265"/>
      <c r="Q209" s="265"/>
      <c r="R209" s="265"/>
    </row>
    <row r="210" spans="1:21" ht="30" customHeight="1">
      <c r="A210" s="204" t="str">
        <f>IF(ISBLANK(D210)," ",123-COUNTBLANK($D$6:D210))</f>
        <v xml:space="preserve"> </v>
      </c>
      <c r="B210" s="202"/>
      <c r="C210" s="202"/>
      <c r="D210" s="202"/>
      <c r="E210" s="300"/>
      <c r="F210" s="210"/>
      <c r="G210" s="203"/>
      <c r="H210" s="203"/>
      <c r="I210" s="291"/>
      <c r="J210" s="263" t="str">
        <f t="shared" si="3"/>
        <v/>
      </c>
      <c r="K210" s="266"/>
      <c r="L210" s="265"/>
      <c r="M210" s="265"/>
      <c r="N210" s="265"/>
      <c r="O210" s="265"/>
      <c r="P210" s="265"/>
      <c r="Q210" s="265"/>
      <c r="R210" s="267"/>
    </row>
    <row r="211" spans="1:21" ht="30" customHeight="1">
      <c r="A211" s="204" t="str">
        <f>IF(ISBLANK(D211)," ",124-COUNTBLANK($D$6:D211))</f>
        <v xml:space="preserve"> </v>
      </c>
      <c r="B211" s="202"/>
      <c r="C211" s="202"/>
      <c r="D211" s="202"/>
      <c r="E211" s="300"/>
      <c r="F211" s="210"/>
      <c r="G211" s="203"/>
      <c r="H211" s="203"/>
      <c r="I211" s="291"/>
      <c r="J211" s="263" t="str">
        <f t="shared" si="3"/>
        <v/>
      </c>
      <c r="K211" s="266"/>
      <c r="L211" s="265"/>
      <c r="M211" s="265"/>
      <c r="N211" s="265"/>
      <c r="O211" s="265"/>
      <c r="P211" s="265"/>
      <c r="Q211" s="265"/>
      <c r="R211" s="267"/>
    </row>
    <row r="212" spans="1:21" ht="30" customHeight="1">
      <c r="A212" s="204" t="str">
        <f>IF(ISBLANK(D212)," ",125-COUNTBLANK($D$6:D212))</f>
        <v xml:space="preserve"> </v>
      </c>
      <c r="B212" s="202"/>
      <c r="C212" s="202"/>
      <c r="D212" s="202"/>
      <c r="E212" s="300"/>
      <c r="F212" s="210"/>
      <c r="G212" s="203"/>
      <c r="H212" s="203"/>
      <c r="I212" s="291"/>
      <c r="J212" s="263" t="str">
        <f t="shared" si="3"/>
        <v/>
      </c>
      <c r="K212" s="266"/>
      <c r="L212" s="265"/>
      <c r="M212" s="265"/>
      <c r="N212" s="265"/>
      <c r="O212" s="265"/>
      <c r="P212" s="265"/>
      <c r="Q212" s="265"/>
      <c r="R212" s="267"/>
    </row>
    <row r="213" spans="1:21" ht="30" customHeight="1">
      <c r="A213" s="204" t="s">
        <v>68</v>
      </c>
      <c r="B213" s="202"/>
      <c r="C213" s="202"/>
      <c r="D213" s="202"/>
      <c r="E213" s="300"/>
      <c r="F213" s="210">
        <f>SUM(F6:F212)</f>
        <v>248418.80000000002</v>
      </c>
      <c r="G213" s="203"/>
      <c r="H213" s="203"/>
      <c r="I213" s="291"/>
      <c r="J213" s="263" t="str">
        <f t="shared" si="3"/>
        <v/>
      </c>
      <c r="K213" s="266"/>
      <c r="L213" s="265"/>
      <c r="M213" s="265"/>
      <c r="N213" s="265"/>
      <c r="O213" s="265"/>
      <c r="P213" s="265"/>
      <c r="Q213" s="265"/>
      <c r="R213" s="267"/>
    </row>
    <row r="214" spans="1:21" ht="30" customHeight="1">
      <c r="A214" s="304" t="str">
        <f>IF(ISBLANK(D214)," ",127-COUNTBLANK($D$6:D214))</f>
        <v xml:space="preserve"> </v>
      </c>
      <c r="B214" s="296"/>
      <c r="C214" s="305"/>
      <c r="D214" s="306"/>
      <c r="E214" s="297"/>
      <c r="F214" s="298"/>
      <c r="G214" s="282"/>
      <c r="H214" s="282"/>
      <c r="I214" s="303"/>
      <c r="J214" s="263" t="str">
        <f t="shared" si="3"/>
        <v/>
      </c>
      <c r="K214" s="264"/>
      <c r="L214" s="265"/>
      <c r="M214" s="265"/>
      <c r="N214" s="265"/>
      <c r="O214" s="265"/>
      <c r="P214" s="265"/>
      <c r="Q214" s="265"/>
      <c r="R214" s="284"/>
      <c r="S214" s="265"/>
      <c r="T214" s="265"/>
      <c r="U214" s="265"/>
    </row>
    <row r="215" spans="1:21" ht="30" customHeight="1">
      <c r="A215" s="260" t="str">
        <f>IF(ISBLANK(D215)," ",128-COUNTBLANK($D$6:D215))</f>
        <v xml:space="preserve"> </v>
      </c>
      <c r="B215" s="200"/>
      <c r="C215" s="200"/>
      <c r="D215" s="200"/>
      <c r="E215" s="299"/>
      <c r="F215" s="209"/>
      <c r="G215" s="201"/>
      <c r="H215" s="201"/>
      <c r="I215" s="291"/>
      <c r="J215" s="263" t="str">
        <f t="shared" si="3"/>
        <v/>
      </c>
      <c r="K215" s="266"/>
      <c r="L215" s="265"/>
      <c r="M215" s="265"/>
      <c r="N215" s="265"/>
      <c r="O215" s="265"/>
      <c r="P215" s="265"/>
      <c r="Q215" s="265"/>
      <c r="R215" s="284"/>
      <c r="S215" s="265"/>
      <c r="T215" s="265"/>
      <c r="U215" s="265"/>
    </row>
    <row r="216" spans="1:21" ht="30" customHeight="1">
      <c r="A216" s="204" t="str">
        <f>IF(ISBLANK(D216)," ",129-COUNTBLANK($D$6:D216))</f>
        <v xml:space="preserve"> </v>
      </c>
      <c r="B216" s="202"/>
      <c r="C216" s="202"/>
      <c r="D216" s="202"/>
      <c r="E216" s="300"/>
      <c r="F216" s="210"/>
      <c r="G216" s="203"/>
      <c r="H216" s="203"/>
      <c r="I216" s="291"/>
      <c r="J216" s="263" t="str">
        <f t="shared" si="3"/>
        <v/>
      </c>
      <c r="K216" s="264"/>
      <c r="L216" s="265"/>
      <c r="M216" s="265"/>
      <c r="N216" s="265"/>
      <c r="O216" s="265"/>
      <c r="P216" s="265"/>
      <c r="Q216" s="265"/>
      <c r="R216" s="265"/>
    </row>
    <row r="217" spans="1:21" ht="30" customHeight="1">
      <c r="A217" s="204" t="str">
        <f>IF(ISBLANK(D217)," ",130-COUNTBLANK($D$6:D217))</f>
        <v xml:space="preserve"> </v>
      </c>
      <c r="B217" s="202"/>
      <c r="C217" s="202"/>
      <c r="D217" s="202"/>
      <c r="E217" s="300"/>
      <c r="F217" s="210"/>
      <c r="G217" s="203"/>
      <c r="H217" s="203"/>
      <c r="I217" s="291"/>
      <c r="J217" s="263" t="str">
        <f t="shared" si="3"/>
        <v/>
      </c>
      <c r="K217" s="264"/>
      <c r="L217" s="265"/>
      <c r="M217" s="265"/>
      <c r="N217" s="265"/>
      <c r="O217" s="265"/>
      <c r="P217" s="265"/>
      <c r="Q217" s="265"/>
      <c r="R217" s="265"/>
    </row>
    <row r="218" spans="1:21" ht="30" customHeight="1">
      <c r="A218" s="204" t="str">
        <f>IF(ISBLANK(D218)," ",131-COUNTBLANK($D$6:D218))</f>
        <v xml:space="preserve"> </v>
      </c>
      <c r="B218" s="202"/>
      <c r="C218" s="202"/>
      <c r="D218" s="202"/>
      <c r="E218" s="300"/>
      <c r="F218" s="210"/>
      <c r="G218" s="203"/>
      <c r="H218" s="203"/>
      <c r="I218" s="291"/>
      <c r="J218" s="263" t="str">
        <f t="shared" si="3"/>
        <v/>
      </c>
      <c r="K218" s="264"/>
      <c r="L218" s="265"/>
      <c r="M218" s="265"/>
      <c r="N218" s="265"/>
      <c r="O218" s="265"/>
      <c r="P218" s="265"/>
      <c r="Q218" s="265"/>
      <c r="R218" s="265"/>
    </row>
    <row r="219" spans="1:21" ht="30" customHeight="1">
      <c r="A219" s="204" t="str">
        <f>IF(ISBLANK(D219)," ",132-COUNTBLANK($D$6:D219))</f>
        <v xml:space="preserve"> </v>
      </c>
      <c r="B219" s="202"/>
      <c r="C219" s="202"/>
      <c r="D219" s="202"/>
      <c r="E219" s="300"/>
      <c r="F219" s="210"/>
      <c r="G219" s="203"/>
      <c r="H219" s="203"/>
      <c r="I219" s="291"/>
      <c r="J219" s="263" t="str">
        <f t="shared" si="3"/>
        <v/>
      </c>
      <c r="K219" s="264"/>
      <c r="L219" s="265"/>
      <c r="M219" s="265"/>
      <c r="N219" s="265"/>
      <c r="O219" s="265"/>
      <c r="P219" s="265"/>
      <c r="Q219" s="265"/>
      <c r="R219" s="265"/>
    </row>
    <row r="220" spans="1:21" ht="30" customHeight="1">
      <c r="A220" s="204" t="str">
        <f>IF(ISBLANK(D220)," ",133-COUNTBLANK($D$6:D220))</f>
        <v xml:space="preserve"> </v>
      </c>
      <c r="B220" s="202"/>
      <c r="C220" s="202"/>
      <c r="D220" s="202"/>
      <c r="E220" s="300"/>
      <c r="F220" s="210"/>
      <c r="G220" s="203"/>
      <c r="H220" s="203"/>
      <c r="I220" s="291"/>
      <c r="J220" s="263" t="str">
        <f t="shared" si="3"/>
        <v/>
      </c>
      <c r="K220" s="264"/>
      <c r="L220" s="265"/>
      <c r="M220" s="265"/>
      <c r="N220" s="265"/>
      <c r="O220" s="265"/>
      <c r="P220" s="265"/>
      <c r="Q220" s="265"/>
      <c r="R220" s="265"/>
    </row>
    <row r="221" spans="1:21" ht="30" customHeight="1">
      <c r="A221" s="204" t="str">
        <f>IF(ISBLANK(D221)," ",134-COUNTBLANK($D$6:D221))</f>
        <v xml:space="preserve"> </v>
      </c>
      <c r="B221" s="202"/>
      <c r="C221" s="202"/>
      <c r="D221" s="202"/>
      <c r="E221" s="300"/>
      <c r="F221" s="210"/>
      <c r="G221" s="203"/>
      <c r="H221" s="203"/>
      <c r="I221" s="291"/>
      <c r="J221" s="263" t="str">
        <f t="shared" si="3"/>
        <v/>
      </c>
      <c r="K221" s="264"/>
      <c r="L221" s="265"/>
      <c r="M221" s="265"/>
      <c r="N221" s="265"/>
      <c r="O221" s="265"/>
      <c r="P221" s="265"/>
      <c r="Q221" s="265"/>
      <c r="R221" s="265"/>
    </row>
    <row r="222" spans="1:21" ht="30" customHeight="1">
      <c r="A222" s="204" t="str">
        <f>IF(ISBLANK(D222)," ",135-COUNTBLANK($D$6:D222))</f>
        <v xml:space="preserve"> </v>
      </c>
      <c r="B222" s="202"/>
      <c r="C222" s="202"/>
      <c r="D222" s="202"/>
      <c r="E222" s="300"/>
      <c r="F222" s="210"/>
      <c r="G222" s="203"/>
      <c r="H222" s="203"/>
      <c r="I222" s="291"/>
      <c r="J222" s="263" t="str">
        <f t="shared" si="3"/>
        <v/>
      </c>
      <c r="K222" s="264"/>
      <c r="L222" s="265"/>
      <c r="M222" s="265"/>
      <c r="N222" s="265"/>
      <c r="O222" s="265"/>
      <c r="P222" s="265"/>
      <c r="Q222" s="265"/>
      <c r="R222" s="265"/>
    </row>
    <row r="223" spans="1:21" ht="30" customHeight="1">
      <c r="A223" s="204" t="str">
        <f>IF(ISBLANK(D223)," ",136-COUNTBLANK($D$6:D223))</f>
        <v xml:space="preserve"> </v>
      </c>
      <c r="B223" s="202"/>
      <c r="C223" s="202"/>
      <c r="D223" s="202"/>
      <c r="E223" s="300"/>
      <c r="F223" s="210"/>
      <c r="G223" s="203"/>
      <c r="H223" s="203"/>
      <c r="I223" s="291"/>
      <c r="J223" s="263" t="str">
        <f t="shared" si="3"/>
        <v/>
      </c>
      <c r="K223" s="264"/>
      <c r="L223" s="265"/>
      <c r="M223" s="265"/>
      <c r="N223" s="265"/>
      <c r="O223" s="265"/>
      <c r="P223" s="265"/>
      <c r="Q223" s="265"/>
      <c r="R223" s="265"/>
    </row>
    <row r="224" spans="1:21" ht="30" customHeight="1">
      <c r="A224" s="204" t="str">
        <f>IF(ISBLANK(D224)," ",137-COUNTBLANK($D$6:D224))</f>
        <v xml:space="preserve"> </v>
      </c>
      <c r="B224" s="202"/>
      <c r="C224" s="202"/>
      <c r="D224" s="202"/>
      <c r="E224" s="300"/>
      <c r="F224" s="210"/>
      <c r="G224" s="203"/>
      <c r="H224" s="203"/>
      <c r="I224" s="291"/>
      <c r="J224" s="263" t="str">
        <f t="shared" si="3"/>
        <v/>
      </c>
      <c r="K224" s="264"/>
      <c r="L224" s="265"/>
      <c r="M224" s="265"/>
      <c r="N224" s="265"/>
      <c r="O224" s="265"/>
      <c r="P224" s="265"/>
      <c r="Q224" s="265"/>
      <c r="R224" s="265"/>
    </row>
    <row r="225" spans="1:21" ht="30" customHeight="1">
      <c r="A225" s="204" t="str">
        <f>IF(ISBLANK(D225)," ",138-COUNTBLANK($D$6:D225))</f>
        <v xml:space="preserve"> </v>
      </c>
      <c r="B225" s="202"/>
      <c r="C225" s="202"/>
      <c r="D225" s="202"/>
      <c r="E225" s="300"/>
      <c r="F225" s="210"/>
      <c r="G225" s="203"/>
      <c r="H225" s="203"/>
      <c r="I225" s="291"/>
      <c r="J225" s="263" t="str">
        <f t="shared" si="3"/>
        <v/>
      </c>
      <c r="K225" s="264"/>
      <c r="L225" s="265"/>
      <c r="M225" s="265"/>
      <c r="N225" s="265"/>
      <c r="O225" s="265"/>
      <c r="P225" s="265"/>
      <c r="Q225" s="265"/>
      <c r="R225" s="265"/>
    </row>
    <row r="226" spans="1:21" ht="30" customHeight="1">
      <c r="A226" s="204" t="str">
        <f>IF(ISBLANK(D226)," ",139-COUNTBLANK($D$6:D226))</f>
        <v xml:space="preserve"> </v>
      </c>
      <c r="B226" s="202"/>
      <c r="C226" s="202"/>
      <c r="D226" s="202"/>
      <c r="E226" s="300"/>
      <c r="F226" s="210"/>
      <c r="G226" s="203"/>
      <c r="H226" s="203"/>
      <c r="I226" s="291"/>
      <c r="J226" s="263" t="str">
        <f t="shared" si="3"/>
        <v/>
      </c>
      <c r="K226" s="264"/>
      <c r="L226" s="265"/>
      <c r="M226" s="265"/>
      <c r="N226" s="265"/>
      <c r="O226" s="265"/>
      <c r="P226" s="265"/>
      <c r="Q226" s="265"/>
      <c r="R226" s="265"/>
    </row>
    <row r="227" spans="1:21" ht="30" customHeight="1">
      <c r="A227" s="204" t="str">
        <f>IF(ISBLANK(D227)," ",140-COUNTBLANK($D$6:D227))</f>
        <v xml:space="preserve"> </v>
      </c>
      <c r="B227" s="202"/>
      <c r="C227" s="202"/>
      <c r="D227" s="202"/>
      <c r="E227" s="300"/>
      <c r="F227" s="210"/>
      <c r="G227" s="203"/>
      <c r="H227" s="203"/>
      <c r="I227" s="291"/>
      <c r="J227" s="263" t="str">
        <f t="shared" si="3"/>
        <v/>
      </c>
      <c r="K227" s="264"/>
      <c r="L227" s="265"/>
      <c r="M227" s="265"/>
      <c r="N227" s="265"/>
      <c r="O227" s="265"/>
      <c r="P227" s="265"/>
      <c r="Q227" s="265"/>
      <c r="R227" s="265"/>
    </row>
    <row r="228" spans="1:21" ht="30" customHeight="1">
      <c r="A228" s="204" t="str">
        <f>IF(ISBLANK(D228)," ",141-COUNTBLANK($D$6:D228))</f>
        <v xml:space="preserve"> </v>
      </c>
      <c r="B228" s="202"/>
      <c r="C228" s="202"/>
      <c r="D228" s="202"/>
      <c r="E228" s="300"/>
      <c r="F228" s="210"/>
      <c r="G228" s="203"/>
      <c r="H228" s="203"/>
      <c r="I228" s="291"/>
      <c r="J228" s="263" t="str">
        <f t="shared" si="3"/>
        <v/>
      </c>
      <c r="K228" s="264"/>
      <c r="L228" s="265"/>
      <c r="M228" s="265"/>
      <c r="N228" s="265"/>
      <c r="O228" s="265"/>
      <c r="P228" s="265"/>
      <c r="Q228" s="265"/>
      <c r="R228" s="265"/>
    </row>
    <row r="229" spans="1:21" ht="30" customHeight="1">
      <c r="A229" s="204" t="str">
        <f>IF(ISBLANK(D229)," ",142-COUNTBLANK($D$6:D229))</f>
        <v xml:space="preserve"> </v>
      </c>
      <c r="B229" s="202"/>
      <c r="C229" s="202"/>
      <c r="D229" s="202"/>
      <c r="E229" s="300"/>
      <c r="F229" s="210"/>
      <c r="G229" s="203"/>
      <c r="H229" s="203"/>
      <c r="I229" s="291"/>
      <c r="J229" s="263" t="str">
        <f t="shared" si="3"/>
        <v/>
      </c>
      <c r="K229" s="264"/>
      <c r="L229" s="265"/>
      <c r="M229" s="265"/>
      <c r="N229" s="265"/>
      <c r="O229" s="265"/>
      <c r="P229" s="265"/>
      <c r="Q229" s="265"/>
      <c r="R229" s="265"/>
    </row>
    <row r="230" spans="1:21" ht="30" customHeight="1">
      <c r="A230" s="204" t="str">
        <f>IF(ISBLANK(D230)," ",143-COUNTBLANK($D$6:D230))</f>
        <v xml:space="preserve"> </v>
      </c>
      <c r="B230" s="202"/>
      <c r="C230" s="202"/>
      <c r="D230" s="202"/>
      <c r="E230" s="300"/>
      <c r="F230" s="210"/>
      <c r="G230" s="203"/>
      <c r="H230" s="203"/>
      <c r="I230" s="291"/>
      <c r="J230" s="263" t="str">
        <f t="shared" si="3"/>
        <v/>
      </c>
      <c r="K230" s="264"/>
      <c r="L230" s="265"/>
      <c r="M230" s="265"/>
      <c r="N230" s="265"/>
      <c r="O230" s="265"/>
      <c r="P230" s="265"/>
      <c r="Q230" s="265"/>
      <c r="R230" s="265"/>
    </row>
    <row r="231" spans="1:21" ht="30" customHeight="1">
      <c r="A231" s="204" t="str">
        <f>IF(ISBLANK(D231)," ",144-COUNTBLANK($D$6:D231))</f>
        <v xml:space="preserve"> </v>
      </c>
      <c r="B231" s="202"/>
      <c r="C231" s="202"/>
      <c r="D231" s="202"/>
      <c r="E231" s="300"/>
      <c r="F231" s="210"/>
      <c r="G231" s="203"/>
      <c r="H231" s="203"/>
      <c r="I231" s="291"/>
      <c r="J231" s="263" t="str">
        <f t="shared" si="3"/>
        <v/>
      </c>
      <c r="K231" s="266"/>
      <c r="L231" s="265"/>
      <c r="M231" s="265"/>
      <c r="N231" s="265"/>
      <c r="O231" s="265"/>
      <c r="P231" s="265"/>
      <c r="Q231" s="265"/>
      <c r="R231" s="267"/>
    </row>
    <row r="232" spans="1:21" ht="30" customHeight="1">
      <c r="A232" s="204" t="str">
        <f>IF(ISBLANK(D232)," ",145-COUNTBLANK($D$6:D232))</f>
        <v xml:space="preserve"> </v>
      </c>
      <c r="B232" s="202"/>
      <c r="C232" s="202"/>
      <c r="D232" s="202"/>
      <c r="E232" s="300"/>
      <c r="F232" s="210"/>
      <c r="G232" s="203"/>
      <c r="H232" s="203"/>
      <c r="I232" s="291"/>
      <c r="J232" s="263" t="str">
        <f t="shared" si="3"/>
        <v/>
      </c>
      <c r="K232" s="266"/>
      <c r="L232" s="265"/>
      <c r="M232" s="265"/>
      <c r="N232" s="265"/>
      <c r="O232" s="265"/>
      <c r="P232" s="265"/>
      <c r="Q232" s="265"/>
      <c r="R232" s="267"/>
    </row>
    <row r="233" spans="1:21" ht="30" customHeight="1">
      <c r="A233" s="204" t="str">
        <f>IF(ISBLANK(D233)," ",146-COUNTBLANK($D$6:D233))</f>
        <v xml:space="preserve"> </v>
      </c>
      <c r="B233" s="202"/>
      <c r="C233" s="202"/>
      <c r="D233" s="202"/>
      <c r="E233" s="300"/>
      <c r="F233" s="210"/>
      <c r="G233" s="203"/>
      <c r="H233" s="203"/>
      <c r="I233" s="291"/>
      <c r="J233" s="263" t="str">
        <f t="shared" si="3"/>
        <v/>
      </c>
      <c r="K233" s="266"/>
      <c r="L233" s="265"/>
      <c r="M233" s="265"/>
      <c r="N233" s="265"/>
      <c r="O233" s="265"/>
      <c r="P233" s="265"/>
      <c r="Q233" s="265"/>
      <c r="R233" s="267"/>
    </row>
    <row r="234" spans="1:21" ht="30" customHeight="1">
      <c r="A234" s="304" t="str">
        <f>IF(ISBLANK(D234)," ",148-COUNTBLANK($D$6:D234))</f>
        <v xml:space="preserve"> </v>
      </c>
      <c r="B234" s="296"/>
      <c r="C234" s="305"/>
      <c r="D234" s="306"/>
      <c r="E234" s="297"/>
      <c r="F234" s="298"/>
      <c r="G234" s="282"/>
      <c r="H234" s="282"/>
      <c r="I234" s="303"/>
      <c r="J234" s="263" t="str">
        <f t="shared" si="3"/>
        <v/>
      </c>
      <c r="K234" s="264"/>
      <c r="L234" s="265"/>
      <c r="M234" s="265"/>
      <c r="N234" s="265"/>
      <c r="O234" s="265"/>
      <c r="P234" s="265"/>
      <c r="Q234" s="265"/>
      <c r="R234" s="284"/>
      <c r="S234" s="265"/>
      <c r="T234" s="265"/>
      <c r="U234" s="265"/>
    </row>
    <row r="235" spans="1:21" ht="30" customHeight="1">
      <c r="A235" s="260" t="str">
        <f>IF(ISBLANK(D235)," ",149-COUNTBLANK($D$6:D235))</f>
        <v xml:space="preserve"> </v>
      </c>
      <c r="B235" s="200"/>
      <c r="C235" s="200"/>
      <c r="D235" s="200"/>
      <c r="E235" s="299"/>
      <c r="F235" s="209"/>
      <c r="G235" s="201"/>
      <c r="H235" s="201"/>
      <c r="I235" s="291"/>
      <c r="J235" s="263" t="str">
        <f t="shared" si="3"/>
        <v/>
      </c>
      <c r="K235" s="266"/>
      <c r="L235" s="265"/>
      <c r="M235" s="265"/>
      <c r="N235" s="265"/>
      <c r="O235" s="265"/>
      <c r="P235" s="265"/>
      <c r="Q235" s="265"/>
      <c r="R235" s="284"/>
      <c r="S235" s="265"/>
      <c r="T235" s="265"/>
      <c r="U235" s="265"/>
    </row>
    <row r="236" spans="1:21" ht="30" customHeight="1">
      <c r="A236" s="204" t="str">
        <f>IF(ISBLANK(D236)," ",150-COUNTBLANK($D$6:D236))</f>
        <v xml:space="preserve"> </v>
      </c>
      <c r="B236" s="202"/>
      <c r="C236" s="202"/>
      <c r="D236" s="202"/>
      <c r="E236" s="300"/>
      <c r="F236" s="210"/>
      <c r="G236" s="203"/>
      <c r="H236" s="203"/>
      <c r="I236" s="291"/>
      <c r="J236" s="263" t="str">
        <f t="shared" si="3"/>
        <v/>
      </c>
      <c r="K236" s="264"/>
      <c r="L236" s="265"/>
      <c r="M236" s="265"/>
      <c r="N236" s="265"/>
      <c r="O236" s="265"/>
      <c r="P236" s="265"/>
      <c r="Q236" s="265"/>
      <c r="R236" s="265"/>
    </row>
    <row r="237" spans="1:21" ht="30" customHeight="1">
      <c r="A237" s="204" t="str">
        <f>IF(ISBLANK(D237)," ",151-COUNTBLANK($D$6:D237))</f>
        <v xml:space="preserve"> </v>
      </c>
      <c r="B237" s="202"/>
      <c r="C237" s="202"/>
      <c r="D237" s="202"/>
      <c r="E237" s="300"/>
      <c r="F237" s="210"/>
      <c r="G237" s="203"/>
      <c r="H237" s="203"/>
      <c r="I237" s="291"/>
      <c r="J237" s="263" t="str">
        <f t="shared" si="3"/>
        <v/>
      </c>
      <c r="K237" s="264"/>
      <c r="L237" s="265"/>
      <c r="M237" s="265"/>
      <c r="N237" s="265"/>
      <c r="O237" s="265"/>
      <c r="P237" s="265"/>
      <c r="Q237" s="265"/>
      <c r="R237" s="265"/>
    </row>
    <row r="238" spans="1:21" ht="30" customHeight="1">
      <c r="A238" s="204" t="str">
        <f>IF(ISBLANK(D238)," ",152-COUNTBLANK($D$6:D238))</f>
        <v xml:space="preserve"> </v>
      </c>
      <c r="B238" s="202"/>
      <c r="C238" s="202"/>
      <c r="D238" s="202"/>
      <c r="E238" s="300"/>
      <c r="F238" s="210"/>
      <c r="G238" s="203"/>
      <c r="H238" s="203"/>
      <c r="I238" s="291"/>
      <c r="J238" s="263" t="str">
        <f t="shared" si="3"/>
        <v/>
      </c>
      <c r="K238" s="264"/>
      <c r="L238" s="265"/>
      <c r="M238" s="265"/>
      <c r="N238" s="265"/>
      <c r="O238" s="265"/>
      <c r="P238" s="265"/>
      <c r="Q238" s="265"/>
      <c r="R238" s="265"/>
    </row>
    <row r="239" spans="1:21" ht="30" customHeight="1">
      <c r="A239" s="204" t="str">
        <f>IF(ISBLANK(D239)," ",153-COUNTBLANK($D$6:D239))</f>
        <v xml:space="preserve"> </v>
      </c>
      <c r="B239" s="202"/>
      <c r="C239" s="202"/>
      <c r="D239" s="202"/>
      <c r="E239" s="300"/>
      <c r="F239" s="210"/>
      <c r="G239" s="203"/>
      <c r="H239" s="203"/>
      <c r="I239" s="291"/>
      <c r="J239" s="263" t="str">
        <f t="shared" si="3"/>
        <v/>
      </c>
      <c r="K239" s="264"/>
      <c r="L239" s="265"/>
      <c r="M239" s="265"/>
      <c r="N239" s="265"/>
      <c r="O239" s="265"/>
      <c r="P239" s="265"/>
      <c r="Q239" s="265"/>
      <c r="R239" s="265"/>
    </row>
    <row r="240" spans="1:21" ht="30" customHeight="1">
      <c r="A240" s="204" t="str">
        <f>IF(ISBLANK(D240)," ",154-COUNTBLANK($D$6:D240))</f>
        <v xml:space="preserve"> </v>
      </c>
      <c r="B240" s="202"/>
      <c r="C240" s="202"/>
      <c r="D240" s="202"/>
      <c r="E240" s="300"/>
      <c r="F240" s="210"/>
      <c r="G240" s="203"/>
      <c r="H240" s="203"/>
      <c r="I240" s="291"/>
      <c r="J240" s="263" t="str">
        <f t="shared" si="3"/>
        <v/>
      </c>
      <c r="K240" s="264"/>
      <c r="L240" s="265"/>
      <c r="M240" s="265"/>
      <c r="N240" s="265"/>
      <c r="O240" s="265"/>
      <c r="P240" s="265"/>
      <c r="Q240" s="265"/>
      <c r="R240" s="265"/>
    </row>
    <row r="241" spans="1:21" ht="30" customHeight="1">
      <c r="A241" s="204" t="str">
        <f>IF(ISBLANK(D241)," ",155-COUNTBLANK($D$6:D241))</f>
        <v xml:space="preserve"> </v>
      </c>
      <c r="B241" s="202"/>
      <c r="C241" s="202"/>
      <c r="D241" s="202"/>
      <c r="E241" s="300"/>
      <c r="F241" s="210"/>
      <c r="G241" s="203"/>
      <c r="H241" s="203"/>
      <c r="I241" s="291"/>
      <c r="J241" s="263" t="str">
        <f t="shared" si="3"/>
        <v/>
      </c>
      <c r="K241" s="264"/>
      <c r="L241" s="265"/>
      <c r="M241" s="265"/>
      <c r="N241" s="265"/>
      <c r="O241" s="265"/>
      <c r="P241" s="265"/>
      <c r="Q241" s="265"/>
      <c r="R241" s="265"/>
    </row>
    <row r="242" spans="1:21" ht="30" customHeight="1">
      <c r="A242" s="204" t="str">
        <f>IF(ISBLANK(D242)," ",156-COUNTBLANK($D$6:D242))</f>
        <v xml:space="preserve"> </v>
      </c>
      <c r="B242" s="202"/>
      <c r="C242" s="202"/>
      <c r="D242" s="202"/>
      <c r="E242" s="300"/>
      <c r="F242" s="210"/>
      <c r="G242" s="203"/>
      <c r="H242" s="203"/>
      <c r="I242" s="291"/>
      <c r="J242" s="263" t="str">
        <f t="shared" si="3"/>
        <v/>
      </c>
      <c r="K242" s="264"/>
      <c r="L242" s="265"/>
      <c r="M242" s="265"/>
      <c r="N242" s="265"/>
      <c r="O242" s="265"/>
      <c r="P242" s="265"/>
      <c r="Q242" s="265"/>
      <c r="R242" s="265"/>
    </row>
    <row r="243" spans="1:21" ht="30" customHeight="1">
      <c r="A243" s="204" t="str">
        <f>IF(ISBLANK(D243)," ",157-COUNTBLANK($D$6:D243))</f>
        <v xml:space="preserve"> </v>
      </c>
      <c r="B243" s="202"/>
      <c r="C243" s="202"/>
      <c r="D243" s="202"/>
      <c r="E243" s="300"/>
      <c r="F243" s="210"/>
      <c r="G243" s="203"/>
      <c r="H243" s="203"/>
      <c r="I243" s="291"/>
      <c r="J243" s="263" t="str">
        <f t="shared" si="3"/>
        <v/>
      </c>
      <c r="K243" s="264"/>
      <c r="L243" s="265"/>
      <c r="M243" s="265"/>
      <c r="N243" s="265"/>
      <c r="O243" s="265"/>
      <c r="P243" s="265"/>
      <c r="Q243" s="265"/>
      <c r="R243" s="265"/>
    </row>
    <row r="244" spans="1:21" ht="30" customHeight="1">
      <c r="A244" s="204" t="str">
        <f>IF(ISBLANK(D244)," ",158-COUNTBLANK($D$6:D244))</f>
        <v xml:space="preserve"> </v>
      </c>
      <c r="B244" s="202"/>
      <c r="C244" s="202"/>
      <c r="D244" s="202"/>
      <c r="E244" s="300"/>
      <c r="F244" s="210"/>
      <c r="G244" s="203"/>
      <c r="H244" s="203"/>
      <c r="I244" s="291"/>
      <c r="J244" s="263" t="str">
        <f t="shared" si="3"/>
        <v/>
      </c>
      <c r="K244" s="264"/>
      <c r="L244" s="265"/>
      <c r="M244" s="265"/>
      <c r="N244" s="265"/>
      <c r="O244" s="265"/>
      <c r="P244" s="265"/>
      <c r="Q244" s="265"/>
      <c r="R244" s="265"/>
    </row>
    <row r="245" spans="1:21" ht="30" customHeight="1">
      <c r="A245" s="204" t="str">
        <f>IF(ISBLANK(D245)," ",159-COUNTBLANK($D$6:D245))</f>
        <v xml:space="preserve"> </v>
      </c>
      <c r="B245" s="202"/>
      <c r="C245" s="202"/>
      <c r="D245" s="202"/>
      <c r="E245" s="300"/>
      <c r="F245" s="210"/>
      <c r="G245" s="203"/>
      <c r="H245" s="203"/>
      <c r="I245" s="291"/>
      <c r="J245" s="263" t="str">
        <f t="shared" si="3"/>
        <v/>
      </c>
      <c r="K245" s="264"/>
      <c r="L245" s="265"/>
      <c r="M245" s="265"/>
      <c r="N245" s="265"/>
      <c r="O245" s="265"/>
      <c r="P245" s="265"/>
      <c r="Q245" s="265"/>
      <c r="R245" s="265"/>
    </row>
    <row r="246" spans="1:21" ht="30" customHeight="1">
      <c r="A246" s="204" t="str">
        <f>IF(ISBLANK(D246)," ",160-COUNTBLANK($D$6:D246))</f>
        <v xml:space="preserve"> </v>
      </c>
      <c r="B246" s="202"/>
      <c r="C246" s="202"/>
      <c r="D246" s="202"/>
      <c r="E246" s="300"/>
      <c r="F246" s="210"/>
      <c r="G246" s="203"/>
      <c r="H246" s="203"/>
      <c r="I246" s="291"/>
      <c r="J246" s="263" t="str">
        <f t="shared" si="3"/>
        <v/>
      </c>
      <c r="K246" s="264"/>
      <c r="L246" s="265"/>
      <c r="M246" s="265"/>
      <c r="N246" s="265"/>
      <c r="O246" s="265"/>
      <c r="P246" s="265"/>
      <c r="Q246" s="265"/>
      <c r="R246" s="265"/>
    </row>
    <row r="247" spans="1:21" ht="30" customHeight="1">
      <c r="A247" s="204" t="str">
        <f>IF(ISBLANK(D247)," ",161-COUNTBLANK($D$6:D247))</f>
        <v xml:space="preserve"> </v>
      </c>
      <c r="B247" s="202"/>
      <c r="C247" s="202"/>
      <c r="D247" s="202"/>
      <c r="E247" s="300"/>
      <c r="F247" s="210"/>
      <c r="G247" s="203"/>
      <c r="H247" s="203"/>
      <c r="I247" s="291"/>
      <c r="J247" s="263" t="str">
        <f t="shared" ref="J247:J310" si="4">CONCATENATE(D247,G247)</f>
        <v/>
      </c>
      <c r="K247" s="264"/>
      <c r="L247" s="265"/>
      <c r="M247" s="265"/>
      <c r="N247" s="265"/>
      <c r="O247" s="265"/>
      <c r="P247" s="265"/>
      <c r="Q247" s="265"/>
      <c r="R247" s="265"/>
    </row>
    <row r="248" spans="1:21" ht="30" customHeight="1">
      <c r="A248" s="204" t="str">
        <f>IF(ISBLANK(D248)," ",162-COUNTBLANK($D$6:D248))</f>
        <v xml:space="preserve"> </v>
      </c>
      <c r="B248" s="202"/>
      <c r="C248" s="202"/>
      <c r="D248" s="202"/>
      <c r="E248" s="300"/>
      <c r="F248" s="210"/>
      <c r="G248" s="203"/>
      <c r="H248" s="203"/>
      <c r="I248" s="291"/>
      <c r="J248" s="263" t="str">
        <f t="shared" si="4"/>
        <v/>
      </c>
      <c r="K248" s="264"/>
      <c r="L248" s="265"/>
      <c r="M248" s="265"/>
      <c r="N248" s="265"/>
      <c r="O248" s="265"/>
      <c r="P248" s="265"/>
      <c r="Q248" s="265"/>
      <c r="R248" s="265"/>
    </row>
    <row r="249" spans="1:21" ht="30" customHeight="1">
      <c r="A249" s="204" t="str">
        <f>IF(ISBLANK(D249)," ",163-COUNTBLANK($D$6:D249))</f>
        <v xml:space="preserve"> </v>
      </c>
      <c r="B249" s="202"/>
      <c r="C249" s="202"/>
      <c r="D249" s="202"/>
      <c r="E249" s="300"/>
      <c r="F249" s="210"/>
      <c r="G249" s="203"/>
      <c r="H249" s="203"/>
      <c r="I249" s="291"/>
      <c r="J249" s="263" t="str">
        <f t="shared" si="4"/>
        <v/>
      </c>
      <c r="K249" s="264"/>
      <c r="L249" s="265"/>
      <c r="M249" s="265"/>
      <c r="N249" s="265"/>
      <c r="O249" s="265"/>
      <c r="P249" s="265"/>
      <c r="Q249" s="265"/>
      <c r="R249" s="265"/>
    </row>
    <row r="250" spans="1:21" ht="30" customHeight="1">
      <c r="A250" s="204" t="str">
        <f>IF(ISBLANK(D250)," ",164-COUNTBLANK($D$6:D250))</f>
        <v xml:space="preserve"> </v>
      </c>
      <c r="B250" s="202"/>
      <c r="C250" s="202"/>
      <c r="D250" s="202"/>
      <c r="E250" s="300"/>
      <c r="F250" s="210"/>
      <c r="G250" s="203"/>
      <c r="H250" s="203"/>
      <c r="I250" s="291"/>
      <c r="J250" s="263" t="str">
        <f t="shared" si="4"/>
        <v/>
      </c>
      <c r="K250" s="264"/>
      <c r="L250" s="265"/>
      <c r="M250" s="265"/>
      <c r="N250" s="265"/>
      <c r="O250" s="265"/>
      <c r="P250" s="265"/>
      <c r="Q250" s="265"/>
      <c r="R250" s="265"/>
    </row>
    <row r="251" spans="1:21" ht="30" customHeight="1">
      <c r="A251" s="204" t="str">
        <f>IF(ISBLANK(D251)," ",165-COUNTBLANK($D$6:D251))</f>
        <v xml:space="preserve"> </v>
      </c>
      <c r="B251" s="202"/>
      <c r="C251" s="202"/>
      <c r="D251" s="202"/>
      <c r="E251" s="300"/>
      <c r="F251" s="210"/>
      <c r="G251" s="203"/>
      <c r="H251" s="203"/>
      <c r="I251" s="291"/>
      <c r="J251" s="263" t="str">
        <f t="shared" si="4"/>
        <v/>
      </c>
      <c r="K251" s="266"/>
      <c r="L251" s="265"/>
      <c r="M251" s="265"/>
      <c r="N251" s="265"/>
      <c r="O251" s="265"/>
      <c r="P251" s="265"/>
      <c r="Q251" s="265"/>
      <c r="R251" s="267"/>
    </row>
    <row r="252" spans="1:21" ht="30" customHeight="1">
      <c r="A252" s="204" t="str">
        <f>IF(ISBLANK(D252)," ",166-COUNTBLANK($D$6:D252))</f>
        <v xml:space="preserve"> </v>
      </c>
      <c r="B252" s="202"/>
      <c r="C252" s="202"/>
      <c r="D252" s="202"/>
      <c r="E252" s="300"/>
      <c r="F252" s="210"/>
      <c r="G252" s="203"/>
      <c r="H252" s="203"/>
      <c r="I252" s="291"/>
      <c r="J252" s="263" t="str">
        <f t="shared" si="4"/>
        <v/>
      </c>
      <c r="K252" s="266"/>
      <c r="L252" s="265"/>
      <c r="M252" s="265"/>
      <c r="N252" s="265"/>
      <c r="O252" s="265"/>
      <c r="P252" s="265"/>
      <c r="Q252" s="265"/>
      <c r="R252" s="267"/>
    </row>
    <row r="253" spans="1:21" ht="30" customHeight="1">
      <c r="A253" s="204" t="str">
        <f>IF(ISBLANK(D253)," ",167-COUNTBLANK($D$6:D253))</f>
        <v xml:space="preserve"> </v>
      </c>
      <c r="B253" s="202"/>
      <c r="C253" s="202"/>
      <c r="D253" s="202"/>
      <c r="E253" s="300"/>
      <c r="F253" s="210"/>
      <c r="G253" s="203"/>
      <c r="H253" s="203"/>
      <c r="I253" s="291"/>
      <c r="J253" s="263" t="str">
        <f t="shared" si="4"/>
        <v/>
      </c>
      <c r="K253" s="266"/>
      <c r="L253" s="265"/>
      <c r="M253" s="265"/>
      <c r="N253" s="265"/>
      <c r="O253" s="265"/>
      <c r="P253" s="265"/>
      <c r="Q253" s="265"/>
      <c r="R253" s="267"/>
    </row>
    <row r="254" spans="1:21" ht="30" customHeight="1">
      <c r="A254" s="304" t="str">
        <f>IF(ISBLANK(D254)," ",169-COUNTBLANK($D$6:D254))</f>
        <v xml:space="preserve"> </v>
      </c>
      <c r="B254" s="296"/>
      <c r="C254" s="305"/>
      <c r="D254" s="306"/>
      <c r="E254" s="297"/>
      <c r="F254" s="298"/>
      <c r="G254" s="282"/>
      <c r="H254" s="282"/>
      <c r="I254" s="303"/>
      <c r="J254" s="263" t="str">
        <f t="shared" si="4"/>
        <v/>
      </c>
      <c r="K254" s="264"/>
      <c r="L254" s="265"/>
      <c r="M254" s="265"/>
      <c r="N254" s="265"/>
      <c r="O254" s="265"/>
      <c r="P254" s="265"/>
      <c r="Q254" s="265"/>
      <c r="R254" s="284"/>
      <c r="S254" s="265"/>
      <c r="T254" s="265"/>
      <c r="U254" s="265"/>
    </row>
    <row r="255" spans="1:21" ht="30" customHeight="1">
      <c r="A255" s="260" t="str">
        <f>IF(ISBLANK(D255)," ",170-COUNTBLANK($D$6:D255))</f>
        <v xml:space="preserve"> </v>
      </c>
      <c r="B255" s="200"/>
      <c r="C255" s="200"/>
      <c r="D255" s="200"/>
      <c r="E255" s="299"/>
      <c r="F255" s="209"/>
      <c r="G255" s="201"/>
      <c r="H255" s="201"/>
      <c r="I255" s="291"/>
      <c r="J255" s="263" t="str">
        <f t="shared" si="4"/>
        <v/>
      </c>
      <c r="K255" s="266"/>
      <c r="L255" s="265"/>
      <c r="M255" s="265"/>
      <c r="N255" s="265"/>
      <c r="O255" s="265"/>
      <c r="P255" s="265"/>
      <c r="Q255" s="265"/>
      <c r="R255" s="284"/>
      <c r="S255" s="265"/>
      <c r="T255" s="265"/>
      <c r="U255" s="265"/>
    </row>
    <row r="256" spans="1:21" ht="30" customHeight="1">
      <c r="A256" s="204" t="str">
        <f>IF(ISBLANK(D256)," ",171-COUNTBLANK($D$6:D256))</f>
        <v xml:space="preserve"> </v>
      </c>
      <c r="B256" s="202"/>
      <c r="C256" s="202"/>
      <c r="D256" s="202"/>
      <c r="E256" s="300"/>
      <c r="F256" s="210"/>
      <c r="G256" s="203"/>
      <c r="H256" s="203"/>
      <c r="I256" s="291"/>
      <c r="J256" s="263" t="str">
        <f t="shared" si="4"/>
        <v/>
      </c>
      <c r="K256" s="264"/>
      <c r="L256" s="265"/>
      <c r="M256" s="265"/>
      <c r="N256" s="265"/>
      <c r="O256" s="265"/>
      <c r="P256" s="265"/>
      <c r="Q256" s="265"/>
      <c r="R256" s="265"/>
    </row>
    <row r="257" spans="1:18" ht="30" customHeight="1">
      <c r="A257" s="204" t="str">
        <f>IF(ISBLANK(D257)," ",172-COUNTBLANK($D$6:D257))</f>
        <v xml:space="preserve"> </v>
      </c>
      <c r="B257" s="202"/>
      <c r="C257" s="202"/>
      <c r="D257" s="202"/>
      <c r="E257" s="300"/>
      <c r="F257" s="210"/>
      <c r="G257" s="203"/>
      <c r="H257" s="203"/>
      <c r="I257" s="291"/>
      <c r="J257" s="263" t="str">
        <f t="shared" si="4"/>
        <v/>
      </c>
      <c r="K257" s="264"/>
      <c r="L257" s="265"/>
      <c r="M257" s="265"/>
      <c r="N257" s="265"/>
      <c r="O257" s="265"/>
      <c r="P257" s="265"/>
      <c r="Q257" s="265"/>
      <c r="R257" s="265"/>
    </row>
    <row r="258" spans="1:18" ht="30" customHeight="1">
      <c r="A258" s="204" t="str">
        <f>IF(ISBLANK(D258)," ",173-COUNTBLANK($D$6:D258))</f>
        <v xml:space="preserve"> </v>
      </c>
      <c r="B258" s="202"/>
      <c r="C258" s="202"/>
      <c r="D258" s="202"/>
      <c r="E258" s="300"/>
      <c r="F258" s="210"/>
      <c r="G258" s="203"/>
      <c r="H258" s="203"/>
      <c r="I258" s="291"/>
      <c r="J258" s="263" t="str">
        <f t="shared" si="4"/>
        <v/>
      </c>
      <c r="K258" s="264"/>
      <c r="L258" s="265"/>
      <c r="M258" s="265"/>
      <c r="N258" s="265"/>
      <c r="O258" s="265"/>
      <c r="P258" s="265"/>
      <c r="Q258" s="265"/>
      <c r="R258" s="265"/>
    </row>
    <row r="259" spans="1:18" ht="30" customHeight="1">
      <c r="A259" s="204" t="str">
        <f>IF(ISBLANK(D259)," ",174-COUNTBLANK($D$6:D259))</f>
        <v xml:space="preserve"> </v>
      </c>
      <c r="B259" s="202"/>
      <c r="C259" s="202"/>
      <c r="D259" s="202"/>
      <c r="E259" s="300"/>
      <c r="F259" s="210"/>
      <c r="G259" s="203"/>
      <c r="H259" s="203"/>
      <c r="I259" s="291"/>
      <c r="J259" s="263" t="str">
        <f t="shared" si="4"/>
        <v/>
      </c>
      <c r="K259" s="264"/>
      <c r="L259" s="265"/>
      <c r="M259" s="265"/>
      <c r="N259" s="265"/>
      <c r="O259" s="265"/>
      <c r="P259" s="265"/>
      <c r="Q259" s="265"/>
      <c r="R259" s="265"/>
    </row>
    <row r="260" spans="1:18" ht="30" customHeight="1">
      <c r="A260" s="204" t="str">
        <f>IF(ISBLANK(D260)," ",175-COUNTBLANK($D$6:D260))</f>
        <v xml:space="preserve"> </v>
      </c>
      <c r="B260" s="202"/>
      <c r="C260" s="202"/>
      <c r="D260" s="202"/>
      <c r="E260" s="300"/>
      <c r="F260" s="210"/>
      <c r="G260" s="203"/>
      <c r="H260" s="203"/>
      <c r="I260" s="291"/>
      <c r="J260" s="263" t="str">
        <f t="shared" si="4"/>
        <v/>
      </c>
      <c r="K260" s="264"/>
      <c r="L260" s="265"/>
      <c r="M260" s="265"/>
      <c r="N260" s="265"/>
      <c r="O260" s="265"/>
      <c r="P260" s="265"/>
      <c r="Q260" s="265"/>
      <c r="R260" s="265"/>
    </row>
    <row r="261" spans="1:18" ht="30" customHeight="1">
      <c r="A261" s="204" t="str">
        <f>IF(ISBLANK(D261)," ",176-COUNTBLANK($D$6:D261))</f>
        <v xml:space="preserve"> </v>
      </c>
      <c r="B261" s="202"/>
      <c r="C261" s="202"/>
      <c r="D261" s="202"/>
      <c r="E261" s="300"/>
      <c r="F261" s="210"/>
      <c r="G261" s="203"/>
      <c r="H261" s="203"/>
      <c r="I261" s="291"/>
      <c r="J261" s="263" t="str">
        <f t="shared" si="4"/>
        <v/>
      </c>
      <c r="K261" s="264"/>
      <c r="L261" s="265"/>
      <c r="M261" s="265"/>
      <c r="N261" s="265"/>
      <c r="O261" s="265"/>
      <c r="P261" s="265"/>
      <c r="Q261" s="265"/>
      <c r="R261" s="265"/>
    </row>
    <row r="262" spans="1:18" ht="30" customHeight="1">
      <c r="A262" s="204" t="str">
        <f>IF(ISBLANK(D262)," ",177-COUNTBLANK($D$6:D262))</f>
        <v xml:space="preserve"> </v>
      </c>
      <c r="B262" s="202"/>
      <c r="C262" s="202"/>
      <c r="D262" s="202"/>
      <c r="E262" s="300"/>
      <c r="F262" s="210"/>
      <c r="G262" s="203"/>
      <c r="H262" s="203"/>
      <c r="I262" s="291"/>
      <c r="J262" s="263" t="str">
        <f t="shared" si="4"/>
        <v/>
      </c>
      <c r="K262" s="264"/>
      <c r="L262" s="265"/>
      <c r="M262" s="265"/>
      <c r="N262" s="265"/>
      <c r="O262" s="265"/>
      <c r="P262" s="265"/>
      <c r="Q262" s="265"/>
      <c r="R262" s="265"/>
    </row>
    <row r="263" spans="1:18" ht="30" customHeight="1">
      <c r="A263" s="204" t="str">
        <f>IF(ISBLANK(D263)," ",178-COUNTBLANK($D$6:D263))</f>
        <v xml:space="preserve"> </v>
      </c>
      <c r="B263" s="202"/>
      <c r="C263" s="202"/>
      <c r="D263" s="202"/>
      <c r="E263" s="300"/>
      <c r="F263" s="210"/>
      <c r="G263" s="203"/>
      <c r="H263" s="203"/>
      <c r="I263" s="291"/>
      <c r="J263" s="263" t="str">
        <f t="shared" si="4"/>
        <v/>
      </c>
      <c r="K263" s="264"/>
      <c r="L263" s="265"/>
      <c r="M263" s="265"/>
      <c r="N263" s="265"/>
      <c r="O263" s="265"/>
      <c r="P263" s="265"/>
      <c r="Q263" s="265"/>
      <c r="R263" s="265"/>
    </row>
    <row r="264" spans="1:18" ht="30" customHeight="1">
      <c r="A264" s="204" t="str">
        <f>IF(ISBLANK(D264)," ",179-COUNTBLANK($D$6:D264))</f>
        <v xml:space="preserve"> </v>
      </c>
      <c r="B264" s="202"/>
      <c r="C264" s="202"/>
      <c r="D264" s="202"/>
      <c r="E264" s="300"/>
      <c r="F264" s="210"/>
      <c r="G264" s="203"/>
      <c r="H264" s="203"/>
      <c r="I264" s="291"/>
      <c r="J264" s="263" t="str">
        <f t="shared" si="4"/>
        <v/>
      </c>
      <c r="K264" s="264"/>
      <c r="L264" s="265"/>
      <c r="M264" s="265"/>
      <c r="N264" s="265"/>
      <c r="O264" s="265"/>
      <c r="P264" s="265"/>
      <c r="Q264" s="265"/>
      <c r="R264" s="265"/>
    </row>
    <row r="265" spans="1:18" ht="30" customHeight="1">
      <c r="A265" s="204" t="str">
        <f>IF(ISBLANK(D265)," ",180-COUNTBLANK($D$6:D265))</f>
        <v xml:space="preserve"> </v>
      </c>
      <c r="B265" s="202"/>
      <c r="C265" s="202"/>
      <c r="D265" s="202"/>
      <c r="E265" s="300"/>
      <c r="F265" s="210"/>
      <c r="G265" s="203"/>
      <c r="H265" s="203"/>
      <c r="I265" s="291"/>
      <c r="J265" s="263" t="str">
        <f t="shared" si="4"/>
        <v/>
      </c>
      <c r="K265" s="264"/>
      <c r="L265" s="265"/>
      <c r="M265" s="265"/>
      <c r="N265" s="265"/>
      <c r="O265" s="265"/>
      <c r="P265" s="265"/>
      <c r="Q265" s="265"/>
      <c r="R265" s="265"/>
    </row>
    <row r="266" spans="1:18" ht="30" customHeight="1">
      <c r="A266" s="204" t="str">
        <f>IF(ISBLANK(D266)," ",181-COUNTBLANK($D$6:D266))</f>
        <v xml:space="preserve"> </v>
      </c>
      <c r="B266" s="202"/>
      <c r="C266" s="202"/>
      <c r="D266" s="202"/>
      <c r="E266" s="300"/>
      <c r="F266" s="210"/>
      <c r="G266" s="203"/>
      <c r="H266" s="203"/>
      <c r="I266" s="291"/>
      <c r="J266" s="263" t="str">
        <f t="shared" si="4"/>
        <v/>
      </c>
      <c r="K266" s="264"/>
      <c r="L266" s="265"/>
      <c r="M266" s="265"/>
      <c r="N266" s="265"/>
      <c r="O266" s="265"/>
      <c r="P266" s="265"/>
      <c r="Q266" s="265"/>
      <c r="R266" s="265"/>
    </row>
    <row r="267" spans="1:18" ht="30" customHeight="1">
      <c r="A267" s="204" t="str">
        <f>IF(ISBLANK(D267)," ",182-COUNTBLANK($D$6:D267))</f>
        <v xml:space="preserve"> </v>
      </c>
      <c r="B267" s="202"/>
      <c r="C267" s="202"/>
      <c r="D267" s="202"/>
      <c r="E267" s="300"/>
      <c r="F267" s="210"/>
      <c r="G267" s="203"/>
      <c r="H267" s="203"/>
      <c r="I267" s="291"/>
      <c r="J267" s="263" t="str">
        <f t="shared" si="4"/>
        <v/>
      </c>
      <c r="K267" s="264"/>
      <c r="L267" s="265"/>
      <c r="M267" s="265"/>
      <c r="N267" s="265"/>
      <c r="O267" s="265"/>
      <c r="P267" s="265"/>
      <c r="Q267" s="265"/>
      <c r="R267" s="265"/>
    </row>
    <row r="268" spans="1:18" ht="30" customHeight="1">
      <c r="A268" s="204" t="str">
        <f>IF(ISBLANK(D268)," ",183-COUNTBLANK($D$6:D268))</f>
        <v xml:space="preserve"> </v>
      </c>
      <c r="B268" s="202"/>
      <c r="C268" s="202"/>
      <c r="D268" s="202"/>
      <c r="E268" s="300"/>
      <c r="F268" s="210"/>
      <c r="G268" s="203"/>
      <c r="H268" s="203"/>
      <c r="I268" s="291"/>
      <c r="J268" s="263" t="str">
        <f t="shared" si="4"/>
        <v/>
      </c>
      <c r="K268" s="264"/>
      <c r="L268" s="265"/>
      <c r="M268" s="265"/>
      <c r="N268" s="265"/>
      <c r="O268" s="265"/>
      <c r="P268" s="265"/>
      <c r="Q268" s="265"/>
      <c r="R268" s="265"/>
    </row>
    <row r="269" spans="1:18" ht="30" customHeight="1">
      <c r="A269" s="204" t="str">
        <f>IF(ISBLANK(D269)," ",184-COUNTBLANK($D$6:D269))</f>
        <v xml:space="preserve"> </v>
      </c>
      <c r="B269" s="202"/>
      <c r="C269" s="202"/>
      <c r="D269" s="202"/>
      <c r="E269" s="300"/>
      <c r="F269" s="210"/>
      <c r="G269" s="203"/>
      <c r="H269" s="203"/>
      <c r="I269" s="291"/>
      <c r="J269" s="263" t="str">
        <f t="shared" si="4"/>
        <v/>
      </c>
      <c r="K269" s="264"/>
      <c r="L269" s="265"/>
      <c r="M269" s="265"/>
      <c r="N269" s="265"/>
      <c r="O269" s="265"/>
      <c r="P269" s="265"/>
      <c r="Q269" s="265"/>
      <c r="R269" s="265"/>
    </row>
    <row r="270" spans="1:18" ht="30" customHeight="1">
      <c r="A270" s="204" t="str">
        <f>IF(ISBLANK(D270)," ",185-COUNTBLANK($D$6:D270))</f>
        <v xml:space="preserve"> </v>
      </c>
      <c r="B270" s="202"/>
      <c r="C270" s="202"/>
      <c r="D270" s="202"/>
      <c r="E270" s="300"/>
      <c r="F270" s="210"/>
      <c r="G270" s="203"/>
      <c r="H270" s="203"/>
      <c r="I270" s="291"/>
      <c r="J270" s="263" t="str">
        <f t="shared" si="4"/>
        <v/>
      </c>
      <c r="K270" s="264"/>
      <c r="L270" s="265"/>
      <c r="M270" s="265"/>
      <c r="N270" s="265"/>
      <c r="O270" s="265"/>
      <c r="P270" s="265"/>
      <c r="Q270" s="265"/>
      <c r="R270" s="265"/>
    </row>
    <row r="271" spans="1:18" ht="30" customHeight="1">
      <c r="A271" s="204" t="str">
        <f>IF(ISBLANK(D271)," ",186-COUNTBLANK($D$6:D271))</f>
        <v xml:space="preserve"> </v>
      </c>
      <c r="B271" s="202"/>
      <c r="C271" s="202"/>
      <c r="D271" s="202"/>
      <c r="E271" s="300"/>
      <c r="F271" s="210"/>
      <c r="G271" s="203"/>
      <c r="H271" s="203"/>
      <c r="I271" s="291"/>
      <c r="J271" s="263" t="str">
        <f t="shared" si="4"/>
        <v/>
      </c>
      <c r="K271" s="266"/>
      <c r="L271" s="265"/>
      <c r="M271" s="265"/>
      <c r="N271" s="265"/>
      <c r="O271" s="265"/>
      <c r="P271" s="265"/>
      <c r="Q271" s="265"/>
      <c r="R271" s="267"/>
    </row>
    <row r="272" spans="1:18" ht="30" customHeight="1">
      <c r="A272" s="204" t="str">
        <f>IF(ISBLANK(D272)," ",187-COUNTBLANK($D$6:D272))</f>
        <v xml:space="preserve"> </v>
      </c>
      <c r="B272" s="202"/>
      <c r="C272" s="202"/>
      <c r="D272" s="202"/>
      <c r="E272" s="300"/>
      <c r="F272" s="210"/>
      <c r="G272" s="203"/>
      <c r="H272" s="203"/>
      <c r="I272" s="291"/>
      <c r="J272" s="263" t="str">
        <f t="shared" si="4"/>
        <v/>
      </c>
      <c r="K272" s="266"/>
      <c r="L272" s="265"/>
      <c r="M272" s="265"/>
      <c r="N272" s="265"/>
      <c r="O272" s="265"/>
      <c r="P272" s="265"/>
      <c r="Q272" s="265"/>
      <c r="R272" s="267"/>
    </row>
    <row r="273" spans="1:21" ht="30" customHeight="1">
      <c r="A273" s="204" t="str">
        <f>IF(ISBLANK(D273)," ",188-COUNTBLANK($D$6:D273))</f>
        <v xml:space="preserve"> </v>
      </c>
      <c r="B273" s="202"/>
      <c r="C273" s="202"/>
      <c r="D273" s="202"/>
      <c r="E273" s="300"/>
      <c r="F273" s="210"/>
      <c r="G273" s="203"/>
      <c r="H273" s="203"/>
      <c r="I273" s="291"/>
      <c r="J273" s="263" t="str">
        <f t="shared" si="4"/>
        <v/>
      </c>
      <c r="K273" s="266"/>
      <c r="L273" s="265"/>
      <c r="M273" s="265"/>
      <c r="N273" s="265"/>
      <c r="O273" s="265"/>
      <c r="P273" s="265"/>
      <c r="Q273" s="265"/>
      <c r="R273" s="267"/>
    </row>
    <row r="274" spans="1:21" ht="30" customHeight="1">
      <c r="A274" s="304" t="str">
        <f>IF(ISBLANK(D274)," ",190-COUNTBLANK($D$6:D274))</f>
        <v xml:space="preserve"> </v>
      </c>
      <c r="B274" s="296"/>
      <c r="C274" s="305"/>
      <c r="D274" s="306"/>
      <c r="E274" s="297"/>
      <c r="F274" s="298"/>
      <c r="G274" s="282"/>
      <c r="H274" s="282"/>
      <c r="I274" s="303"/>
      <c r="J274" s="263" t="str">
        <f t="shared" si="4"/>
        <v/>
      </c>
      <c r="K274" s="264"/>
      <c r="L274" s="265"/>
      <c r="M274" s="265"/>
      <c r="N274" s="265"/>
      <c r="O274" s="265"/>
      <c r="P274" s="265"/>
      <c r="Q274" s="265"/>
      <c r="R274" s="284"/>
      <c r="S274" s="265"/>
      <c r="T274" s="265"/>
      <c r="U274" s="265"/>
    </row>
    <row r="275" spans="1:21" ht="30" customHeight="1">
      <c r="A275" s="260" t="str">
        <f>IF(ISBLANK(D275)," ",191-COUNTBLANK($D$6:D275))</f>
        <v xml:space="preserve"> </v>
      </c>
      <c r="B275" s="200"/>
      <c r="C275" s="200"/>
      <c r="D275" s="200"/>
      <c r="E275" s="299"/>
      <c r="F275" s="209"/>
      <c r="G275" s="201"/>
      <c r="H275" s="201"/>
      <c r="I275" s="291"/>
      <c r="J275" s="263" t="str">
        <f t="shared" si="4"/>
        <v/>
      </c>
      <c r="K275" s="266"/>
      <c r="L275" s="265"/>
      <c r="M275" s="265"/>
      <c r="N275" s="265"/>
      <c r="O275" s="265"/>
      <c r="P275" s="265"/>
      <c r="Q275" s="265"/>
      <c r="R275" s="284"/>
      <c r="S275" s="265"/>
      <c r="T275" s="265"/>
      <c r="U275" s="265"/>
    </row>
    <row r="276" spans="1:21" ht="30" customHeight="1">
      <c r="A276" s="204" t="str">
        <f>IF(ISBLANK(D276)," ",192-COUNTBLANK($D$6:D276))</f>
        <v xml:space="preserve"> </v>
      </c>
      <c r="B276" s="202"/>
      <c r="C276" s="202"/>
      <c r="D276" s="202"/>
      <c r="E276" s="300"/>
      <c r="F276" s="210"/>
      <c r="G276" s="203"/>
      <c r="H276" s="203"/>
      <c r="I276" s="291"/>
      <c r="J276" s="263" t="str">
        <f t="shared" si="4"/>
        <v/>
      </c>
      <c r="K276" s="264"/>
      <c r="L276" s="265"/>
      <c r="M276" s="265"/>
      <c r="N276" s="265"/>
      <c r="O276" s="265"/>
      <c r="P276" s="265"/>
      <c r="Q276" s="265"/>
      <c r="R276" s="265"/>
    </row>
    <row r="277" spans="1:21" ht="30" customHeight="1">
      <c r="A277" s="204" t="str">
        <f>IF(ISBLANK(D277)," ",193-COUNTBLANK($D$6:D277))</f>
        <v xml:space="preserve"> </v>
      </c>
      <c r="B277" s="202"/>
      <c r="C277" s="202"/>
      <c r="D277" s="202"/>
      <c r="E277" s="300"/>
      <c r="F277" s="210"/>
      <c r="G277" s="203"/>
      <c r="H277" s="203"/>
      <c r="I277" s="291"/>
      <c r="J277" s="263" t="str">
        <f t="shared" si="4"/>
        <v/>
      </c>
      <c r="K277" s="264"/>
      <c r="L277" s="265"/>
      <c r="M277" s="265"/>
      <c r="N277" s="265"/>
      <c r="O277" s="265"/>
      <c r="P277" s="265"/>
      <c r="Q277" s="265"/>
      <c r="R277" s="265"/>
    </row>
    <row r="278" spans="1:21" ht="30" customHeight="1">
      <c r="A278" s="204" t="str">
        <f>IF(ISBLANK(D278)," ",194-COUNTBLANK($D$6:D278))</f>
        <v xml:space="preserve"> </v>
      </c>
      <c r="B278" s="202"/>
      <c r="C278" s="202"/>
      <c r="D278" s="202"/>
      <c r="E278" s="300"/>
      <c r="F278" s="210"/>
      <c r="G278" s="203"/>
      <c r="H278" s="203"/>
      <c r="I278" s="291"/>
      <c r="J278" s="263" t="str">
        <f t="shared" si="4"/>
        <v/>
      </c>
      <c r="K278" s="264"/>
      <c r="L278" s="265"/>
      <c r="M278" s="265"/>
      <c r="N278" s="265"/>
      <c r="O278" s="265"/>
      <c r="P278" s="265"/>
      <c r="Q278" s="265"/>
      <c r="R278" s="265"/>
    </row>
    <row r="279" spans="1:21" ht="30" customHeight="1">
      <c r="A279" s="204" t="str">
        <f>IF(ISBLANK(D279)," ",195-COUNTBLANK($D$6:D279))</f>
        <v xml:space="preserve"> </v>
      </c>
      <c r="B279" s="202"/>
      <c r="C279" s="202"/>
      <c r="D279" s="202"/>
      <c r="E279" s="300"/>
      <c r="F279" s="210"/>
      <c r="G279" s="203"/>
      <c r="H279" s="203"/>
      <c r="I279" s="291"/>
      <c r="J279" s="263" t="str">
        <f t="shared" si="4"/>
        <v/>
      </c>
      <c r="K279" s="264"/>
      <c r="L279" s="265"/>
      <c r="M279" s="265"/>
      <c r="N279" s="265"/>
      <c r="O279" s="265"/>
      <c r="P279" s="265"/>
      <c r="Q279" s="265"/>
      <c r="R279" s="265"/>
    </row>
    <row r="280" spans="1:21" ht="30" customHeight="1">
      <c r="A280" s="204" t="str">
        <f>IF(ISBLANK(D280)," ",196-COUNTBLANK($D$6:D280))</f>
        <v xml:space="preserve"> </v>
      </c>
      <c r="B280" s="202"/>
      <c r="C280" s="202"/>
      <c r="D280" s="202"/>
      <c r="E280" s="300"/>
      <c r="F280" s="210"/>
      <c r="G280" s="203"/>
      <c r="H280" s="203"/>
      <c r="I280" s="291"/>
      <c r="J280" s="263" t="str">
        <f t="shared" si="4"/>
        <v/>
      </c>
      <c r="K280" s="264"/>
      <c r="L280" s="265"/>
      <c r="M280" s="265"/>
      <c r="N280" s="265"/>
      <c r="O280" s="265"/>
      <c r="P280" s="265"/>
      <c r="Q280" s="265"/>
      <c r="R280" s="265"/>
    </row>
    <row r="281" spans="1:21" ht="30" customHeight="1">
      <c r="A281" s="204" t="str">
        <f>IF(ISBLANK(D281)," ",197-COUNTBLANK($D$6:D281))</f>
        <v xml:space="preserve"> </v>
      </c>
      <c r="B281" s="202"/>
      <c r="C281" s="202"/>
      <c r="D281" s="202"/>
      <c r="E281" s="300"/>
      <c r="F281" s="210"/>
      <c r="G281" s="203"/>
      <c r="H281" s="203"/>
      <c r="I281" s="291"/>
      <c r="J281" s="263" t="str">
        <f t="shared" si="4"/>
        <v/>
      </c>
      <c r="K281" s="264"/>
      <c r="L281" s="265"/>
      <c r="M281" s="265"/>
      <c r="N281" s="265"/>
      <c r="O281" s="265"/>
      <c r="P281" s="265"/>
      <c r="Q281" s="265"/>
      <c r="R281" s="265"/>
    </row>
    <row r="282" spans="1:21" ht="30" customHeight="1">
      <c r="A282" s="204" t="str">
        <f>IF(ISBLANK(D282)," ",198-COUNTBLANK($D$6:D282))</f>
        <v xml:space="preserve"> </v>
      </c>
      <c r="B282" s="202"/>
      <c r="C282" s="202"/>
      <c r="D282" s="202"/>
      <c r="E282" s="300"/>
      <c r="F282" s="210"/>
      <c r="G282" s="203"/>
      <c r="H282" s="203"/>
      <c r="I282" s="291"/>
      <c r="J282" s="263" t="str">
        <f t="shared" si="4"/>
        <v/>
      </c>
      <c r="K282" s="264"/>
      <c r="L282" s="265"/>
      <c r="M282" s="265"/>
      <c r="N282" s="265"/>
      <c r="O282" s="265"/>
      <c r="P282" s="265"/>
      <c r="Q282" s="265"/>
      <c r="R282" s="265"/>
    </row>
    <row r="283" spans="1:21" ht="30" customHeight="1">
      <c r="A283" s="204" t="str">
        <f>IF(ISBLANK(D283)," ",199-COUNTBLANK($D$6:D283))</f>
        <v xml:space="preserve"> </v>
      </c>
      <c r="B283" s="202"/>
      <c r="C283" s="202"/>
      <c r="D283" s="202"/>
      <c r="E283" s="300"/>
      <c r="F283" s="210"/>
      <c r="G283" s="203"/>
      <c r="H283" s="203"/>
      <c r="I283" s="291"/>
      <c r="J283" s="263" t="str">
        <f t="shared" si="4"/>
        <v/>
      </c>
      <c r="K283" s="264"/>
      <c r="L283" s="265"/>
      <c r="M283" s="265"/>
      <c r="N283" s="265"/>
      <c r="O283" s="265"/>
      <c r="P283" s="265"/>
      <c r="Q283" s="265"/>
      <c r="R283" s="265"/>
    </row>
    <row r="284" spans="1:21" ht="30" customHeight="1">
      <c r="A284" s="204" t="str">
        <f>IF(ISBLANK(D284)," ",200-COUNTBLANK($D$6:D284))</f>
        <v xml:space="preserve"> </v>
      </c>
      <c r="B284" s="202"/>
      <c r="C284" s="202"/>
      <c r="D284" s="202"/>
      <c r="E284" s="300"/>
      <c r="F284" s="210"/>
      <c r="G284" s="203"/>
      <c r="H284" s="203"/>
      <c r="I284" s="291"/>
      <c r="J284" s="263" t="str">
        <f t="shared" si="4"/>
        <v/>
      </c>
      <c r="K284" s="264"/>
      <c r="L284" s="265"/>
      <c r="M284" s="265"/>
      <c r="N284" s="265"/>
      <c r="O284" s="265"/>
      <c r="P284" s="265"/>
      <c r="Q284" s="265"/>
      <c r="R284" s="265"/>
    </row>
    <row r="285" spans="1:21" ht="30" customHeight="1">
      <c r="A285" s="204" t="str">
        <f>IF(ISBLANK(D285)," ",201-COUNTBLANK($D$6:D285))</f>
        <v xml:space="preserve"> </v>
      </c>
      <c r="B285" s="202"/>
      <c r="C285" s="202"/>
      <c r="D285" s="202"/>
      <c r="E285" s="300"/>
      <c r="F285" s="210"/>
      <c r="G285" s="203"/>
      <c r="H285" s="203"/>
      <c r="I285" s="291"/>
      <c r="J285" s="263" t="str">
        <f t="shared" si="4"/>
        <v/>
      </c>
      <c r="K285" s="264"/>
      <c r="L285" s="265"/>
      <c r="M285" s="265"/>
      <c r="N285" s="265"/>
      <c r="O285" s="265"/>
      <c r="P285" s="265"/>
      <c r="Q285" s="265"/>
      <c r="R285" s="265"/>
    </row>
    <row r="286" spans="1:21" ht="30" customHeight="1">
      <c r="A286" s="204" t="str">
        <f>IF(ISBLANK(D286)," ",202-COUNTBLANK($D$6:D286))</f>
        <v xml:space="preserve"> </v>
      </c>
      <c r="B286" s="202"/>
      <c r="C286" s="202"/>
      <c r="D286" s="202"/>
      <c r="E286" s="300"/>
      <c r="F286" s="210"/>
      <c r="G286" s="203"/>
      <c r="H286" s="203"/>
      <c r="I286" s="291"/>
      <c r="J286" s="263" t="str">
        <f t="shared" si="4"/>
        <v/>
      </c>
      <c r="K286" s="264"/>
      <c r="L286" s="265"/>
      <c r="M286" s="265"/>
      <c r="N286" s="265"/>
      <c r="O286" s="265"/>
      <c r="P286" s="265"/>
      <c r="Q286" s="265"/>
      <c r="R286" s="265"/>
    </row>
    <row r="287" spans="1:21" ht="30" customHeight="1">
      <c r="A287" s="204" t="str">
        <f>IF(ISBLANK(D287)," ",203-COUNTBLANK($D$6:D287))</f>
        <v xml:space="preserve"> </v>
      </c>
      <c r="B287" s="202"/>
      <c r="C287" s="202"/>
      <c r="D287" s="202"/>
      <c r="E287" s="300"/>
      <c r="F287" s="210"/>
      <c r="G287" s="203"/>
      <c r="H287" s="203"/>
      <c r="I287" s="291"/>
      <c r="J287" s="263" t="str">
        <f t="shared" si="4"/>
        <v/>
      </c>
      <c r="K287" s="264"/>
      <c r="L287" s="265"/>
      <c r="M287" s="265"/>
      <c r="N287" s="265"/>
      <c r="O287" s="265"/>
      <c r="P287" s="265"/>
      <c r="Q287" s="265"/>
      <c r="R287" s="265"/>
    </row>
    <row r="288" spans="1:21" ht="30" customHeight="1">
      <c r="A288" s="204" t="str">
        <f>IF(ISBLANK(D288)," ",204-COUNTBLANK($D$6:D288))</f>
        <v xml:space="preserve"> </v>
      </c>
      <c r="B288" s="202"/>
      <c r="C288" s="202"/>
      <c r="D288" s="202"/>
      <c r="E288" s="300"/>
      <c r="F288" s="210"/>
      <c r="G288" s="203"/>
      <c r="H288" s="203"/>
      <c r="I288" s="291"/>
      <c r="J288" s="263" t="str">
        <f t="shared" si="4"/>
        <v/>
      </c>
      <c r="K288" s="264"/>
      <c r="L288" s="265"/>
      <c r="M288" s="265"/>
      <c r="N288" s="265"/>
      <c r="O288" s="265"/>
      <c r="P288" s="265"/>
      <c r="Q288" s="265"/>
      <c r="R288" s="265"/>
    </row>
    <row r="289" spans="1:21" ht="30" customHeight="1">
      <c r="A289" s="204" t="str">
        <f>IF(ISBLANK(D289)," ",205-COUNTBLANK($D$6:D289))</f>
        <v xml:space="preserve"> </v>
      </c>
      <c r="B289" s="202"/>
      <c r="C289" s="202"/>
      <c r="D289" s="202"/>
      <c r="E289" s="300"/>
      <c r="F289" s="210"/>
      <c r="G289" s="203"/>
      <c r="H289" s="203"/>
      <c r="I289" s="291"/>
      <c r="J289" s="263" t="str">
        <f t="shared" si="4"/>
        <v/>
      </c>
      <c r="K289" s="264"/>
      <c r="L289" s="265"/>
      <c r="M289" s="265"/>
      <c r="N289" s="265"/>
      <c r="O289" s="265"/>
      <c r="P289" s="265"/>
      <c r="Q289" s="265"/>
      <c r="R289" s="265"/>
    </row>
    <row r="290" spans="1:21" ht="30" customHeight="1">
      <c r="A290" s="204" t="str">
        <f>IF(ISBLANK(D290)," ",206-COUNTBLANK($D$6:D290))</f>
        <v xml:space="preserve"> </v>
      </c>
      <c r="B290" s="202"/>
      <c r="C290" s="202"/>
      <c r="D290" s="202"/>
      <c r="E290" s="300"/>
      <c r="F290" s="210"/>
      <c r="G290" s="203"/>
      <c r="H290" s="203"/>
      <c r="I290" s="291"/>
      <c r="J290" s="263" t="str">
        <f t="shared" si="4"/>
        <v/>
      </c>
      <c r="K290" s="264"/>
      <c r="L290" s="265"/>
      <c r="M290" s="265"/>
      <c r="N290" s="265"/>
      <c r="O290" s="265"/>
      <c r="P290" s="265"/>
      <c r="Q290" s="265"/>
      <c r="R290" s="265"/>
    </row>
    <row r="291" spans="1:21" ht="30" customHeight="1">
      <c r="A291" s="204" t="str">
        <f>IF(ISBLANK(D291)," ",207-COUNTBLANK($D$6:D291))</f>
        <v xml:space="preserve"> </v>
      </c>
      <c r="B291" s="202"/>
      <c r="C291" s="202"/>
      <c r="D291" s="202"/>
      <c r="E291" s="300"/>
      <c r="F291" s="210"/>
      <c r="G291" s="203"/>
      <c r="H291" s="203"/>
      <c r="I291" s="291"/>
      <c r="J291" s="263" t="str">
        <f t="shared" si="4"/>
        <v/>
      </c>
      <c r="K291" s="266"/>
      <c r="L291" s="265"/>
      <c r="M291" s="265"/>
      <c r="N291" s="265"/>
      <c r="O291" s="265"/>
      <c r="P291" s="265"/>
      <c r="Q291" s="265"/>
      <c r="R291" s="267"/>
    </row>
    <row r="292" spans="1:21" ht="30" customHeight="1">
      <c r="A292" s="204" t="str">
        <f>IF(ISBLANK(D292)," ",208-COUNTBLANK($D$6:D292))</f>
        <v xml:space="preserve"> </v>
      </c>
      <c r="B292" s="202"/>
      <c r="C292" s="202"/>
      <c r="D292" s="202"/>
      <c r="E292" s="300"/>
      <c r="F292" s="210"/>
      <c r="G292" s="203"/>
      <c r="H292" s="203"/>
      <c r="I292" s="291"/>
      <c r="J292" s="263" t="str">
        <f t="shared" si="4"/>
        <v/>
      </c>
      <c r="K292" s="266"/>
      <c r="L292" s="265"/>
      <c r="M292" s="265"/>
      <c r="N292" s="265"/>
      <c r="O292" s="265"/>
      <c r="P292" s="265"/>
      <c r="Q292" s="265"/>
      <c r="R292" s="267"/>
    </row>
    <row r="293" spans="1:21" ht="30" customHeight="1">
      <c r="A293" s="204" t="str">
        <f>IF(ISBLANK(D293)," ",209-COUNTBLANK($D$6:D293))</f>
        <v xml:space="preserve"> </v>
      </c>
      <c r="B293" s="202"/>
      <c r="C293" s="202"/>
      <c r="D293" s="202"/>
      <c r="E293" s="300"/>
      <c r="F293" s="210"/>
      <c r="G293" s="203"/>
      <c r="H293" s="203"/>
      <c r="I293" s="291"/>
      <c r="J293" s="263" t="str">
        <f t="shared" si="4"/>
        <v/>
      </c>
      <c r="K293" s="266"/>
      <c r="L293" s="265"/>
      <c r="M293" s="265"/>
      <c r="N293" s="265"/>
      <c r="O293" s="265"/>
      <c r="P293" s="265"/>
      <c r="Q293" s="265"/>
      <c r="R293" s="267"/>
    </row>
    <row r="294" spans="1:21" ht="30" customHeight="1">
      <c r="A294" s="304" t="str">
        <f>IF(ISBLANK(D294)," ",211-COUNTBLANK($D$6:D294))</f>
        <v xml:space="preserve"> </v>
      </c>
      <c r="B294" s="296"/>
      <c r="C294" s="305"/>
      <c r="D294" s="306"/>
      <c r="E294" s="297"/>
      <c r="F294" s="298"/>
      <c r="G294" s="282"/>
      <c r="H294" s="282"/>
      <c r="I294" s="303"/>
      <c r="J294" s="263" t="str">
        <f t="shared" si="4"/>
        <v/>
      </c>
      <c r="K294" s="264"/>
      <c r="L294" s="265"/>
      <c r="M294" s="265"/>
      <c r="N294" s="265"/>
      <c r="O294" s="265"/>
      <c r="P294" s="265"/>
      <c r="Q294" s="265"/>
      <c r="R294" s="284"/>
      <c r="S294" s="265"/>
      <c r="T294" s="265"/>
      <c r="U294" s="265"/>
    </row>
    <row r="295" spans="1:21" ht="30" customHeight="1">
      <c r="A295" s="260" t="str">
        <f>IF(ISBLANK(D295)," ",212-COUNTBLANK($D$6:D295))</f>
        <v xml:space="preserve"> </v>
      </c>
      <c r="B295" s="200"/>
      <c r="C295" s="200"/>
      <c r="D295" s="200"/>
      <c r="E295" s="299"/>
      <c r="F295" s="209"/>
      <c r="G295" s="201"/>
      <c r="H295" s="201"/>
      <c r="I295" s="291"/>
      <c r="J295" s="263" t="str">
        <f t="shared" si="4"/>
        <v/>
      </c>
      <c r="K295" s="266"/>
      <c r="L295" s="265"/>
      <c r="M295" s="265"/>
      <c r="N295" s="265"/>
      <c r="O295" s="265"/>
      <c r="P295" s="265"/>
      <c r="Q295" s="265"/>
      <c r="R295" s="284"/>
      <c r="S295" s="265"/>
      <c r="T295" s="265"/>
      <c r="U295" s="265"/>
    </row>
    <row r="296" spans="1:21" ht="30" customHeight="1">
      <c r="A296" s="204" t="str">
        <f>IF(ISBLANK(D296)," ",213-COUNTBLANK($D$6:D296))</f>
        <v xml:space="preserve"> </v>
      </c>
      <c r="B296" s="202"/>
      <c r="C296" s="202"/>
      <c r="D296" s="202"/>
      <c r="E296" s="300"/>
      <c r="F296" s="210"/>
      <c r="G296" s="203"/>
      <c r="H296" s="203"/>
      <c r="I296" s="291"/>
      <c r="J296" s="263" t="str">
        <f t="shared" si="4"/>
        <v/>
      </c>
      <c r="K296" s="264"/>
      <c r="L296" s="265"/>
      <c r="M296" s="265"/>
      <c r="N296" s="265"/>
      <c r="O296" s="265"/>
      <c r="P296" s="265"/>
      <c r="Q296" s="265"/>
      <c r="R296" s="265"/>
    </row>
    <row r="297" spans="1:21" ht="30" customHeight="1">
      <c r="A297" s="204" t="str">
        <f>IF(ISBLANK(D297)," ",214-COUNTBLANK($D$6:D297))</f>
        <v xml:space="preserve"> </v>
      </c>
      <c r="B297" s="202"/>
      <c r="C297" s="202"/>
      <c r="D297" s="202"/>
      <c r="E297" s="300"/>
      <c r="F297" s="210"/>
      <c r="G297" s="203"/>
      <c r="H297" s="203"/>
      <c r="I297" s="291"/>
      <c r="J297" s="263" t="str">
        <f t="shared" si="4"/>
        <v/>
      </c>
      <c r="K297" s="264"/>
      <c r="L297" s="265"/>
      <c r="M297" s="265"/>
      <c r="N297" s="265"/>
      <c r="O297" s="265"/>
      <c r="P297" s="265"/>
      <c r="Q297" s="265"/>
      <c r="R297" s="265"/>
    </row>
    <row r="298" spans="1:21" ht="30" customHeight="1">
      <c r="A298" s="204" t="str">
        <f>IF(ISBLANK(D298)," ",215-COUNTBLANK($D$6:D298))</f>
        <v xml:space="preserve"> </v>
      </c>
      <c r="B298" s="202"/>
      <c r="C298" s="202"/>
      <c r="D298" s="202"/>
      <c r="E298" s="300"/>
      <c r="F298" s="210"/>
      <c r="G298" s="203"/>
      <c r="H298" s="203"/>
      <c r="I298" s="291"/>
      <c r="J298" s="263" t="str">
        <f t="shared" si="4"/>
        <v/>
      </c>
      <c r="K298" s="264"/>
      <c r="L298" s="265"/>
      <c r="M298" s="265"/>
      <c r="N298" s="265"/>
      <c r="O298" s="265"/>
      <c r="P298" s="265"/>
      <c r="Q298" s="265"/>
      <c r="R298" s="265"/>
    </row>
    <row r="299" spans="1:21" ht="30" customHeight="1">
      <c r="A299" s="204" t="str">
        <f>IF(ISBLANK(D299)," ",216-COUNTBLANK($D$6:D299))</f>
        <v xml:space="preserve"> </v>
      </c>
      <c r="B299" s="202"/>
      <c r="C299" s="202"/>
      <c r="D299" s="202"/>
      <c r="E299" s="300"/>
      <c r="F299" s="210"/>
      <c r="G299" s="203"/>
      <c r="H299" s="203"/>
      <c r="I299" s="291"/>
      <c r="J299" s="263" t="str">
        <f t="shared" si="4"/>
        <v/>
      </c>
      <c r="K299" s="264"/>
      <c r="L299" s="265"/>
      <c r="M299" s="265"/>
      <c r="N299" s="265"/>
      <c r="O299" s="265"/>
      <c r="P299" s="265"/>
      <c r="Q299" s="265"/>
      <c r="R299" s="265"/>
    </row>
    <row r="300" spans="1:21" ht="30" customHeight="1">
      <c r="A300" s="204" t="str">
        <f>IF(ISBLANK(D300)," ",217-COUNTBLANK($D$6:D300))</f>
        <v xml:space="preserve"> </v>
      </c>
      <c r="B300" s="202"/>
      <c r="C300" s="202"/>
      <c r="D300" s="202"/>
      <c r="E300" s="300"/>
      <c r="F300" s="210"/>
      <c r="G300" s="203"/>
      <c r="H300" s="203"/>
      <c r="I300" s="291"/>
      <c r="J300" s="263" t="str">
        <f t="shared" si="4"/>
        <v/>
      </c>
      <c r="K300" s="264"/>
      <c r="L300" s="265"/>
      <c r="M300" s="265"/>
      <c r="N300" s="265"/>
      <c r="O300" s="265"/>
      <c r="P300" s="265"/>
      <c r="Q300" s="265"/>
      <c r="R300" s="265"/>
    </row>
    <row r="301" spans="1:21" ht="30" customHeight="1">
      <c r="A301" s="204" t="str">
        <f>IF(ISBLANK(D301)," ",218-COUNTBLANK($D$6:D301))</f>
        <v xml:space="preserve"> </v>
      </c>
      <c r="B301" s="202"/>
      <c r="C301" s="202"/>
      <c r="D301" s="202"/>
      <c r="E301" s="300"/>
      <c r="F301" s="210"/>
      <c r="G301" s="203"/>
      <c r="H301" s="203"/>
      <c r="I301" s="291"/>
      <c r="J301" s="263" t="str">
        <f t="shared" si="4"/>
        <v/>
      </c>
      <c r="K301" s="264"/>
      <c r="L301" s="265"/>
      <c r="M301" s="265"/>
      <c r="N301" s="265"/>
      <c r="O301" s="265"/>
      <c r="P301" s="265"/>
      <c r="Q301" s="265"/>
      <c r="R301" s="265"/>
    </row>
    <row r="302" spans="1:21" ht="30" customHeight="1">
      <c r="A302" s="204" t="str">
        <f>IF(ISBLANK(D302)," ",219-COUNTBLANK($D$6:D302))</f>
        <v xml:space="preserve"> </v>
      </c>
      <c r="B302" s="202"/>
      <c r="C302" s="202"/>
      <c r="D302" s="202"/>
      <c r="E302" s="300"/>
      <c r="F302" s="210"/>
      <c r="G302" s="203"/>
      <c r="H302" s="203"/>
      <c r="I302" s="291"/>
      <c r="J302" s="263" t="str">
        <f t="shared" si="4"/>
        <v/>
      </c>
      <c r="K302" s="264"/>
      <c r="L302" s="265"/>
      <c r="M302" s="265"/>
      <c r="N302" s="265"/>
      <c r="O302" s="265"/>
      <c r="P302" s="265"/>
      <c r="Q302" s="265"/>
      <c r="R302" s="265"/>
    </row>
    <row r="303" spans="1:21" ht="30" customHeight="1">
      <c r="A303" s="204" t="str">
        <f>IF(ISBLANK(D303)," ",220-COUNTBLANK($D$6:D303))</f>
        <v xml:space="preserve"> </v>
      </c>
      <c r="B303" s="202"/>
      <c r="C303" s="202"/>
      <c r="D303" s="202"/>
      <c r="E303" s="300"/>
      <c r="F303" s="210"/>
      <c r="G303" s="203"/>
      <c r="H303" s="203"/>
      <c r="I303" s="291"/>
      <c r="J303" s="263" t="str">
        <f t="shared" si="4"/>
        <v/>
      </c>
      <c r="K303" s="264"/>
      <c r="L303" s="265"/>
      <c r="M303" s="265"/>
      <c r="N303" s="265"/>
      <c r="O303" s="265"/>
      <c r="P303" s="265"/>
      <c r="Q303" s="265"/>
      <c r="R303" s="265"/>
    </row>
    <row r="304" spans="1:21" ht="30" customHeight="1">
      <c r="A304" s="204" t="str">
        <f>IF(ISBLANK(D304)," ",221-COUNTBLANK($D$6:D304))</f>
        <v xml:space="preserve"> </v>
      </c>
      <c r="B304" s="202"/>
      <c r="C304" s="202"/>
      <c r="D304" s="202"/>
      <c r="E304" s="300"/>
      <c r="F304" s="210"/>
      <c r="G304" s="203"/>
      <c r="H304" s="203"/>
      <c r="I304" s="291"/>
      <c r="J304" s="263" t="str">
        <f t="shared" si="4"/>
        <v/>
      </c>
      <c r="K304" s="264"/>
      <c r="L304" s="265"/>
      <c r="M304" s="265"/>
      <c r="N304" s="265"/>
      <c r="O304" s="265"/>
      <c r="P304" s="265"/>
      <c r="Q304" s="265"/>
      <c r="R304" s="265"/>
    </row>
    <row r="305" spans="1:21" ht="30" customHeight="1">
      <c r="A305" s="204" t="str">
        <f>IF(ISBLANK(D305)," ",222-COUNTBLANK($D$6:D305))</f>
        <v xml:space="preserve"> </v>
      </c>
      <c r="B305" s="202"/>
      <c r="C305" s="202"/>
      <c r="D305" s="202"/>
      <c r="E305" s="300"/>
      <c r="F305" s="210"/>
      <c r="G305" s="203"/>
      <c r="H305" s="203"/>
      <c r="I305" s="291"/>
      <c r="J305" s="263" t="str">
        <f t="shared" si="4"/>
        <v/>
      </c>
      <c r="K305" s="264"/>
      <c r="L305" s="265"/>
      <c r="M305" s="265"/>
      <c r="N305" s="265"/>
      <c r="O305" s="265"/>
      <c r="P305" s="265"/>
      <c r="Q305" s="265"/>
      <c r="R305" s="265"/>
    </row>
    <row r="306" spans="1:21" ht="30" customHeight="1">
      <c r="A306" s="204" t="str">
        <f>IF(ISBLANK(D306)," ",223-COUNTBLANK($D$6:D306))</f>
        <v xml:space="preserve"> </v>
      </c>
      <c r="B306" s="202"/>
      <c r="C306" s="202"/>
      <c r="D306" s="202"/>
      <c r="E306" s="300"/>
      <c r="F306" s="210"/>
      <c r="G306" s="203"/>
      <c r="H306" s="203"/>
      <c r="I306" s="291"/>
      <c r="J306" s="263" t="str">
        <f t="shared" si="4"/>
        <v/>
      </c>
      <c r="K306" s="264"/>
      <c r="L306" s="265"/>
      <c r="M306" s="265"/>
      <c r="N306" s="265"/>
      <c r="O306" s="265"/>
      <c r="P306" s="265"/>
      <c r="Q306" s="265"/>
      <c r="R306" s="265"/>
    </row>
    <row r="307" spans="1:21" ht="30" customHeight="1">
      <c r="A307" s="204" t="str">
        <f>IF(ISBLANK(D307)," ",224-COUNTBLANK($D$6:D307))</f>
        <v xml:space="preserve"> </v>
      </c>
      <c r="B307" s="202"/>
      <c r="C307" s="202"/>
      <c r="D307" s="202"/>
      <c r="E307" s="300"/>
      <c r="F307" s="210"/>
      <c r="G307" s="203"/>
      <c r="H307" s="203"/>
      <c r="I307" s="291"/>
      <c r="J307" s="263" t="str">
        <f t="shared" si="4"/>
        <v/>
      </c>
      <c r="K307" s="264"/>
      <c r="L307" s="265"/>
      <c r="M307" s="265"/>
      <c r="N307" s="265"/>
      <c r="O307" s="265"/>
      <c r="P307" s="265"/>
      <c r="Q307" s="265"/>
      <c r="R307" s="265"/>
    </row>
    <row r="308" spans="1:21" ht="30" customHeight="1">
      <c r="A308" s="204" t="str">
        <f>IF(ISBLANK(D308)," ",225-COUNTBLANK($D$6:D308))</f>
        <v xml:space="preserve"> </v>
      </c>
      <c r="B308" s="202"/>
      <c r="C308" s="202"/>
      <c r="D308" s="202"/>
      <c r="E308" s="300"/>
      <c r="F308" s="210"/>
      <c r="G308" s="203"/>
      <c r="H308" s="203"/>
      <c r="I308" s="291"/>
      <c r="J308" s="263" t="str">
        <f t="shared" si="4"/>
        <v/>
      </c>
      <c r="K308" s="264"/>
      <c r="L308" s="265"/>
      <c r="M308" s="265"/>
      <c r="N308" s="265"/>
      <c r="O308" s="265"/>
      <c r="P308" s="265"/>
      <c r="Q308" s="265"/>
      <c r="R308" s="265"/>
    </row>
    <row r="309" spans="1:21" ht="30" customHeight="1">
      <c r="A309" s="204" t="str">
        <f>IF(ISBLANK(D309)," ",226-COUNTBLANK($D$6:D309))</f>
        <v xml:space="preserve"> </v>
      </c>
      <c r="B309" s="202"/>
      <c r="C309" s="202"/>
      <c r="D309" s="202"/>
      <c r="E309" s="300"/>
      <c r="F309" s="210"/>
      <c r="G309" s="203"/>
      <c r="H309" s="203"/>
      <c r="I309" s="291"/>
      <c r="J309" s="263" t="str">
        <f t="shared" si="4"/>
        <v/>
      </c>
      <c r="K309" s="264"/>
      <c r="L309" s="265"/>
      <c r="M309" s="265"/>
      <c r="N309" s="265"/>
      <c r="O309" s="265"/>
      <c r="P309" s="265"/>
      <c r="Q309" s="265"/>
      <c r="R309" s="265"/>
    </row>
    <row r="310" spans="1:21" ht="30" customHeight="1">
      <c r="A310" s="204" t="str">
        <f>IF(ISBLANK(D310)," ",227-COUNTBLANK($D$6:D310))</f>
        <v xml:space="preserve"> </v>
      </c>
      <c r="B310" s="202"/>
      <c r="C310" s="202"/>
      <c r="D310" s="202"/>
      <c r="E310" s="300"/>
      <c r="F310" s="210"/>
      <c r="G310" s="203"/>
      <c r="H310" s="203"/>
      <c r="I310" s="291"/>
      <c r="J310" s="263" t="str">
        <f t="shared" si="4"/>
        <v/>
      </c>
      <c r="K310" s="264"/>
      <c r="L310" s="265"/>
      <c r="M310" s="265"/>
      <c r="N310" s="265"/>
      <c r="O310" s="265"/>
      <c r="P310" s="265"/>
      <c r="Q310" s="265"/>
      <c r="R310" s="265"/>
    </row>
    <row r="311" spans="1:21" ht="30" customHeight="1">
      <c r="A311" s="204" t="str">
        <f>IF(ISBLANK(D311)," ",228-COUNTBLANK($D$6:D311))</f>
        <v xml:space="preserve"> </v>
      </c>
      <c r="B311" s="202"/>
      <c r="C311" s="202"/>
      <c r="D311" s="202"/>
      <c r="E311" s="300"/>
      <c r="F311" s="210"/>
      <c r="G311" s="203"/>
      <c r="H311" s="203"/>
      <c r="I311" s="291"/>
      <c r="J311" s="263" t="str">
        <f t="shared" ref="J311:J374" si="5">CONCATENATE(D311,G311)</f>
        <v/>
      </c>
      <c r="K311" s="266"/>
      <c r="L311" s="265"/>
      <c r="M311" s="265"/>
      <c r="N311" s="265"/>
      <c r="O311" s="265"/>
      <c r="P311" s="265"/>
      <c r="Q311" s="265"/>
      <c r="R311" s="267"/>
    </row>
    <row r="312" spans="1:21" ht="30" customHeight="1">
      <c r="A312" s="204" t="str">
        <f>IF(ISBLANK(D312)," ",229-COUNTBLANK($D$6:D312))</f>
        <v xml:space="preserve"> </v>
      </c>
      <c r="B312" s="202"/>
      <c r="C312" s="202"/>
      <c r="D312" s="202"/>
      <c r="E312" s="300"/>
      <c r="F312" s="210"/>
      <c r="G312" s="203"/>
      <c r="H312" s="203"/>
      <c r="I312" s="291"/>
      <c r="J312" s="263" t="str">
        <f t="shared" si="5"/>
        <v/>
      </c>
      <c r="K312" s="266"/>
      <c r="L312" s="265"/>
      <c r="M312" s="265"/>
      <c r="N312" s="265"/>
      <c r="O312" s="265"/>
      <c r="P312" s="265"/>
      <c r="Q312" s="265"/>
      <c r="R312" s="267"/>
    </row>
    <row r="313" spans="1:21" ht="30" customHeight="1">
      <c r="A313" s="204" t="str">
        <f>IF(ISBLANK(D313)," ",230-COUNTBLANK($D$6:D313))</f>
        <v xml:space="preserve"> </v>
      </c>
      <c r="B313" s="202"/>
      <c r="C313" s="202"/>
      <c r="D313" s="202"/>
      <c r="E313" s="300"/>
      <c r="F313" s="210"/>
      <c r="G313" s="203"/>
      <c r="H313" s="203"/>
      <c r="I313" s="291"/>
      <c r="J313" s="263" t="str">
        <f t="shared" si="5"/>
        <v/>
      </c>
      <c r="K313" s="266"/>
      <c r="L313" s="265"/>
      <c r="M313" s="265"/>
      <c r="N313" s="265"/>
      <c r="O313" s="265"/>
      <c r="P313" s="265"/>
      <c r="Q313" s="265"/>
      <c r="R313" s="267"/>
    </row>
    <row r="314" spans="1:21" ht="30" customHeight="1">
      <c r="A314" s="304" t="str">
        <f>IF(ISBLANK(D314)," ",232-COUNTBLANK($D$6:D314))</f>
        <v xml:space="preserve"> </v>
      </c>
      <c r="B314" s="296"/>
      <c r="C314" s="305"/>
      <c r="D314" s="306"/>
      <c r="E314" s="297"/>
      <c r="F314" s="298"/>
      <c r="G314" s="282"/>
      <c r="H314" s="282"/>
      <c r="I314" s="303"/>
      <c r="J314" s="263" t="str">
        <f t="shared" si="5"/>
        <v/>
      </c>
      <c r="K314" s="264"/>
      <c r="L314" s="265"/>
      <c r="M314" s="265"/>
      <c r="N314" s="265"/>
      <c r="O314" s="265"/>
      <c r="P314" s="265"/>
      <c r="Q314" s="265"/>
      <c r="R314" s="284"/>
      <c r="S314" s="265"/>
      <c r="T314" s="265"/>
      <c r="U314" s="265"/>
    </row>
    <row r="315" spans="1:21" ht="30" customHeight="1">
      <c r="A315" s="260" t="str">
        <f>IF(ISBLANK(D315)," ",233-COUNTBLANK($D$6:D315))</f>
        <v xml:space="preserve"> </v>
      </c>
      <c r="B315" s="200"/>
      <c r="C315" s="200"/>
      <c r="D315" s="200"/>
      <c r="E315" s="299"/>
      <c r="F315" s="209"/>
      <c r="G315" s="201"/>
      <c r="H315" s="201"/>
      <c r="I315" s="291"/>
      <c r="J315" s="263" t="str">
        <f t="shared" si="5"/>
        <v/>
      </c>
      <c r="K315" s="266"/>
      <c r="L315" s="265"/>
      <c r="M315" s="265"/>
      <c r="N315" s="265"/>
      <c r="O315" s="265"/>
      <c r="P315" s="265"/>
      <c r="Q315" s="265"/>
      <c r="R315" s="284"/>
      <c r="S315" s="265"/>
      <c r="T315" s="265"/>
      <c r="U315" s="265"/>
    </row>
    <row r="316" spans="1:21" ht="30" customHeight="1">
      <c r="A316" s="204" t="str">
        <f>IF(ISBLANK(D316)," ",234-COUNTBLANK($D$6:D316))</f>
        <v xml:space="preserve"> </v>
      </c>
      <c r="B316" s="202"/>
      <c r="C316" s="202"/>
      <c r="D316" s="202"/>
      <c r="E316" s="300"/>
      <c r="F316" s="210"/>
      <c r="G316" s="203"/>
      <c r="H316" s="203"/>
      <c r="I316" s="291"/>
      <c r="J316" s="263" t="str">
        <f t="shared" si="5"/>
        <v/>
      </c>
      <c r="K316" s="264"/>
      <c r="L316" s="265"/>
      <c r="M316" s="265"/>
      <c r="N316" s="265"/>
      <c r="O316" s="265"/>
      <c r="P316" s="265"/>
      <c r="Q316" s="265"/>
      <c r="R316" s="265"/>
    </row>
    <row r="317" spans="1:21" ht="30" customHeight="1">
      <c r="A317" s="204" t="str">
        <f>IF(ISBLANK(D317)," ",235-COUNTBLANK($D$6:D317))</f>
        <v xml:space="preserve"> </v>
      </c>
      <c r="B317" s="202"/>
      <c r="C317" s="202"/>
      <c r="D317" s="202"/>
      <c r="E317" s="300"/>
      <c r="F317" s="210"/>
      <c r="G317" s="203"/>
      <c r="H317" s="203"/>
      <c r="I317" s="291"/>
      <c r="J317" s="263" t="str">
        <f t="shared" si="5"/>
        <v/>
      </c>
      <c r="K317" s="264"/>
      <c r="L317" s="265"/>
      <c r="M317" s="265"/>
      <c r="N317" s="265"/>
      <c r="O317" s="265"/>
      <c r="P317" s="265"/>
      <c r="Q317" s="265"/>
      <c r="R317" s="265"/>
    </row>
    <row r="318" spans="1:21" ht="30" customHeight="1">
      <c r="A318" s="204" t="str">
        <f>IF(ISBLANK(D318)," ",236-COUNTBLANK($D$6:D318))</f>
        <v xml:space="preserve"> </v>
      </c>
      <c r="B318" s="202"/>
      <c r="C318" s="202"/>
      <c r="D318" s="202"/>
      <c r="E318" s="300"/>
      <c r="F318" s="210"/>
      <c r="G318" s="203"/>
      <c r="H318" s="203"/>
      <c r="I318" s="291"/>
      <c r="J318" s="263" t="str">
        <f t="shared" si="5"/>
        <v/>
      </c>
      <c r="K318" s="264"/>
      <c r="L318" s="265"/>
      <c r="M318" s="265"/>
      <c r="N318" s="265"/>
      <c r="O318" s="265"/>
      <c r="P318" s="265"/>
      <c r="Q318" s="265"/>
      <c r="R318" s="265"/>
    </row>
    <row r="319" spans="1:21" ht="30" customHeight="1">
      <c r="A319" s="204" t="str">
        <f>IF(ISBLANK(D319)," ",237-COUNTBLANK($D$6:D319))</f>
        <v xml:space="preserve"> </v>
      </c>
      <c r="B319" s="202"/>
      <c r="C319" s="202"/>
      <c r="D319" s="202"/>
      <c r="E319" s="300"/>
      <c r="F319" s="210"/>
      <c r="G319" s="203"/>
      <c r="H319" s="203"/>
      <c r="I319" s="291"/>
      <c r="J319" s="263" t="str">
        <f t="shared" si="5"/>
        <v/>
      </c>
      <c r="K319" s="264"/>
      <c r="L319" s="265"/>
      <c r="M319" s="265"/>
      <c r="N319" s="265"/>
      <c r="O319" s="265"/>
      <c r="P319" s="265"/>
      <c r="Q319" s="265"/>
      <c r="R319" s="265"/>
    </row>
    <row r="320" spans="1:21" ht="30" customHeight="1">
      <c r="A320" s="204" t="str">
        <f>IF(ISBLANK(D320)," ",238-COUNTBLANK($D$6:D320))</f>
        <v xml:space="preserve"> </v>
      </c>
      <c r="B320" s="202"/>
      <c r="C320" s="202"/>
      <c r="D320" s="202"/>
      <c r="E320" s="300"/>
      <c r="F320" s="210"/>
      <c r="G320" s="203"/>
      <c r="H320" s="203"/>
      <c r="I320" s="291"/>
      <c r="J320" s="263" t="str">
        <f t="shared" si="5"/>
        <v/>
      </c>
      <c r="K320" s="264"/>
      <c r="L320" s="265"/>
      <c r="M320" s="265"/>
      <c r="N320" s="265"/>
      <c r="O320" s="265"/>
      <c r="P320" s="265"/>
      <c r="Q320" s="265"/>
      <c r="R320" s="265"/>
    </row>
    <row r="321" spans="1:21" ht="30" customHeight="1">
      <c r="A321" s="204" t="str">
        <f>IF(ISBLANK(D321)," ",239-COUNTBLANK($D$6:D321))</f>
        <v xml:space="preserve"> </v>
      </c>
      <c r="B321" s="202"/>
      <c r="C321" s="202"/>
      <c r="D321" s="202"/>
      <c r="E321" s="300"/>
      <c r="F321" s="210"/>
      <c r="G321" s="203"/>
      <c r="H321" s="203"/>
      <c r="I321" s="291"/>
      <c r="J321" s="263" t="str">
        <f t="shared" si="5"/>
        <v/>
      </c>
      <c r="K321" s="264"/>
      <c r="L321" s="265"/>
      <c r="M321" s="265"/>
      <c r="N321" s="265"/>
      <c r="O321" s="265"/>
      <c r="P321" s="265"/>
      <c r="Q321" s="265"/>
      <c r="R321" s="265"/>
    </row>
    <row r="322" spans="1:21" ht="30" customHeight="1">
      <c r="A322" s="204" t="str">
        <f>IF(ISBLANK(D322)," ",240-COUNTBLANK($D$6:D322))</f>
        <v xml:space="preserve"> </v>
      </c>
      <c r="B322" s="202"/>
      <c r="C322" s="202"/>
      <c r="D322" s="202"/>
      <c r="E322" s="300"/>
      <c r="F322" s="210"/>
      <c r="G322" s="203"/>
      <c r="H322" s="203"/>
      <c r="I322" s="291"/>
      <c r="J322" s="263" t="str">
        <f t="shared" si="5"/>
        <v/>
      </c>
      <c r="K322" s="264"/>
      <c r="L322" s="265"/>
      <c r="M322" s="265"/>
      <c r="N322" s="265"/>
      <c r="O322" s="265"/>
      <c r="P322" s="265"/>
      <c r="Q322" s="265"/>
      <c r="R322" s="265"/>
    </row>
    <row r="323" spans="1:21" ht="30" customHeight="1">
      <c r="A323" s="204" t="str">
        <f>IF(ISBLANK(D323)," ",241-COUNTBLANK($D$6:D323))</f>
        <v xml:space="preserve"> </v>
      </c>
      <c r="B323" s="202"/>
      <c r="C323" s="202"/>
      <c r="D323" s="202"/>
      <c r="E323" s="300"/>
      <c r="F323" s="210"/>
      <c r="G323" s="203"/>
      <c r="H323" s="203"/>
      <c r="I323" s="291"/>
      <c r="J323" s="263" t="str">
        <f t="shared" si="5"/>
        <v/>
      </c>
      <c r="K323" s="264"/>
      <c r="L323" s="265"/>
      <c r="M323" s="265"/>
      <c r="N323" s="265"/>
      <c r="O323" s="265"/>
      <c r="P323" s="265"/>
      <c r="Q323" s="265"/>
      <c r="R323" s="265"/>
    </row>
    <row r="324" spans="1:21" ht="30" customHeight="1">
      <c r="A324" s="204" t="str">
        <f>IF(ISBLANK(D324)," ",242-COUNTBLANK($D$6:D324))</f>
        <v xml:space="preserve"> </v>
      </c>
      <c r="B324" s="202"/>
      <c r="C324" s="202"/>
      <c r="D324" s="202"/>
      <c r="E324" s="300"/>
      <c r="F324" s="210"/>
      <c r="G324" s="203"/>
      <c r="H324" s="203"/>
      <c r="I324" s="291"/>
      <c r="J324" s="263" t="str">
        <f t="shared" si="5"/>
        <v/>
      </c>
      <c r="K324" s="264"/>
      <c r="L324" s="265"/>
      <c r="M324" s="265"/>
      <c r="N324" s="265"/>
      <c r="O324" s="265"/>
      <c r="P324" s="265"/>
      <c r="Q324" s="265"/>
      <c r="R324" s="265"/>
    </row>
    <row r="325" spans="1:21" ht="30" customHeight="1">
      <c r="A325" s="204" t="str">
        <f>IF(ISBLANK(D325)," ",243-COUNTBLANK($D$6:D325))</f>
        <v xml:space="preserve"> </v>
      </c>
      <c r="B325" s="202"/>
      <c r="C325" s="202"/>
      <c r="D325" s="202"/>
      <c r="E325" s="300"/>
      <c r="F325" s="210"/>
      <c r="G325" s="203"/>
      <c r="H325" s="203"/>
      <c r="I325" s="291"/>
      <c r="J325" s="263" t="str">
        <f t="shared" si="5"/>
        <v/>
      </c>
      <c r="K325" s="264"/>
      <c r="L325" s="265"/>
      <c r="M325" s="265"/>
      <c r="N325" s="265"/>
      <c r="O325" s="265"/>
      <c r="P325" s="265"/>
      <c r="Q325" s="265"/>
      <c r="R325" s="265"/>
    </row>
    <row r="326" spans="1:21" ht="30" customHeight="1">
      <c r="A326" s="204" t="str">
        <f>IF(ISBLANK(D326)," ",244-COUNTBLANK($D$6:D326))</f>
        <v xml:space="preserve"> </v>
      </c>
      <c r="B326" s="202"/>
      <c r="C326" s="202"/>
      <c r="D326" s="202"/>
      <c r="E326" s="300"/>
      <c r="F326" s="210"/>
      <c r="G326" s="203"/>
      <c r="H326" s="203"/>
      <c r="I326" s="291"/>
      <c r="J326" s="263" t="str">
        <f t="shared" si="5"/>
        <v/>
      </c>
      <c r="K326" s="264"/>
      <c r="L326" s="265"/>
      <c r="M326" s="265"/>
      <c r="N326" s="265"/>
      <c r="O326" s="265"/>
      <c r="P326" s="265"/>
      <c r="Q326" s="265"/>
      <c r="R326" s="265"/>
    </row>
    <row r="327" spans="1:21" ht="30" customHeight="1">
      <c r="A327" s="204" t="str">
        <f>IF(ISBLANK(D327)," ",245-COUNTBLANK($D$6:D327))</f>
        <v xml:space="preserve"> </v>
      </c>
      <c r="B327" s="202"/>
      <c r="C327" s="202"/>
      <c r="D327" s="202"/>
      <c r="E327" s="300"/>
      <c r="F327" s="210"/>
      <c r="G327" s="203"/>
      <c r="H327" s="203"/>
      <c r="I327" s="291"/>
      <c r="J327" s="263" t="str">
        <f t="shared" si="5"/>
        <v/>
      </c>
      <c r="K327" s="264"/>
      <c r="L327" s="265"/>
      <c r="M327" s="265"/>
      <c r="N327" s="265"/>
      <c r="O327" s="265"/>
      <c r="P327" s="265"/>
      <c r="Q327" s="265"/>
      <c r="R327" s="265"/>
    </row>
    <row r="328" spans="1:21" ht="30" customHeight="1">
      <c r="A328" s="204" t="str">
        <f>IF(ISBLANK(D328)," ",246-COUNTBLANK($D$6:D328))</f>
        <v xml:space="preserve"> </v>
      </c>
      <c r="B328" s="202"/>
      <c r="C328" s="202"/>
      <c r="D328" s="202"/>
      <c r="E328" s="300"/>
      <c r="F328" s="210"/>
      <c r="G328" s="203"/>
      <c r="H328" s="203"/>
      <c r="I328" s="291"/>
      <c r="J328" s="263" t="str">
        <f t="shared" si="5"/>
        <v/>
      </c>
      <c r="K328" s="264"/>
      <c r="L328" s="265"/>
      <c r="M328" s="265"/>
      <c r="N328" s="265"/>
      <c r="O328" s="265"/>
      <c r="P328" s="265"/>
      <c r="Q328" s="265"/>
      <c r="R328" s="265"/>
    </row>
    <row r="329" spans="1:21" ht="30" customHeight="1">
      <c r="A329" s="204" t="str">
        <f>IF(ISBLANK(D329)," ",247-COUNTBLANK($D$6:D329))</f>
        <v xml:space="preserve"> </v>
      </c>
      <c r="B329" s="202"/>
      <c r="C329" s="202"/>
      <c r="D329" s="202"/>
      <c r="E329" s="300"/>
      <c r="F329" s="210"/>
      <c r="G329" s="203"/>
      <c r="H329" s="203"/>
      <c r="I329" s="291"/>
      <c r="J329" s="263" t="str">
        <f t="shared" si="5"/>
        <v/>
      </c>
      <c r="K329" s="264"/>
      <c r="L329" s="265"/>
      <c r="M329" s="265"/>
      <c r="N329" s="265"/>
      <c r="O329" s="265"/>
      <c r="P329" s="265"/>
      <c r="Q329" s="265"/>
      <c r="R329" s="265"/>
    </row>
    <row r="330" spans="1:21" ht="30" customHeight="1">
      <c r="A330" s="204" t="str">
        <f>IF(ISBLANK(D330)," ",248-COUNTBLANK($D$6:D330))</f>
        <v xml:space="preserve"> </v>
      </c>
      <c r="B330" s="202"/>
      <c r="C330" s="202"/>
      <c r="D330" s="202"/>
      <c r="E330" s="300"/>
      <c r="F330" s="210"/>
      <c r="G330" s="203"/>
      <c r="H330" s="203"/>
      <c r="I330" s="291"/>
      <c r="J330" s="263" t="str">
        <f t="shared" si="5"/>
        <v/>
      </c>
      <c r="K330" s="264"/>
      <c r="L330" s="265"/>
      <c r="M330" s="265"/>
      <c r="N330" s="265"/>
      <c r="O330" s="265"/>
      <c r="P330" s="265"/>
      <c r="Q330" s="265"/>
      <c r="R330" s="265"/>
    </row>
    <row r="331" spans="1:21" ht="30" customHeight="1">
      <c r="A331" s="204" t="str">
        <f>IF(ISBLANK(D331)," ",249-COUNTBLANK($D$6:D331))</f>
        <v xml:space="preserve"> </v>
      </c>
      <c r="B331" s="202"/>
      <c r="C331" s="202"/>
      <c r="D331" s="202"/>
      <c r="E331" s="300"/>
      <c r="F331" s="210"/>
      <c r="G331" s="203"/>
      <c r="H331" s="203"/>
      <c r="I331" s="291"/>
      <c r="J331" s="263" t="str">
        <f t="shared" si="5"/>
        <v/>
      </c>
      <c r="K331" s="266"/>
      <c r="L331" s="265"/>
      <c r="M331" s="265"/>
      <c r="N331" s="265"/>
      <c r="O331" s="265"/>
      <c r="P331" s="265"/>
      <c r="Q331" s="265"/>
      <c r="R331" s="267"/>
    </row>
    <row r="332" spans="1:21" ht="30" customHeight="1">
      <c r="A332" s="204" t="str">
        <f>IF(ISBLANK(D332)," ",250-COUNTBLANK($D$6:D332))</f>
        <v xml:space="preserve"> </v>
      </c>
      <c r="B332" s="202"/>
      <c r="C332" s="202"/>
      <c r="D332" s="202"/>
      <c r="E332" s="300"/>
      <c r="F332" s="210"/>
      <c r="G332" s="203"/>
      <c r="H332" s="203"/>
      <c r="I332" s="291"/>
      <c r="J332" s="263" t="str">
        <f t="shared" si="5"/>
        <v/>
      </c>
      <c r="K332" s="266"/>
      <c r="L332" s="265"/>
      <c r="M332" s="265"/>
      <c r="N332" s="265"/>
      <c r="O332" s="265"/>
      <c r="P332" s="265"/>
      <c r="Q332" s="265"/>
      <c r="R332" s="267"/>
    </row>
    <row r="333" spans="1:21" ht="30" customHeight="1">
      <c r="A333" s="204" t="str">
        <f>IF(ISBLANK(D333)," ",251-COUNTBLANK($D$6:D333))</f>
        <v xml:space="preserve"> </v>
      </c>
      <c r="B333" s="202"/>
      <c r="C333" s="202"/>
      <c r="D333" s="202"/>
      <c r="E333" s="300"/>
      <c r="F333" s="210"/>
      <c r="G333" s="203"/>
      <c r="H333" s="203"/>
      <c r="I333" s="291"/>
      <c r="J333" s="263" t="str">
        <f t="shared" si="5"/>
        <v/>
      </c>
      <c r="K333" s="266"/>
      <c r="L333" s="265"/>
      <c r="M333" s="265"/>
      <c r="N333" s="265"/>
      <c r="O333" s="265"/>
      <c r="P333" s="265"/>
      <c r="Q333" s="265"/>
      <c r="R333" s="267"/>
    </row>
    <row r="334" spans="1:21" ht="30" customHeight="1">
      <c r="A334" s="304" t="str">
        <f>IF(ISBLANK(D334)," ",253-COUNTBLANK($D$6:D334))</f>
        <v xml:space="preserve"> </v>
      </c>
      <c r="B334" s="296"/>
      <c r="C334" s="305"/>
      <c r="D334" s="306"/>
      <c r="E334" s="297"/>
      <c r="F334" s="298"/>
      <c r="G334" s="282"/>
      <c r="H334" s="282"/>
      <c r="I334" s="303"/>
      <c r="J334" s="263" t="str">
        <f t="shared" si="5"/>
        <v/>
      </c>
      <c r="K334" s="264"/>
      <c r="L334" s="265"/>
      <c r="M334" s="265"/>
      <c r="N334" s="265"/>
      <c r="O334" s="265"/>
      <c r="P334" s="265"/>
      <c r="Q334" s="265"/>
      <c r="R334" s="284"/>
      <c r="S334" s="265"/>
      <c r="T334" s="265"/>
      <c r="U334" s="265"/>
    </row>
    <row r="335" spans="1:21" ht="30" customHeight="1">
      <c r="A335" s="260" t="str">
        <f>IF(ISBLANK(D335)," ",254-COUNTBLANK($D$6:D335))</f>
        <v xml:space="preserve"> </v>
      </c>
      <c r="B335" s="200"/>
      <c r="C335" s="200"/>
      <c r="D335" s="200"/>
      <c r="E335" s="299"/>
      <c r="F335" s="209"/>
      <c r="G335" s="201"/>
      <c r="H335" s="201"/>
      <c r="I335" s="291"/>
      <c r="J335" s="263" t="str">
        <f t="shared" si="5"/>
        <v/>
      </c>
      <c r="K335" s="266"/>
      <c r="L335" s="265"/>
      <c r="M335" s="265"/>
      <c r="N335" s="265"/>
      <c r="O335" s="265"/>
      <c r="P335" s="265"/>
      <c r="Q335" s="265"/>
      <c r="R335" s="284"/>
      <c r="S335" s="265"/>
      <c r="T335" s="265"/>
      <c r="U335" s="265"/>
    </row>
    <row r="336" spans="1:21" ht="30" customHeight="1">
      <c r="A336" s="204" t="str">
        <f>IF(ISBLANK(D336)," ",255-COUNTBLANK($D$6:D336))</f>
        <v xml:space="preserve"> </v>
      </c>
      <c r="B336" s="202"/>
      <c r="C336" s="202"/>
      <c r="D336" s="202"/>
      <c r="E336" s="300"/>
      <c r="F336" s="210"/>
      <c r="G336" s="203"/>
      <c r="H336" s="203"/>
      <c r="I336" s="291"/>
      <c r="J336" s="263" t="str">
        <f t="shared" si="5"/>
        <v/>
      </c>
      <c r="K336" s="264"/>
      <c r="L336" s="265"/>
      <c r="M336" s="265"/>
      <c r="N336" s="265"/>
      <c r="O336" s="265"/>
      <c r="P336" s="265"/>
      <c r="Q336" s="265"/>
      <c r="R336" s="265"/>
    </row>
    <row r="337" spans="1:18" ht="30" customHeight="1">
      <c r="A337" s="204" t="str">
        <f>IF(ISBLANK(D337)," ",256-COUNTBLANK($D$6:D337))</f>
        <v xml:space="preserve"> </v>
      </c>
      <c r="B337" s="202"/>
      <c r="C337" s="202"/>
      <c r="D337" s="202"/>
      <c r="E337" s="300"/>
      <c r="F337" s="210"/>
      <c r="G337" s="203"/>
      <c r="H337" s="203"/>
      <c r="I337" s="291"/>
      <c r="J337" s="263" t="str">
        <f t="shared" si="5"/>
        <v/>
      </c>
      <c r="K337" s="264"/>
      <c r="L337" s="265"/>
      <c r="M337" s="265"/>
      <c r="N337" s="265"/>
      <c r="O337" s="265"/>
      <c r="P337" s="265"/>
      <c r="Q337" s="265"/>
      <c r="R337" s="265"/>
    </row>
    <row r="338" spans="1:18" ht="30" customHeight="1">
      <c r="A338" s="204" t="str">
        <f>IF(ISBLANK(D338)," ",257-COUNTBLANK($D$6:D338))</f>
        <v xml:space="preserve"> </v>
      </c>
      <c r="B338" s="202"/>
      <c r="C338" s="202"/>
      <c r="D338" s="202"/>
      <c r="E338" s="300"/>
      <c r="F338" s="210"/>
      <c r="G338" s="203"/>
      <c r="H338" s="203"/>
      <c r="I338" s="291"/>
      <c r="J338" s="263" t="str">
        <f t="shared" si="5"/>
        <v/>
      </c>
      <c r="K338" s="264"/>
      <c r="L338" s="265"/>
      <c r="M338" s="265"/>
      <c r="N338" s="265"/>
      <c r="O338" s="265"/>
      <c r="P338" s="265"/>
      <c r="Q338" s="265"/>
      <c r="R338" s="265"/>
    </row>
    <row r="339" spans="1:18" ht="30" customHeight="1">
      <c r="A339" s="204" t="str">
        <f>IF(ISBLANK(D339)," ",258-COUNTBLANK($D$6:D339))</f>
        <v xml:space="preserve"> </v>
      </c>
      <c r="B339" s="202"/>
      <c r="C339" s="202"/>
      <c r="D339" s="202"/>
      <c r="E339" s="300"/>
      <c r="F339" s="210"/>
      <c r="G339" s="203"/>
      <c r="H339" s="203"/>
      <c r="I339" s="291"/>
      <c r="J339" s="263" t="str">
        <f t="shared" si="5"/>
        <v/>
      </c>
      <c r="K339" s="264"/>
      <c r="L339" s="265"/>
      <c r="M339" s="265"/>
      <c r="N339" s="265"/>
      <c r="O339" s="265"/>
      <c r="P339" s="265"/>
      <c r="Q339" s="265"/>
      <c r="R339" s="265"/>
    </row>
    <row r="340" spans="1:18" ht="30" customHeight="1">
      <c r="A340" s="204" t="str">
        <f>IF(ISBLANK(D340)," ",259-COUNTBLANK($D$6:D340))</f>
        <v xml:space="preserve"> </v>
      </c>
      <c r="B340" s="202"/>
      <c r="C340" s="202"/>
      <c r="D340" s="202"/>
      <c r="E340" s="300"/>
      <c r="F340" s="210"/>
      <c r="G340" s="203"/>
      <c r="H340" s="203"/>
      <c r="I340" s="291"/>
      <c r="J340" s="263" t="str">
        <f t="shared" si="5"/>
        <v/>
      </c>
      <c r="K340" s="264"/>
      <c r="L340" s="265"/>
      <c r="M340" s="265"/>
      <c r="N340" s="265"/>
      <c r="O340" s="265"/>
      <c r="P340" s="265"/>
      <c r="Q340" s="265"/>
      <c r="R340" s="265"/>
    </row>
    <row r="341" spans="1:18" ht="30" customHeight="1">
      <c r="A341" s="204" t="str">
        <f>IF(ISBLANK(D341)," ",260-COUNTBLANK($D$6:D341))</f>
        <v xml:space="preserve"> </v>
      </c>
      <c r="B341" s="202"/>
      <c r="C341" s="202"/>
      <c r="D341" s="202"/>
      <c r="E341" s="300"/>
      <c r="F341" s="210"/>
      <c r="G341" s="203"/>
      <c r="H341" s="203"/>
      <c r="I341" s="291"/>
      <c r="J341" s="263" t="str">
        <f t="shared" si="5"/>
        <v/>
      </c>
      <c r="K341" s="264"/>
      <c r="L341" s="265"/>
      <c r="M341" s="265"/>
      <c r="N341" s="265"/>
      <c r="O341" s="265"/>
      <c r="P341" s="265"/>
      <c r="Q341" s="265"/>
      <c r="R341" s="265"/>
    </row>
    <row r="342" spans="1:18" ht="30" customHeight="1">
      <c r="A342" s="204" t="str">
        <f>IF(ISBLANK(D342)," ",261-COUNTBLANK($D$6:D342))</f>
        <v xml:space="preserve"> </v>
      </c>
      <c r="B342" s="202"/>
      <c r="C342" s="202"/>
      <c r="D342" s="202"/>
      <c r="E342" s="300"/>
      <c r="F342" s="210"/>
      <c r="G342" s="203"/>
      <c r="H342" s="203"/>
      <c r="I342" s="291"/>
      <c r="J342" s="263" t="str">
        <f t="shared" si="5"/>
        <v/>
      </c>
      <c r="K342" s="264"/>
      <c r="L342" s="265"/>
      <c r="M342" s="265"/>
      <c r="N342" s="265"/>
      <c r="O342" s="265"/>
      <c r="P342" s="265"/>
      <c r="Q342" s="265"/>
      <c r="R342" s="265"/>
    </row>
    <row r="343" spans="1:18" ht="30" customHeight="1">
      <c r="A343" s="204" t="str">
        <f>IF(ISBLANK(D343)," ",262-COUNTBLANK($D$6:D343))</f>
        <v xml:space="preserve"> </v>
      </c>
      <c r="B343" s="202"/>
      <c r="C343" s="202"/>
      <c r="D343" s="202"/>
      <c r="E343" s="300"/>
      <c r="F343" s="210"/>
      <c r="G343" s="203"/>
      <c r="H343" s="203"/>
      <c r="I343" s="291"/>
      <c r="J343" s="263" t="str">
        <f t="shared" si="5"/>
        <v/>
      </c>
      <c r="K343" s="264"/>
      <c r="L343" s="265"/>
      <c r="M343" s="265"/>
      <c r="N343" s="265"/>
      <c r="O343" s="265"/>
      <c r="P343" s="265"/>
      <c r="Q343" s="265"/>
      <c r="R343" s="265"/>
    </row>
    <row r="344" spans="1:18" ht="30" customHeight="1">
      <c r="A344" s="204" t="str">
        <f>IF(ISBLANK(D344)," ",263-COUNTBLANK($D$6:D344))</f>
        <v xml:space="preserve"> </v>
      </c>
      <c r="B344" s="202"/>
      <c r="C344" s="202"/>
      <c r="D344" s="202"/>
      <c r="E344" s="300"/>
      <c r="F344" s="210"/>
      <c r="G344" s="203"/>
      <c r="H344" s="203"/>
      <c r="I344" s="291"/>
      <c r="J344" s="263" t="str">
        <f t="shared" si="5"/>
        <v/>
      </c>
      <c r="K344" s="264"/>
      <c r="L344" s="265"/>
      <c r="M344" s="265"/>
      <c r="N344" s="265"/>
      <c r="O344" s="265"/>
      <c r="P344" s="265"/>
      <c r="Q344" s="265"/>
      <c r="R344" s="265"/>
    </row>
    <row r="345" spans="1:18" ht="30" customHeight="1">
      <c r="A345" s="204" t="str">
        <f>IF(ISBLANK(D345)," ",264-COUNTBLANK($D$6:D345))</f>
        <v xml:space="preserve"> </v>
      </c>
      <c r="B345" s="202"/>
      <c r="C345" s="202"/>
      <c r="D345" s="202"/>
      <c r="E345" s="300"/>
      <c r="F345" s="210"/>
      <c r="G345" s="203"/>
      <c r="H345" s="203"/>
      <c r="I345" s="291"/>
      <c r="J345" s="263" t="str">
        <f t="shared" si="5"/>
        <v/>
      </c>
      <c r="K345" s="264"/>
      <c r="L345" s="265"/>
      <c r="M345" s="265"/>
      <c r="N345" s="265"/>
      <c r="O345" s="265"/>
      <c r="P345" s="265"/>
      <c r="Q345" s="265"/>
      <c r="R345" s="265"/>
    </row>
    <row r="346" spans="1:18" ht="30" customHeight="1">
      <c r="A346" s="204" t="str">
        <f>IF(ISBLANK(D346)," ",265-COUNTBLANK($D$6:D346))</f>
        <v xml:space="preserve"> </v>
      </c>
      <c r="B346" s="202"/>
      <c r="C346" s="202"/>
      <c r="D346" s="202"/>
      <c r="E346" s="300"/>
      <c r="F346" s="210"/>
      <c r="G346" s="203"/>
      <c r="H346" s="203"/>
      <c r="I346" s="291"/>
      <c r="J346" s="263" t="str">
        <f t="shared" si="5"/>
        <v/>
      </c>
      <c r="K346" s="264"/>
      <c r="L346" s="265"/>
      <c r="M346" s="265"/>
      <c r="N346" s="265"/>
      <c r="O346" s="265"/>
      <c r="P346" s="265"/>
      <c r="Q346" s="265"/>
      <c r="R346" s="265"/>
    </row>
    <row r="347" spans="1:18" ht="30" customHeight="1">
      <c r="A347" s="204" t="str">
        <f>IF(ISBLANK(D347)," ",266-COUNTBLANK($D$6:D347))</f>
        <v xml:space="preserve"> </v>
      </c>
      <c r="B347" s="202"/>
      <c r="C347" s="202"/>
      <c r="D347" s="202"/>
      <c r="E347" s="300"/>
      <c r="F347" s="210"/>
      <c r="G347" s="203"/>
      <c r="H347" s="203"/>
      <c r="I347" s="291"/>
      <c r="J347" s="263" t="str">
        <f t="shared" si="5"/>
        <v/>
      </c>
      <c r="K347" s="264"/>
      <c r="L347" s="265"/>
      <c r="M347" s="265"/>
      <c r="N347" s="265"/>
      <c r="O347" s="265"/>
      <c r="P347" s="265"/>
      <c r="Q347" s="265"/>
      <c r="R347" s="265"/>
    </row>
    <row r="348" spans="1:18" ht="30" customHeight="1">
      <c r="A348" s="204" t="str">
        <f>IF(ISBLANK(D348)," ",267-COUNTBLANK($D$6:D348))</f>
        <v xml:space="preserve"> </v>
      </c>
      <c r="B348" s="202"/>
      <c r="C348" s="202"/>
      <c r="D348" s="202"/>
      <c r="E348" s="300"/>
      <c r="F348" s="210"/>
      <c r="G348" s="203"/>
      <c r="H348" s="203"/>
      <c r="I348" s="291"/>
      <c r="J348" s="263" t="str">
        <f t="shared" si="5"/>
        <v/>
      </c>
      <c r="K348" s="264"/>
      <c r="L348" s="265"/>
      <c r="M348" s="265"/>
      <c r="N348" s="265"/>
      <c r="O348" s="265"/>
      <c r="P348" s="265"/>
      <c r="Q348" s="265"/>
      <c r="R348" s="265"/>
    </row>
    <row r="349" spans="1:18" ht="30" customHeight="1">
      <c r="A349" s="204" t="str">
        <f>IF(ISBLANK(D349)," ",268-COUNTBLANK($D$6:D349))</f>
        <v xml:space="preserve"> </v>
      </c>
      <c r="B349" s="202"/>
      <c r="C349" s="202"/>
      <c r="D349" s="202"/>
      <c r="E349" s="300"/>
      <c r="F349" s="210"/>
      <c r="G349" s="203"/>
      <c r="H349" s="203"/>
      <c r="I349" s="291"/>
      <c r="J349" s="263" t="str">
        <f t="shared" si="5"/>
        <v/>
      </c>
      <c r="K349" s="264"/>
      <c r="L349" s="265"/>
      <c r="M349" s="265"/>
      <c r="N349" s="265"/>
      <c r="O349" s="265"/>
      <c r="P349" s="265"/>
      <c r="Q349" s="265"/>
      <c r="R349" s="265"/>
    </row>
    <row r="350" spans="1:18" ht="30" customHeight="1">
      <c r="A350" s="204" t="str">
        <f>IF(ISBLANK(D350)," ",269-COUNTBLANK($D$6:D350))</f>
        <v xml:space="preserve"> </v>
      </c>
      <c r="B350" s="202"/>
      <c r="C350" s="202"/>
      <c r="D350" s="202"/>
      <c r="E350" s="300"/>
      <c r="F350" s="210"/>
      <c r="G350" s="203"/>
      <c r="H350" s="203"/>
      <c r="I350" s="291"/>
      <c r="J350" s="263" t="str">
        <f t="shared" si="5"/>
        <v/>
      </c>
      <c r="K350" s="264"/>
      <c r="L350" s="265"/>
      <c r="M350" s="265"/>
      <c r="N350" s="265"/>
      <c r="O350" s="265"/>
      <c r="P350" s="265"/>
      <c r="Q350" s="265"/>
      <c r="R350" s="265"/>
    </row>
    <row r="351" spans="1:18" ht="30" customHeight="1">
      <c r="A351" s="204" t="str">
        <f>IF(ISBLANK(D351)," ",270-COUNTBLANK($D$6:D351))</f>
        <v xml:space="preserve"> </v>
      </c>
      <c r="B351" s="202"/>
      <c r="C351" s="202"/>
      <c r="D351" s="202"/>
      <c r="E351" s="300"/>
      <c r="F351" s="210"/>
      <c r="G351" s="203"/>
      <c r="H351" s="203"/>
      <c r="I351" s="291"/>
      <c r="J351" s="263" t="str">
        <f t="shared" si="5"/>
        <v/>
      </c>
      <c r="K351" s="266"/>
      <c r="L351" s="265"/>
      <c r="M351" s="265"/>
      <c r="N351" s="265"/>
      <c r="O351" s="265"/>
      <c r="P351" s="265"/>
      <c r="Q351" s="265"/>
      <c r="R351" s="267"/>
    </row>
    <row r="352" spans="1:18" ht="30" customHeight="1">
      <c r="A352" s="204" t="str">
        <f>IF(ISBLANK(D352)," ",271-COUNTBLANK($D$6:D352))</f>
        <v xml:space="preserve"> </v>
      </c>
      <c r="B352" s="202"/>
      <c r="C352" s="202"/>
      <c r="D352" s="202"/>
      <c r="E352" s="300"/>
      <c r="F352" s="210"/>
      <c r="G352" s="203"/>
      <c r="H352" s="203"/>
      <c r="I352" s="291"/>
      <c r="J352" s="263" t="str">
        <f t="shared" si="5"/>
        <v/>
      </c>
      <c r="K352" s="266"/>
      <c r="L352" s="265"/>
      <c r="M352" s="265"/>
      <c r="N352" s="265"/>
      <c r="O352" s="265"/>
      <c r="P352" s="265"/>
      <c r="Q352" s="265"/>
      <c r="R352" s="267"/>
    </row>
    <row r="353" spans="1:21" ht="30" customHeight="1">
      <c r="A353" s="204" t="str">
        <f>IF(ISBLANK(D353)," ",272-COUNTBLANK($D$6:D353))</f>
        <v xml:space="preserve"> </v>
      </c>
      <c r="B353" s="202"/>
      <c r="C353" s="202"/>
      <c r="D353" s="202"/>
      <c r="E353" s="300"/>
      <c r="F353" s="210"/>
      <c r="G353" s="203"/>
      <c r="H353" s="203"/>
      <c r="I353" s="291"/>
      <c r="J353" s="263" t="str">
        <f t="shared" si="5"/>
        <v/>
      </c>
      <c r="K353" s="266"/>
      <c r="L353" s="265"/>
      <c r="M353" s="265"/>
      <c r="N353" s="265"/>
      <c r="O353" s="265"/>
      <c r="P353" s="265"/>
      <c r="Q353" s="265"/>
      <c r="R353" s="267"/>
    </row>
    <row r="354" spans="1:21" ht="30" customHeight="1">
      <c r="A354" s="304" t="str">
        <f>IF(ISBLANK(D354)," ",274-COUNTBLANK($D$6:D354))</f>
        <v xml:space="preserve"> </v>
      </c>
      <c r="B354" s="296"/>
      <c r="C354" s="305"/>
      <c r="D354" s="306"/>
      <c r="E354" s="297"/>
      <c r="F354" s="298"/>
      <c r="G354" s="282"/>
      <c r="H354" s="282"/>
      <c r="I354" s="303"/>
      <c r="J354" s="263" t="str">
        <f t="shared" si="5"/>
        <v/>
      </c>
      <c r="K354" s="264"/>
      <c r="L354" s="265"/>
      <c r="M354" s="265"/>
      <c r="N354" s="265"/>
      <c r="O354" s="265"/>
      <c r="P354" s="265"/>
      <c r="Q354" s="265"/>
      <c r="R354" s="284"/>
      <c r="S354" s="265"/>
      <c r="T354" s="265"/>
      <c r="U354" s="265"/>
    </row>
    <row r="355" spans="1:21" ht="30" customHeight="1">
      <c r="A355" s="260" t="str">
        <f>IF(ISBLANK(D355)," ",275-COUNTBLANK($D$6:D355))</f>
        <v xml:space="preserve"> </v>
      </c>
      <c r="B355" s="200"/>
      <c r="C355" s="200"/>
      <c r="D355" s="200"/>
      <c r="E355" s="299"/>
      <c r="F355" s="209"/>
      <c r="G355" s="201"/>
      <c r="H355" s="201"/>
      <c r="I355" s="291"/>
      <c r="J355" s="263" t="str">
        <f t="shared" si="5"/>
        <v/>
      </c>
      <c r="K355" s="266"/>
      <c r="L355" s="265"/>
      <c r="M355" s="265"/>
      <c r="N355" s="265"/>
      <c r="O355" s="265"/>
      <c r="P355" s="265"/>
      <c r="Q355" s="265"/>
      <c r="R355" s="284"/>
      <c r="S355" s="265"/>
      <c r="T355" s="265"/>
      <c r="U355" s="265"/>
    </row>
    <row r="356" spans="1:21" ht="30" customHeight="1">
      <c r="A356" s="204" t="str">
        <f>IF(ISBLANK(D356)," ",276-COUNTBLANK($D$6:D356))</f>
        <v xml:space="preserve"> </v>
      </c>
      <c r="B356" s="202"/>
      <c r="C356" s="202"/>
      <c r="D356" s="202"/>
      <c r="E356" s="300"/>
      <c r="F356" s="210"/>
      <c r="G356" s="203"/>
      <c r="H356" s="203"/>
      <c r="I356" s="291"/>
      <c r="J356" s="263" t="str">
        <f t="shared" si="5"/>
        <v/>
      </c>
      <c r="K356" s="264"/>
      <c r="L356" s="265"/>
      <c r="M356" s="265"/>
      <c r="N356" s="265"/>
      <c r="O356" s="265"/>
      <c r="P356" s="265"/>
      <c r="Q356" s="265"/>
      <c r="R356" s="265"/>
    </row>
    <row r="357" spans="1:21" ht="30" customHeight="1">
      <c r="A357" s="204" t="str">
        <f>IF(ISBLANK(D357)," ",277-COUNTBLANK($D$6:D357))</f>
        <v xml:space="preserve"> </v>
      </c>
      <c r="B357" s="202"/>
      <c r="C357" s="202"/>
      <c r="D357" s="202"/>
      <c r="E357" s="300"/>
      <c r="F357" s="210"/>
      <c r="G357" s="203"/>
      <c r="H357" s="203"/>
      <c r="I357" s="291"/>
      <c r="J357" s="263" t="str">
        <f t="shared" si="5"/>
        <v/>
      </c>
      <c r="K357" s="264"/>
      <c r="L357" s="265"/>
      <c r="M357" s="265"/>
      <c r="N357" s="265"/>
      <c r="O357" s="265"/>
      <c r="P357" s="265"/>
      <c r="Q357" s="265"/>
      <c r="R357" s="265"/>
    </row>
    <row r="358" spans="1:21" ht="30" customHeight="1">
      <c r="A358" s="204" t="str">
        <f>IF(ISBLANK(D358)," ",278-COUNTBLANK($D$6:D358))</f>
        <v xml:space="preserve"> </v>
      </c>
      <c r="B358" s="202"/>
      <c r="C358" s="202"/>
      <c r="D358" s="202"/>
      <c r="E358" s="300"/>
      <c r="F358" s="210"/>
      <c r="G358" s="203"/>
      <c r="H358" s="203"/>
      <c r="I358" s="291"/>
      <c r="J358" s="263" t="str">
        <f t="shared" si="5"/>
        <v/>
      </c>
      <c r="K358" s="264"/>
      <c r="L358" s="265"/>
      <c r="M358" s="265"/>
      <c r="N358" s="265"/>
      <c r="O358" s="265"/>
      <c r="P358" s="265"/>
      <c r="Q358" s="265"/>
      <c r="R358" s="265"/>
    </row>
    <row r="359" spans="1:21" ht="30" customHeight="1">
      <c r="A359" s="204" t="str">
        <f>IF(ISBLANK(D359)," ",279-COUNTBLANK($D$6:D359))</f>
        <v xml:space="preserve"> </v>
      </c>
      <c r="B359" s="202"/>
      <c r="C359" s="202"/>
      <c r="D359" s="202"/>
      <c r="E359" s="300"/>
      <c r="F359" s="210"/>
      <c r="G359" s="203"/>
      <c r="H359" s="203"/>
      <c r="I359" s="291"/>
      <c r="J359" s="263" t="str">
        <f t="shared" si="5"/>
        <v/>
      </c>
      <c r="K359" s="264"/>
      <c r="L359" s="265"/>
      <c r="M359" s="265"/>
      <c r="N359" s="265"/>
      <c r="O359" s="265"/>
      <c r="P359" s="265"/>
      <c r="Q359" s="265"/>
      <c r="R359" s="265"/>
    </row>
    <row r="360" spans="1:21" ht="30" customHeight="1">
      <c r="A360" s="204" t="str">
        <f>IF(ISBLANK(D360)," ",280-COUNTBLANK($D$6:D360))</f>
        <v xml:space="preserve"> </v>
      </c>
      <c r="B360" s="202"/>
      <c r="C360" s="202"/>
      <c r="D360" s="202"/>
      <c r="E360" s="300"/>
      <c r="F360" s="210"/>
      <c r="G360" s="203"/>
      <c r="H360" s="203"/>
      <c r="I360" s="291"/>
      <c r="J360" s="263" t="str">
        <f t="shared" si="5"/>
        <v/>
      </c>
      <c r="K360" s="264"/>
      <c r="L360" s="265"/>
      <c r="M360" s="265"/>
      <c r="N360" s="265"/>
      <c r="O360" s="265"/>
      <c r="P360" s="265"/>
      <c r="Q360" s="265"/>
      <c r="R360" s="265"/>
    </row>
    <row r="361" spans="1:21" ht="30" customHeight="1">
      <c r="A361" s="204" t="str">
        <f>IF(ISBLANK(D361)," ",281-COUNTBLANK($D$6:D361))</f>
        <v xml:space="preserve"> </v>
      </c>
      <c r="B361" s="202"/>
      <c r="C361" s="202"/>
      <c r="D361" s="202"/>
      <c r="E361" s="300"/>
      <c r="F361" s="210"/>
      <c r="G361" s="203"/>
      <c r="H361" s="203"/>
      <c r="I361" s="291"/>
      <c r="J361" s="263" t="str">
        <f t="shared" si="5"/>
        <v/>
      </c>
      <c r="K361" s="264"/>
      <c r="L361" s="265"/>
      <c r="M361" s="265"/>
      <c r="N361" s="265"/>
      <c r="O361" s="265"/>
      <c r="P361" s="265"/>
      <c r="Q361" s="265"/>
      <c r="R361" s="265"/>
    </row>
    <row r="362" spans="1:21" ht="30" customHeight="1">
      <c r="A362" s="204" t="str">
        <f>IF(ISBLANK(D362)," ",282-COUNTBLANK($D$6:D362))</f>
        <v xml:space="preserve"> </v>
      </c>
      <c r="B362" s="202"/>
      <c r="C362" s="202"/>
      <c r="D362" s="202"/>
      <c r="E362" s="300"/>
      <c r="F362" s="210"/>
      <c r="G362" s="203"/>
      <c r="H362" s="203"/>
      <c r="I362" s="291"/>
      <c r="J362" s="263" t="str">
        <f t="shared" si="5"/>
        <v/>
      </c>
      <c r="K362" s="264"/>
      <c r="L362" s="265"/>
      <c r="M362" s="265"/>
      <c r="N362" s="265"/>
      <c r="O362" s="265"/>
      <c r="P362" s="265"/>
      <c r="Q362" s="265"/>
      <c r="R362" s="265"/>
    </row>
    <row r="363" spans="1:21" ht="30" customHeight="1">
      <c r="A363" s="204" t="str">
        <f>IF(ISBLANK(D363)," ",283-COUNTBLANK($D$6:D363))</f>
        <v xml:space="preserve"> </v>
      </c>
      <c r="B363" s="202"/>
      <c r="C363" s="202"/>
      <c r="D363" s="202"/>
      <c r="E363" s="300"/>
      <c r="F363" s="210"/>
      <c r="G363" s="203"/>
      <c r="H363" s="203"/>
      <c r="I363" s="291"/>
      <c r="J363" s="263" t="str">
        <f t="shared" si="5"/>
        <v/>
      </c>
      <c r="K363" s="264"/>
      <c r="L363" s="265"/>
      <c r="M363" s="265"/>
      <c r="N363" s="265"/>
      <c r="O363" s="265"/>
      <c r="P363" s="265"/>
      <c r="Q363" s="265"/>
      <c r="R363" s="265"/>
    </row>
    <row r="364" spans="1:21" ht="30" customHeight="1">
      <c r="A364" s="204" t="str">
        <f>IF(ISBLANK(D364)," ",284-COUNTBLANK($D$6:D364))</f>
        <v xml:space="preserve"> </v>
      </c>
      <c r="B364" s="202"/>
      <c r="C364" s="202"/>
      <c r="D364" s="202"/>
      <c r="E364" s="300"/>
      <c r="F364" s="210"/>
      <c r="G364" s="203"/>
      <c r="H364" s="203"/>
      <c r="I364" s="291"/>
      <c r="J364" s="263" t="str">
        <f t="shared" si="5"/>
        <v/>
      </c>
      <c r="K364" s="264"/>
      <c r="L364" s="265"/>
      <c r="M364" s="265"/>
      <c r="N364" s="265"/>
      <c r="O364" s="265"/>
      <c r="P364" s="265"/>
      <c r="Q364" s="265"/>
      <c r="R364" s="265"/>
    </row>
    <row r="365" spans="1:21" ht="30" customHeight="1">
      <c r="A365" s="204" t="str">
        <f>IF(ISBLANK(D365)," ",285-COUNTBLANK($D$6:D365))</f>
        <v xml:space="preserve"> </v>
      </c>
      <c r="B365" s="202"/>
      <c r="C365" s="202"/>
      <c r="D365" s="202"/>
      <c r="E365" s="300"/>
      <c r="F365" s="210"/>
      <c r="G365" s="203"/>
      <c r="H365" s="203"/>
      <c r="I365" s="291"/>
      <c r="J365" s="263" t="str">
        <f t="shared" si="5"/>
        <v/>
      </c>
      <c r="K365" s="264"/>
      <c r="L365" s="265"/>
      <c r="M365" s="265"/>
      <c r="N365" s="265"/>
      <c r="O365" s="265"/>
      <c r="P365" s="265"/>
      <c r="Q365" s="265"/>
      <c r="R365" s="265"/>
    </row>
    <row r="366" spans="1:21" ht="30" customHeight="1">
      <c r="A366" s="204" t="str">
        <f>IF(ISBLANK(D366)," ",286-COUNTBLANK($D$6:D366))</f>
        <v xml:space="preserve"> </v>
      </c>
      <c r="B366" s="202"/>
      <c r="C366" s="202"/>
      <c r="D366" s="202"/>
      <c r="E366" s="300"/>
      <c r="F366" s="210"/>
      <c r="G366" s="203"/>
      <c r="H366" s="203"/>
      <c r="I366" s="291"/>
      <c r="J366" s="263" t="str">
        <f t="shared" si="5"/>
        <v/>
      </c>
      <c r="K366" s="264"/>
      <c r="L366" s="265"/>
      <c r="M366" s="265"/>
      <c r="N366" s="265"/>
      <c r="O366" s="265"/>
      <c r="P366" s="265"/>
      <c r="Q366" s="265"/>
      <c r="R366" s="265"/>
    </row>
    <row r="367" spans="1:21" ht="30" customHeight="1">
      <c r="A367" s="204" t="str">
        <f>IF(ISBLANK(D367)," ",287-COUNTBLANK($D$6:D367))</f>
        <v xml:space="preserve"> </v>
      </c>
      <c r="B367" s="202"/>
      <c r="C367" s="202"/>
      <c r="D367" s="202"/>
      <c r="E367" s="300"/>
      <c r="F367" s="210"/>
      <c r="G367" s="203"/>
      <c r="H367" s="203"/>
      <c r="I367" s="291"/>
      <c r="J367" s="263" t="str">
        <f t="shared" si="5"/>
        <v/>
      </c>
      <c r="K367" s="264"/>
      <c r="L367" s="265"/>
      <c r="M367" s="265"/>
      <c r="N367" s="265"/>
      <c r="O367" s="265"/>
      <c r="P367" s="265"/>
      <c r="Q367" s="265"/>
      <c r="R367" s="265"/>
    </row>
    <row r="368" spans="1:21" ht="30" customHeight="1">
      <c r="A368" s="204" t="str">
        <f>IF(ISBLANK(D368)," ",288-COUNTBLANK($D$6:D368))</f>
        <v xml:space="preserve"> </v>
      </c>
      <c r="B368" s="202"/>
      <c r="C368" s="202"/>
      <c r="D368" s="202"/>
      <c r="E368" s="300"/>
      <c r="F368" s="210"/>
      <c r="G368" s="203"/>
      <c r="H368" s="203"/>
      <c r="I368" s="291"/>
      <c r="J368" s="263" t="str">
        <f t="shared" si="5"/>
        <v/>
      </c>
      <c r="K368" s="264"/>
      <c r="L368" s="265"/>
      <c r="M368" s="265"/>
      <c r="N368" s="265"/>
      <c r="O368" s="265"/>
      <c r="P368" s="265"/>
      <c r="Q368" s="265"/>
      <c r="R368" s="265"/>
    </row>
    <row r="369" spans="1:21" ht="30" customHeight="1">
      <c r="A369" s="204" t="str">
        <f>IF(ISBLANK(D369)," ",289-COUNTBLANK($D$6:D369))</f>
        <v xml:space="preserve"> </v>
      </c>
      <c r="B369" s="202"/>
      <c r="C369" s="202"/>
      <c r="D369" s="202"/>
      <c r="E369" s="300"/>
      <c r="F369" s="210"/>
      <c r="G369" s="203"/>
      <c r="H369" s="203"/>
      <c r="I369" s="291"/>
      <c r="J369" s="263" t="str">
        <f t="shared" si="5"/>
        <v/>
      </c>
      <c r="K369" s="264"/>
      <c r="L369" s="265"/>
      <c r="M369" s="265"/>
      <c r="N369" s="265"/>
      <c r="O369" s="265"/>
      <c r="P369" s="265"/>
      <c r="Q369" s="265"/>
      <c r="R369" s="265"/>
    </row>
    <row r="370" spans="1:21" ht="30" customHeight="1">
      <c r="A370" s="204" t="str">
        <f>IF(ISBLANK(D370)," ",290-COUNTBLANK($D$6:D370))</f>
        <v xml:space="preserve"> </v>
      </c>
      <c r="B370" s="202"/>
      <c r="C370" s="202"/>
      <c r="D370" s="202"/>
      <c r="E370" s="300"/>
      <c r="F370" s="210"/>
      <c r="G370" s="203"/>
      <c r="H370" s="203"/>
      <c r="I370" s="291"/>
      <c r="J370" s="263" t="str">
        <f t="shared" si="5"/>
        <v/>
      </c>
      <c r="K370" s="264"/>
      <c r="L370" s="265"/>
      <c r="M370" s="265"/>
      <c r="N370" s="265"/>
      <c r="O370" s="265"/>
      <c r="P370" s="265"/>
      <c r="Q370" s="265"/>
      <c r="R370" s="265"/>
    </row>
    <row r="371" spans="1:21" ht="30" customHeight="1">
      <c r="A371" s="204" t="str">
        <f>IF(ISBLANK(D371)," ",291-COUNTBLANK($D$6:D371))</f>
        <v xml:space="preserve"> </v>
      </c>
      <c r="B371" s="202"/>
      <c r="C371" s="202"/>
      <c r="D371" s="202"/>
      <c r="E371" s="300"/>
      <c r="F371" s="210"/>
      <c r="G371" s="203"/>
      <c r="H371" s="203"/>
      <c r="I371" s="291"/>
      <c r="J371" s="263" t="str">
        <f t="shared" si="5"/>
        <v/>
      </c>
      <c r="K371" s="266"/>
      <c r="L371" s="265"/>
      <c r="M371" s="265"/>
      <c r="N371" s="265"/>
      <c r="O371" s="265"/>
      <c r="P371" s="265"/>
      <c r="Q371" s="265"/>
      <c r="R371" s="267"/>
    </row>
    <row r="372" spans="1:21" ht="30" customHeight="1">
      <c r="A372" s="204" t="str">
        <f>IF(ISBLANK(D372)," ",292-COUNTBLANK($D$6:D372))</f>
        <v xml:space="preserve"> </v>
      </c>
      <c r="B372" s="202"/>
      <c r="C372" s="202"/>
      <c r="D372" s="202"/>
      <c r="E372" s="300"/>
      <c r="F372" s="210"/>
      <c r="G372" s="203"/>
      <c r="H372" s="203"/>
      <c r="I372" s="291"/>
      <c r="J372" s="263" t="str">
        <f t="shared" si="5"/>
        <v/>
      </c>
      <c r="K372" s="266"/>
      <c r="L372" s="265"/>
      <c r="M372" s="265"/>
      <c r="N372" s="265"/>
      <c r="O372" s="265"/>
      <c r="P372" s="265"/>
      <c r="Q372" s="265"/>
      <c r="R372" s="267"/>
    </row>
    <row r="373" spans="1:21" ht="30" customHeight="1">
      <c r="A373" s="204" t="str">
        <f>IF(ISBLANK(D373)," ",293-COUNTBLANK($D$6:D373))</f>
        <v xml:space="preserve"> </v>
      </c>
      <c r="B373" s="202"/>
      <c r="C373" s="202"/>
      <c r="D373" s="202"/>
      <c r="E373" s="300"/>
      <c r="F373" s="210"/>
      <c r="G373" s="203"/>
      <c r="H373" s="203"/>
      <c r="I373" s="291"/>
      <c r="J373" s="263" t="str">
        <f t="shared" si="5"/>
        <v/>
      </c>
      <c r="K373" s="266"/>
      <c r="L373" s="265"/>
      <c r="M373" s="265"/>
      <c r="N373" s="265"/>
      <c r="O373" s="265"/>
      <c r="P373" s="265"/>
      <c r="Q373" s="265"/>
      <c r="R373" s="267"/>
    </row>
    <row r="374" spans="1:21" ht="30" customHeight="1">
      <c r="A374" s="304" t="str">
        <f>IF(ISBLANK(D374)," ",295-COUNTBLANK($D$6:D374))</f>
        <v xml:space="preserve"> </v>
      </c>
      <c r="B374" s="296"/>
      <c r="C374" s="305"/>
      <c r="D374" s="306"/>
      <c r="E374" s="297"/>
      <c r="F374" s="298"/>
      <c r="G374" s="282"/>
      <c r="H374" s="282"/>
      <c r="I374" s="303"/>
      <c r="J374" s="263" t="str">
        <f t="shared" si="5"/>
        <v/>
      </c>
      <c r="K374" s="264"/>
      <c r="L374" s="265"/>
      <c r="M374" s="265"/>
      <c r="N374" s="265"/>
      <c r="O374" s="265"/>
      <c r="P374" s="265"/>
      <c r="Q374" s="265"/>
      <c r="R374" s="284"/>
      <c r="S374" s="265"/>
      <c r="T374" s="265"/>
      <c r="U374" s="265"/>
    </row>
    <row r="375" spans="1:21" ht="30" customHeight="1">
      <c r="A375" s="260" t="str">
        <f>IF(ISBLANK(D375)," ",296-COUNTBLANK($D$6:D375))</f>
        <v xml:space="preserve"> </v>
      </c>
      <c r="B375" s="200"/>
      <c r="C375" s="200"/>
      <c r="D375" s="200"/>
      <c r="E375" s="299"/>
      <c r="F375" s="209"/>
      <c r="G375" s="201"/>
      <c r="H375" s="201"/>
      <c r="I375" s="291"/>
      <c r="J375" s="263" t="str">
        <f t="shared" ref="J375:J438" si="6">CONCATENATE(D375,G375)</f>
        <v/>
      </c>
      <c r="K375" s="266"/>
      <c r="L375" s="265"/>
      <c r="M375" s="265"/>
      <c r="N375" s="265"/>
      <c r="O375" s="265"/>
      <c r="P375" s="265"/>
      <c r="Q375" s="265"/>
      <c r="R375" s="284"/>
      <c r="S375" s="265"/>
      <c r="T375" s="265"/>
      <c r="U375" s="265"/>
    </row>
    <row r="376" spans="1:21" ht="30" customHeight="1">
      <c r="A376" s="204" t="str">
        <f>IF(ISBLANK(D376)," ",297-COUNTBLANK($D$6:D376))</f>
        <v xml:space="preserve"> </v>
      </c>
      <c r="B376" s="202"/>
      <c r="C376" s="202"/>
      <c r="D376" s="202"/>
      <c r="E376" s="300"/>
      <c r="F376" s="210"/>
      <c r="G376" s="203"/>
      <c r="H376" s="203"/>
      <c r="I376" s="291"/>
      <c r="J376" s="263" t="str">
        <f t="shared" si="6"/>
        <v/>
      </c>
      <c r="K376" s="264"/>
      <c r="L376" s="265"/>
      <c r="M376" s="265"/>
      <c r="N376" s="265"/>
      <c r="O376" s="265"/>
      <c r="P376" s="265"/>
      <c r="Q376" s="265"/>
      <c r="R376" s="265"/>
    </row>
    <row r="377" spans="1:21" ht="30" customHeight="1">
      <c r="A377" s="204" t="str">
        <f>IF(ISBLANK(D377)," ",298-COUNTBLANK($D$6:D377))</f>
        <v xml:space="preserve"> </v>
      </c>
      <c r="B377" s="202"/>
      <c r="C377" s="202"/>
      <c r="D377" s="202"/>
      <c r="E377" s="300"/>
      <c r="F377" s="210"/>
      <c r="G377" s="203"/>
      <c r="H377" s="203"/>
      <c r="I377" s="291"/>
      <c r="J377" s="263" t="str">
        <f t="shared" si="6"/>
        <v/>
      </c>
      <c r="K377" s="264"/>
      <c r="L377" s="265"/>
      <c r="M377" s="265"/>
      <c r="N377" s="265"/>
      <c r="O377" s="265"/>
      <c r="P377" s="265"/>
      <c r="Q377" s="265"/>
      <c r="R377" s="265"/>
    </row>
    <row r="378" spans="1:21" ht="30" customHeight="1">
      <c r="A378" s="204" t="str">
        <f>IF(ISBLANK(D378)," ",299-COUNTBLANK($D$6:D378))</f>
        <v xml:space="preserve"> </v>
      </c>
      <c r="B378" s="202"/>
      <c r="C378" s="202"/>
      <c r="D378" s="202"/>
      <c r="E378" s="300"/>
      <c r="F378" s="210"/>
      <c r="G378" s="203"/>
      <c r="H378" s="203"/>
      <c r="I378" s="291"/>
      <c r="J378" s="263" t="str">
        <f t="shared" si="6"/>
        <v/>
      </c>
      <c r="K378" s="264"/>
      <c r="L378" s="265"/>
      <c r="M378" s="265"/>
      <c r="N378" s="265"/>
      <c r="O378" s="265"/>
      <c r="P378" s="265"/>
      <c r="Q378" s="265"/>
      <c r="R378" s="265"/>
    </row>
    <row r="379" spans="1:21" ht="30" customHeight="1">
      <c r="A379" s="204" t="str">
        <f>IF(ISBLANK(D379)," ",300-COUNTBLANK($D$6:D379))</f>
        <v xml:space="preserve"> </v>
      </c>
      <c r="B379" s="202"/>
      <c r="C379" s="202"/>
      <c r="D379" s="202"/>
      <c r="E379" s="300"/>
      <c r="F379" s="210"/>
      <c r="G379" s="203"/>
      <c r="H379" s="203"/>
      <c r="I379" s="291"/>
      <c r="J379" s="263" t="str">
        <f t="shared" si="6"/>
        <v/>
      </c>
      <c r="K379" s="264"/>
      <c r="L379" s="265"/>
      <c r="M379" s="265"/>
      <c r="N379" s="265"/>
      <c r="O379" s="265"/>
      <c r="P379" s="265"/>
      <c r="Q379" s="265"/>
      <c r="R379" s="265"/>
    </row>
    <row r="380" spans="1:21" ht="30" customHeight="1">
      <c r="A380" s="204" t="str">
        <f>IF(ISBLANK(D380)," ",301-COUNTBLANK($D$6:D380))</f>
        <v xml:space="preserve"> </v>
      </c>
      <c r="B380" s="202"/>
      <c r="C380" s="202"/>
      <c r="D380" s="202"/>
      <c r="E380" s="300"/>
      <c r="F380" s="210"/>
      <c r="G380" s="203"/>
      <c r="H380" s="203"/>
      <c r="I380" s="291"/>
      <c r="J380" s="263" t="str">
        <f t="shared" si="6"/>
        <v/>
      </c>
      <c r="K380" s="264"/>
      <c r="L380" s="265"/>
      <c r="M380" s="265"/>
      <c r="N380" s="265"/>
      <c r="O380" s="265"/>
      <c r="P380" s="265"/>
      <c r="Q380" s="265"/>
      <c r="R380" s="265"/>
    </row>
    <row r="381" spans="1:21" ht="30" customHeight="1">
      <c r="A381" s="204" t="str">
        <f>IF(ISBLANK(D381)," ",302-COUNTBLANK($D$6:D381))</f>
        <v xml:space="preserve"> </v>
      </c>
      <c r="B381" s="202"/>
      <c r="C381" s="202"/>
      <c r="D381" s="202"/>
      <c r="E381" s="300"/>
      <c r="F381" s="210"/>
      <c r="G381" s="203"/>
      <c r="H381" s="203"/>
      <c r="I381" s="291"/>
      <c r="J381" s="263" t="str">
        <f t="shared" si="6"/>
        <v/>
      </c>
      <c r="K381" s="264"/>
      <c r="L381" s="265"/>
      <c r="M381" s="265"/>
      <c r="N381" s="265"/>
      <c r="O381" s="265"/>
      <c r="P381" s="265"/>
      <c r="Q381" s="265"/>
      <c r="R381" s="265"/>
    </row>
    <row r="382" spans="1:21" ht="30" customHeight="1">
      <c r="A382" s="204" t="str">
        <f>IF(ISBLANK(D382)," ",303-COUNTBLANK($D$6:D382))</f>
        <v xml:space="preserve"> </v>
      </c>
      <c r="B382" s="202"/>
      <c r="C382" s="202"/>
      <c r="D382" s="202"/>
      <c r="E382" s="300"/>
      <c r="F382" s="210"/>
      <c r="G382" s="203"/>
      <c r="H382" s="203"/>
      <c r="I382" s="291"/>
      <c r="J382" s="263" t="str">
        <f t="shared" si="6"/>
        <v/>
      </c>
      <c r="K382" s="264"/>
      <c r="L382" s="265"/>
      <c r="M382" s="265"/>
      <c r="N382" s="265"/>
      <c r="O382" s="265"/>
      <c r="P382" s="265"/>
      <c r="Q382" s="265"/>
      <c r="R382" s="265"/>
    </row>
    <row r="383" spans="1:21" ht="30" customHeight="1">
      <c r="A383" s="204" t="str">
        <f>IF(ISBLANK(D383)," ",304-COUNTBLANK($D$6:D383))</f>
        <v xml:space="preserve"> </v>
      </c>
      <c r="B383" s="202"/>
      <c r="C383" s="202"/>
      <c r="D383" s="202"/>
      <c r="E383" s="300"/>
      <c r="F383" s="210"/>
      <c r="G383" s="203"/>
      <c r="H383" s="203"/>
      <c r="I383" s="291"/>
      <c r="J383" s="263" t="str">
        <f t="shared" si="6"/>
        <v/>
      </c>
      <c r="K383" s="264"/>
      <c r="L383" s="265"/>
      <c r="M383" s="265"/>
      <c r="N383" s="265"/>
      <c r="O383" s="265"/>
      <c r="P383" s="265"/>
      <c r="Q383" s="265"/>
      <c r="R383" s="265"/>
    </row>
    <row r="384" spans="1:21" ht="30" customHeight="1">
      <c r="A384" s="204" t="str">
        <f>IF(ISBLANK(D384)," ",305-COUNTBLANK($D$6:D384))</f>
        <v xml:space="preserve"> </v>
      </c>
      <c r="B384" s="202"/>
      <c r="C384" s="202"/>
      <c r="D384" s="202"/>
      <c r="E384" s="300"/>
      <c r="F384" s="210"/>
      <c r="G384" s="203"/>
      <c r="H384" s="203"/>
      <c r="I384" s="291"/>
      <c r="J384" s="263" t="str">
        <f t="shared" si="6"/>
        <v/>
      </c>
      <c r="K384" s="264"/>
      <c r="L384" s="265"/>
      <c r="M384" s="265"/>
      <c r="N384" s="265"/>
      <c r="O384" s="265"/>
      <c r="P384" s="265"/>
      <c r="Q384" s="265"/>
      <c r="R384" s="265"/>
    </row>
    <row r="385" spans="1:21" ht="30" customHeight="1">
      <c r="A385" s="204" t="str">
        <f>IF(ISBLANK(D385)," ",306-COUNTBLANK($D$6:D385))</f>
        <v xml:space="preserve"> </v>
      </c>
      <c r="B385" s="202"/>
      <c r="C385" s="202"/>
      <c r="D385" s="202"/>
      <c r="E385" s="300"/>
      <c r="F385" s="210"/>
      <c r="G385" s="203"/>
      <c r="H385" s="203"/>
      <c r="I385" s="291"/>
      <c r="J385" s="263" t="str">
        <f t="shared" si="6"/>
        <v/>
      </c>
      <c r="K385" s="264"/>
      <c r="L385" s="265"/>
      <c r="M385" s="265"/>
      <c r="N385" s="265"/>
      <c r="O385" s="265"/>
      <c r="P385" s="265"/>
      <c r="Q385" s="265"/>
      <c r="R385" s="265"/>
    </row>
    <row r="386" spans="1:21" ht="30" customHeight="1">
      <c r="A386" s="204" t="str">
        <f>IF(ISBLANK(D386)," ",307-COUNTBLANK($D$6:D386))</f>
        <v xml:space="preserve"> </v>
      </c>
      <c r="B386" s="202"/>
      <c r="C386" s="202"/>
      <c r="D386" s="202"/>
      <c r="E386" s="300"/>
      <c r="F386" s="210"/>
      <c r="G386" s="203"/>
      <c r="H386" s="203"/>
      <c r="I386" s="291"/>
      <c r="J386" s="263" t="str">
        <f t="shared" si="6"/>
        <v/>
      </c>
      <c r="K386" s="264"/>
      <c r="L386" s="265"/>
      <c r="M386" s="265"/>
      <c r="N386" s="265"/>
      <c r="O386" s="265"/>
      <c r="P386" s="265"/>
      <c r="Q386" s="265"/>
      <c r="R386" s="265"/>
    </row>
    <row r="387" spans="1:21" ht="30" customHeight="1">
      <c r="A387" s="204" t="str">
        <f>IF(ISBLANK(D387)," ",308-COUNTBLANK($D$6:D387))</f>
        <v xml:space="preserve"> </v>
      </c>
      <c r="B387" s="202"/>
      <c r="C387" s="202"/>
      <c r="D387" s="202"/>
      <c r="E387" s="300"/>
      <c r="F387" s="210"/>
      <c r="G387" s="203"/>
      <c r="H387" s="203"/>
      <c r="I387" s="291"/>
      <c r="J387" s="263" t="str">
        <f t="shared" si="6"/>
        <v/>
      </c>
      <c r="K387" s="264"/>
      <c r="L387" s="265"/>
      <c r="M387" s="265"/>
      <c r="N387" s="265"/>
      <c r="O387" s="265"/>
      <c r="P387" s="265"/>
      <c r="Q387" s="265"/>
      <c r="R387" s="265"/>
    </row>
    <row r="388" spans="1:21" ht="30" customHeight="1">
      <c r="A388" s="204" t="str">
        <f>IF(ISBLANK(D388)," ",309-COUNTBLANK($D$6:D388))</f>
        <v xml:space="preserve"> </v>
      </c>
      <c r="B388" s="202"/>
      <c r="C388" s="202"/>
      <c r="D388" s="202"/>
      <c r="E388" s="300"/>
      <c r="F388" s="210"/>
      <c r="G388" s="203"/>
      <c r="H388" s="203"/>
      <c r="I388" s="291"/>
      <c r="J388" s="263" t="str">
        <f t="shared" si="6"/>
        <v/>
      </c>
      <c r="K388" s="264"/>
      <c r="L388" s="265"/>
      <c r="M388" s="265"/>
      <c r="N388" s="265"/>
      <c r="O388" s="265"/>
      <c r="P388" s="265"/>
      <c r="Q388" s="265"/>
      <c r="R388" s="265"/>
    </row>
    <row r="389" spans="1:21" ht="30" customHeight="1">
      <c r="A389" s="204" t="str">
        <f>IF(ISBLANK(D389)," ",310-COUNTBLANK($D$6:D389))</f>
        <v xml:space="preserve"> </v>
      </c>
      <c r="B389" s="202"/>
      <c r="C389" s="202"/>
      <c r="D389" s="202"/>
      <c r="E389" s="300"/>
      <c r="F389" s="210"/>
      <c r="G389" s="203"/>
      <c r="H389" s="203"/>
      <c r="I389" s="291"/>
      <c r="J389" s="263" t="str">
        <f t="shared" si="6"/>
        <v/>
      </c>
      <c r="K389" s="264"/>
      <c r="L389" s="265"/>
      <c r="M389" s="265"/>
      <c r="N389" s="265"/>
      <c r="O389" s="265"/>
      <c r="P389" s="265"/>
      <c r="Q389" s="265"/>
      <c r="R389" s="265"/>
    </row>
    <row r="390" spans="1:21" ht="30" customHeight="1">
      <c r="A390" s="204" t="str">
        <f>IF(ISBLANK(D390)," ",311-COUNTBLANK($D$6:D390))</f>
        <v xml:space="preserve"> </v>
      </c>
      <c r="B390" s="202"/>
      <c r="C390" s="202"/>
      <c r="D390" s="202"/>
      <c r="E390" s="300"/>
      <c r="F390" s="210"/>
      <c r="G390" s="203"/>
      <c r="H390" s="203"/>
      <c r="I390" s="291"/>
      <c r="J390" s="263" t="str">
        <f t="shared" si="6"/>
        <v/>
      </c>
      <c r="K390" s="264"/>
      <c r="L390" s="265"/>
      <c r="M390" s="265"/>
      <c r="N390" s="265"/>
      <c r="O390" s="265"/>
      <c r="P390" s="265"/>
      <c r="Q390" s="265"/>
      <c r="R390" s="265"/>
    </row>
    <row r="391" spans="1:21" ht="30" customHeight="1">
      <c r="A391" s="204" t="str">
        <f>IF(ISBLANK(D391)," ",312-COUNTBLANK($D$6:D391))</f>
        <v xml:space="preserve"> </v>
      </c>
      <c r="B391" s="202"/>
      <c r="C391" s="202"/>
      <c r="D391" s="202"/>
      <c r="E391" s="300"/>
      <c r="F391" s="210"/>
      <c r="G391" s="203"/>
      <c r="H391" s="203"/>
      <c r="I391" s="291"/>
      <c r="J391" s="263" t="str">
        <f t="shared" si="6"/>
        <v/>
      </c>
      <c r="K391" s="266"/>
      <c r="L391" s="265"/>
      <c r="M391" s="265"/>
      <c r="N391" s="265"/>
      <c r="O391" s="265"/>
      <c r="P391" s="265"/>
      <c r="Q391" s="265"/>
      <c r="R391" s="267"/>
    </row>
    <row r="392" spans="1:21" ht="30" customHeight="1">
      <c r="A392" s="204" t="str">
        <f>IF(ISBLANK(D392)," ",313-COUNTBLANK($D$6:D392))</f>
        <v xml:space="preserve"> </v>
      </c>
      <c r="B392" s="202"/>
      <c r="C392" s="202"/>
      <c r="D392" s="202"/>
      <c r="E392" s="300"/>
      <c r="F392" s="210"/>
      <c r="G392" s="203"/>
      <c r="H392" s="203"/>
      <c r="I392" s="291"/>
      <c r="J392" s="263" t="str">
        <f t="shared" si="6"/>
        <v/>
      </c>
      <c r="K392" s="266"/>
      <c r="L392" s="265"/>
      <c r="M392" s="265"/>
      <c r="N392" s="265"/>
      <c r="O392" s="265"/>
      <c r="P392" s="265"/>
      <c r="Q392" s="265"/>
      <c r="R392" s="267"/>
    </row>
    <row r="393" spans="1:21" ht="30" customHeight="1">
      <c r="A393" s="204" t="str">
        <f>IF(ISBLANK(D393)," ",314-COUNTBLANK($D$6:D393))</f>
        <v xml:space="preserve"> </v>
      </c>
      <c r="B393" s="202"/>
      <c r="C393" s="202"/>
      <c r="D393" s="202"/>
      <c r="E393" s="300"/>
      <c r="F393" s="210"/>
      <c r="G393" s="203"/>
      <c r="H393" s="203"/>
      <c r="I393" s="291"/>
      <c r="J393" s="263" t="str">
        <f t="shared" si="6"/>
        <v/>
      </c>
      <c r="K393" s="266"/>
      <c r="L393" s="265"/>
      <c r="M393" s="265"/>
      <c r="N393" s="265"/>
      <c r="O393" s="265"/>
      <c r="P393" s="265"/>
      <c r="Q393" s="265"/>
      <c r="R393" s="267"/>
    </row>
    <row r="394" spans="1:21" ht="30" customHeight="1">
      <c r="A394" s="304" t="str">
        <f>IF(ISBLANK(D394)," ",316-COUNTBLANK($D$6:D394))</f>
        <v xml:space="preserve"> </v>
      </c>
      <c r="B394" s="296"/>
      <c r="C394" s="305"/>
      <c r="D394" s="306"/>
      <c r="E394" s="297"/>
      <c r="F394" s="298"/>
      <c r="G394" s="282"/>
      <c r="H394" s="282"/>
      <c r="I394" s="303"/>
      <c r="J394" s="263" t="str">
        <f t="shared" si="6"/>
        <v/>
      </c>
      <c r="K394" s="264"/>
      <c r="L394" s="265"/>
      <c r="M394" s="265"/>
      <c r="N394" s="265"/>
      <c r="O394" s="265"/>
      <c r="P394" s="265"/>
      <c r="Q394" s="265"/>
      <c r="R394" s="284"/>
      <c r="S394" s="265"/>
      <c r="T394" s="265"/>
      <c r="U394" s="265"/>
    </row>
    <row r="395" spans="1:21" ht="30" customHeight="1">
      <c r="A395" s="260" t="str">
        <f>IF(ISBLANK(D395)," ",317-COUNTBLANK($D$6:D395))</f>
        <v xml:space="preserve"> </v>
      </c>
      <c r="B395" s="200"/>
      <c r="C395" s="200"/>
      <c r="D395" s="200"/>
      <c r="E395" s="299"/>
      <c r="F395" s="209"/>
      <c r="G395" s="201"/>
      <c r="H395" s="201"/>
      <c r="I395" s="291"/>
      <c r="J395" s="263" t="str">
        <f t="shared" si="6"/>
        <v/>
      </c>
      <c r="K395" s="266"/>
      <c r="L395" s="265"/>
      <c r="M395" s="265"/>
      <c r="N395" s="265"/>
      <c r="O395" s="265"/>
      <c r="P395" s="265"/>
      <c r="Q395" s="265"/>
      <c r="R395" s="284"/>
      <c r="S395" s="265"/>
      <c r="T395" s="265"/>
      <c r="U395" s="265"/>
    </row>
    <row r="396" spans="1:21" ht="30" customHeight="1">
      <c r="A396" s="204" t="str">
        <f>IF(ISBLANK(D396)," ",318-COUNTBLANK($D$6:D396))</f>
        <v xml:space="preserve"> </v>
      </c>
      <c r="B396" s="202"/>
      <c r="C396" s="202"/>
      <c r="D396" s="202"/>
      <c r="E396" s="300"/>
      <c r="F396" s="210"/>
      <c r="G396" s="203"/>
      <c r="H396" s="203"/>
      <c r="I396" s="291"/>
      <c r="J396" s="263" t="str">
        <f t="shared" si="6"/>
        <v/>
      </c>
      <c r="K396" s="264"/>
      <c r="L396" s="265"/>
      <c r="M396" s="265"/>
      <c r="N396" s="265"/>
      <c r="O396" s="265"/>
      <c r="P396" s="265"/>
      <c r="Q396" s="265"/>
      <c r="R396" s="265"/>
    </row>
    <row r="397" spans="1:21" ht="30" customHeight="1">
      <c r="A397" s="204" t="str">
        <f>IF(ISBLANK(D397)," ",319-COUNTBLANK($D$6:D397))</f>
        <v xml:space="preserve"> </v>
      </c>
      <c r="B397" s="202"/>
      <c r="C397" s="202"/>
      <c r="D397" s="202"/>
      <c r="E397" s="300"/>
      <c r="F397" s="210"/>
      <c r="G397" s="203"/>
      <c r="H397" s="203"/>
      <c r="I397" s="291"/>
      <c r="J397" s="263" t="str">
        <f t="shared" si="6"/>
        <v/>
      </c>
      <c r="K397" s="264"/>
      <c r="L397" s="265"/>
      <c r="M397" s="265"/>
      <c r="N397" s="265"/>
      <c r="O397" s="265"/>
      <c r="P397" s="265"/>
      <c r="Q397" s="265"/>
      <c r="R397" s="265"/>
    </row>
    <row r="398" spans="1:21" ht="30" customHeight="1">
      <c r="A398" s="204" t="str">
        <f>IF(ISBLANK(D398)," ",320-COUNTBLANK($D$6:D398))</f>
        <v xml:space="preserve"> </v>
      </c>
      <c r="B398" s="202"/>
      <c r="C398" s="202"/>
      <c r="D398" s="202"/>
      <c r="E398" s="300"/>
      <c r="F398" s="210"/>
      <c r="G398" s="203"/>
      <c r="H398" s="203"/>
      <c r="I398" s="291"/>
      <c r="J398" s="263" t="str">
        <f t="shared" si="6"/>
        <v/>
      </c>
      <c r="K398" s="264"/>
      <c r="L398" s="265"/>
      <c r="M398" s="265"/>
      <c r="N398" s="265"/>
      <c r="O398" s="265"/>
      <c r="P398" s="265"/>
      <c r="Q398" s="265"/>
      <c r="R398" s="265"/>
    </row>
    <row r="399" spans="1:21" ht="30" customHeight="1">
      <c r="A399" s="204" t="str">
        <f>IF(ISBLANK(D399)," ",321-COUNTBLANK($D$6:D399))</f>
        <v xml:space="preserve"> </v>
      </c>
      <c r="B399" s="202"/>
      <c r="C399" s="202"/>
      <c r="D399" s="202"/>
      <c r="E399" s="300"/>
      <c r="F399" s="210"/>
      <c r="G399" s="203"/>
      <c r="H399" s="203"/>
      <c r="I399" s="291"/>
      <c r="J399" s="263" t="str">
        <f t="shared" si="6"/>
        <v/>
      </c>
      <c r="K399" s="264"/>
      <c r="L399" s="265"/>
      <c r="M399" s="265"/>
      <c r="N399" s="265"/>
      <c r="O399" s="265"/>
      <c r="P399" s="265"/>
      <c r="Q399" s="265"/>
      <c r="R399" s="265"/>
    </row>
    <row r="400" spans="1:21" ht="30" customHeight="1">
      <c r="A400" s="204" t="str">
        <f>IF(ISBLANK(D400)," ",322-COUNTBLANK($D$6:D400))</f>
        <v xml:space="preserve"> </v>
      </c>
      <c r="B400" s="202"/>
      <c r="C400" s="202"/>
      <c r="D400" s="202"/>
      <c r="E400" s="300"/>
      <c r="F400" s="210"/>
      <c r="G400" s="203"/>
      <c r="H400" s="203"/>
      <c r="I400" s="291"/>
      <c r="J400" s="263" t="str">
        <f t="shared" si="6"/>
        <v/>
      </c>
      <c r="K400" s="264"/>
      <c r="L400" s="265"/>
      <c r="M400" s="265"/>
      <c r="N400" s="265"/>
      <c r="O400" s="265"/>
      <c r="P400" s="265"/>
      <c r="Q400" s="265"/>
      <c r="R400" s="265"/>
    </row>
    <row r="401" spans="1:21" ht="30" customHeight="1">
      <c r="A401" s="204" t="str">
        <f>IF(ISBLANK(D401)," ",323-COUNTBLANK($D$6:D401))</f>
        <v xml:space="preserve"> </v>
      </c>
      <c r="B401" s="202"/>
      <c r="C401" s="202"/>
      <c r="D401" s="202"/>
      <c r="E401" s="300"/>
      <c r="F401" s="210"/>
      <c r="G401" s="203"/>
      <c r="H401" s="203"/>
      <c r="I401" s="291"/>
      <c r="J401" s="263" t="str">
        <f t="shared" si="6"/>
        <v/>
      </c>
      <c r="K401" s="264"/>
      <c r="L401" s="265"/>
      <c r="M401" s="265"/>
      <c r="N401" s="265"/>
      <c r="O401" s="265"/>
      <c r="P401" s="265"/>
      <c r="Q401" s="265"/>
      <c r="R401" s="265"/>
    </row>
    <row r="402" spans="1:21" ht="30" customHeight="1">
      <c r="A402" s="204" t="str">
        <f>IF(ISBLANK(D402)," ",324-COUNTBLANK($D$6:D402))</f>
        <v xml:space="preserve"> </v>
      </c>
      <c r="B402" s="202"/>
      <c r="C402" s="202"/>
      <c r="D402" s="202"/>
      <c r="E402" s="300"/>
      <c r="F402" s="210"/>
      <c r="G402" s="203"/>
      <c r="H402" s="203"/>
      <c r="I402" s="291"/>
      <c r="J402" s="263" t="str">
        <f t="shared" si="6"/>
        <v/>
      </c>
      <c r="K402" s="264"/>
      <c r="L402" s="265"/>
      <c r="M402" s="265"/>
      <c r="N402" s="265"/>
      <c r="O402" s="265"/>
      <c r="P402" s="265"/>
      <c r="Q402" s="265"/>
      <c r="R402" s="265"/>
    </row>
    <row r="403" spans="1:21" ht="30" customHeight="1">
      <c r="A403" s="204" t="str">
        <f>IF(ISBLANK(D403)," ",325-COUNTBLANK($D$6:D403))</f>
        <v xml:space="preserve"> </v>
      </c>
      <c r="B403" s="202"/>
      <c r="C403" s="202"/>
      <c r="D403" s="202"/>
      <c r="E403" s="300"/>
      <c r="F403" s="210"/>
      <c r="G403" s="203"/>
      <c r="H403" s="203"/>
      <c r="I403" s="291"/>
      <c r="J403" s="263" t="str">
        <f t="shared" si="6"/>
        <v/>
      </c>
      <c r="K403" s="264"/>
      <c r="L403" s="265"/>
      <c r="M403" s="265"/>
      <c r="N403" s="265"/>
      <c r="O403" s="265"/>
      <c r="P403" s="265"/>
      <c r="Q403" s="265"/>
      <c r="R403" s="265"/>
    </row>
    <row r="404" spans="1:21" ht="30" customHeight="1">
      <c r="A404" s="204" t="str">
        <f>IF(ISBLANK(D404)," ",326-COUNTBLANK($D$6:D404))</f>
        <v xml:space="preserve"> </v>
      </c>
      <c r="B404" s="202"/>
      <c r="C404" s="202"/>
      <c r="D404" s="202"/>
      <c r="E404" s="300"/>
      <c r="F404" s="210"/>
      <c r="G404" s="203"/>
      <c r="H404" s="203"/>
      <c r="I404" s="291"/>
      <c r="J404" s="263" t="str">
        <f t="shared" si="6"/>
        <v/>
      </c>
      <c r="K404" s="264"/>
      <c r="L404" s="265"/>
      <c r="M404" s="265"/>
      <c r="N404" s="265"/>
      <c r="O404" s="265"/>
      <c r="P404" s="265"/>
      <c r="Q404" s="265"/>
      <c r="R404" s="265"/>
    </row>
    <row r="405" spans="1:21" ht="30" customHeight="1">
      <c r="A405" s="204" t="str">
        <f>IF(ISBLANK(D405)," ",327-COUNTBLANK($D$6:D405))</f>
        <v xml:space="preserve"> </v>
      </c>
      <c r="B405" s="202"/>
      <c r="C405" s="202"/>
      <c r="D405" s="202"/>
      <c r="E405" s="300"/>
      <c r="F405" s="210"/>
      <c r="G405" s="203"/>
      <c r="H405" s="203"/>
      <c r="I405" s="291"/>
      <c r="J405" s="263" t="str">
        <f t="shared" si="6"/>
        <v/>
      </c>
      <c r="K405" s="264"/>
      <c r="L405" s="265"/>
      <c r="M405" s="265"/>
      <c r="N405" s="265"/>
      <c r="O405" s="265"/>
      <c r="P405" s="265"/>
      <c r="Q405" s="265"/>
      <c r="R405" s="265"/>
    </row>
    <row r="406" spans="1:21" ht="30" customHeight="1">
      <c r="A406" s="204" t="str">
        <f>IF(ISBLANK(D406)," ",328-COUNTBLANK($D$6:D406))</f>
        <v xml:space="preserve"> </v>
      </c>
      <c r="B406" s="202"/>
      <c r="C406" s="202"/>
      <c r="D406" s="202"/>
      <c r="E406" s="300"/>
      <c r="F406" s="210"/>
      <c r="G406" s="203"/>
      <c r="H406" s="203"/>
      <c r="I406" s="291"/>
      <c r="J406" s="263" t="str">
        <f t="shared" si="6"/>
        <v/>
      </c>
      <c r="K406" s="264"/>
      <c r="L406" s="265"/>
      <c r="M406" s="265"/>
      <c r="N406" s="265"/>
      <c r="O406" s="265"/>
      <c r="P406" s="265"/>
      <c r="Q406" s="265"/>
      <c r="R406" s="265"/>
    </row>
    <row r="407" spans="1:21" ht="30" customHeight="1">
      <c r="A407" s="204" t="str">
        <f>IF(ISBLANK(D407)," ",329-COUNTBLANK($D$6:D407))</f>
        <v xml:space="preserve"> </v>
      </c>
      <c r="B407" s="202"/>
      <c r="C407" s="202"/>
      <c r="D407" s="202"/>
      <c r="E407" s="300"/>
      <c r="F407" s="210"/>
      <c r="G407" s="203"/>
      <c r="H407" s="203"/>
      <c r="I407" s="291"/>
      <c r="J407" s="263" t="str">
        <f t="shared" si="6"/>
        <v/>
      </c>
      <c r="K407" s="264"/>
      <c r="L407" s="265"/>
      <c r="M407" s="265"/>
      <c r="N407" s="265"/>
      <c r="O407" s="265"/>
      <c r="P407" s="265"/>
      <c r="Q407" s="265"/>
      <c r="R407" s="265"/>
    </row>
    <row r="408" spans="1:21" ht="30" customHeight="1">
      <c r="A408" s="204" t="str">
        <f>IF(ISBLANK(D408)," ",330-COUNTBLANK($D$6:D408))</f>
        <v xml:space="preserve"> </v>
      </c>
      <c r="B408" s="202"/>
      <c r="C408" s="202"/>
      <c r="D408" s="202"/>
      <c r="E408" s="300"/>
      <c r="F408" s="210"/>
      <c r="G408" s="203"/>
      <c r="H408" s="203"/>
      <c r="I408" s="291"/>
      <c r="J408" s="263" t="str">
        <f t="shared" si="6"/>
        <v/>
      </c>
      <c r="K408" s="264"/>
      <c r="L408" s="265"/>
      <c r="M408" s="265"/>
      <c r="N408" s="265"/>
      <c r="O408" s="265"/>
      <c r="P408" s="265"/>
      <c r="Q408" s="265"/>
      <c r="R408" s="265"/>
    </row>
    <row r="409" spans="1:21" ht="30" customHeight="1">
      <c r="A409" s="204" t="str">
        <f>IF(ISBLANK(D409)," ",331-COUNTBLANK($D$6:D409))</f>
        <v xml:space="preserve"> </v>
      </c>
      <c r="B409" s="202"/>
      <c r="C409" s="202"/>
      <c r="D409" s="202"/>
      <c r="E409" s="300"/>
      <c r="F409" s="210"/>
      <c r="G409" s="203"/>
      <c r="H409" s="203"/>
      <c r="I409" s="291"/>
      <c r="J409" s="263" t="str">
        <f t="shared" si="6"/>
        <v/>
      </c>
      <c r="K409" s="264"/>
      <c r="L409" s="265"/>
      <c r="M409" s="265"/>
      <c r="N409" s="265"/>
      <c r="O409" s="265"/>
      <c r="P409" s="265"/>
      <c r="Q409" s="265"/>
      <c r="R409" s="265"/>
    </row>
    <row r="410" spans="1:21" ht="27.75" customHeight="1">
      <c r="A410" s="204" t="str">
        <f>IF(ISBLANK(D410)," ",332-COUNTBLANK($D$6:D410))</f>
        <v xml:space="preserve"> </v>
      </c>
      <c r="B410" s="202"/>
      <c r="C410" s="202"/>
      <c r="D410" s="202"/>
      <c r="E410" s="300"/>
      <c r="F410" s="210"/>
      <c r="G410" s="203"/>
      <c r="H410" s="203"/>
      <c r="I410" s="291"/>
      <c r="J410" s="263" t="str">
        <f t="shared" si="6"/>
        <v/>
      </c>
      <c r="K410" s="264"/>
      <c r="L410" s="265"/>
      <c r="M410" s="265"/>
      <c r="N410" s="265"/>
      <c r="O410" s="265"/>
      <c r="P410" s="265"/>
      <c r="Q410" s="265"/>
      <c r="R410" s="265"/>
    </row>
    <row r="411" spans="1:21" ht="27.75" customHeight="1">
      <c r="A411" s="204" t="str">
        <f>IF(ISBLANK(D411)," ",333-COUNTBLANK($D$6:D411))</f>
        <v xml:space="preserve"> </v>
      </c>
      <c r="B411" s="202"/>
      <c r="C411" s="202"/>
      <c r="D411" s="202"/>
      <c r="E411" s="300"/>
      <c r="F411" s="210"/>
      <c r="G411" s="203"/>
      <c r="H411" s="203"/>
      <c r="I411" s="291"/>
      <c r="J411" s="263" t="str">
        <f t="shared" si="6"/>
        <v/>
      </c>
      <c r="K411" s="266"/>
      <c r="L411" s="265"/>
      <c r="M411" s="265"/>
      <c r="N411" s="265"/>
      <c r="O411" s="265"/>
      <c r="P411" s="265"/>
      <c r="Q411" s="265"/>
      <c r="R411" s="267"/>
    </row>
    <row r="412" spans="1:21" ht="27.75" customHeight="1">
      <c r="A412" s="204" t="str">
        <f>IF(ISBLANK(D412)," ",334-COUNTBLANK($D$6:D412))</f>
        <v xml:space="preserve"> </v>
      </c>
      <c r="B412" s="202"/>
      <c r="C412" s="202"/>
      <c r="D412" s="202"/>
      <c r="E412" s="300"/>
      <c r="F412" s="210"/>
      <c r="G412" s="203"/>
      <c r="H412" s="203"/>
      <c r="I412" s="291"/>
      <c r="J412" s="263" t="str">
        <f t="shared" si="6"/>
        <v/>
      </c>
      <c r="K412" s="266"/>
      <c r="L412" s="265"/>
      <c r="M412" s="265"/>
      <c r="N412" s="265"/>
      <c r="O412" s="265"/>
      <c r="P412" s="265"/>
      <c r="Q412" s="265"/>
      <c r="R412" s="267"/>
    </row>
    <row r="413" spans="1:21" ht="27.75" customHeight="1">
      <c r="A413" s="204" t="str">
        <f>IF(ISBLANK(D413)," ",335-COUNTBLANK($D$6:D413))</f>
        <v xml:space="preserve"> </v>
      </c>
      <c r="B413" s="202"/>
      <c r="C413" s="202"/>
      <c r="D413" s="202"/>
      <c r="E413" s="300"/>
      <c r="F413" s="210"/>
      <c r="G413" s="203"/>
      <c r="H413" s="203"/>
      <c r="I413" s="291"/>
      <c r="J413" s="263" t="str">
        <f t="shared" si="6"/>
        <v/>
      </c>
      <c r="K413" s="266"/>
      <c r="L413" s="265"/>
      <c r="M413" s="265"/>
      <c r="N413" s="265"/>
      <c r="O413" s="265"/>
      <c r="P413" s="265"/>
      <c r="Q413" s="265"/>
      <c r="R413" s="267"/>
    </row>
    <row r="414" spans="1:21" ht="27.75" customHeight="1">
      <c r="A414" s="304" t="str">
        <f>IF(ISBLANK(D414)," ",337-COUNTBLANK($D$6:D414))</f>
        <v xml:space="preserve"> </v>
      </c>
      <c r="B414" s="296"/>
      <c r="C414" s="305"/>
      <c r="D414" s="306"/>
      <c r="E414" s="297"/>
      <c r="F414" s="298"/>
      <c r="G414" s="282"/>
      <c r="H414" s="282"/>
      <c r="I414" s="303"/>
      <c r="J414" s="263" t="str">
        <f t="shared" si="6"/>
        <v/>
      </c>
      <c r="K414" s="264"/>
      <c r="L414" s="265"/>
      <c r="M414" s="265"/>
      <c r="N414" s="265"/>
      <c r="O414" s="265"/>
      <c r="P414" s="265"/>
      <c r="Q414" s="265"/>
      <c r="R414" s="284"/>
      <c r="S414" s="265"/>
      <c r="T414" s="265"/>
      <c r="U414" s="265"/>
    </row>
    <row r="415" spans="1:21" ht="27.75" customHeight="1">
      <c r="A415" s="260" t="str">
        <f>IF(ISBLANK(D415)," ",338-COUNTBLANK($D$6:D415))</f>
        <v xml:space="preserve"> </v>
      </c>
      <c r="B415" s="200"/>
      <c r="C415" s="200"/>
      <c r="D415" s="200"/>
      <c r="E415" s="299"/>
      <c r="F415" s="209"/>
      <c r="G415" s="201"/>
      <c r="H415" s="201"/>
      <c r="I415" s="291"/>
      <c r="J415" s="263" t="str">
        <f t="shared" si="6"/>
        <v/>
      </c>
      <c r="K415" s="266"/>
      <c r="L415" s="265"/>
      <c r="M415" s="265"/>
      <c r="N415" s="265"/>
      <c r="O415" s="265"/>
      <c r="P415" s="265"/>
      <c r="Q415" s="265"/>
      <c r="R415" s="284"/>
      <c r="S415" s="265"/>
      <c r="T415" s="265"/>
      <c r="U415" s="265"/>
    </row>
    <row r="416" spans="1:21" ht="27.75" customHeight="1">
      <c r="A416" s="204" t="str">
        <f>IF(ISBLANK(D416)," ",339-COUNTBLANK($D$6:D416))</f>
        <v xml:space="preserve"> </v>
      </c>
      <c r="B416" s="202"/>
      <c r="C416" s="202"/>
      <c r="D416" s="202"/>
      <c r="E416" s="300"/>
      <c r="F416" s="210"/>
      <c r="G416" s="203"/>
      <c r="H416" s="203"/>
      <c r="I416" s="291"/>
      <c r="J416" s="263" t="str">
        <f t="shared" si="6"/>
        <v/>
      </c>
      <c r="K416" s="264"/>
      <c r="L416" s="265"/>
      <c r="M416" s="265"/>
      <c r="N416" s="265"/>
      <c r="O416" s="265"/>
      <c r="P416" s="265"/>
      <c r="Q416" s="265"/>
      <c r="R416" s="265"/>
    </row>
    <row r="417" spans="1:18" ht="27.75" customHeight="1">
      <c r="A417" s="204" t="str">
        <f>IF(ISBLANK(D417)," ",340-COUNTBLANK($D$6:D417))</f>
        <v xml:space="preserve"> </v>
      </c>
      <c r="B417" s="202"/>
      <c r="C417" s="202"/>
      <c r="D417" s="202"/>
      <c r="E417" s="300"/>
      <c r="F417" s="210"/>
      <c r="G417" s="203"/>
      <c r="H417" s="203"/>
      <c r="I417" s="291"/>
      <c r="J417" s="263" t="str">
        <f t="shared" si="6"/>
        <v/>
      </c>
      <c r="K417" s="264"/>
      <c r="L417" s="265"/>
      <c r="M417" s="265"/>
      <c r="N417" s="265"/>
      <c r="O417" s="265"/>
      <c r="P417" s="265"/>
      <c r="Q417" s="265"/>
      <c r="R417" s="265"/>
    </row>
    <row r="418" spans="1:18" ht="27.75" customHeight="1">
      <c r="A418" s="204" t="str">
        <f>IF(ISBLANK(D418)," ",341-COUNTBLANK($D$6:D418))</f>
        <v xml:space="preserve"> </v>
      </c>
      <c r="B418" s="202"/>
      <c r="C418" s="202"/>
      <c r="D418" s="202"/>
      <c r="E418" s="300"/>
      <c r="F418" s="210"/>
      <c r="G418" s="203"/>
      <c r="H418" s="203"/>
      <c r="I418" s="291"/>
      <c r="J418" s="263" t="str">
        <f t="shared" si="6"/>
        <v/>
      </c>
      <c r="K418" s="264"/>
      <c r="L418" s="265"/>
      <c r="M418" s="265"/>
      <c r="N418" s="265"/>
      <c r="O418" s="265"/>
      <c r="P418" s="265"/>
      <c r="Q418" s="265"/>
      <c r="R418" s="265"/>
    </row>
    <row r="419" spans="1:18" ht="27.75" customHeight="1">
      <c r="A419" s="204" t="str">
        <f>IF(ISBLANK(D419)," ",342-COUNTBLANK($D$6:D419))</f>
        <v xml:space="preserve"> </v>
      </c>
      <c r="B419" s="202"/>
      <c r="C419" s="202"/>
      <c r="D419" s="202"/>
      <c r="E419" s="300"/>
      <c r="F419" s="210"/>
      <c r="G419" s="203"/>
      <c r="H419" s="203"/>
      <c r="I419" s="291"/>
      <c r="J419" s="263" t="str">
        <f t="shared" si="6"/>
        <v/>
      </c>
      <c r="K419" s="264"/>
      <c r="L419" s="265"/>
      <c r="M419" s="265"/>
      <c r="N419" s="265"/>
      <c r="O419" s="265"/>
      <c r="P419" s="265"/>
      <c r="Q419" s="265"/>
      <c r="R419" s="265"/>
    </row>
    <row r="420" spans="1:18" ht="27.75" customHeight="1">
      <c r="A420" s="204" t="str">
        <f>IF(ISBLANK(D420)," ",343-COUNTBLANK($D$6:D420))</f>
        <v xml:space="preserve"> </v>
      </c>
      <c r="B420" s="202"/>
      <c r="C420" s="202"/>
      <c r="D420" s="202"/>
      <c r="E420" s="300"/>
      <c r="F420" s="210"/>
      <c r="G420" s="203"/>
      <c r="H420" s="203"/>
      <c r="I420" s="291"/>
      <c r="J420" s="263" t="str">
        <f t="shared" si="6"/>
        <v/>
      </c>
      <c r="K420" s="264"/>
      <c r="L420" s="265"/>
      <c r="M420" s="265"/>
      <c r="N420" s="265"/>
      <c r="O420" s="265"/>
      <c r="P420" s="265"/>
      <c r="Q420" s="265"/>
      <c r="R420" s="265"/>
    </row>
    <row r="421" spans="1:18" ht="27.75" customHeight="1">
      <c r="A421" s="204" t="str">
        <f>IF(ISBLANK(D421)," ",344-COUNTBLANK($D$6:D421))</f>
        <v xml:space="preserve"> </v>
      </c>
      <c r="B421" s="202"/>
      <c r="C421" s="202"/>
      <c r="D421" s="202"/>
      <c r="E421" s="300"/>
      <c r="F421" s="210"/>
      <c r="G421" s="203"/>
      <c r="H421" s="203"/>
      <c r="I421" s="291"/>
      <c r="J421" s="263" t="str">
        <f t="shared" si="6"/>
        <v/>
      </c>
      <c r="K421" s="264"/>
      <c r="L421" s="265"/>
      <c r="M421" s="265"/>
      <c r="N421" s="265"/>
      <c r="O421" s="265"/>
      <c r="P421" s="265"/>
      <c r="Q421" s="265"/>
      <c r="R421" s="265"/>
    </row>
    <row r="422" spans="1:18" ht="27.75" customHeight="1">
      <c r="A422" s="204" t="str">
        <f>IF(ISBLANK(D422)," ",345-COUNTBLANK($D$6:D422))</f>
        <v xml:space="preserve"> </v>
      </c>
      <c r="B422" s="202"/>
      <c r="C422" s="202"/>
      <c r="D422" s="202"/>
      <c r="E422" s="300"/>
      <c r="F422" s="210"/>
      <c r="G422" s="203"/>
      <c r="H422" s="203"/>
      <c r="I422" s="291"/>
      <c r="J422" s="263" t="str">
        <f t="shared" si="6"/>
        <v/>
      </c>
      <c r="K422" s="264"/>
      <c r="L422" s="265"/>
      <c r="M422" s="265"/>
      <c r="N422" s="265"/>
      <c r="O422" s="265"/>
      <c r="P422" s="265"/>
      <c r="Q422" s="265"/>
      <c r="R422" s="265"/>
    </row>
    <row r="423" spans="1:18" ht="27.75" customHeight="1">
      <c r="A423" s="204" t="str">
        <f>IF(ISBLANK(D423)," ",346-COUNTBLANK($D$6:D423))</f>
        <v xml:space="preserve"> </v>
      </c>
      <c r="B423" s="202"/>
      <c r="C423" s="202"/>
      <c r="D423" s="202"/>
      <c r="E423" s="300"/>
      <c r="F423" s="210"/>
      <c r="G423" s="203"/>
      <c r="H423" s="203"/>
      <c r="I423" s="291"/>
      <c r="J423" s="263" t="str">
        <f t="shared" si="6"/>
        <v/>
      </c>
      <c r="K423" s="264"/>
      <c r="L423" s="265"/>
      <c r="M423" s="265"/>
      <c r="N423" s="265"/>
      <c r="O423" s="265"/>
      <c r="P423" s="265"/>
      <c r="Q423" s="265"/>
      <c r="R423" s="265"/>
    </row>
    <row r="424" spans="1:18" ht="27.75" customHeight="1">
      <c r="A424" s="204" t="str">
        <f>IF(ISBLANK(D424)," ",347-COUNTBLANK($D$6:D424))</f>
        <v xml:space="preserve"> </v>
      </c>
      <c r="B424" s="202"/>
      <c r="C424" s="202"/>
      <c r="D424" s="202"/>
      <c r="E424" s="300"/>
      <c r="F424" s="210"/>
      <c r="G424" s="203"/>
      <c r="H424" s="203"/>
      <c r="I424" s="291"/>
      <c r="J424" s="263" t="str">
        <f t="shared" si="6"/>
        <v/>
      </c>
      <c r="K424" s="264"/>
      <c r="L424" s="265"/>
      <c r="M424" s="265"/>
      <c r="N424" s="265"/>
      <c r="O424" s="265"/>
      <c r="P424" s="265"/>
      <c r="Q424" s="265"/>
      <c r="R424" s="265"/>
    </row>
    <row r="425" spans="1:18" ht="27.75" customHeight="1">
      <c r="A425" s="204" t="str">
        <f>IF(ISBLANK(D425)," ",348-COUNTBLANK($D$6:D425))</f>
        <v xml:space="preserve"> </v>
      </c>
      <c r="B425" s="202"/>
      <c r="C425" s="202"/>
      <c r="D425" s="202"/>
      <c r="E425" s="300"/>
      <c r="F425" s="210"/>
      <c r="G425" s="203"/>
      <c r="H425" s="203"/>
      <c r="I425" s="291"/>
      <c r="J425" s="263" t="str">
        <f t="shared" si="6"/>
        <v/>
      </c>
      <c r="K425" s="264"/>
      <c r="L425" s="265"/>
      <c r="M425" s="265"/>
      <c r="N425" s="265"/>
      <c r="O425" s="265"/>
      <c r="P425" s="265"/>
      <c r="Q425" s="265"/>
      <c r="R425" s="265"/>
    </row>
    <row r="426" spans="1:18" ht="27.75" customHeight="1">
      <c r="A426" s="204" t="str">
        <f>IF(ISBLANK(D426)," ",349-COUNTBLANK($D$6:D426))</f>
        <v xml:space="preserve"> </v>
      </c>
      <c r="B426" s="202"/>
      <c r="C426" s="202"/>
      <c r="D426" s="202"/>
      <c r="E426" s="300"/>
      <c r="F426" s="210"/>
      <c r="G426" s="203"/>
      <c r="H426" s="203"/>
      <c r="I426" s="291"/>
      <c r="J426" s="263" t="str">
        <f t="shared" si="6"/>
        <v/>
      </c>
      <c r="K426" s="264"/>
      <c r="L426" s="265"/>
      <c r="M426" s="265"/>
      <c r="N426" s="265"/>
      <c r="O426" s="265"/>
      <c r="P426" s="265"/>
      <c r="Q426" s="265"/>
      <c r="R426" s="265"/>
    </row>
    <row r="427" spans="1:18" ht="27.75" customHeight="1">
      <c r="A427" s="204" t="str">
        <f>IF(ISBLANK(D427)," ",350-COUNTBLANK($D$6:D427))</f>
        <v xml:space="preserve"> </v>
      </c>
      <c r="B427" s="202"/>
      <c r="C427" s="202"/>
      <c r="D427" s="202"/>
      <c r="E427" s="300"/>
      <c r="F427" s="210"/>
      <c r="G427" s="203"/>
      <c r="H427" s="203"/>
      <c r="I427" s="291"/>
      <c r="J427" s="263" t="str">
        <f t="shared" si="6"/>
        <v/>
      </c>
      <c r="K427" s="264"/>
      <c r="L427" s="265"/>
      <c r="M427" s="265"/>
      <c r="N427" s="265"/>
      <c r="O427" s="265"/>
      <c r="P427" s="265"/>
      <c r="Q427" s="265"/>
      <c r="R427" s="265"/>
    </row>
    <row r="428" spans="1:18" ht="27.75" customHeight="1">
      <c r="A428" s="204" t="str">
        <f>IF(ISBLANK(D428)," ",351-COUNTBLANK($D$6:D428))</f>
        <v xml:space="preserve"> </v>
      </c>
      <c r="B428" s="202"/>
      <c r="C428" s="202"/>
      <c r="D428" s="202"/>
      <c r="E428" s="300"/>
      <c r="F428" s="210"/>
      <c r="G428" s="203"/>
      <c r="H428" s="203"/>
      <c r="I428" s="291"/>
      <c r="J428" s="263" t="str">
        <f t="shared" si="6"/>
        <v/>
      </c>
      <c r="K428" s="264"/>
      <c r="L428" s="265"/>
      <c r="M428" s="265"/>
      <c r="N428" s="265"/>
      <c r="O428" s="265"/>
      <c r="P428" s="265"/>
      <c r="Q428" s="265"/>
      <c r="R428" s="265"/>
    </row>
    <row r="429" spans="1:18" ht="27.75" customHeight="1">
      <c r="A429" s="204" t="str">
        <f>IF(ISBLANK(D429)," ",352-COUNTBLANK($D$6:D429))</f>
        <v xml:space="preserve"> </v>
      </c>
      <c r="B429" s="202"/>
      <c r="C429" s="202"/>
      <c r="D429" s="202"/>
      <c r="E429" s="300"/>
      <c r="F429" s="210"/>
      <c r="G429" s="203"/>
      <c r="H429" s="203"/>
      <c r="I429" s="291"/>
      <c r="J429" s="263" t="str">
        <f t="shared" si="6"/>
        <v/>
      </c>
      <c r="K429" s="264"/>
      <c r="L429" s="265"/>
      <c r="M429" s="265"/>
      <c r="N429" s="265"/>
      <c r="O429" s="265"/>
      <c r="P429" s="265"/>
      <c r="Q429" s="265"/>
      <c r="R429" s="265"/>
    </row>
    <row r="430" spans="1:18" ht="27.75" customHeight="1">
      <c r="A430" s="204" t="str">
        <f>IF(ISBLANK(D430)," ",353-COUNTBLANK($D$6:D430))</f>
        <v xml:space="preserve"> </v>
      </c>
      <c r="B430" s="202"/>
      <c r="C430" s="202"/>
      <c r="D430" s="202"/>
      <c r="E430" s="300"/>
      <c r="F430" s="210"/>
      <c r="G430" s="203"/>
      <c r="H430" s="203"/>
      <c r="I430" s="291"/>
      <c r="J430" s="263" t="str">
        <f t="shared" si="6"/>
        <v/>
      </c>
      <c r="K430" s="264"/>
      <c r="L430" s="265"/>
      <c r="M430" s="265"/>
      <c r="N430" s="265"/>
      <c r="O430" s="265"/>
      <c r="P430" s="265"/>
      <c r="Q430" s="265"/>
      <c r="R430" s="265"/>
    </row>
    <row r="431" spans="1:18" ht="27.75" customHeight="1">
      <c r="A431" s="204" t="str">
        <f>IF(ISBLANK(D431)," ",354-COUNTBLANK($D$6:D431))</f>
        <v xml:space="preserve"> </v>
      </c>
      <c r="B431" s="202"/>
      <c r="C431" s="202"/>
      <c r="D431" s="202"/>
      <c r="E431" s="300"/>
      <c r="F431" s="210"/>
      <c r="G431" s="203"/>
      <c r="H431" s="203"/>
      <c r="I431" s="291"/>
      <c r="J431" s="263" t="str">
        <f t="shared" si="6"/>
        <v/>
      </c>
      <c r="K431" s="266"/>
      <c r="L431" s="265"/>
      <c r="M431" s="265"/>
      <c r="N431" s="265"/>
      <c r="O431" s="265"/>
      <c r="P431" s="265"/>
      <c r="Q431" s="265"/>
      <c r="R431" s="267"/>
    </row>
    <row r="432" spans="1:18" ht="27.75" customHeight="1">
      <c r="A432" s="204" t="str">
        <f>IF(ISBLANK(D432)," ",355-COUNTBLANK($D$6:D432))</f>
        <v xml:space="preserve"> </v>
      </c>
      <c r="B432" s="202"/>
      <c r="C432" s="202"/>
      <c r="D432" s="202"/>
      <c r="E432" s="300"/>
      <c r="F432" s="210"/>
      <c r="G432" s="203"/>
      <c r="H432" s="203"/>
      <c r="I432" s="291"/>
      <c r="J432" s="263" t="str">
        <f t="shared" si="6"/>
        <v/>
      </c>
      <c r="K432" s="266"/>
      <c r="L432" s="265"/>
      <c r="M432" s="265"/>
      <c r="N432" s="265"/>
      <c r="O432" s="265"/>
      <c r="P432" s="265"/>
      <c r="Q432" s="265"/>
      <c r="R432" s="267"/>
    </row>
    <row r="433" spans="1:21" ht="27.75" customHeight="1">
      <c r="A433" s="204" t="str">
        <f>IF(ISBLANK(D433)," ",356-COUNTBLANK($D$6:D433))</f>
        <v xml:space="preserve"> </v>
      </c>
      <c r="B433" s="202"/>
      <c r="C433" s="202"/>
      <c r="D433" s="202"/>
      <c r="E433" s="300"/>
      <c r="F433" s="210"/>
      <c r="G433" s="203"/>
      <c r="H433" s="203"/>
      <c r="I433" s="291"/>
      <c r="J433" s="263" t="str">
        <f t="shared" si="6"/>
        <v/>
      </c>
      <c r="K433" s="266"/>
      <c r="L433" s="265"/>
      <c r="M433" s="265"/>
      <c r="N433" s="265"/>
      <c r="O433" s="265"/>
      <c r="P433" s="265"/>
      <c r="Q433" s="265"/>
      <c r="R433" s="267"/>
    </row>
    <row r="434" spans="1:21" ht="27.75" customHeight="1">
      <c r="A434" s="304" t="str">
        <f>IF(ISBLANK(D434)," ",358-COUNTBLANK($D$6:D434))</f>
        <v xml:space="preserve"> </v>
      </c>
      <c r="B434" s="296"/>
      <c r="C434" s="305"/>
      <c r="D434" s="306"/>
      <c r="E434" s="297"/>
      <c r="F434" s="298"/>
      <c r="G434" s="282"/>
      <c r="H434" s="282"/>
      <c r="I434" s="303"/>
      <c r="J434" s="263" t="str">
        <f t="shared" si="6"/>
        <v/>
      </c>
      <c r="K434" s="264"/>
      <c r="L434" s="265"/>
      <c r="M434" s="265"/>
      <c r="N434" s="265"/>
      <c r="O434" s="265"/>
      <c r="P434" s="265"/>
      <c r="Q434" s="265"/>
      <c r="R434" s="284"/>
      <c r="S434" s="265"/>
      <c r="T434" s="265"/>
      <c r="U434" s="265"/>
    </row>
    <row r="435" spans="1:21" ht="27.75" customHeight="1">
      <c r="A435" s="260" t="str">
        <f>IF(ISBLANK(D435)," ",359-COUNTBLANK($D$6:D435))</f>
        <v xml:space="preserve"> </v>
      </c>
      <c r="B435" s="200"/>
      <c r="C435" s="200"/>
      <c r="D435" s="200"/>
      <c r="E435" s="299"/>
      <c r="F435" s="209"/>
      <c r="G435" s="201"/>
      <c r="H435" s="201"/>
      <c r="I435" s="291"/>
      <c r="J435" s="263" t="str">
        <f t="shared" si="6"/>
        <v/>
      </c>
      <c r="K435" s="266"/>
      <c r="L435" s="265"/>
      <c r="M435" s="265"/>
      <c r="N435" s="265"/>
      <c r="O435" s="265"/>
      <c r="P435" s="265"/>
      <c r="Q435" s="265"/>
      <c r="R435" s="284"/>
      <c r="S435" s="265"/>
      <c r="T435" s="265"/>
      <c r="U435" s="265"/>
    </row>
    <row r="436" spans="1:21" ht="27.75" customHeight="1">
      <c r="A436" s="204" t="str">
        <f>IF(ISBLANK(D436)," ",360-COUNTBLANK($D$6:D436))</f>
        <v xml:space="preserve"> </v>
      </c>
      <c r="B436" s="202"/>
      <c r="C436" s="202"/>
      <c r="D436" s="202"/>
      <c r="E436" s="300"/>
      <c r="F436" s="210"/>
      <c r="G436" s="203"/>
      <c r="H436" s="203"/>
      <c r="I436" s="291"/>
      <c r="J436" s="263" t="str">
        <f t="shared" si="6"/>
        <v/>
      </c>
      <c r="K436" s="264"/>
      <c r="L436" s="265"/>
      <c r="M436" s="265"/>
      <c r="N436" s="265"/>
      <c r="O436" s="265"/>
      <c r="P436" s="265"/>
      <c r="Q436" s="265"/>
      <c r="R436" s="265"/>
    </row>
    <row r="437" spans="1:21" ht="27.75" customHeight="1">
      <c r="A437" s="204" t="str">
        <f>IF(ISBLANK(D437)," ",361-COUNTBLANK($D$6:D437))</f>
        <v xml:space="preserve"> </v>
      </c>
      <c r="B437" s="202"/>
      <c r="C437" s="202"/>
      <c r="D437" s="202"/>
      <c r="E437" s="300"/>
      <c r="F437" s="210"/>
      <c r="G437" s="203"/>
      <c r="H437" s="203"/>
      <c r="I437" s="291"/>
      <c r="J437" s="263" t="str">
        <f t="shared" si="6"/>
        <v/>
      </c>
      <c r="K437" s="264"/>
      <c r="L437" s="265"/>
      <c r="M437" s="265"/>
      <c r="N437" s="265"/>
      <c r="O437" s="265"/>
      <c r="P437" s="265"/>
      <c r="Q437" s="265"/>
      <c r="R437" s="265"/>
    </row>
    <row r="438" spans="1:21" ht="27.75" customHeight="1">
      <c r="A438" s="204" t="str">
        <f>IF(ISBLANK(D438)," ",362-COUNTBLANK($D$6:D438))</f>
        <v xml:space="preserve"> </v>
      </c>
      <c r="B438" s="202"/>
      <c r="C438" s="202"/>
      <c r="D438" s="202"/>
      <c r="E438" s="300"/>
      <c r="F438" s="210"/>
      <c r="G438" s="203"/>
      <c r="H438" s="203"/>
      <c r="I438" s="291"/>
      <c r="J438" s="263" t="str">
        <f t="shared" si="6"/>
        <v/>
      </c>
      <c r="K438" s="264"/>
      <c r="L438" s="265"/>
      <c r="M438" s="265"/>
      <c r="N438" s="265"/>
      <c r="O438" s="265"/>
      <c r="P438" s="265"/>
      <c r="Q438" s="265"/>
      <c r="R438" s="265"/>
    </row>
    <row r="439" spans="1:21" ht="27.75" customHeight="1">
      <c r="A439" s="204" t="str">
        <f>IF(ISBLANK(D439)," ",363-COUNTBLANK($D$6:D439))</f>
        <v xml:space="preserve"> </v>
      </c>
      <c r="B439" s="202"/>
      <c r="C439" s="202"/>
      <c r="D439" s="202"/>
      <c r="E439" s="300"/>
      <c r="F439" s="210"/>
      <c r="G439" s="203"/>
      <c r="H439" s="203"/>
      <c r="I439" s="291"/>
      <c r="J439" s="263" t="str">
        <f t="shared" ref="J439:J502" si="7">CONCATENATE(D439,G439)</f>
        <v/>
      </c>
      <c r="K439" s="264"/>
      <c r="L439" s="265"/>
      <c r="M439" s="265"/>
      <c r="N439" s="265"/>
      <c r="O439" s="265"/>
      <c r="P439" s="265"/>
      <c r="Q439" s="265"/>
      <c r="R439" s="265"/>
    </row>
    <row r="440" spans="1:21" ht="27.75" customHeight="1">
      <c r="A440" s="204" t="str">
        <f>IF(ISBLANK(D440)," ",364-COUNTBLANK($D$6:D440))</f>
        <v xml:space="preserve"> </v>
      </c>
      <c r="B440" s="202"/>
      <c r="C440" s="202"/>
      <c r="D440" s="202"/>
      <c r="E440" s="300"/>
      <c r="F440" s="210"/>
      <c r="G440" s="203"/>
      <c r="H440" s="203"/>
      <c r="I440" s="291"/>
      <c r="J440" s="263" t="str">
        <f t="shared" si="7"/>
        <v/>
      </c>
      <c r="K440" s="264"/>
      <c r="L440" s="265"/>
      <c r="M440" s="265"/>
      <c r="N440" s="265"/>
      <c r="O440" s="265"/>
      <c r="P440" s="265"/>
      <c r="Q440" s="265"/>
      <c r="R440" s="265"/>
    </row>
    <row r="441" spans="1:21" ht="27.75" customHeight="1">
      <c r="A441" s="204" t="str">
        <f>IF(ISBLANK(D441)," ",365-COUNTBLANK($D$6:D441))</f>
        <v xml:space="preserve"> </v>
      </c>
      <c r="B441" s="202"/>
      <c r="C441" s="202"/>
      <c r="D441" s="202"/>
      <c r="E441" s="300"/>
      <c r="F441" s="210"/>
      <c r="G441" s="203"/>
      <c r="H441" s="203"/>
      <c r="I441" s="291"/>
      <c r="J441" s="263" t="str">
        <f t="shared" si="7"/>
        <v/>
      </c>
      <c r="K441" s="264"/>
      <c r="L441" s="265"/>
      <c r="M441" s="265"/>
      <c r="N441" s="265"/>
      <c r="O441" s="265"/>
      <c r="P441" s="265"/>
      <c r="Q441" s="265"/>
      <c r="R441" s="265"/>
    </row>
    <row r="442" spans="1:21" ht="27.75" customHeight="1">
      <c r="A442" s="204" t="str">
        <f>IF(ISBLANK(D442)," ",366-COUNTBLANK($D$6:D442))</f>
        <v xml:space="preserve"> </v>
      </c>
      <c r="B442" s="202"/>
      <c r="C442" s="202"/>
      <c r="D442" s="202"/>
      <c r="E442" s="300"/>
      <c r="F442" s="210"/>
      <c r="G442" s="203"/>
      <c r="H442" s="203"/>
      <c r="I442" s="291"/>
      <c r="J442" s="263" t="str">
        <f t="shared" si="7"/>
        <v/>
      </c>
      <c r="K442" s="264"/>
      <c r="L442" s="265"/>
      <c r="M442" s="265"/>
      <c r="N442" s="265"/>
      <c r="O442" s="265"/>
      <c r="P442" s="265"/>
      <c r="Q442" s="265"/>
      <c r="R442" s="265"/>
    </row>
    <row r="443" spans="1:21" ht="27.75" customHeight="1">
      <c r="A443" s="204" t="str">
        <f>IF(ISBLANK(D443)," ",367-COUNTBLANK($D$6:D443))</f>
        <v xml:space="preserve"> </v>
      </c>
      <c r="B443" s="202"/>
      <c r="C443" s="202"/>
      <c r="D443" s="202"/>
      <c r="E443" s="300"/>
      <c r="F443" s="210"/>
      <c r="G443" s="203"/>
      <c r="H443" s="203"/>
      <c r="I443" s="291"/>
      <c r="J443" s="263" t="str">
        <f t="shared" si="7"/>
        <v/>
      </c>
      <c r="K443" s="264"/>
      <c r="L443" s="265"/>
      <c r="M443" s="265"/>
      <c r="N443" s="265"/>
      <c r="O443" s="265"/>
      <c r="P443" s="265"/>
      <c r="Q443" s="265"/>
      <c r="R443" s="265"/>
    </row>
    <row r="444" spans="1:21" ht="27.75" customHeight="1">
      <c r="A444" s="204" t="str">
        <f>IF(ISBLANK(D444)," ",368-COUNTBLANK($D$6:D444))</f>
        <v xml:space="preserve"> </v>
      </c>
      <c r="B444" s="202"/>
      <c r="C444" s="202"/>
      <c r="D444" s="202"/>
      <c r="E444" s="300"/>
      <c r="F444" s="210"/>
      <c r="G444" s="203"/>
      <c r="H444" s="203"/>
      <c r="I444" s="291"/>
      <c r="J444" s="263" t="str">
        <f t="shared" si="7"/>
        <v/>
      </c>
      <c r="K444" s="264"/>
      <c r="L444" s="265"/>
      <c r="M444" s="265"/>
      <c r="N444" s="265"/>
      <c r="O444" s="265"/>
      <c r="P444" s="265"/>
      <c r="Q444" s="265"/>
      <c r="R444" s="265"/>
    </row>
    <row r="445" spans="1:21" ht="27.75" customHeight="1">
      <c r="A445" s="204" t="str">
        <f>IF(ISBLANK(D445)," ",369-COUNTBLANK($D$6:D445))</f>
        <v xml:space="preserve"> </v>
      </c>
      <c r="B445" s="202"/>
      <c r="C445" s="202"/>
      <c r="D445" s="202"/>
      <c r="E445" s="300"/>
      <c r="F445" s="210"/>
      <c r="G445" s="203"/>
      <c r="H445" s="203"/>
      <c r="I445" s="291"/>
      <c r="J445" s="263" t="str">
        <f t="shared" si="7"/>
        <v/>
      </c>
      <c r="K445" s="264"/>
      <c r="L445" s="265"/>
      <c r="M445" s="265"/>
      <c r="N445" s="265"/>
      <c r="O445" s="265"/>
      <c r="P445" s="265"/>
      <c r="Q445" s="265"/>
      <c r="R445" s="265"/>
    </row>
    <row r="446" spans="1:21" ht="27.75" customHeight="1">
      <c r="A446" s="204" t="str">
        <f>IF(ISBLANK(D446)," ",370-COUNTBLANK($D$6:D446))</f>
        <v xml:space="preserve"> </v>
      </c>
      <c r="B446" s="202"/>
      <c r="C446" s="202"/>
      <c r="D446" s="202"/>
      <c r="E446" s="300"/>
      <c r="F446" s="210"/>
      <c r="G446" s="203"/>
      <c r="H446" s="203"/>
      <c r="I446" s="291"/>
      <c r="J446" s="263" t="str">
        <f t="shared" si="7"/>
        <v/>
      </c>
      <c r="K446" s="264"/>
      <c r="L446" s="265"/>
      <c r="M446" s="265"/>
      <c r="N446" s="265"/>
      <c r="O446" s="265"/>
      <c r="P446" s="265"/>
      <c r="Q446" s="265"/>
      <c r="R446" s="265"/>
    </row>
    <row r="447" spans="1:21" ht="27.75" customHeight="1">
      <c r="A447" s="204" t="str">
        <f>IF(ISBLANK(D447)," ",371-COUNTBLANK($D$6:D447))</f>
        <v xml:space="preserve"> </v>
      </c>
      <c r="B447" s="202"/>
      <c r="C447" s="202"/>
      <c r="D447" s="202"/>
      <c r="E447" s="300"/>
      <c r="F447" s="210"/>
      <c r="G447" s="203"/>
      <c r="H447" s="203"/>
      <c r="I447" s="291"/>
      <c r="J447" s="263" t="str">
        <f t="shared" si="7"/>
        <v/>
      </c>
      <c r="K447" s="264"/>
      <c r="L447" s="265"/>
      <c r="M447" s="265"/>
      <c r="N447" s="265"/>
      <c r="O447" s="265"/>
      <c r="P447" s="265"/>
      <c r="Q447" s="265"/>
      <c r="R447" s="265"/>
    </row>
    <row r="448" spans="1:21" ht="27.75" customHeight="1">
      <c r="A448" s="204" t="str">
        <f>IF(ISBLANK(D448)," ",372-COUNTBLANK($D$6:D448))</f>
        <v xml:space="preserve"> </v>
      </c>
      <c r="B448" s="202"/>
      <c r="C448" s="202"/>
      <c r="D448" s="202"/>
      <c r="E448" s="300"/>
      <c r="F448" s="210"/>
      <c r="G448" s="203"/>
      <c r="H448" s="203"/>
      <c r="I448" s="291"/>
      <c r="J448" s="263" t="str">
        <f t="shared" si="7"/>
        <v/>
      </c>
      <c r="K448" s="264"/>
      <c r="L448" s="265"/>
      <c r="M448" s="265"/>
      <c r="N448" s="265"/>
      <c r="O448" s="265"/>
      <c r="P448" s="265"/>
      <c r="Q448" s="265"/>
      <c r="R448" s="265"/>
    </row>
    <row r="449" spans="1:21" ht="27.75" customHeight="1">
      <c r="A449" s="204" t="str">
        <f>IF(ISBLANK(D449)," ",373-COUNTBLANK($D$6:D449))</f>
        <v xml:space="preserve"> </v>
      </c>
      <c r="B449" s="202"/>
      <c r="C449" s="202"/>
      <c r="D449" s="202"/>
      <c r="E449" s="300"/>
      <c r="F449" s="210"/>
      <c r="G449" s="203"/>
      <c r="H449" s="203"/>
      <c r="I449" s="291"/>
      <c r="J449" s="263" t="str">
        <f t="shared" si="7"/>
        <v/>
      </c>
      <c r="K449" s="264"/>
      <c r="L449" s="265"/>
      <c r="M449" s="265"/>
      <c r="N449" s="265"/>
      <c r="O449" s="265"/>
      <c r="P449" s="265"/>
      <c r="Q449" s="265"/>
      <c r="R449" s="265"/>
    </row>
    <row r="450" spans="1:21" ht="27.75" customHeight="1">
      <c r="A450" s="204" t="str">
        <f>IF(ISBLANK(D450)," ",374-COUNTBLANK($D$6:D450))</f>
        <v xml:space="preserve"> </v>
      </c>
      <c r="B450" s="202"/>
      <c r="C450" s="202"/>
      <c r="D450" s="202"/>
      <c r="E450" s="300"/>
      <c r="F450" s="210"/>
      <c r="G450" s="203"/>
      <c r="H450" s="203"/>
      <c r="I450" s="291"/>
      <c r="J450" s="263" t="str">
        <f t="shared" si="7"/>
        <v/>
      </c>
      <c r="K450" s="264"/>
      <c r="L450" s="265"/>
      <c r="M450" s="265"/>
      <c r="N450" s="265"/>
      <c r="O450" s="265"/>
      <c r="P450" s="265"/>
      <c r="Q450" s="265"/>
      <c r="R450" s="265"/>
    </row>
    <row r="451" spans="1:21" ht="27.75" customHeight="1">
      <c r="A451" s="204" t="str">
        <f>IF(ISBLANK(D451)," ",375-COUNTBLANK($D$6:D451))</f>
        <v xml:space="preserve"> </v>
      </c>
      <c r="B451" s="202"/>
      <c r="C451" s="202"/>
      <c r="D451" s="202"/>
      <c r="E451" s="300"/>
      <c r="F451" s="210"/>
      <c r="G451" s="203"/>
      <c r="H451" s="203"/>
      <c r="I451" s="291"/>
      <c r="J451" s="263" t="str">
        <f t="shared" si="7"/>
        <v/>
      </c>
      <c r="K451" s="266"/>
      <c r="L451" s="265"/>
      <c r="M451" s="265"/>
      <c r="N451" s="265"/>
      <c r="O451" s="265"/>
      <c r="P451" s="265"/>
      <c r="Q451" s="265"/>
      <c r="R451" s="267"/>
    </row>
    <row r="452" spans="1:21" ht="27.75" customHeight="1">
      <c r="A452" s="204" t="str">
        <f>IF(ISBLANK(D452)," ",376-COUNTBLANK($D$6:D452))</f>
        <v xml:space="preserve"> </v>
      </c>
      <c r="B452" s="202"/>
      <c r="C452" s="202"/>
      <c r="D452" s="202"/>
      <c r="E452" s="300"/>
      <c r="F452" s="210"/>
      <c r="G452" s="203"/>
      <c r="H452" s="203"/>
      <c r="I452" s="291"/>
      <c r="J452" s="263" t="str">
        <f t="shared" si="7"/>
        <v/>
      </c>
      <c r="K452" s="266"/>
      <c r="L452" s="265"/>
      <c r="M452" s="265"/>
      <c r="N452" s="265"/>
      <c r="O452" s="265"/>
      <c r="P452" s="265"/>
      <c r="Q452" s="265"/>
      <c r="R452" s="267"/>
    </row>
    <row r="453" spans="1:21" ht="27.75" customHeight="1">
      <c r="A453" s="204" t="str">
        <f>IF(ISBLANK(D453)," ",377-COUNTBLANK($D$6:D453))</f>
        <v xml:space="preserve"> </v>
      </c>
      <c r="B453" s="202"/>
      <c r="C453" s="202"/>
      <c r="D453" s="202"/>
      <c r="E453" s="300"/>
      <c r="F453" s="210"/>
      <c r="G453" s="203"/>
      <c r="H453" s="203"/>
      <c r="I453" s="291"/>
      <c r="J453" s="263" t="str">
        <f t="shared" si="7"/>
        <v/>
      </c>
      <c r="K453" s="266"/>
      <c r="L453" s="265"/>
      <c r="M453" s="265"/>
      <c r="N453" s="265"/>
      <c r="O453" s="265"/>
      <c r="P453" s="265"/>
      <c r="Q453" s="265"/>
      <c r="R453" s="267"/>
    </row>
    <row r="454" spans="1:21" ht="27.75" customHeight="1">
      <c r="A454" s="304" t="str">
        <f>IF(ISBLANK(D454)," ",379-COUNTBLANK($D$6:D454))</f>
        <v xml:space="preserve"> </v>
      </c>
      <c r="B454" s="296"/>
      <c r="C454" s="305"/>
      <c r="D454" s="306"/>
      <c r="E454" s="297"/>
      <c r="F454" s="298"/>
      <c r="G454" s="282"/>
      <c r="H454" s="282"/>
      <c r="I454" s="303"/>
      <c r="J454" s="263" t="str">
        <f t="shared" si="7"/>
        <v/>
      </c>
      <c r="K454" s="264"/>
      <c r="L454" s="265"/>
      <c r="M454" s="265"/>
      <c r="N454" s="265"/>
      <c r="O454" s="265"/>
      <c r="P454" s="265"/>
      <c r="Q454" s="265"/>
      <c r="R454" s="284"/>
      <c r="S454" s="265"/>
      <c r="T454" s="265"/>
      <c r="U454" s="265"/>
    </row>
    <row r="455" spans="1:21" ht="27.75" customHeight="1">
      <c r="A455" s="260" t="str">
        <f>IF(ISBLANK(D455)," ",380-COUNTBLANK($D$6:D455))</f>
        <v xml:space="preserve"> </v>
      </c>
      <c r="B455" s="200"/>
      <c r="C455" s="200"/>
      <c r="D455" s="200"/>
      <c r="E455" s="299"/>
      <c r="F455" s="209"/>
      <c r="G455" s="201"/>
      <c r="H455" s="201"/>
      <c r="I455" s="291"/>
      <c r="J455" s="263" t="str">
        <f t="shared" si="7"/>
        <v/>
      </c>
      <c r="K455" s="266"/>
      <c r="L455" s="265"/>
      <c r="M455" s="265"/>
      <c r="N455" s="265"/>
      <c r="O455" s="265"/>
      <c r="P455" s="265"/>
      <c r="Q455" s="265"/>
      <c r="R455" s="284"/>
      <c r="S455" s="265"/>
      <c r="T455" s="265"/>
      <c r="U455" s="265"/>
    </row>
    <row r="456" spans="1:21" ht="27.75" customHeight="1">
      <c r="A456" s="204" t="str">
        <f>IF(ISBLANK(D456)," ",381-COUNTBLANK($D$6:D456))</f>
        <v xml:space="preserve"> </v>
      </c>
      <c r="B456" s="202"/>
      <c r="C456" s="202"/>
      <c r="D456" s="202"/>
      <c r="E456" s="300"/>
      <c r="F456" s="210"/>
      <c r="G456" s="203"/>
      <c r="H456" s="203"/>
      <c r="I456" s="291"/>
      <c r="J456" s="263" t="str">
        <f t="shared" si="7"/>
        <v/>
      </c>
      <c r="K456" s="264"/>
      <c r="L456" s="265"/>
      <c r="M456" s="265"/>
      <c r="N456" s="265"/>
      <c r="O456" s="265"/>
      <c r="P456" s="265"/>
      <c r="Q456" s="265"/>
      <c r="R456" s="265"/>
    </row>
    <row r="457" spans="1:21" ht="27.75" customHeight="1">
      <c r="A457" s="204" t="str">
        <f>IF(ISBLANK(D457)," ",382-COUNTBLANK($D$6:D457))</f>
        <v xml:space="preserve"> </v>
      </c>
      <c r="B457" s="202"/>
      <c r="C457" s="202"/>
      <c r="D457" s="202"/>
      <c r="E457" s="300"/>
      <c r="F457" s="210"/>
      <c r="G457" s="203"/>
      <c r="H457" s="203"/>
      <c r="I457" s="291"/>
      <c r="J457" s="263" t="str">
        <f t="shared" si="7"/>
        <v/>
      </c>
      <c r="K457" s="264"/>
      <c r="L457" s="265"/>
      <c r="M457" s="265"/>
      <c r="N457" s="265"/>
      <c r="O457" s="265"/>
      <c r="P457" s="265"/>
      <c r="Q457" s="265"/>
      <c r="R457" s="265"/>
    </row>
    <row r="458" spans="1:21" ht="27.75" customHeight="1">
      <c r="A458" s="204" t="str">
        <f>IF(ISBLANK(D458)," ",383-COUNTBLANK($D$6:D458))</f>
        <v xml:space="preserve"> </v>
      </c>
      <c r="B458" s="202"/>
      <c r="C458" s="202"/>
      <c r="D458" s="202"/>
      <c r="E458" s="300"/>
      <c r="F458" s="210"/>
      <c r="G458" s="203"/>
      <c r="H458" s="203"/>
      <c r="I458" s="291"/>
      <c r="J458" s="263" t="str">
        <f t="shared" si="7"/>
        <v/>
      </c>
      <c r="K458" s="264"/>
      <c r="L458" s="265"/>
      <c r="M458" s="265"/>
      <c r="N458" s="265"/>
      <c r="O458" s="265"/>
      <c r="P458" s="265"/>
      <c r="Q458" s="265"/>
      <c r="R458" s="265"/>
    </row>
    <row r="459" spans="1:21" ht="27.75" customHeight="1">
      <c r="A459" s="204" t="str">
        <f>IF(ISBLANK(D459)," ",384-COUNTBLANK($D$6:D459))</f>
        <v xml:space="preserve"> </v>
      </c>
      <c r="B459" s="202"/>
      <c r="C459" s="202"/>
      <c r="D459" s="202"/>
      <c r="E459" s="300"/>
      <c r="F459" s="210"/>
      <c r="G459" s="203"/>
      <c r="H459" s="203"/>
      <c r="I459" s="291"/>
      <c r="J459" s="263" t="str">
        <f t="shared" si="7"/>
        <v/>
      </c>
      <c r="K459" s="264"/>
      <c r="L459" s="265"/>
      <c r="M459" s="265"/>
      <c r="N459" s="265"/>
      <c r="O459" s="265"/>
      <c r="P459" s="265"/>
      <c r="Q459" s="265"/>
      <c r="R459" s="265"/>
    </row>
    <row r="460" spans="1:21" ht="27.75" customHeight="1">
      <c r="A460" s="204" t="str">
        <f>IF(ISBLANK(D460)," ",385-COUNTBLANK($D$6:D460))</f>
        <v xml:space="preserve"> </v>
      </c>
      <c r="B460" s="202"/>
      <c r="C460" s="202"/>
      <c r="D460" s="202"/>
      <c r="E460" s="300"/>
      <c r="F460" s="210"/>
      <c r="G460" s="203"/>
      <c r="H460" s="203"/>
      <c r="I460" s="291"/>
      <c r="J460" s="263" t="str">
        <f t="shared" si="7"/>
        <v/>
      </c>
      <c r="K460" s="264"/>
      <c r="L460" s="265"/>
      <c r="M460" s="265"/>
      <c r="N460" s="265"/>
      <c r="O460" s="265"/>
      <c r="P460" s="265"/>
      <c r="Q460" s="265"/>
      <c r="R460" s="265"/>
    </row>
    <row r="461" spans="1:21" ht="27.75" customHeight="1">
      <c r="A461" s="204" t="str">
        <f>IF(ISBLANK(D461)," ",386-COUNTBLANK($D$6:D461))</f>
        <v xml:space="preserve"> </v>
      </c>
      <c r="B461" s="202"/>
      <c r="C461" s="202"/>
      <c r="D461" s="202"/>
      <c r="E461" s="300"/>
      <c r="F461" s="210"/>
      <c r="G461" s="203"/>
      <c r="H461" s="203"/>
      <c r="I461" s="291"/>
      <c r="J461" s="263" t="str">
        <f t="shared" si="7"/>
        <v/>
      </c>
      <c r="K461" s="264"/>
      <c r="L461" s="265"/>
      <c r="M461" s="265"/>
      <c r="N461" s="265"/>
      <c r="O461" s="265"/>
      <c r="P461" s="265"/>
      <c r="Q461" s="265"/>
      <c r="R461" s="265"/>
    </row>
    <row r="462" spans="1:21" ht="27.75" customHeight="1">
      <c r="A462" s="204" t="str">
        <f>IF(ISBLANK(D462)," ",387-COUNTBLANK($D$6:D462))</f>
        <v xml:space="preserve"> </v>
      </c>
      <c r="B462" s="202"/>
      <c r="C462" s="202"/>
      <c r="D462" s="202"/>
      <c r="E462" s="300"/>
      <c r="F462" s="210"/>
      <c r="G462" s="203"/>
      <c r="H462" s="203"/>
      <c r="I462" s="291"/>
      <c r="J462" s="263" t="str">
        <f t="shared" si="7"/>
        <v/>
      </c>
      <c r="K462" s="264"/>
      <c r="L462" s="265"/>
      <c r="M462" s="265"/>
      <c r="N462" s="265"/>
      <c r="O462" s="265"/>
      <c r="P462" s="265"/>
      <c r="Q462" s="265"/>
      <c r="R462" s="265"/>
    </row>
    <row r="463" spans="1:21" ht="27.75" customHeight="1">
      <c r="A463" s="204" t="str">
        <f>IF(ISBLANK(D463)," ",388-COUNTBLANK($D$6:D463))</f>
        <v xml:space="preserve"> </v>
      </c>
      <c r="B463" s="202"/>
      <c r="C463" s="202"/>
      <c r="D463" s="202"/>
      <c r="E463" s="300"/>
      <c r="F463" s="210"/>
      <c r="G463" s="203"/>
      <c r="H463" s="203"/>
      <c r="I463" s="291"/>
      <c r="J463" s="263" t="str">
        <f t="shared" si="7"/>
        <v/>
      </c>
      <c r="K463" s="264"/>
      <c r="L463" s="265"/>
      <c r="M463" s="265"/>
      <c r="N463" s="265"/>
      <c r="O463" s="265"/>
      <c r="P463" s="265"/>
      <c r="Q463" s="265"/>
      <c r="R463" s="265"/>
    </row>
    <row r="464" spans="1:21" ht="27.75" customHeight="1">
      <c r="A464" s="204" t="str">
        <f>IF(ISBLANK(D464)," ",389-COUNTBLANK($D$6:D464))</f>
        <v xml:space="preserve"> </v>
      </c>
      <c r="B464" s="202"/>
      <c r="C464" s="202"/>
      <c r="D464" s="202"/>
      <c r="E464" s="300"/>
      <c r="F464" s="210"/>
      <c r="G464" s="203"/>
      <c r="H464" s="203"/>
      <c r="I464" s="291"/>
      <c r="J464" s="263" t="str">
        <f t="shared" si="7"/>
        <v/>
      </c>
      <c r="K464" s="264"/>
      <c r="L464" s="265"/>
      <c r="M464" s="265"/>
      <c r="N464" s="265"/>
      <c r="O464" s="265"/>
      <c r="P464" s="265"/>
      <c r="Q464" s="265"/>
      <c r="R464" s="265"/>
    </row>
    <row r="465" spans="1:21" ht="27.75" customHeight="1">
      <c r="A465" s="204" t="str">
        <f>IF(ISBLANK(D465)," ",390-COUNTBLANK($D$6:D465))</f>
        <v xml:space="preserve"> </v>
      </c>
      <c r="B465" s="202"/>
      <c r="C465" s="202"/>
      <c r="D465" s="202"/>
      <c r="E465" s="300"/>
      <c r="F465" s="210"/>
      <c r="G465" s="203"/>
      <c r="H465" s="203"/>
      <c r="I465" s="291"/>
      <c r="J465" s="263" t="str">
        <f t="shared" si="7"/>
        <v/>
      </c>
      <c r="K465" s="264"/>
      <c r="L465" s="265"/>
      <c r="M465" s="265"/>
      <c r="N465" s="265"/>
      <c r="O465" s="265"/>
      <c r="P465" s="265"/>
      <c r="Q465" s="265"/>
      <c r="R465" s="265"/>
    </row>
    <row r="466" spans="1:21" ht="27.75" customHeight="1">
      <c r="A466" s="204" t="str">
        <f>IF(ISBLANK(D466)," ",391-COUNTBLANK($D$6:D466))</f>
        <v xml:space="preserve"> </v>
      </c>
      <c r="B466" s="202"/>
      <c r="C466" s="202"/>
      <c r="D466" s="202"/>
      <c r="E466" s="300"/>
      <c r="F466" s="210"/>
      <c r="G466" s="203"/>
      <c r="H466" s="203"/>
      <c r="I466" s="291"/>
      <c r="J466" s="263" t="str">
        <f t="shared" si="7"/>
        <v/>
      </c>
      <c r="K466" s="264"/>
      <c r="L466" s="265"/>
      <c r="M466" s="265"/>
      <c r="N466" s="265"/>
      <c r="O466" s="265"/>
      <c r="P466" s="265"/>
      <c r="Q466" s="265"/>
      <c r="R466" s="265"/>
    </row>
    <row r="467" spans="1:21" ht="27.75" customHeight="1">
      <c r="A467" s="204" t="str">
        <f>IF(ISBLANK(D467)," ",392-COUNTBLANK($D$6:D467))</f>
        <v xml:space="preserve"> </v>
      </c>
      <c r="B467" s="202"/>
      <c r="C467" s="202"/>
      <c r="D467" s="202"/>
      <c r="E467" s="300"/>
      <c r="F467" s="210"/>
      <c r="G467" s="203"/>
      <c r="H467" s="203"/>
      <c r="I467" s="291"/>
      <c r="J467" s="263" t="str">
        <f t="shared" si="7"/>
        <v/>
      </c>
      <c r="K467" s="264"/>
      <c r="L467" s="265"/>
      <c r="M467" s="265"/>
      <c r="N467" s="265"/>
      <c r="O467" s="265"/>
      <c r="P467" s="265"/>
      <c r="Q467" s="265"/>
      <c r="R467" s="265"/>
    </row>
    <row r="468" spans="1:21" ht="27.75" customHeight="1">
      <c r="A468" s="204" t="str">
        <f>IF(ISBLANK(D468)," ",393-COUNTBLANK($D$6:D468))</f>
        <v xml:space="preserve"> </v>
      </c>
      <c r="B468" s="202"/>
      <c r="C468" s="202"/>
      <c r="D468" s="202"/>
      <c r="E468" s="300"/>
      <c r="F468" s="210"/>
      <c r="G468" s="203"/>
      <c r="H468" s="203"/>
      <c r="I468" s="291"/>
      <c r="J468" s="263" t="str">
        <f t="shared" si="7"/>
        <v/>
      </c>
      <c r="K468" s="264"/>
      <c r="L468" s="265"/>
      <c r="M468" s="265"/>
      <c r="N468" s="265"/>
      <c r="O468" s="265"/>
      <c r="P468" s="265"/>
      <c r="Q468" s="265"/>
      <c r="R468" s="265"/>
    </row>
    <row r="469" spans="1:21" ht="27.75" customHeight="1">
      <c r="A469" s="204" t="str">
        <f>IF(ISBLANK(D469)," ",394-COUNTBLANK($D$6:D469))</f>
        <v xml:space="preserve"> </v>
      </c>
      <c r="B469" s="202"/>
      <c r="C469" s="202"/>
      <c r="D469" s="202"/>
      <c r="E469" s="300"/>
      <c r="F469" s="210"/>
      <c r="G469" s="203"/>
      <c r="H469" s="203"/>
      <c r="I469" s="291"/>
      <c r="J469" s="263" t="str">
        <f t="shared" si="7"/>
        <v/>
      </c>
      <c r="K469" s="264"/>
      <c r="L469" s="265"/>
      <c r="M469" s="265"/>
      <c r="N469" s="265"/>
      <c r="O469" s="265"/>
      <c r="P469" s="265"/>
      <c r="Q469" s="265"/>
      <c r="R469" s="265"/>
    </row>
    <row r="470" spans="1:21" ht="27.75" customHeight="1">
      <c r="A470" s="204" t="str">
        <f>IF(ISBLANK(D470)," ",395-COUNTBLANK($D$6:D470))</f>
        <v xml:space="preserve"> </v>
      </c>
      <c r="B470" s="202"/>
      <c r="C470" s="202"/>
      <c r="D470" s="202"/>
      <c r="E470" s="300"/>
      <c r="F470" s="210"/>
      <c r="G470" s="203"/>
      <c r="H470" s="203"/>
      <c r="I470" s="291"/>
      <c r="J470" s="263" t="str">
        <f t="shared" si="7"/>
        <v/>
      </c>
      <c r="K470" s="264"/>
      <c r="L470" s="265"/>
      <c r="M470" s="265"/>
      <c r="N470" s="265"/>
      <c r="O470" s="265"/>
      <c r="P470" s="265"/>
      <c r="Q470" s="265"/>
      <c r="R470" s="265"/>
    </row>
    <row r="471" spans="1:21" ht="27.75" customHeight="1">
      <c r="A471" s="204" t="str">
        <f>IF(ISBLANK(D471)," ",396-COUNTBLANK($D$6:D471))</f>
        <v xml:space="preserve"> </v>
      </c>
      <c r="B471" s="202"/>
      <c r="C471" s="202"/>
      <c r="D471" s="202"/>
      <c r="E471" s="300"/>
      <c r="F471" s="210"/>
      <c r="G471" s="203"/>
      <c r="H471" s="203"/>
      <c r="I471" s="291"/>
      <c r="J471" s="263" t="str">
        <f t="shared" si="7"/>
        <v/>
      </c>
      <c r="K471" s="266"/>
      <c r="L471" s="265"/>
      <c r="M471" s="265"/>
      <c r="N471" s="265"/>
      <c r="O471" s="265"/>
      <c r="P471" s="265"/>
      <c r="Q471" s="265"/>
      <c r="R471" s="267"/>
    </row>
    <row r="472" spans="1:21" ht="27.75" customHeight="1">
      <c r="A472" s="204" t="str">
        <f>IF(ISBLANK(D472)," ",397-COUNTBLANK($D$6:D472))</f>
        <v xml:space="preserve"> </v>
      </c>
      <c r="B472" s="202"/>
      <c r="C472" s="202"/>
      <c r="D472" s="202"/>
      <c r="E472" s="300"/>
      <c r="F472" s="210"/>
      <c r="G472" s="203"/>
      <c r="H472" s="203"/>
      <c r="I472" s="291"/>
      <c r="J472" s="263" t="str">
        <f t="shared" si="7"/>
        <v/>
      </c>
      <c r="K472" s="266"/>
      <c r="L472" s="265"/>
      <c r="M472" s="265"/>
      <c r="N472" s="265"/>
      <c r="O472" s="265"/>
      <c r="P472" s="265"/>
      <c r="Q472" s="265"/>
      <c r="R472" s="267"/>
    </row>
    <row r="473" spans="1:21" ht="27.75" customHeight="1">
      <c r="A473" s="204" t="str">
        <f>IF(ISBLANK(D473)," ",398-COUNTBLANK($D$6:D473))</f>
        <v xml:space="preserve"> </v>
      </c>
      <c r="B473" s="202"/>
      <c r="C473" s="202"/>
      <c r="D473" s="202"/>
      <c r="E473" s="300"/>
      <c r="F473" s="210"/>
      <c r="G473" s="203"/>
      <c r="H473" s="203"/>
      <c r="I473" s="291"/>
      <c r="J473" s="263" t="str">
        <f t="shared" si="7"/>
        <v/>
      </c>
      <c r="K473" s="266"/>
      <c r="L473" s="265"/>
      <c r="M473" s="265"/>
      <c r="N473" s="265"/>
      <c r="O473" s="265"/>
      <c r="P473" s="265"/>
      <c r="Q473" s="265"/>
      <c r="R473" s="267"/>
    </row>
    <row r="474" spans="1:21" ht="27.75" customHeight="1">
      <c r="A474" s="304" t="str">
        <f>IF(ISBLANK(D474)," ",400-COUNTBLANK($D$6:D474))</f>
        <v xml:space="preserve"> </v>
      </c>
      <c r="B474" s="296"/>
      <c r="C474" s="305"/>
      <c r="D474" s="306"/>
      <c r="E474" s="297"/>
      <c r="F474" s="298"/>
      <c r="G474" s="282"/>
      <c r="H474" s="282"/>
      <c r="I474" s="303"/>
      <c r="J474" s="263" t="str">
        <f t="shared" si="7"/>
        <v/>
      </c>
      <c r="K474" s="264"/>
      <c r="L474" s="265"/>
      <c r="M474" s="265"/>
      <c r="N474" s="265"/>
      <c r="O474" s="265"/>
      <c r="P474" s="265"/>
      <c r="Q474" s="265"/>
      <c r="R474" s="284"/>
      <c r="S474" s="265"/>
      <c r="T474" s="265"/>
      <c r="U474" s="265"/>
    </row>
    <row r="475" spans="1:21" ht="27.75" customHeight="1">
      <c r="A475" s="260" t="str">
        <f>IF(ISBLANK(D475)," ",401-COUNTBLANK($D$6:D475))</f>
        <v xml:space="preserve"> </v>
      </c>
      <c r="B475" s="200"/>
      <c r="C475" s="200"/>
      <c r="D475" s="200"/>
      <c r="E475" s="299"/>
      <c r="F475" s="209"/>
      <c r="G475" s="201"/>
      <c r="H475" s="201"/>
      <c r="I475" s="291"/>
      <c r="J475" s="263" t="str">
        <f t="shared" si="7"/>
        <v/>
      </c>
      <c r="K475" s="266"/>
      <c r="L475" s="265"/>
      <c r="M475" s="265"/>
      <c r="N475" s="265"/>
      <c r="O475" s="265"/>
      <c r="P475" s="265"/>
      <c r="Q475" s="265"/>
      <c r="R475" s="284"/>
      <c r="S475" s="265"/>
      <c r="T475" s="265"/>
      <c r="U475" s="265"/>
    </row>
    <row r="476" spans="1:21" ht="27.75" customHeight="1">
      <c r="A476" s="204" t="str">
        <f>IF(ISBLANK(D476)," ",402-COUNTBLANK($D$6:D476))</f>
        <v xml:space="preserve"> </v>
      </c>
      <c r="B476" s="202"/>
      <c r="C476" s="202"/>
      <c r="D476" s="202"/>
      <c r="E476" s="300"/>
      <c r="F476" s="210"/>
      <c r="G476" s="203"/>
      <c r="H476" s="203"/>
      <c r="I476" s="291"/>
      <c r="J476" s="263" t="str">
        <f t="shared" si="7"/>
        <v/>
      </c>
      <c r="K476" s="264"/>
      <c r="L476" s="265"/>
      <c r="M476" s="265"/>
      <c r="N476" s="265"/>
      <c r="O476" s="265"/>
      <c r="P476" s="265"/>
      <c r="Q476" s="265"/>
      <c r="R476" s="265"/>
    </row>
    <row r="477" spans="1:21" ht="27.75" customHeight="1">
      <c r="A477" s="204" t="str">
        <f>IF(ISBLANK(D477)," ",403-COUNTBLANK($D$6:D477))</f>
        <v xml:space="preserve"> </v>
      </c>
      <c r="B477" s="202"/>
      <c r="C477" s="202"/>
      <c r="D477" s="202"/>
      <c r="E477" s="300"/>
      <c r="F477" s="210"/>
      <c r="G477" s="203"/>
      <c r="H477" s="203"/>
      <c r="I477" s="291"/>
      <c r="J477" s="263" t="str">
        <f t="shared" si="7"/>
        <v/>
      </c>
      <c r="K477" s="264"/>
      <c r="L477" s="265"/>
      <c r="M477" s="265"/>
      <c r="N477" s="265"/>
      <c r="O477" s="265"/>
      <c r="P477" s="265"/>
      <c r="Q477" s="265"/>
      <c r="R477" s="265"/>
    </row>
    <row r="478" spans="1:21" ht="27.75" customHeight="1">
      <c r="A478" s="204" t="str">
        <f>IF(ISBLANK(D478)," ",404-COUNTBLANK($D$6:D478))</f>
        <v xml:space="preserve"> </v>
      </c>
      <c r="B478" s="202"/>
      <c r="C478" s="202"/>
      <c r="D478" s="202"/>
      <c r="E478" s="300"/>
      <c r="F478" s="210"/>
      <c r="G478" s="203"/>
      <c r="H478" s="203"/>
      <c r="I478" s="291"/>
      <c r="J478" s="263" t="str">
        <f t="shared" si="7"/>
        <v/>
      </c>
      <c r="K478" s="264"/>
      <c r="L478" s="265"/>
      <c r="M478" s="265"/>
      <c r="N478" s="265"/>
      <c r="O478" s="265"/>
      <c r="P478" s="265"/>
      <c r="Q478" s="265"/>
      <c r="R478" s="265"/>
    </row>
    <row r="479" spans="1:21" ht="27.75" customHeight="1">
      <c r="A479" s="204" t="str">
        <f>IF(ISBLANK(D479)," ",405-COUNTBLANK($D$6:D479))</f>
        <v xml:space="preserve"> </v>
      </c>
      <c r="B479" s="202"/>
      <c r="C479" s="202"/>
      <c r="D479" s="202"/>
      <c r="E479" s="300"/>
      <c r="F479" s="210"/>
      <c r="G479" s="203"/>
      <c r="H479" s="203"/>
      <c r="I479" s="291"/>
      <c r="J479" s="263" t="str">
        <f t="shared" si="7"/>
        <v/>
      </c>
      <c r="K479" s="264"/>
      <c r="L479" s="265"/>
      <c r="M479" s="265"/>
      <c r="N479" s="265"/>
      <c r="O479" s="265"/>
      <c r="P479" s="265"/>
      <c r="Q479" s="265"/>
      <c r="R479" s="265"/>
    </row>
    <row r="480" spans="1:21" ht="27.75" customHeight="1">
      <c r="A480" s="204" t="str">
        <f>IF(ISBLANK(D480)," ",406-COUNTBLANK($D$6:D480))</f>
        <v xml:space="preserve"> </v>
      </c>
      <c r="B480" s="202"/>
      <c r="C480" s="202"/>
      <c r="D480" s="202"/>
      <c r="E480" s="300"/>
      <c r="F480" s="210"/>
      <c r="G480" s="203"/>
      <c r="H480" s="203"/>
      <c r="I480" s="291"/>
      <c r="J480" s="263" t="str">
        <f t="shared" si="7"/>
        <v/>
      </c>
      <c r="K480" s="264"/>
      <c r="L480" s="265"/>
      <c r="M480" s="265"/>
      <c r="N480" s="265"/>
      <c r="O480" s="265"/>
      <c r="P480" s="265"/>
      <c r="Q480" s="265"/>
      <c r="R480" s="265"/>
    </row>
    <row r="481" spans="1:21" ht="27.75" customHeight="1">
      <c r="A481" s="204" t="str">
        <f>IF(ISBLANK(D481)," ",407-COUNTBLANK($D$6:D481))</f>
        <v xml:space="preserve"> </v>
      </c>
      <c r="B481" s="202"/>
      <c r="C481" s="202"/>
      <c r="D481" s="202"/>
      <c r="E481" s="300"/>
      <c r="F481" s="210"/>
      <c r="G481" s="203"/>
      <c r="H481" s="203"/>
      <c r="I481" s="291"/>
      <c r="J481" s="263" t="str">
        <f t="shared" si="7"/>
        <v/>
      </c>
      <c r="K481" s="264"/>
      <c r="L481" s="265"/>
      <c r="M481" s="265"/>
      <c r="N481" s="265"/>
      <c r="O481" s="265"/>
      <c r="P481" s="265"/>
      <c r="Q481" s="265"/>
      <c r="R481" s="265"/>
    </row>
    <row r="482" spans="1:21" ht="27.75" customHeight="1">
      <c r="A482" s="204" t="str">
        <f>IF(ISBLANK(D482)," ",408-COUNTBLANK($D$6:D482))</f>
        <v xml:space="preserve"> </v>
      </c>
      <c r="B482" s="202"/>
      <c r="C482" s="202"/>
      <c r="D482" s="202"/>
      <c r="E482" s="300"/>
      <c r="F482" s="210"/>
      <c r="G482" s="203"/>
      <c r="H482" s="203"/>
      <c r="I482" s="291"/>
      <c r="J482" s="263" t="str">
        <f t="shared" si="7"/>
        <v/>
      </c>
      <c r="K482" s="264"/>
      <c r="L482" s="265"/>
      <c r="M482" s="265"/>
      <c r="N482" s="265"/>
      <c r="O482" s="265"/>
      <c r="P482" s="265"/>
      <c r="Q482" s="265"/>
      <c r="R482" s="265"/>
    </row>
    <row r="483" spans="1:21" ht="27.75" customHeight="1">
      <c r="A483" s="204" t="str">
        <f>IF(ISBLANK(D483)," ",409-COUNTBLANK($D$6:D483))</f>
        <v xml:space="preserve"> </v>
      </c>
      <c r="B483" s="202"/>
      <c r="C483" s="202"/>
      <c r="D483" s="202"/>
      <c r="E483" s="300"/>
      <c r="F483" s="210"/>
      <c r="G483" s="203"/>
      <c r="H483" s="203"/>
      <c r="I483" s="291"/>
      <c r="J483" s="263" t="str">
        <f t="shared" si="7"/>
        <v/>
      </c>
      <c r="K483" s="264"/>
      <c r="L483" s="265"/>
      <c r="M483" s="265"/>
      <c r="N483" s="265"/>
      <c r="O483" s="265"/>
      <c r="P483" s="265"/>
      <c r="Q483" s="265"/>
      <c r="R483" s="265"/>
    </row>
    <row r="484" spans="1:21" ht="27.75" customHeight="1">
      <c r="A484" s="204" t="str">
        <f>IF(ISBLANK(D484)," ",410-COUNTBLANK($D$6:D484))</f>
        <v xml:space="preserve"> </v>
      </c>
      <c r="B484" s="202"/>
      <c r="C484" s="202"/>
      <c r="D484" s="202"/>
      <c r="E484" s="300"/>
      <c r="F484" s="210"/>
      <c r="G484" s="203"/>
      <c r="H484" s="203"/>
      <c r="I484" s="291"/>
      <c r="J484" s="263" t="str">
        <f t="shared" si="7"/>
        <v/>
      </c>
      <c r="K484" s="264"/>
      <c r="L484" s="265"/>
      <c r="M484" s="265"/>
      <c r="N484" s="265"/>
      <c r="O484" s="265"/>
      <c r="P484" s="265"/>
      <c r="Q484" s="265"/>
      <c r="R484" s="265"/>
    </row>
    <row r="485" spans="1:21" ht="27.75" customHeight="1">
      <c r="A485" s="204" t="str">
        <f>IF(ISBLANK(D485)," ",411-COUNTBLANK($D$6:D485))</f>
        <v xml:space="preserve"> </v>
      </c>
      <c r="B485" s="202"/>
      <c r="C485" s="202"/>
      <c r="D485" s="202"/>
      <c r="E485" s="300"/>
      <c r="F485" s="210"/>
      <c r="G485" s="203"/>
      <c r="H485" s="203"/>
      <c r="I485" s="291"/>
      <c r="J485" s="263" t="str">
        <f t="shared" si="7"/>
        <v/>
      </c>
      <c r="K485" s="264"/>
      <c r="L485" s="265"/>
      <c r="M485" s="265"/>
      <c r="N485" s="265"/>
      <c r="O485" s="265"/>
      <c r="P485" s="265"/>
      <c r="Q485" s="265"/>
      <c r="R485" s="265"/>
    </row>
    <row r="486" spans="1:21" ht="27.75" customHeight="1">
      <c r="A486" s="204" t="str">
        <f>IF(ISBLANK(D486)," ",412-COUNTBLANK($D$6:D486))</f>
        <v xml:space="preserve"> </v>
      </c>
      <c r="B486" s="202"/>
      <c r="C486" s="202"/>
      <c r="D486" s="202"/>
      <c r="E486" s="300"/>
      <c r="F486" s="210"/>
      <c r="G486" s="203"/>
      <c r="H486" s="203"/>
      <c r="I486" s="291"/>
      <c r="J486" s="263" t="str">
        <f t="shared" si="7"/>
        <v/>
      </c>
      <c r="K486" s="264"/>
      <c r="L486" s="265"/>
      <c r="M486" s="265"/>
      <c r="N486" s="265"/>
      <c r="O486" s="265"/>
      <c r="P486" s="265"/>
      <c r="Q486" s="265"/>
      <c r="R486" s="265"/>
    </row>
    <row r="487" spans="1:21" ht="27.75" customHeight="1">
      <c r="A487" s="204" t="str">
        <f>IF(ISBLANK(D487)," ",413-COUNTBLANK($D$6:D487))</f>
        <v xml:space="preserve"> </v>
      </c>
      <c r="B487" s="202"/>
      <c r="C487" s="202"/>
      <c r="D487" s="202"/>
      <c r="E487" s="300"/>
      <c r="F487" s="210"/>
      <c r="G487" s="203"/>
      <c r="H487" s="203"/>
      <c r="I487" s="291"/>
      <c r="J487" s="263" t="str">
        <f t="shared" si="7"/>
        <v/>
      </c>
      <c r="K487" s="264"/>
      <c r="L487" s="265"/>
      <c r="M487" s="265"/>
      <c r="N487" s="265"/>
      <c r="O487" s="265"/>
      <c r="P487" s="265"/>
      <c r="Q487" s="265"/>
      <c r="R487" s="265"/>
    </row>
    <row r="488" spans="1:21" ht="27.75" customHeight="1">
      <c r="A488" s="204" t="str">
        <f>IF(ISBLANK(D488)," ",414-COUNTBLANK($D$6:D488))</f>
        <v xml:space="preserve"> </v>
      </c>
      <c r="B488" s="202"/>
      <c r="C488" s="202"/>
      <c r="D488" s="202"/>
      <c r="E488" s="300"/>
      <c r="F488" s="210"/>
      <c r="G488" s="203"/>
      <c r="H488" s="203"/>
      <c r="I488" s="291"/>
      <c r="J488" s="263" t="str">
        <f t="shared" si="7"/>
        <v/>
      </c>
      <c r="K488" s="264"/>
      <c r="L488" s="265"/>
      <c r="M488" s="265"/>
      <c r="N488" s="265"/>
      <c r="O488" s="265"/>
      <c r="P488" s="265"/>
      <c r="Q488" s="265"/>
      <c r="R488" s="265"/>
    </row>
    <row r="489" spans="1:21" ht="27.75" customHeight="1">
      <c r="A489" s="204" t="str">
        <f>IF(ISBLANK(D489)," ",415-COUNTBLANK($D$6:D489))</f>
        <v xml:space="preserve"> </v>
      </c>
      <c r="B489" s="202"/>
      <c r="C489" s="202"/>
      <c r="D489" s="202"/>
      <c r="E489" s="300"/>
      <c r="F489" s="210"/>
      <c r="G489" s="203"/>
      <c r="H489" s="203"/>
      <c r="I489" s="291"/>
      <c r="J489" s="263" t="str">
        <f t="shared" si="7"/>
        <v/>
      </c>
      <c r="K489" s="264"/>
      <c r="L489" s="265"/>
      <c r="M489" s="265"/>
      <c r="N489" s="265"/>
      <c r="O489" s="265"/>
      <c r="P489" s="265"/>
      <c r="Q489" s="265"/>
      <c r="R489" s="265"/>
    </row>
    <row r="490" spans="1:21" ht="27.75" customHeight="1">
      <c r="A490" s="204" t="str">
        <f>IF(ISBLANK(D490)," ",416-COUNTBLANK($D$6:D490))</f>
        <v xml:space="preserve"> </v>
      </c>
      <c r="B490" s="202"/>
      <c r="C490" s="202"/>
      <c r="D490" s="202"/>
      <c r="E490" s="300"/>
      <c r="F490" s="210"/>
      <c r="G490" s="203"/>
      <c r="H490" s="203"/>
      <c r="I490" s="291"/>
      <c r="J490" s="263" t="str">
        <f t="shared" si="7"/>
        <v/>
      </c>
      <c r="K490" s="264"/>
      <c r="L490" s="265"/>
      <c r="M490" s="265"/>
      <c r="N490" s="265"/>
      <c r="O490" s="265"/>
      <c r="P490" s="265"/>
      <c r="Q490" s="265"/>
      <c r="R490" s="265"/>
    </row>
    <row r="491" spans="1:21" ht="27.75" customHeight="1">
      <c r="A491" s="204" t="str">
        <f>IF(ISBLANK(D491)," ",417-COUNTBLANK($D$6:D491))</f>
        <v xml:space="preserve"> </v>
      </c>
      <c r="B491" s="202"/>
      <c r="C491" s="202"/>
      <c r="D491" s="202"/>
      <c r="E491" s="300"/>
      <c r="F491" s="210"/>
      <c r="G491" s="203"/>
      <c r="H491" s="203"/>
      <c r="I491" s="291"/>
      <c r="J491" s="263" t="str">
        <f t="shared" si="7"/>
        <v/>
      </c>
      <c r="K491" s="266"/>
      <c r="L491" s="265"/>
      <c r="M491" s="265"/>
      <c r="N491" s="265"/>
      <c r="O491" s="265"/>
      <c r="P491" s="265"/>
      <c r="Q491" s="265"/>
      <c r="R491" s="267"/>
    </row>
    <row r="492" spans="1:21" ht="27.75" customHeight="1">
      <c r="A492" s="204" t="str">
        <f>IF(ISBLANK(D492)," ",418-COUNTBLANK($D$6:D492))</f>
        <v xml:space="preserve"> </v>
      </c>
      <c r="B492" s="202"/>
      <c r="C492" s="202"/>
      <c r="D492" s="202"/>
      <c r="E492" s="300"/>
      <c r="F492" s="210"/>
      <c r="G492" s="203"/>
      <c r="H492" s="203"/>
      <c r="I492" s="291"/>
      <c r="J492" s="263" t="str">
        <f t="shared" si="7"/>
        <v/>
      </c>
      <c r="K492" s="266"/>
      <c r="L492" s="265"/>
      <c r="M492" s="265"/>
      <c r="N492" s="265"/>
      <c r="O492" s="265"/>
      <c r="P492" s="265"/>
      <c r="Q492" s="265"/>
      <c r="R492" s="267"/>
    </row>
    <row r="493" spans="1:21" ht="27.75" customHeight="1">
      <c r="A493" s="204" t="str">
        <f>IF(ISBLANK(D493)," ",419-COUNTBLANK($D$6:D493))</f>
        <v xml:space="preserve"> </v>
      </c>
      <c r="B493" s="202"/>
      <c r="C493" s="202"/>
      <c r="D493" s="202"/>
      <c r="E493" s="300"/>
      <c r="F493" s="210"/>
      <c r="G493" s="203"/>
      <c r="H493" s="203"/>
      <c r="I493" s="291"/>
      <c r="J493" s="263" t="str">
        <f t="shared" si="7"/>
        <v/>
      </c>
      <c r="K493" s="266"/>
      <c r="L493" s="265"/>
      <c r="M493" s="265"/>
      <c r="N493" s="265"/>
      <c r="O493" s="265"/>
      <c r="P493" s="265"/>
      <c r="Q493" s="265"/>
      <c r="R493" s="267"/>
    </row>
    <row r="494" spans="1:21" ht="27.75" customHeight="1">
      <c r="A494" s="304" t="str">
        <f>IF(ISBLANK(D494)," ",421-COUNTBLANK($D$6:D494))</f>
        <v xml:space="preserve"> </v>
      </c>
      <c r="B494" s="296"/>
      <c r="C494" s="305"/>
      <c r="D494" s="306"/>
      <c r="E494" s="297"/>
      <c r="F494" s="298"/>
      <c r="G494" s="282"/>
      <c r="H494" s="282"/>
      <c r="I494" s="303"/>
      <c r="J494" s="263" t="str">
        <f t="shared" si="7"/>
        <v/>
      </c>
      <c r="K494" s="264"/>
      <c r="L494" s="265"/>
      <c r="M494" s="265"/>
      <c r="N494" s="265"/>
      <c r="O494" s="265"/>
      <c r="P494" s="265"/>
      <c r="Q494" s="265"/>
      <c r="R494" s="284"/>
      <c r="S494" s="265"/>
      <c r="T494" s="265"/>
      <c r="U494" s="265"/>
    </row>
    <row r="495" spans="1:21" ht="27.75" customHeight="1">
      <c r="A495" s="240" t="str">
        <f>IF(ISBLANK(D495)," ",422-COUNTBLANK($D$6:D495))</f>
        <v xml:space="preserve"> </v>
      </c>
      <c r="J495" s="263" t="str">
        <f t="shared" si="7"/>
        <v/>
      </c>
      <c r="K495" s="266"/>
      <c r="L495" s="265"/>
      <c r="M495" s="265"/>
      <c r="N495" s="265"/>
      <c r="O495" s="265"/>
      <c r="P495" s="265"/>
      <c r="Q495" s="265"/>
      <c r="R495" s="284"/>
      <c r="S495" s="265"/>
      <c r="T495" s="265"/>
      <c r="U495" s="265"/>
    </row>
    <row r="496" spans="1:21" ht="27.75" customHeight="1">
      <c r="A496" s="240" t="str">
        <f>IF(ISBLANK(D496)," ",423-COUNTBLANK($D$6:D496))</f>
        <v xml:space="preserve"> </v>
      </c>
      <c r="J496" s="263" t="str">
        <f t="shared" si="7"/>
        <v/>
      </c>
      <c r="K496" s="264"/>
      <c r="L496" s="265"/>
      <c r="M496" s="265"/>
      <c r="N496" s="265"/>
      <c r="O496" s="265"/>
      <c r="P496" s="265"/>
      <c r="Q496" s="265"/>
      <c r="R496" s="265"/>
    </row>
    <row r="497" spans="1:18" ht="27.75" customHeight="1">
      <c r="A497" s="240" t="str">
        <f>IF(ISBLANK(D497)," ",424-COUNTBLANK($D$6:D497))</f>
        <v xml:space="preserve"> </v>
      </c>
      <c r="J497" s="263" t="str">
        <f t="shared" si="7"/>
        <v/>
      </c>
      <c r="K497" s="264"/>
      <c r="L497" s="265"/>
      <c r="M497" s="265"/>
      <c r="N497" s="265"/>
      <c r="O497" s="265"/>
      <c r="P497" s="265"/>
      <c r="Q497" s="265"/>
      <c r="R497" s="265"/>
    </row>
    <row r="498" spans="1:18" ht="27.75" customHeight="1">
      <c r="A498" s="240" t="str">
        <f>IF(ISBLANK(D498)," ",425-COUNTBLANK($D$6:D498))</f>
        <v xml:space="preserve"> </v>
      </c>
      <c r="J498" s="263" t="str">
        <f t="shared" si="7"/>
        <v/>
      </c>
      <c r="K498" s="264"/>
      <c r="L498" s="265"/>
      <c r="M498" s="265"/>
      <c r="N498" s="265"/>
      <c r="O498" s="265"/>
      <c r="P498" s="265"/>
      <c r="Q498" s="265"/>
      <c r="R498" s="265"/>
    </row>
    <row r="499" spans="1:18" ht="27.75" customHeight="1">
      <c r="A499" s="240" t="str">
        <f>IF(ISBLANK(D499)," ",426-COUNTBLANK($D$6:D499))</f>
        <v xml:space="preserve"> </v>
      </c>
      <c r="J499" s="263" t="str">
        <f t="shared" si="7"/>
        <v/>
      </c>
      <c r="K499" s="264"/>
      <c r="L499" s="265"/>
      <c r="M499" s="265"/>
      <c r="N499" s="265"/>
      <c r="O499" s="265"/>
      <c r="P499" s="265"/>
      <c r="Q499" s="265"/>
      <c r="R499" s="265"/>
    </row>
    <row r="500" spans="1:18" ht="27.75" customHeight="1">
      <c r="A500" s="240" t="str">
        <f>IF(ISBLANK(D500)," ",427-COUNTBLANK($D$6:D500))</f>
        <v xml:space="preserve"> </v>
      </c>
      <c r="J500" s="263" t="str">
        <f t="shared" si="7"/>
        <v/>
      </c>
      <c r="K500" s="264"/>
      <c r="L500" s="265"/>
      <c r="M500" s="265"/>
      <c r="N500" s="265"/>
      <c r="O500" s="265"/>
      <c r="P500" s="265"/>
      <c r="Q500" s="265"/>
      <c r="R500" s="265"/>
    </row>
    <row r="501" spans="1:18" ht="27.75" customHeight="1">
      <c r="A501" s="240" t="str">
        <f>IF(ISBLANK(D501)," ",428-COUNTBLANK($D$6:D501))</f>
        <v xml:space="preserve"> </v>
      </c>
      <c r="J501" s="263" t="str">
        <f t="shared" si="7"/>
        <v/>
      </c>
      <c r="K501" s="264"/>
      <c r="L501" s="265"/>
      <c r="M501" s="265"/>
      <c r="N501" s="265"/>
      <c r="O501" s="265"/>
      <c r="P501" s="265"/>
      <c r="Q501" s="265"/>
      <c r="R501" s="265"/>
    </row>
    <row r="502" spans="1:18" ht="27.75" customHeight="1">
      <c r="A502" s="240" t="str">
        <f>IF(ISBLANK(D502)," ",429-COUNTBLANK($D$6:D502))</f>
        <v xml:space="preserve"> </v>
      </c>
      <c r="J502" s="263" t="str">
        <f t="shared" si="7"/>
        <v/>
      </c>
      <c r="K502" s="264"/>
      <c r="L502" s="265"/>
      <c r="M502" s="265"/>
      <c r="N502" s="265"/>
      <c r="O502" s="265"/>
      <c r="P502" s="265"/>
      <c r="Q502" s="265"/>
      <c r="R502" s="265"/>
    </row>
    <row r="503" spans="1:18" ht="27.75" customHeight="1">
      <c r="A503" s="240" t="str">
        <f>IF(ISBLANK(D503)," ",430-COUNTBLANK($D$6:D503))</f>
        <v xml:space="preserve"> </v>
      </c>
      <c r="J503" s="263" t="str">
        <f t="shared" ref="J503:J566" si="8">CONCATENATE(D503,G503)</f>
        <v/>
      </c>
      <c r="K503" s="264"/>
      <c r="L503" s="265"/>
      <c r="M503" s="265"/>
      <c r="N503" s="265"/>
      <c r="O503" s="265"/>
      <c r="P503" s="265"/>
      <c r="Q503" s="265"/>
      <c r="R503" s="265"/>
    </row>
    <row r="504" spans="1:18" ht="27.75" customHeight="1">
      <c r="A504" s="240" t="str">
        <f>IF(ISBLANK(D504)," ",431-COUNTBLANK($D$6:D504))</f>
        <v xml:space="preserve"> </v>
      </c>
      <c r="J504" s="263" t="str">
        <f t="shared" si="8"/>
        <v/>
      </c>
      <c r="K504" s="264"/>
      <c r="L504" s="265"/>
      <c r="M504" s="265"/>
      <c r="N504" s="265"/>
      <c r="O504" s="265"/>
      <c r="P504" s="265"/>
      <c r="Q504" s="265"/>
      <c r="R504" s="265"/>
    </row>
    <row r="505" spans="1:18" ht="27.75" customHeight="1">
      <c r="A505" s="240" t="str">
        <f>IF(ISBLANK(D505)," ",432-COUNTBLANK($D$6:D505))</f>
        <v xml:space="preserve"> </v>
      </c>
      <c r="J505" s="263" t="str">
        <f t="shared" si="8"/>
        <v/>
      </c>
      <c r="K505" s="264"/>
      <c r="L505" s="265"/>
      <c r="M505" s="265"/>
      <c r="N505" s="265"/>
      <c r="O505" s="265"/>
      <c r="P505" s="265"/>
      <c r="Q505" s="265"/>
      <c r="R505" s="265"/>
    </row>
    <row r="506" spans="1:18" ht="27.75" customHeight="1">
      <c r="A506" s="240" t="str">
        <f>IF(ISBLANK(D506)," ",433-COUNTBLANK($D$6:D506))</f>
        <v xml:space="preserve"> </v>
      </c>
      <c r="J506" s="263" t="str">
        <f t="shared" si="8"/>
        <v/>
      </c>
      <c r="K506" s="264"/>
      <c r="L506" s="265"/>
      <c r="M506" s="265"/>
      <c r="N506" s="265"/>
      <c r="O506" s="265"/>
      <c r="P506" s="265"/>
      <c r="Q506" s="265"/>
      <c r="R506" s="265"/>
    </row>
    <row r="507" spans="1:18" ht="27.75" customHeight="1">
      <c r="A507" s="240" t="str">
        <f>IF(ISBLANK(D507)," ",434-COUNTBLANK($D$6:D507))</f>
        <v xml:space="preserve"> </v>
      </c>
      <c r="J507" s="263" t="str">
        <f t="shared" si="8"/>
        <v/>
      </c>
      <c r="K507" s="264"/>
      <c r="L507" s="265"/>
      <c r="M507" s="265"/>
      <c r="N507" s="265"/>
      <c r="O507" s="265"/>
      <c r="P507" s="265"/>
      <c r="Q507" s="265"/>
      <c r="R507" s="265"/>
    </row>
    <row r="508" spans="1:18" ht="27.75" customHeight="1">
      <c r="A508" s="240" t="str">
        <f>IF(ISBLANK(D508)," ",435-COUNTBLANK($D$6:D508))</f>
        <v xml:space="preserve"> </v>
      </c>
      <c r="J508" s="263" t="str">
        <f t="shared" si="8"/>
        <v/>
      </c>
      <c r="K508" s="264"/>
      <c r="L508" s="265"/>
      <c r="M508" s="265"/>
      <c r="N508" s="265"/>
      <c r="O508" s="265"/>
      <c r="P508" s="265"/>
      <c r="Q508" s="265"/>
      <c r="R508" s="265"/>
    </row>
    <row r="509" spans="1:18" ht="27.75" customHeight="1">
      <c r="A509" s="240" t="str">
        <f>IF(ISBLANK(D509)," ",436-COUNTBLANK($D$6:D509))</f>
        <v xml:space="preserve"> </v>
      </c>
      <c r="J509" s="263" t="str">
        <f t="shared" si="8"/>
        <v/>
      </c>
      <c r="K509" s="264"/>
      <c r="L509" s="265"/>
      <c r="M509" s="265"/>
      <c r="N509" s="265"/>
      <c r="O509" s="265"/>
      <c r="P509" s="265"/>
      <c r="Q509" s="265"/>
      <c r="R509" s="265"/>
    </row>
    <row r="510" spans="1:18" ht="27.75" customHeight="1">
      <c r="A510" s="240" t="str">
        <f>IF(ISBLANK(D510)," ",437-COUNTBLANK($D$6:D510))</f>
        <v xml:space="preserve"> </v>
      </c>
      <c r="J510" s="263" t="str">
        <f t="shared" si="8"/>
        <v/>
      </c>
      <c r="K510" s="264"/>
      <c r="L510" s="265"/>
      <c r="M510" s="265"/>
      <c r="N510" s="265"/>
      <c r="O510" s="265"/>
      <c r="P510" s="265"/>
      <c r="Q510" s="265"/>
      <c r="R510" s="265"/>
    </row>
    <row r="511" spans="1:18" ht="27.75" customHeight="1">
      <c r="A511" s="240" t="str">
        <f>IF(ISBLANK(D511)," ",438-COUNTBLANK($D$6:D511))</f>
        <v xml:space="preserve"> </v>
      </c>
      <c r="J511" s="263" t="str">
        <f t="shared" si="8"/>
        <v/>
      </c>
      <c r="K511" s="266"/>
      <c r="L511" s="265"/>
      <c r="M511" s="265"/>
      <c r="N511" s="265"/>
      <c r="O511" s="265"/>
      <c r="P511" s="265"/>
      <c r="Q511" s="265"/>
      <c r="R511" s="267"/>
    </row>
    <row r="512" spans="1:18" ht="27.75" customHeight="1">
      <c r="A512" s="240" t="str">
        <f>IF(ISBLANK(D512)," ",439-COUNTBLANK($D$6:D512))</f>
        <v xml:space="preserve"> </v>
      </c>
      <c r="J512" s="263" t="str">
        <f t="shared" si="8"/>
        <v/>
      </c>
      <c r="K512" s="266"/>
      <c r="L512" s="265"/>
      <c r="M512" s="265"/>
      <c r="N512" s="265"/>
      <c r="O512" s="265"/>
      <c r="P512" s="265"/>
      <c r="Q512" s="265"/>
      <c r="R512" s="267"/>
    </row>
    <row r="513" spans="1:21" ht="27.75" customHeight="1">
      <c r="A513" s="240" t="str">
        <f>IF(ISBLANK(D513)," ",440-COUNTBLANK($D$6:D513))</f>
        <v xml:space="preserve"> </v>
      </c>
      <c r="J513" s="263" t="str">
        <f t="shared" si="8"/>
        <v/>
      </c>
      <c r="K513" s="266"/>
      <c r="L513" s="265"/>
      <c r="M513" s="265"/>
      <c r="N513" s="265"/>
      <c r="O513" s="265"/>
      <c r="P513" s="265"/>
      <c r="Q513" s="265"/>
      <c r="R513" s="267"/>
    </row>
    <row r="514" spans="1:21" ht="27.75" customHeight="1">
      <c r="A514" s="240" t="str">
        <f>IF(ISBLANK(D514)," ",442-COUNTBLANK($D$6:D514))</f>
        <v xml:space="preserve"> </v>
      </c>
      <c r="J514" s="263" t="str">
        <f t="shared" si="8"/>
        <v/>
      </c>
      <c r="K514" s="264"/>
      <c r="L514" s="265"/>
      <c r="M514" s="265"/>
      <c r="N514" s="265"/>
      <c r="O514" s="265"/>
      <c r="P514" s="265"/>
      <c r="Q514" s="265"/>
      <c r="R514" s="284"/>
      <c r="S514" s="265"/>
      <c r="T514" s="265"/>
      <c r="U514" s="265"/>
    </row>
    <row r="515" spans="1:21" ht="27.75" customHeight="1">
      <c r="A515" s="240" t="str">
        <f>IF(ISBLANK(D515)," ",443-COUNTBLANK($D$6:D515))</f>
        <v xml:space="preserve"> </v>
      </c>
      <c r="J515" s="263" t="str">
        <f t="shared" si="8"/>
        <v/>
      </c>
      <c r="K515" s="266"/>
      <c r="L515" s="265"/>
      <c r="M515" s="265"/>
      <c r="N515" s="265"/>
      <c r="O515" s="265"/>
      <c r="P515" s="265"/>
      <c r="Q515" s="265"/>
      <c r="R515" s="284"/>
      <c r="S515" s="265"/>
      <c r="T515" s="265"/>
      <c r="U515" s="265"/>
    </row>
    <row r="516" spans="1:21" ht="27.75" customHeight="1">
      <c r="A516" s="240" t="str">
        <f>IF(ISBLANK(D516)," ",444-COUNTBLANK($D$6:D516))</f>
        <v xml:space="preserve"> </v>
      </c>
      <c r="J516" s="263" t="str">
        <f t="shared" si="8"/>
        <v/>
      </c>
      <c r="K516" s="264"/>
      <c r="L516" s="265"/>
      <c r="M516" s="265"/>
      <c r="N516" s="265"/>
      <c r="O516" s="265"/>
      <c r="P516" s="265"/>
      <c r="Q516" s="265"/>
      <c r="R516" s="265"/>
    </row>
    <row r="517" spans="1:21" ht="27.75" customHeight="1">
      <c r="A517" s="240" t="str">
        <f>IF(ISBLANK(D517)," ",445-COUNTBLANK($D$6:D517))</f>
        <v xml:space="preserve"> </v>
      </c>
      <c r="J517" s="263" t="str">
        <f t="shared" si="8"/>
        <v/>
      </c>
      <c r="K517" s="264"/>
      <c r="L517" s="265"/>
      <c r="M517" s="265"/>
      <c r="N517" s="265"/>
      <c r="O517" s="265"/>
      <c r="P517" s="265"/>
      <c r="Q517" s="265"/>
      <c r="R517" s="265"/>
    </row>
    <row r="518" spans="1:21" ht="27.75" customHeight="1">
      <c r="A518" s="240" t="str">
        <f>IF(ISBLANK(D518)," ",446-COUNTBLANK($D$6:D518))</f>
        <v xml:space="preserve"> </v>
      </c>
      <c r="J518" s="263" t="str">
        <f t="shared" si="8"/>
        <v/>
      </c>
      <c r="K518" s="264"/>
      <c r="L518" s="265"/>
      <c r="M518" s="265"/>
      <c r="N518" s="265"/>
      <c r="O518" s="265"/>
      <c r="P518" s="265"/>
      <c r="Q518" s="265"/>
      <c r="R518" s="265"/>
    </row>
    <row r="519" spans="1:21" ht="27.75" customHeight="1">
      <c r="A519" s="240" t="str">
        <f>IF(ISBLANK(D519)," ",447-COUNTBLANK($D$6:D519))</f>
        <v xml:space="preserve"> </v>
      </c>
      <c r="J519" s="263" t="str">
        <f t="shared" si="8"/>
        <v/>
      </c>
      <c r="K519" s="264"/>
      <c r="L519" s="265"/>
      <c r="M519" s="265"/>
      <c r="N519" s="265"/>
      <c r="O519" s="265"/>
      <c r="P519" s="265"/>
      <c r="Q519" s="265"/>
      <c r="R519" s="265"/>
    </row>
    <row r="520" spans="1:21" ht="27.75" customHeight="1">
      <c r="A520" s="240" t="str">
        <f>IF(ISBLANK(D520)," ",448-COUNTBLANK($D$6:D520))</f>
        <v xml:space="preserve"> </v>
      </c>
      <c r="J520" s="263" t="str">
        <f t="shared" si="8"/>
        <v/>
      </c>
      <c r="K520" s="264"/>
      <c r="L520" s="265"/>
      <c r="M520" s="265"/>
      <c r="N520" s="265"/>
      <c r="O520" s="265"/>
      <c r="P520" s="265"/>
      <c r="Q520" s="265"/>
      <c r="R520" s="265"/>
    </row>
    <row r="521" spans="1:21" ht="27.75" customHeight="1">
      <c r="A521" s="240" t="str">
        <f>IF(ISBLANK(D521)," ",449-COUNTBLANK($D$6:D521))</f>
        <v xml:space="preserve"> </v>
      </c>
      <c r="J521" s="263" t="str">
        <f t="shared" si="8"/>
        <v/>
      </c>
      <c r="K521" s="264"/>
      <c r="L521" s="265"/>
      <c r="M521" s="265"/>
      <c r="N521" s="265"/>
      <c r="O521" s="265"/>
      <c r="P521" s="265"/>
      <c r="Q521" s="265"/>
      <c r="R521" s="265"/>
    </row>
    <row r="522" spans="1:21" ht="27.75" customHeight="1">
      <c r="A522" s="240" t="str">
        <f>IF(ISBLANK(D522)," ",450-COUNTBLANK($D$6:D522))</f>
        <v xml:space="preserve"> </v>
      </c>
      <c r="J522" s="263" t="str">
        <f t="shared" si="8"/>
        <v/>
      </c>
      <c r="K522" s="264"/>
      <c r="L522" s="265"/>
      <c r="M522" s="265"/>
      <c r="N522" s="265"/>
      <c r="O522" s="265"/>
      <c r="P522" s="265"/>
      <c r="Q522" s="265"/>
      <c r="R522" s="265"/>
    </row>
    <row r="523" spans="1:21" ht="27.75" customHeight="1">
      <c r="A523" s="240" t="str">
        <f>IF(ISBLANK(D523)," ",451-COUNTBLANK($D$6:D523))</f>
        <v xml:space="preserve"> </v>
      </c>
      <c r="J523" s="263" t="str">
        <f t="shared" si="8"/>
        <v/>
      </c>
      <c r="K523" s="264"/>
      <c r="L523" s="265"/>
      <c r="M523" s="265"/>
      <c r="N523" s="265"/>
      <c r="O523" s="265"/>
      <c r="P523" s="265"/>
      <c r="Q523" s="265"/>
      <c r="R523" s="265"/>
    </row>
    <row r="524" spans="1:21" ht="27.75" customHeight="1">
      <c r="A524" s="240" t="str">
        <f>IF(ISBLANK(D524)," ",452-COUNTBLANK($D$6:D524))</f>
        <v xml:space="preserve"> </v>
      </c>
      <c r="J524" s="263" t="str">
        <f t="shared" si="8"/>
        <v/>
      </c>
      <c r="K524" s="264"/>
      <c r="L524" s="265"/>
      <c r="M524" s="265"/>
      <c r="N524" s="265"/>
      <c r="O524" s="265"/>
      <c r="P524" s="265"/>
      <c r="Q524" s="265"/>
      <c r="R524" s="265"/>
    </row>
    <row r="525" spans="1:21" ht="27.75" customHeight="1">
      <c r="A525" s="240" t="str">
        <f>IF(ISBLANK(D525)," ",453-COUNTBLANK($D$6:D525))</f>
        <v xml:space="preserve"> </v>
      </c>
      <c r="J525" s="263" t="str">
        <f t="shared" si="8"/>
        <v/>
      </c>
      <c r="K525" s="264"/>
      <c r="L525" s="265"/>
      <c r="M525" s="265"/>
      <c r="N525" s="265"/>
      <c r="O525" s="265"/>
      <c r="P525" s="265"/>
      <c r="Q525" s="265"/>
      <c r="R525" s="265"/>
    </row>
    <row r="526" spans="1:21" ht="27.75" customHeight="1">
      <c r="A526" s="240" t="str">
        <f>IF(ISBLANK(D526)," ",454-COUNTBLANK($D$6:D526))</f>
        <v xml:space="preserve"> </v>
      </c>
      <c r="J526" s="263" t="str">
        <f t="shared" si="8"/>
        <v/>
      </c>
      <c r="K526" s="264"/>
      <c r="L526" s="265"/>
      <c r="M526" s="265"/>
      <c r="N526" s="265"/>
      <c r="O526" s="265"/>
      <c r="P526" s="265"/>
      <c r="Q526" s="265"/>
      <c r="R526" s="265"/>
    </row>
    <row r="527" spans="1:21" ht="27.75" customHeight="1">
      <c r="A527" s="240" t="str">
        <f>IF(ISBLANK(D527)," ",455-COUNTBLANK($D$6:D527))</f>
        <v xml:space="preserve"> </v>
      </c>
      <c r="J527" s="263" t="str">
        <f t="shared" si="8"/>
        <v/>
      </c>
      <c r="K527" s="264"/>
      <c r="L527" s="265"/>
      <c r="M527" s="265"/>
      <c r="N527" s="265"/>
      <c r="O527" s="265"/>
      <c r="P527" s="265"/>
      <c r="Q527" s="265"/>
      <c r="R527" s="265"/>
    </row>
    <row r="528" spans="1:21" ht="27.75" customHeight="1">
      <c r="A528" s="240" t="str">
        <f>IF(ISBLANK(D528)," ",456-COUNTBLANK($D$6:D528))</f>
        <v xml:space="preserve"> </v>
      </c>
      <c r="J528" s="263" t="str">
        <f t="shared" si="8"/>
        <v/>
      </c>
      <c r="K528" s="264"/>
      <c r="L528" s="265"/>
      <c r="M528" s="265"/>
      <c r="N528" s="265"/>
      <c r="O528" s="265"/>
      <c r="P528" s="265"/>
      <c r="Q528" s="265"/>
      <c r="R528" s="265"/>
    </row>
    <row r="529" spans="1:21" ht="27.75" customHeight="1">
      <c r="A529" s="240" t="str">
        <f>IF(ISBLANK(D529)," ",457-COUNTBLANK($D$6:D529))</f>
        <v xml:space="preserve"> </v>
      </c>
      <c r="J529" s="263" t="str">
        <f t="shared" si="8"/>
        <v/>
      </c>
      <c r="K529" s="264"/>
      <c r="L529" s="265"/>
      <c r="M529" s="265"/>
      <c r="N529" s="265"/>
      <c r="O529" s="265"/>
      <c r="P529" s="265"/>
      <c r="Q529" s="265"/>
      <c r="R529" s="265"/>
    </row>
    <row r="530" spans="1:21" ht="27.75" customHeight="1">
      <c r="A530" s="240" t="str">
        <f>IF(ISBLANK(D530)," ",458-COUNTBLANK($D$6:D530))</f>
        <v xml:space="preserve"> </v>
      </c>
      <c r="J530" s="263" t="str">
        <f t="shared" si="8"/>
        <v/>
      </c>
      <c r="K530" s="264"/>
      <c r="L530" s="265"/>
      <c r="M530" s="265"/>
      <c r="N530" s="265"/>
      <c r="O530" s="265"/>
      <c r="P530" s="265"/>
      <c r="Q530" s="265"/>
      <c r="R530" s="265"/>
    </row>
    <row r="531" spans="1:21" ht="27.75" customHeight="1">
      <c r="A531" s="240" t="str">
        <f>IF(ISBLANK(D531)," ",459-COUNTBLANK($D$6:D531))</f>
        <v xml:space="preserve"> </v>
      </c>
      <c r="J531" s="263" t="str">
        <f t="shared" si="8"/>
        <v/>
      </c>
      <c r="K531" s="266"/>
      <c r="L531" s="265"/>
      <c r="M531" s="265"/>
      <c r="N531" s="265"/>
      <c r="O531" s="265"/>
      <c r="P531" s="265"/>
      <c r="Q531" s="265"/>
      <c r="R531" s="267"/>
    </row>
    <row r="532" spans="1:21" ht="27.75" customHeight="1">
      <c r="A532" s="240" t="str">
        <f>IF(ISBLANK(D532)," ",460-COUNTBLANK($D$6:D532))</f>
        <v xml:space="preserve"> </v>
      </c>
      <c r="J532" s="263" t="str">
        <f t="shared" si="8"/>
        <v/>
      </c>
      <c r="K532" s="266"/>
      <c r="L532" s="265"/>
      <c r="M532" s="265"/>
      <c r="N532" s="265"/>
      <c r="O532" s="265"/>
      <c r="P532" s="265"/>
      <c r="Q532" s="265"/>
      <c r="R532" s="267"/>
    </row>
    <row r="533" spans="1:21" ht="27.75" customHeight="1">
      <c r="A533" s="240" t="str">
        <f>IF(ISBLANK(D533)," ",461-COUNTBLANK($D$6:D533))</f>
        <v xml:space="preserve"> </v>
      </c>
      <c r="J533" s="263" t="str">
        <f t="shared" si="8"/>
        <v/>
      </c>
      <c r="K533" s="266"/>
      <c r="L533" s="265"/>
      <c r="M533" s="265"/>
      <c r="N533" s="265"/>
      <c r="O533" s="265"/>
      <c r="P533" s="265"/>
      <c r="Q533" s="265"/>
      <c r="R533" s="267"/>
    </row>
    <row r="534" spans="1:21" ht="27.75" customHeight="1">
      <c r="A534" s="240" t="str">
        <f>IF(ISBLANK(D534)," ",463-COUNTBLANK($D$6:D534))</f>
        <v xml:space="preserve"> </v>
      </c>
      <c r="J534" s="263" t="str">
        <f t="shared" si="8"/>
        <v/>
      </c>
      <c r="K534" s="264"/>
      <c r="L534" s="265"/>
      <c r="M534" s="265"/>
      <c r="N534" s="265"/>
      <c r="O534" s="265"/>
      <c r="P534" s="265"/>
      <c r="Q534" s="265"/>
      <c r="R534" s="284"/>
      <c r="S534" s="265"/>
      <c r="T534" s="265"/>
      <c r="U534" s="265"/>
    </row>
    <row r="535" spans="1:21" ht="27.75" customHeight="1">
      <c r="A535" s="240" t="str">
        <f>IF(ISBLANK(D535)," ",464-COUNTBLANK($D$6:D535))</f>
        <v xml:space="preserve"> </v>
      </c>
      <c r="J535" s="263" t="str">
        <f t="shared" si="8"/>
        <v/>
      </c>
      <c r="K535" s="266"/>
      <c r="L535" s="265"/>
      <c r="M535" s="265"/>
      <c r="N535" s="265"/>
      <c r="O535" s="265"/>
      <c r="P535" s="265"/>
      <c r="Q535" s="265"/>
      <c r="R535" s="284"/>
      <c r="S535" s="265"/>
      <c r="T535" s="265"/>
      <c r="U535" s="265"/>
    </row>
    <row r="536" spans="1:21" ht="27.75" customHeight="1">
      <c r="A536" s="240" t="str">
        <f>IF(ISBLANK(D536)," ",465-COUNTBLANK($D$6:D536))</f>
        <v xml:space="preserve"> </v>
      </c>
      <c r="J536" s="263" t="str">
        <f t="shared" si="8"/>
        <v/>
      </c>
      <c r="K536" s="264"/>
      <c r="L536" s="265"/>
      <c r="M536" s="265"/>
      <c r="N536" s="265"/>
      <c r="O536" s="265"/>
      <c r="P536" s="265"/>
      <c r="Q536" s="265"/>
      <c r="R536" s="265"/>
    </row>
    <row r="537" spans="1:21" ht="27.75" customHeight="1">
      <c r="A537" s="240" t="str">
        <f>IF(ISBLANK(D537)," ",466-COUNTBLANK($D$6:D537))</f>
        <v xml:space="preserve"> </v>
      </c>
      <c r="J537" s="263" t="str">
        <f t="shared" si="8"/>
        <v/>
      </c>
      <c r="K537" s="264"/>
      <c r="L537" s="265"/>
      <c r="M537" s="265"/>
      <c r="N537" s="265"/>
      <c r="O537" s="265"/>
      <c r="P537" s="265"/>
      <c r="Q537" s="265"/>
      <c r="R537" s="265"/>
    </row>
    <row r="538" spans="1:21" ht="27.75" customHeight="1">
      <c r="A538" s="240" t="str">
        <f>IF(ISBLANK(D538)," ",467-COUNTBLANK($D$6:D538))</f>
        <v xml:space="preserve"> </v>
      </c>
      <c r="J538" s="263" t="str">
        <f t="shared" si="8"/>
        <v/>
      </c>
      <c r="K538" s="264"/>
      <c r="L538" s="265"/>
      <c r="M538" s="265"/>
      <c r="N538" s="265"/>
      <c r="O538" s="265"/>
      <c r="P538" s="265"/>
      <c r="Q538" s="265"/>
      <c r="R538" s="265"/>
    </row>
    <row r="539" spans="1:21" ht="27.75" customHeight="1">
      <c r="A539" s="240" t="str">
        <f>IF(ISBLANK(D539)," ",468-COUNTBLANK($D$6:D539))</f>
        <v xml:space="preserve"> </v>
      </c>
      <c r="J539" s="263" t="str">
        <f t="shared" si="8"/>
        <v/>
      </c>
      <c r="K539" s="264"/>
      <c r="L539" s="265"/>
      <c r="M539" s="265"/>
      <c r="N539" s="265"/>
      <c r="O539" s="265"/>
      <c r="P539" s="265"/>
      <c r="Q539" s="265"/>
      <c r="R539" s="265"/>
    </row>
    <row r="540" spans="1:21" ht="27.75" customHeight="1">
      <c r="A540" s="240" t="str">
        <f>IF(ISBLANK(D540)," ",469-COUNTBLANK($D$6:D540))</f>
        <v xml:space="preserve"> </v>
      </c>
      <c r="J540" s="263" t="str">
        <f t="shared" si="8"/>
        <v/>
      </c>
      <c r="K540" s="264"/>
      <c r="L540" s="265"/>
      <c r="M540" s="265"/>
      <c r="N540" s="265"/>
      <c r="O540" s="265"/>
      <c r="P540" s="265"/>
      <c r="Q540" s="265"/>
      <c r="R540" s="265"/>
    </row>
    <row r="541" spans="1:21" ht="27.75" customHeight="1">
      <c r="A541" s="240" t="str">
        <f>IF(ISBLANK(D541)," ",470-COUNTBLANK($D$6:D541))</f>
        <v xml:space="preserve"> </v>
      </c>
      <c r="J541" s="263" t="str">
        <f t="shared" si="8"/>
        <v/>
      </c>
      <c r="K541" s="264"/>
      <c r="L541" s="265"/>
      <c r="M541" s="265"/>
      <c r="N541" s="265"/>
      <c r="O541" s="265"/>
      <c r="P541" s="265"/>
      <c r="Q541" s="265"/>
      <c r="R541" s="265"/>
    </row>
    <row r="542" spans="1:21" ht="27.75" customHeight="1">
      <c r="A542" s="240" t="str">
        <f>IF(ISBLANK(D542)," ",471-COUNTBLANK($D$6:D542))</f>
        <v xml:space="preserve"> </v>
      </c>
      <c r="J542" s="263" t="str">
        <f t="shared" si="8"/>
        <v/>
      </c>
      <c r="K542" s="264"/>
      <c r="L542" s="265"/>
      <c r="M542" s="265"/>
      <c r="N542" s="265"/>
      <c r="O542" s="265"/>
      <c r="P542" s="265"/>
      <c r="Q542" s="265"/>
      <c r="R542" s="265"/>
    </row>
    <row r="543" spans="1:21" ht="27.75" customHeight="1">
      <c r="A543" s="240" t="str">
        <f>IF(ISBLANK(D543)," ",472-COUNTBLANK($D$6:D543))</f>
        <v xml:space="preserve"> </v>
      </c>
      <c r="J543" s="263" t="str">
        <f t="shared" si="8"/>
        <v/>
      </c>
      <c r="K543" s="264"/>
      <c r="L543" s="265"/>
      <c r="M543" s="265"/>
      <c r="N543" s="265"/>
      <c r="O543" s="265"/>
      <c r="P543" s="265"/>
      <c r="Q543" s="265"/>
      <c r="R543" s="265"/>
    </row>
    <row r="544" spans="1:21" ht="27.75" customHeight="1">
      <c r="A544" s="240" t="str">
        <f>IF(ISBLANK(D544)," ",473-COUNTBLANK($D$6:D544))</f>
        <v xml:space="preserve"> </v>
      </c>
      <c r="J544" s="263" t="str">
        <f t="shared" si="8"/>
        <v/>
      </c>
      <c r="K544" s="264"/>
      <c r="L544" s="265"/>
      <c r="M544" s="265"/>
      <c r="N544" s="265"/>
      <c r="O544" s="265"/>
      <c r="P544" s="265"/>
      <c r="Q544" s="265"/>
      <c r="R544" s="265"/>
    </row>
    <row r="545" spans="1:21" ht="27.75" customHeight="1">
      <c r="A545" s="240" t="str">
        <f>IF(ISBLANK(D545)," ",474-COUNTBLANK($D$6:D545))</f>
        <v xml:space="preserve"> </v>
      </c>
      <c r="J545" s="263" t="str">
        <f t="shared" si="8"/>
        <v/>
      </c>
      <c r="K545" s="264"/>
      <c r="L545" s="265"/>
      <c r="M545" s="265"/>
      <c r="N545" s="265"/>
      <c r="O545" s="265"/>
      <c r="P545" s="265"/>
      <c r="Q545" s="265"/>
      <c r="R545" s="265"/>
    </row>
    <row r="546" spans="1:21" ht="27.75" customHeight="1">
      <c r="A546" s="240" t="str">
        <f>IF(ISBLANK(D546)," ",475-COUNTBLANK($D$6:D546))</f>
        <v xml:space="preserve"> </v>
      </c>
      <c r="J546" s="263" t="str">
        <f t="shared" si="8"/>
        <v/>
      </c>
      <c r="K546" s="264"/>
      <c r="L546" s="265"/>
      <c r="M546" s="265"/>
      <c r="N546" s="265"/>
      <c r="O546" s="265"/>
      <c r="P546" s="265"/>
      <c r="Q546" s="265"/>
      <c r="R546" s="265"/>
    </row>
    <row r="547" spans="1:21" ht="27.75" customHeight="1">
      <c r="A547" s="240" t="str">
        <f>IF(ISBLANK(D547)," ",476-COUNTBLANK($D$6:D547))</f>
        <v xml:space="preserve"> </v>
      </c>
      <c r="J547" s="263" t="str">
        <f t="shared" si="8"/>
        <v/>
      </c>
      <c r="K547" s="264"/>
      <c r="L547" s="265"/>
      <c r="M547" s="265"/>
      <c r="N547" s="265"/>
      <c r="O547" s="265"/>
      <c r="P547" s="265"/>
      <c r="Q547" s="265"/>
      <c r="R547" s="265"/>
    </row>
    <row r="548" spans="1:21" ht="27.75" customHeight="1">
      <c r="A548" s="240" t="str">
        <f>IF(ISBLANK(D548)," ",477-COUNTBLANK($D$6:D548))</f>
        <v xml:space="preserve"> </v>
      </c>
      <c r="J548" s="263" t="str">
        <f t="shared" si="8"/>
        <v/>
      </c>
      <c r="K548" s="264"/>
      <c r="L548" s="265"/>
      <c r="M548" s="265"/>
      <c r="N548" s="265"/>
      <c r="O548" s="265"/>
      <c r="P548" s="265"/>
      <c r="Q548" s="265"/>
      <c r="R548" s="265"/>
    </row>
    <row r="549" spans="1:21" ht="27.75" customHeight="1">
      <c r="A549" s="240" t="str">
        <f>IF(ISBLANK(D549)," ",478-COUNTBLANK($D$6:D549))</f>
        <v xml:space="preserve"> </v>
      </c>
      <c r="J549" s="263" t="str">
        <f t="shared" si="8"/>
        <v/>
      </c>
      <c r="K549" s="264"/>
      <c r="L549" s="265"/>
      <c r="M549" s="265"/>
      <c r="N549" s="265"/>
      <c r="O549" s="265"/>
      <c r="P549" s="265"/>
      <c r="Q549" s="265"/>
      <c r="R549" s="265"/>
    </row>
    <row r="550" spans="1:21" ht="27.75" customHeight="1">
      <c r="A550" s="240" t="str">
        <f>IF(ISBLANK(D550)," ",479-COUNTBLANK($D$6:D550))</f>
        <v xml:space="preserve"> </v>
      </c>
      <c r="J550" s="263" t="str">
        <f t="shared" si="8"/>
        <v/>
      </c>
      <c r="K550" s="264"/>
      <c r="L550" s="265"/>
      <c r="M550" s="265"/>
      <c r="N550" s="265"/>
      <c r="O550" s="265"/>
      <c r="P550" s="265"/>
      <c r="Q550" s="265"/>
      <c r="R550" s="265"/>
    </row>
    <row r="551" spans="1:21" ht="27.75" customHeight="1">
      <c r="A551" s="240" t="str">
        <f>IF(ISBLANK(D551)," ",480-COUNTBLANK($D$6:D551))</f>
        <v xml:space="preserve"> </v>
      </c>
      <c r="J551" s="263" t="str">
        <f t="shared" si="8"/>
        <v/>
      </c>
      <c r="K551" s="266"/>
      <c r="L551" s="265"/>
      <c r="M551" s="265"/>
      <c r="N551" s="265"/>
      <c r="O551" s="265"/>
      <c r="P551" s="265"/>
      <c r="Q551" s="265"/>
      <c r="R551" s="267"/>
    </row>
    <row r="552" spans="1:21" ht="27.75" customHeight="1">
      <c r="A552" s="240" t="str">
        <f>IF(ISBLANK(D552)," ",481-COUNTBLANK($D$6:D552))</f>
        <v xml:space="preserve"> </v>
      </c>
      <c r="J552" s="263" t="str">
        <f t="shared" si="8"/>
        <v/>
      </c>
      <c r="K552" s="266"/>
      <c r="L552" s="265"/>
      <c r="M552" s="265"/>
      <c r="N552" s="265"/>
      <c r="O552" s="265"/>
      <c r="P552" s="265"/>
      <c r="Q552" s="265"/>
      <c r="R552" s="267"/>
    </row>
    <row r="553" spans="1:21" ht="27.75" customHeight="1">
      <c r="A553" s="240" t="str">
        <f>IF(ISBLANK(D553)," ",482-COUNTBLANK($D$6:D553))</f>
        <v xml:space="preserve"> </v>
      </c>
      <c r="J553" s="263" t="str">
        <f t="shared" si="8"/>
        <v/>
      </c>
      <c r="K553" s="266"/>
      <c r="L553" s="265"/>
      <c r="M553" s="265"/>
      <c r="N553" s="265"/>
      <c r="O553" s="265"/>
      <c r="P553" s="265"/>
      <c r="Q553" s="265"/>
      <c r="R553" s="267"/>
    </row>
    <row r="554" spans="1:21" ht="27.75" customHeight="1">
      <c r="A554" s="240" t="str">
        <f>IF(ISBLANK(D554)," ",484-COUNTBLANK($D$6:D554))</f>
        <v xml:space="preserve"> </v>
      </c>
      <c r="J554" s="263" t="str">
        <f t="shared" si="8"/>
        <v/>
      </c>
      <c r="K554" s="264"/>
      <c r="L554" s="265"/>
      <c r="M554" s="265"/>
      <c r="N554" s="265"/>
      <c r="O554" s="265"/>
      <c r="P554" s="265"/>
      <c r="Q554" s="265"/>
      <c r="R554" s="284"/>
      <c r="S554" s="265"/>
      <c r="T554" s="265"/>
      <c r="U554" s="265"/>
    </row>
    <row r="555" spans="1:21" ht="27.75" customHeight="1">
      <c r="A555" s="240" t="str">
        <f>IF(ISBLANK(D555)," ",485-COUNTBLANK($D$6:D555))</f>
        <v xml:space="preserve"> </v>
      </c>
      <c r="J555" s="263" t="str">
        <f t="shared" si="8"/>
        <v/>
      </c>
      <c r="K555" s="266"/>
      <c r="L555" s="265"/>
      <c r="M555" s="265"/>
      <c r="N555" s="265"/>
      <c r="O555" s="265"/>
      <c r="P555" s="265"/>
      <c r="Q555" s="265"/>
      <c r="R555" s="284"/>
      <c r="S555" s="265"/>
      <c r="T555" s="265"/>
      <c r="U555" s="265"/>
    </row>
    <row r="556" spans="1:21" ht="27.75" customHeight="1">
      <c r="A556" s="240" t="str">
        <f>IF(ISBLANK(D556)," ",486-COUNTBLANK($D$6:D556))</f>
        <v xml:space="preserve"> </v>
      </c>
      <c r="J556" s="263" t="str">
        <f t="shared" si="8"/>
        <v/>
      </c>
      <c r="K556" s="264"/>
      <c r="L556" s="265"/>
      <c r="M556" s="265"/>
      <c r="N556" s="265"/>
      <c r="O556" s="265"/>
      <c r="P556" s="265"/>
      <c r="Q556" s="265"/>
      <c r="R556" s="265"/>
    </row>
    <row r="557" spans="1:21" ht="27.75" customHeight="1">
      <c r="A557" s="240" t="str">
        <f>IF(ISBLANK(D557)," ",487-COUNTBLANK($D$6:D557))</f>
        <v xml:space="preserve"> </v>
      </c>
      <c r="J557" s="263" t="str">
        <f t="shared" si="8"/>
        <v/>
      </c>
      <c r="K557" s="264"/>
      <c r="L557" s="265"/>
      <c r="M557" s="265"/>
      <c r="N557" s="265"/>
      <c r="O557" s="265"/>
      <c r="P557" s="265"/>
      <c r="Q557" s="265"/>
      <c r="R557" s="265"/>
    </row>
    <row r="558" spans="1:21" ht="27.75" customHeight="1">
      <c r="A558" s="240" t="str">
        <f>IF(ISBLANK(D558)," ",488-COUNTBLANK($D$6:D558))</f>
        <v xml:space="preserve"> </v>
      </c>
      <c r="J558" s="263" t="str">
        <f t="shared" si="8"/>
        <v/>
      </c>
      <c r="K558" s="264"/>
      <c r="L558" s="265"/>
      <c r="M558" s="265"/>
      <c r="N558" s="265"/>
      <c r="O558" s="265"/>
      <c r="P558" s="265"/>
      <c r="Q558" s="265"/>
      <c r="R558" s="265"/>
    </row>
    <row r="559" spans="1:21" ht="27.75" customHeight="1">
      <c r="A559" s="240" t="str">
        <f>IF(ISBLANK(D559)," ",489-COUNTBLANK($D$6:D559))</f>
        <v xml:space="preserve"> </v>
      </c>
      <c r="J559" s="263" t="str">
        <f t="shared" si="8"/>
        <v/>
      </c>
      <c r="K559" s="264"/>
      <c r="L559" s="265"/>
      <c r="M559" s="265"/>
      <c r="N559" s="265"/>
      <c r="O559" s="265"/>
      <c r="P559" s="265"/>
      <c r="Q559" s="265"/>
      <c r="R559" s="265"/>
    </row>
    <row r="560" spans="1:21" ht="27.75" customHeight="1">
      <c r="A560" s="240" t="str">
        <f>IF(ISBLANK(D560)," ",490-COUNTBLANK($D$6:D560))</f>
        <v xml:space="preserve"> </v>
      </c>
      <c r="J560" s="263" t="str">
        <f t="shared" si="8"/>
        <v/>
      </c>
      <c r="K560" s="264"/>
      <c r="L560" s="265"/>
      <c r="M560" s="265"/>
      <c r="N560" s="265"/>
      <c r="O560" s="265"/>
      <c r="P560" s="265"/>
      <c r="Q560" s="265"/>
      <c r="R560" s="265"/>
    </row>
    <row r="561" spans="1:21" ht="27.75" customHeight="1">
      <c r="A561" s="240" t="str">
        <f>IF(ISBLANK(D561)," ",491-COUNTBLANK($D$6:D561))</f>
        <v xml:space="preserve"> </v>
      </c>
      <c r="J561" s="263" t="str">
        <f t="shared" si="8"/>
        <v/>
      </c>
      <c r="K561" s="264"/>
      <c r="L561" s="265"/>
      <c r="M561" s="265"/>
      <c r="N561" s="265"/>
      <c r="O561" s="265"/>
      <c r="P561" s="265"/>
      <c r="Q561" s="265"/>
      <c r="R561" s="265"/>
    </row>
    <row r="562" spans="1:21" ht="27.75" customHeight="1">
      <c r="A562" s="240" t="str">
        <f>IF(ISBLANK(D562)," ",492-COUNTBLANK($D$6:D562))</f>
        <v xml:space="preserve"> </v>
      </c>
      <c r="J562" s="263" t="str">
        <f t="shared" si="8"/>
        <v/>
      </c>
      <c r="K562" s="264"/>
      <c r="L562" s="265"/>
      <c r="M562" s="265"/>
      <c r="N562" s="265"/>
      <c r="O562" s="265"/>
      <c r="P562" s="265"/>
      <c r="Q562" s="265"/>
      <c r="R562" s="265"/>
    </row>
    <row r="563" spans="1:21" ht="27.75" customHeight="1">
      <c r="A563" s="240" t="str">
        <f>IF(ISBLANK(D563)," ",493-COUNTBLANK($D$6:D563))</f>
        <v xml:space="preserve"> </v>
      </c>
      <c r="J563" s="263" t="str">
        <f t="shared" si="8"/>
        <v/>
      </c>
      <c r="K563" s="264"/>
      <c r="L563" s="265"/>
      <c r="M563" s="265"/>
      <c r="N563" s="265"/>
      <c r="O563" s="265"/>
      <c r="P563" s="265"/>
      <c r="Q563" s="265"/>
      <c r="R563" s="265"/>
    </row>
    <row r="564" spans="1:21" ht="27.75" customHeight="1">
      <c r="A564" s="240" t="str">
        <f>IF(ISBLANK(D564)," ",494-COUNTBLANK($D$6:D564))</f>
        <v xml:space="preserve"> </v>
      </c>
      <c r="J564" s="263" t="str">
        <f t="shared" si="8"/>
        <v/>
      </c>
      <c r="K564" s="264"/>
      <c r="L564" s="265"/>
      <c r="M564" s="265"/>
      <c r="N564" s="265"/>
      <c r="O564" s="265"/>
      <c r="P564" s="265"/>
      <c r="Q564" s="265"/>
      <c r="R564" s="265"/>
    </row>
    <row r="565" spans="1:21" ht="27.75" customHeight="1">
      <c r="A565" s="240" t="str">
        <f>IF(ISBLANK(D565)," ",495-COUNTBLANK($D$6:D565))</f>
        <v xml:space="preserve"> </v>
      </c>
      <c r="J565" s="263" t="str">
        <f t="shared" si="8"/>
        <v/>
      </c>
      <c r="K565" s="264"/>
      <c r="L565" s="265"/>
      <c r="M565" s="265"/>
      <c r="N565" s="265"/>
      <c r="O565" s="265"/>
      <c r="P565" s="265"/>
      <c r="Q565" s="265"/>
      <c r="R565" s="265"/>
    </row>
    <row r="566" spans="1:21" ht="27.75" customHeight="1">
      <c r="A566" s="240" t="str">
        <f>IF(ISBLANK(D566)," ",496-COUNTBLANK($D$6:D566))</f>
        <v xml:space="preserve"> </v>
      </c>
      <c r="J566" s="263" t="str">
        <f t="shared" si="8"/>
        <v/>
      </c>
      <c r="K566" s="264"/>
      <c r="L566" s="265"/>
      <c r="M566" s="265"/>
      <c r="N566" s="265"/>
      <c r="O566" s="265"/>
      <c r="P566" s="265"/>
      <c r="Q566" s="265"/>
      <c r="R566" s="265"/>
    </row>
    <row r="567" spans="1:21" ht="27.75" customHeight="1">
      <c r="A567" s="240" t="str">
        <f>IF(ISBLANK(D567)," ",497-COUNTBLANK($D$6:D567))</f>
        <v xml:space="preserve"> </v>
      </c>
      <c r="J567" s="263" t="str">
        <f t="shared" ref="J567:J593" si="9">CONCATENATE(D567,G567)</f>
        <v/>
      </c>
      <c r="K567" s="264"/>
      <c r="L567" s="265"/>
      <c r="M567" s="265"/>
      <c r="N567" s="265"/>
      <c r="O567" s="265"/>
      <c r="P567" s="265"/>
      <c r="Q567" s="265"/>
      <c r="R567" s="265"/>
    </row>
    <row r="568" spans="1:21" ht="27.75" customHeight="1">
      <c r="A568" s="240" t="str">
        <f>IF(ISBLANK(D568)," ",498-COUNTBLANK($D$6:D568))</f>
        <v xml:space="preserve"> </v>
      </c>
      <c r="J568" s="263" t="str">
        <f t="shared" si="9"/>
        <v/>
      </c>
      <c r="K568" s="264"/>
      <c r="L568" s="265"/>
      <c r="M568" s="265"/>
      <c r="N568" s="265"/>
      <c r="O568" s="265"/>
      <c r="P568" s="265"/>
      <c r="Q568" s="265"/>
      <c r="R568" s="265"/>
    </row>
    <row r="569" spans="1:21" ht="27.75" customHeight="1">
      <c r="A569" s="240" t="str">
        <f>IF(ISBLANK(D569)," ",499-COUNTBLANK($D$6:D569))</f>
        <v xml:space="preserve"> </v>
      </c>
      <c r="J569" s="263" t="str">
        <f t="shared" si="9"/>
        <v/>
      </c>
      <c r="K569" s="264"/>
      <c r="L569" s="265"/>
      <c r="M569" s="265"/>
      <c r="N569" s="265"/>
      <c r="O569" s="265"/>
      <c r="P569" s="265"/>
      <c r="Q569" s="265"/>
      <c r="R569" s="265"/>
    </row>
    <row r="570" spans="1:21" ht="27.75" customHeight="1">
      <c r="A570" s="240" t="str">
        <f>IF(ISBLANK(D570)," ",500-COUNTBLANK($D$6:D570))</f>
        <v xml:space="preserve"> </v>
      </c>
      <c r="J570" s="263" t="str">
        <f t="shared" si="9"/>
        <v/>
      </c>
      <c r="K570" s="264"/>
      <c r="L570" s="265"/>
      <c r="M570" s="265"/>
      <c r="N570" s="265"/>
      <c r="O570" s="265"/>
      <c r="P570" s="265"/>
      <c r="Q570" s="265"/>
      <c r="R570" s="265"/>
    </row>
    <row r="571" spans="1:21" ht="27.75" customHeight="1">
      <c r="A571" s="240" t="str">
        <f>IF(ISBLANK(D571)," ",501-COUNTBLANK($D$6:D571))</f>
        <v xml:space="preserve"> </v>
      </c>
      <c r="J571" s="263" t="str">
        <f t="shared" si="9"/>
        <v/>
      </c>
      <c r="K571" s="266"/>
      <c r="L571" s="265"/>
      <c r="M571" s="265"/>
      <c r="N571" s="265"/>
      <c r="O571" s="265"/>
      <c r="P571" s="265"/>
      <c r="Q571" s="265"/>
      <c r="R571" s="267"/>
    </row>
    <row r="572" spans="1:21" ht="27.75" customHeight="1">
      <c r="A572" s="240" t="str">
        <f>IF(ISBLANK(D572)," ",502-COUNTBLANK($D$6:D572))</f>
        <v xml:space="preserve"> </v>
      </c>
      <c r="J572" s="263" t="str">
        <f t="shared" si="9"/>
        <v/>
      </c>
      <c r="K572" s="266"/>
      <c r="L572" s="265"/>
      <c r="M572" s="265"/>
      <c r="N572" s="265"/>
      <c r="O572" s="265"/>
      <c r="P572" s="265"/>
      <c r="Q572" s="265"/>
      <c r="R572" s="267"/>
    </row>
    <row r="573" spans="1:21" ht="27.75" customHeight="1">
      <c r="A573" s="240" t="str">
        <f>IF(ISBLANK(D573)," ",503-COUNTBLANK($D$6:D573))</f>
        <v xml:space="preserve"> </v>
      </c>
      <c r="J573" s="263" t="str">
        <f t="shared" si="9"/>
        <v/>
      </c>
      <c r="K573" s="266"/>
      <c r="L573" s="265"/>
      <c r="M573" s="265"/>
      <c r="N573" s="265"/>
      <c r="O573" s="265"/>
      <c r="P573" s="265"/>
      <c r="Q573" s="265"/>
      <c r="R573" s="267"/>
    </row>
    <row r="574" spans="1:21" ht="27.75" customHeight="1">
      <c r="A574" s="240" t="str">
        <f>IF(ISBLANK(D574)," ",505-COUNTBLANK($D$6:D574))</f>
        <v xml:space="preserve"> </v>
      </c>
      <c r="J574" s="263" t="str">
        <f t="shared" si="9"/>
        <v/>
      </c>
      <c r="K574" s="264"/>
      <c r="L574" s="265"/>
      <c r="M574" s="265"/>
      <c r="N574" s="265"/>
      <c r="O574" s="265"/>
      <c r="P574" s="265"/>
      <c r="Q574" s="265"/>
      <c r="R574" s="284"/>
      <c r="S574" s="265"/>
      <c r="T574" s="265"/>
      <c r="U574" s="265"/>
    </row>
    <row r="575" spans="1:21" ht="27.75" customHeight="1">
      <c r="A575" s="240" t="str">
        <f>IF(ISBLANK(D575)," ",506-COUNTBLANK($D$6:D575))</f>
        <v xml:space="preserve"> </v>
      </c>
      <c r="J575" s="263" t="str">
        <f t="shared" si="9"/>
        <v/>
      </c>
      <c r="K575" s="266"/>
      <c r="L575" s="265"/>
      <c r="M575" s="265"/>
      <c r="N575" s="265"/>
      <c r="O575" s="265"/>
      <c r="P575" s="265"/>
      <c r="Q575" s="265"/>
      <c r="R575" s="284"/>
      <c r="S575" s="265"/>
      <c r="T575" s="265"/>
      <c r="U575" s="265"/>
    </row>
    <row r="576" spans="1:21">
      <c r="A576" s="240" t="str">
        <f>IF(ISBLANK(D576)," ",507-COUNTBLANK($D$6:D576))</f>
        <v xml:space="preserve"> </v>
      </c>
      <c r="J576" s="263" t="str">
        <f t="shared" si="9"/>
        <v/>
      </c>
      <c r="K576" s="312"/>
      <c r="L576" s="311"/>
      <c r="M576" s="311"/>
      <c r="N576" s="311"/>
      <c r="O576" s="311"/>
      <c r="P576" s="311"/>
      <c r="Q576" s="311"/>
      <c r="R576" s="311"/>
    </row>
    <row r="577" spans="1:18">
      <c r="A577" s="240" t="str">
        <f>IF(ISBLANK(D577)," ",508-COUNTBLANK($D$6:D577))</f>
        <v xml:space="preserve"> </v>
      </c>
      <c r="J577" s="263" t="str">
        <f t="shared" si="9"/>
        <v/>
      </c>
      <c r="K577" s="312"/>
      <c r="L577" s="311"/>
      <c r="M577" s="311"/>
      <c r="N577" s="311"/>
      <c r="O577" s="311"/>
      <c r="P577" s="311"/>
      <c r="Q577" s="311"/>
      <c r="R577" s="311"/>
    </row>
    <row r="578" spans="1:18">
      <c r="A578" s="240" t="str">
        <f>IF(ISBLANK(D578)," ",509-COUNTBLANK($D$6:D578))</f>
        <v xml:space="preserve"> </v>
      </c>
      <c r="J578" s="263" t="str">
        <f t="shared" si="9"/>
        <v/>
      </c>
    </row>
    <row r="579" spans="1:18">
      <c r="A579" s="240" t="str">
        <f>IF(ISBLANK(D579)," ",510-COUNTBLANK($D$6:D579))</f>
        <v xml:space="preserve"> </v>
      </c>
      <c r="J579" s="263" t="str">
        <f t="shared" si="9"/>
        <v/>
      </c>
    </row>
    <row r="580" spans="1:18">
      <c r="A580" s="240" t="str">
        <f>IF(ISBLANK(D580)," ",511-COUNTBLANK($D$6:D580))</f>
        <v xml:space="preserve"> </v>
      </c>
      <c r="J580" s="263" t="str">
        <f t="shared" si="9"/>
        <v/>
      </c>
    </row>
    <row r="581" spans="1:18">
      <c r="A581" s="240" t="str">
        <f>IF(ISBLANK(D581)," ",512-COUNTBLANK($D$6:D581))</f>
        <v xml:space="preserve"> </v>
      </c>
      <c r="J581" s="263" t="str">
        <f t="shared" si="9"/>
        <v/>
      </c>
    </row>
    <row r="582" spans="1:18">
      <c r="A582" s="240" t="str">
        <f>IF(ISBLANK(D582)," ",513-COUNTBLANK($D$6:D582))</f>
        <v xml:space="preserve"> </v>
      </c>
      <c r="J582" s="263" t="str">
        <f t="shared" si="9"/>
        <v/>
      </c>
    </row>
    <row r="583" spans="1:18">
      <c r="A583" s="240" t="str">
        <f>IF(ISBLANK(D583)," ",514-COUNTBLANK($D$6:D583))</f>
        <v xml:space="preserve"> </v>
      </c>
      <c r="J583" s="263" t="str">
        <f t="shared" si="9"/>
        <v/>
      </c>
    </row>
    <row r="584" spans="1:18">
      <c r="A584" s="240" t="str">
        <f>IF(ISBLANK(D584)," ",515-COUNTBLANK($D$6:D584))</f>
        <v xml:space="preserve"> </v>
      </c>
      <c r="J584" s="263" t="str">
        <f t="shared" si="9"/>
        <v/>
      </c>
    </row>
    <row r="585" spans="1:18">
      <c r="A585" s="240" t="str">
        <f>IF(ISBLANK(D585)," ",516-COUNTBLANK($D$6:D585))</f>
        <v xml:space="preserve"> </v>
      </c>
      <c r="J585" s="263" t="str">
        <f t="shared" si="9"/>
        <v/>
      </c>
    </row>
    <row r="586" spans="1:18">
      <c r="A586" s="240" t="str">
        <f>IF(ISBLANK(D586)," ",517-COUNTBLANK($D$6:D586))</f>
        <v xml:space="preserve"> </v>
      </c>
      <c r="J586" s="263" t="str">
        <f t="shared" si="9"/>
        <v/>
      </c>
    </row>
    <row r="587" spans="1:18">
      <c r="A587" s="240" t="str">
        <f>IF(ISBLANK(D587)," ",518-COUNTBLANK($D$6:D587))</f>
        <v xml:space="preserve"> </v>
      </c>
      <c r="J587" s="263" t="str">
        <f t="shared" si="9"/>
        <v/>
      </c>
    </row>
    <row r="588" spans="1:18">
      <c r="A588" s="240" t="str">
        <f>IF(ISBLANK(D588)," ",519-COUNTBLANK($D$6:D588))</f>
        <v xml:space="preserve"> </v>
      </c>
      <c r="J588" s="263" t="str">
        <f t="shared" si="9"/>
        <v/>
      </c>
    </row>
    <row r="589" spans="1:18">
      <c r="A589" s="240" t="str">
        <f>IF(ISBLANK(D589)," ",520-COUNTBLANK($D$6:D589))</f>
        <v xml:space="preserve"> </v>
      </c>
      <c r="J589" s="263" t="str">
        <f t="shared" si="9"/>
        <v/>
      </c>
    </row>
    <row r="590" spans="1:18">
      <c r="A590" s="240" t="str">
        <f>IF(ISBLANK(D590)," ",521-COUNTBLANK($D$6:D590))</f>
        <v xml:space="preserve"> </v>
      </c>
      <c r="J590" s="263" t="str">
        <f t="shared" si="9"/>
        <v/>
      </c>
    </row>
    <row r="591" spans="1:18">
      <c r="A591" s="240" t="str">
        <f>IF(ISBLANK(D591)," ",522-COUNTBLANK($D$6:D591))</f>
        <v xml:space="preserve"> </v>
      </c>
      <c r="J591" s="263" t="str">
        <f t="shared" si="9"/>
        <v/>
      </c>
    </row>
    <row r="592" spans="1:18">
      <c r="A592" s="240" t="str">
        <f>IF(ISBLANK(D592)," ",523-COUNTBLANK($D$6:D592))</f>
        <v xml:space="preserve"> </v>
      </c>
      <c r="J592" s="263" t="str">
        <f t="shared" si="9"/>
        <v/>
      </c>
    </row>
    <row r="593" spans="1:28" s="313" customFormat="1">
      <c r="A593" s="240" t="str">
        <f>IF(ISBLANK(D593)," ",524-COUNTBLANK($D$6:D593))</f>
        <v xml:space="preserve"> </v>
      </c>
      <c r="B593" s="307"/>
      <c r="C593" s="307"/>
      <c r="D593" s="240"/>
      <c r="E593" s="308"/>
      <c r="F593" s="309"/>
      <c r="G593" s="310"/>
      <c r="H593" s="240"/>
      <c r="I593" s="240"/>
      <c r="J593" s="263" t="str">
        <f t="shared" si="9"/>
        <v/>
      </c>
      <c r="L593" s="240"/>
      <c r="M593" s="240"/>
      <c r="N593" s="240"/>
      <c r="O593" s="240"/>
      <c r="P593" s="240"/>
      <c r="Q593" s="240"/>
      <c r="R593" s="240"/>
      <c r="S593" s="240"/>
      <c r="T593" s="240"/>
      <c r="U593" s="240"/>
      <c r="V593" s="240"/>
      <c r="W593" s="240"/>
      <c r="X593" s="240"/>
      <c r="Y593" s="240"/>
      <c r="Z593" s="240"/>
      <c r="AA593" s="240"/>
      <c r="AB593" s="240"/>
    </row>
  </sheetData>
  <mergeCells count="6">
    <mergeCell ref="J4:J5"/>
    <mergeCell ref="K4:K5"/>
    <mergeCell ref="B4:C4"/>
    <mergeCell ref="D4:D5"/>
    <mergeCell ref="G4:H4"/>
    <mergeCell ref="I4:I5"/>
  </mergeCells>
  <phoneticPr fontId="5" type="noConversion"/>
  <printOptions horizontalCentered="1" verticalCentered="1"/>
  <pageMargins left="0.19685039370078741" right="0.19685039370078741" top="1.3779527559055118" bottom="0.59055118110236227" header="0.59055118110236227" footer="0.19685039370078741"/>
  <pageSetup paperSize="9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590"/>
  <sheetViews>
    <sheetView showGridLines="0" showZeros="0" view="pageBreakPreview" zoomScaleSheetLayoutView="100" workbookViewId="0">
      <selection activeCell="S11" sqref="S11"/>
    </sheetView>
  </sheetViews>
  <sheetFormatPr defaultRowHeight="11.25"/>
  <cols>
    <col min="1" max="1" width="4.33203125" style="240" customWidth="1"/>
    <col min="2" max="3" width="6.33203125" style="307" customWidth="1"/>
    <col min="4" max="4" width="3.77734375" style="240" customWidth="1"/>
    <col min="5" max="5" width="7.77734375" style="308" customWidth="1"/>
    <col min="6" max="7" width="7.77734375" style="309" customWidth="1"/>
    <col min="8" max="8" width="6.6640625" style="240" customWidth="1"/>
    <col min="9" max="9" width="7.77734375" style="310" hidden="1" customWidth="1"/>
    <col min="10" max="10" width="15.77734375" style="240" hidden="1" customWidth="1"/>
    <col min="11" max="11" width="14.77734375" style="310" customWidth="1"/>
    <col min="12" max="12" width="15.77734375" style="240" customWidth="1"/>
    <col min="13" max="13" width="6.77734375" style="240" customWidth="1"/>
    <col min="14" max="14" width="12.77734375" style="240" customWidth="1"/>
    <col min="15" max="15" width="6.33203125" style="240" customWidth="1"/>
    <col min="16" max="16" width="5.77734375" style="240" customWidth="1"/>
    <col min="17" max="19" width="9.77734375" style="240" customWidth="1"/>
    <col min="20" max="20" width="10.77734375" style="240" customWidth="1"/>
    <col min="21" max="16384" width="8.88671875" style="240"/>
  </cols>
  <sheetData>
    <row r="1" spans="1:20" ht="27" customHeight="1">
      <c r="A1" s="314" t="s">
        <v>139</v>
      </c>
      <c r="B1" s="315"/>
      <c r="C1" s="315"/>
      <c r="D1" s="248"/>
      <c r="E1" s="316"/>
      <c r="F1" s="317"/>
      <c r="G1" s="317"/>
      <c r="H1" s="248"/>
      <c r="I1" s="248"/>
      <c r="J1" s="248"/>
      <c r="K1" s="248"/>
      <c r="L1" s="248"/>
      <c r="M1" s="248"/>
      <c r="N1" s="248"/>
      <c r="O1" s="248"/>
      <c r="P1" s="248"/>
      <c r="Q1" s="239"/>
      <c r="R1" s="239"/>
      <c r="S1" s="239"/>
      <c r="T1" s="239"/>
    </row>
    <row r="2" spans="1:20" ht="20.100000000000001" customHeight="1">
      <c r="A2" s="239"/>
      <c r="B2" s="242"/>
      <c r="C2" s="242"/>
      <c r="D2" s="239"/>
      <c r="E2" s="243"/>
      <c r="F2" s="244"/>
      <c r="G2" s="244"/>
      <c r="H2" s="239"/>
      <c r="I2" s="245"/>
      <c r="J2" s="246"/>
      <c r="K2" s="245"/>
      <c r="L2" s="246"/>
      <c r="M2" s="247" t="s">
        <v>163</v>
      </c>
      <c r="N2" s="248"/>
      <c r="O2" s="248"/>
      <c r="P2" s="248"/>
      <c r="Q2" s="239"/>
      <c r="R2" s="239"/>
      <c r="S2" s="239"/>
      <c r="T2" s="239"/>
    </row>
    <row r="3" spans="1:20" ht="18" customHeight="1">
      <c r="A3" s="454" t="s">
        <v>39</v>
      </c>
      <c r="B3" s="515" t="s">
        <v>40</v>
      </c>
      <c r="C3" s="515"/>
      <c r="D3" s="515" t="s">
        <v>41</v>
      </c>
      <c r="E3" s="445" t="s">
        <v>42</v>
      </c>
      <c r="F3" s="515" t="s">
        <v>1451</v>
      </c>
      <c r="G3" s="515"/>
      <c r="H3" s="515"/>
      <c r="I3" s="515" t="s">
        <v>131</v>
      </c>
      <c r="J3" s="515"/>
      <c r="K3" s="515" t="s">
        <v>1463</v>
      </c>
      <c r="L3" s="515"/>
      <c r="M3" s="455" t="s">
        <v>46</v>
      </c>
      <c r="N3" s="455"/>
      <c r="O3" s="455"/>
      <c r="P3" s="517" t="s">
        <v>31</v>
      </c>
      <c r="Q3" s="258"/>
      <c r="R3" s="258"/>
      <c r="S3" s="258"/>
      <c r="T3" s="258"/>
    </row>
    <row r="4" spans="1:20" ht="18" customHeight="1">
      <c r="A4" s="456" t="s">
        <v>47</v>
      </c>
      <c r="B4" s="450" t="s">
        <v>1468</v>
      </c>
      <c r="C4" s="450" t="s">
        <v>1469</v>
      </c>
      <c r="D4" s="516"/>
      <c r="E4" s="451" t="s">
        <v>59</v>
      </c>
      <c r="F4" s="450" t="s">
        <v>1438</v>
      </c>
      <c r="G4" s="452" t="s">
        <v>616</v>
      </c>
      <c r="H4" s="450" t="s">
        <v>138</v>
      </c>
      <c r="I4" s="450" t="s">
        <v>49</v>
      </c>
      <c r="J4" s="452" t="s">
        <v>50</v>
      </c>
      <c r="K4" s="450" t="s">
        <v>49</v>
      </c>
      <c r="L4" s="452" t="s">
        <v>50</v>
      </c>
      <c r="M4" s="450" t="s">
        <v>49</v>
      </c>
      <c r="N4" s="450" t="s">
        <v>50</v>
      </c>
      <c r="O4" s="453" t="s">
        <v>51</v>
      </c>
      <c r="P4" s="518"/>
      <c r="Q4" s="259"/>
      <c r="R4" s="259"/>
      <c r="S4" s="259"/>
      <c r="T4" s="239"/>
    </row>
    <row r="5" spans="1:20" ht="18" customHeight="1">
      <c r="A5" s="278">
        <v>1</v>
      </c>
      <c r="B5" s="339" t="s">
        <v>164</v>
      </c>
      <c r="C5" s="339" t="s">
        <v>1273</v>
      </c>
      <c r="D5" s="339" t="s">
        <v>92</v>
      </c>
      <c r="E5" s="335">
        <v>183</v>
      </c>
      <c r="F5" s="336">
        <v>183</v>
      </c>
      <c r="G5" s="336">
        <v>183</v>
      </c>
      <c r="H5" s="336">
        <f>G5-F5</f>
        <v>0</v>
      </c>
      <c r="I5" s="279" t="s">
        <v>451</v>
      </c>
      <c r="J5" s="279" t="s">
        <v>452</v>
      </c>
      <c r="K5" s="279" t="s">
        <v>452</v>
      </c>
      <c r="L5" s="279" t="s">
        <v>451</v>
      </c>
      <c r="M5" s="279"/>
      <c r="N5" s="279"/>
      <c r="O5" s="279"/>
      <c r="P5" s="280"/>
      <c r="Q5" s="265"/>
      <c r="R5" s="265"/>
      <c r="S5" s="265"/>
      <c r="T5" s="265"/>
    </row>
    <row r="6" spans="1:20" ht="18" customHeight="1">
      <c r="A6" s="204">
        <v>2</v>
      </c>
      <c r="B6" s="202" t="s">
        <v>165</v>
      </c>
      <c r="C6" s="202" t="s">
        <v>1274</v>
      </c>
      <c r="D6" s="202" t="s">
        <v>92</v>
      </c>
      <c r="E6" s="300">
        <v>156</v>
      </c>
      <c r="F6" s="210">
        <v>156</v>
      </c>
      <c r="G6" s="210">
        <v>156</v>
      </c>
      <c r="H6" s="210">
        <f t="shared" ref="H6:H69" si="0">G6-F6</f>
        <v>0</v>
      </c>
      <c r="I6" s="203" t="s">
        <v>535</v>
      </c>
      <c r="J6" s="203" t="s">
        <v>534</v>
      </c>
      <c r="K6" s="203" t="s">
        <v>452</v>
      </c>
      <c r="L6" s="203" t="s">
        <v>451</v>
      </c>
      <c r="M6" s="203"/>
      <c r="N6" s="203"/>
      <c r="O6" s="203"/>
      <c r="P6" s="276"/>
      <c r="Q6" s="265"/>
      <c r="R6" s="265"/>
      <c r="S6" s="265"/>
      <c r="T6" s="265"/>
    </row>
    <row r="7" spans="1:20" ht="18" customHeight="1">
      <c r="A7" s="204">
        <v>3</v>
      </c>
      <c r="B7" s="202" t="s">
        <v>166</v>
      </c>
      <c r="C7" s="202" t="s">
        <v>1275</v>
      </c>
      <c r="D7" s="202" t="s">
        <v>92</v>
      </c>
      <c r="E7" s="300">
        <v>99</v>
      </c>
      <c r="F7" s="210">
        <v>99</v>
      </c>
      <c r="G7" s="210">
        <v>99</v>
      </c>
      <c r="H7" s="210">
        <f t="shared" si="0"/>
        <v>0</v>
      </c>
      <c r="I7" s="203" t="s">
        <v>535</v>
      </c>
      <c r="J7" s="203" t="s">
        <v>534</v>
      </c>
      <c r="K7" s="203" t="s">
        <v>452</v>
      </c>
      <c r="L7" s="203" t="s">
        <v>451</v>
      </c>
      <c r="M7" s="203"/>
      <c r="N7" s="318"/>
      <c r="O7" s="203"/>
      <c r="P7" s="276"/>
      <c r="Q7" s="265"/>
      <c r="R7" s="265"/>
      <c r="S7" s="265"/>
      <c r="T7" s="265"/>
    </row>
    <row r="8" spans="1:20" ht="18" customHeight="1">
      <c r="A8" s="204">
        <v>4</v>
      </c>
      <c r="B8" s="202" t="s">
        <v>167</v>
      </c>
      <c r="C8" s="202" t="s">
        <v>1276</v>
      </c>
      <c r="D8" s="202" t="s">
        <v>92</v>
      </c>
      <c r="E8" s="300">
        <v>124</v>
      </c>
      <c r="F8" s="210">
        <v>124</v>
      </c>
      <c r="G8" s="210">
        <v>124</v>
      </c>
      <c r="H8" s="210">
        <f t="shared" si="0"/>
        <v>0</v>
      </c>
      <c r="I8" s="203" t="s">
        <v>451</v>
      </c>
      <c r="J8" s="203" t="s">
        <v>452</v>
      </c>
      <c r="K8" s="203" t="s">
        <v>452</v>
      </c>
      <c r="L8" s="203" t="s">
        <v>451</v>
      </c>
      <c r="M8" s="203"/>
      <c r="N8" s="203"/>
      <c r="O8" s="203"/>
      <c r="P8" s="276"/>
      <c r="Q8" s="265"/>
      <c r="R8" s="265"/>
      <c r="S8" s="265"/>
      <c r="T8" s="265"/>
    </row>
    <row r="9" spans="1:20" ht="18" customHeight="1">
      <c r="A9" s="204">
        <v>5</v>
      </c>
      <c r="B9" s="202" t="s">
        <v>168</v>
      </c>
      <c r="C9" s="202" t="s">
        <v>1277</v>
      </c>
      <c r="D9" s="202" t="s">
        <v>92</v>
      </c>
      <c r="E9" s="300">
        <v>62</v>
      </c>
      <c r="F9" s="210">
        <v>62</v>
      </c>
      <c r="G9" s="210">
        <v>62</v>
      </c>
      <c r="H9" s="210">
        <f t="shared" si="0"/>
        <v>0</v>
      </c>
      <c r="I9" s="203" t="s">
        <v>451</v>
      </c>
      <c r="J9" s="203" t="s">
        <v>452</v>
      </c>
      <c r="K9" s="203" t="s">
        <v>452</v>
      </c>
      <c r="L9" s="203" t="s">
        <v>451</v>
      </c>
      <c r="M9" s="203"/>
      <c r="N9" s="203"/>
      <c r="O9" s="203"/>
      <c r="P9" s="276"/>
      <c r="Q9" s="265"/>
      <c r="R9" s="265"/>
      <c r="S9" s="265"/>
      <c r="T9" s="265"/>
    </row>
    <row r="10" spans="1:20" ht="18" customHeight="1">
      <c r="A10" s="204">
        <v>6</v>
      </c>
      <c r="B10" s="202" t="s">
        <v>169</v>
      </c>
      <c r="C10" s="202" t="s">
        <v>1278</v>
      </c>
      <c r="D10" s="202" t="s">
        <v>92</v>
      </c>
      <c r="E10" s="300">
        <v>66</v>
      </c>
      <c r="F10" s="210">
        <v>66</v>
      </c>
      <c r="G10" s="210">
        <v>66</v>
      </c>
      <c r="H10" s="210">
        <f t="shared" si="0"/>
        <v>0</v>
      </c>
      <c r="I10" s="203" t="s">
        <v>451</v>
      </c>
      <c r="J10" s="203" t="s">
        <v>452</v>
      </c>
      <c r="K10" s="203" t="s">
        <v>452</v>
      </c>
      <c r="L10" s="203" t="s">
        <v>451</v>
      </c>
      <c r="M10" s="203"/>
      <c r="N10" s="203"/>
      <c r="O10" s="203"/>
      <c r="P10" s="276"/>
      <c r="Q10" s="265"/>
      <c r="R10" s="265"/>
      <c r="S10" s="265"/>
      <c r="T10" s="267"/>
    </row>
    <row r="11" spans="1:20" ht="18" customHeight="1">
      <c r="A11" s="204">
        <v>7</v>
      </c>
      <c r="B11" s="202" t="s">
        <v>170</v>
      </c>
      <c r="C11" s="202" t="s">
        <v>1279</v>
      </c>
      <c r="D11" s="202" t="s">
        <v>92</v>
      </c>
      <c r="E11" s="300">
        <v>53</v>
      </c>
      <c r="F11" s="210">
        <v>53</v>
      </c>
      <c r="G11" s="210">
        <v>53</v>
      </c>
      <c r="H11" s="210">
        <f t="shared" si="0"/>
        <v>0</v>
      </c>
      <c r="I11" s="203" t="s">
        <v>451</v>
      </c>
      <c r="J11" s="203" t="s">
        <v>452</v>
      </c>
      <c r="K11" s="203" t="s">
        <v>452</v>
      </c>
      <c r="L11" s="203" t="s">
        <v>451</v>
      </c>
      <c r="M11" s="203"/>
      <c r="N11" s="203"/>
      <c r="O11" s="203"/>
      <c r="P11" s="276"/>
      <c r="Q11" s="265"/>
      <c r="R11" s="265"/>
      <c r="S11" s="265"/>
      <c r="T11" s="267"/>
    </row>
    <row r="12" spans="1:20" ht="18" customHeight="1">
      <c r="A12" s="204">
        <v>8</v>
      </c>
      <c r="B12" s="202" t="s">
        <v>171</v>
      </c>
      <c r="C12" s="202" t="s">
        <v>1280</v>
      </c>
      <c r="D12" s="202" t="s">
        <v>92</v>
      </c>
      <c r="E12" s="300">
        <v>38</v>
      </c>
      <c r="F12" s="210">
        <v>38</v>
      </c>
      <c r="G12" s="210">
        <v>38</v>
      </c>
      <c r="H12" s="210">
        <f t="shared" si="0"/>
        <v>0</v>
      </c>
      <c r="I12" s="203" t="s">
        <v>451</v>
      </c>
      <c r="J12" s="203" t="s">
        <v>452</v>
      </c>
      <c r="K12" s="203" t="s">
        <v>452</v>
      </c>
      <c r="L12" s="203" t="s">
        <v>451</v>
      </c>
      <c r="M12" s="203"/>
      <c r="N12" s="203"/>
      <c r="O12" s="203"/>
      <c r="P12" s="276"/>
      <c r="Q12" s="265"/>
      <c r="R12" s="265"/>
      <c r="S12" s="265"/>
      <c r="T12" s="267"/>
    </row>
    <row r="13" spans="1:20" ht="18" customHeight="1">
      <c r="A13" s="204">
        <v>9</v>
      </c>
      <c r="B13" s="202" t="s">
        <v>172</v>
      </c>
      <c r="C13" s="202" t="s">
        <v>1281</v>
      </c>
      <c r="D13" s="202" t="s">
        <v>92</v>
      </c>
      <c r="E13" s="300">
        <v>626</v>
      </c>
      <c r="F13" s="210">
        <v>626</v>
      </c>
      <c r="G13" s="210">
        <v>626</v>
      </c>
      <c r="H13" s="210">
        <f t="shared" si="0"/>
        <v>0</v>
      </c>
      <c r="I13" s="203" t="s">
        <v>451</v>
      </c>
      <c r="J13" s="203" t="s">
        <v>452</v>
      </c>
      <c r="K13" s="203" t="s">
        <v>452</v>
      </c>
      <c r="L13" s="203" t="s">
        <v>451</v>
      </c>
      <c r="M13" s="203"/>
      <c r="N13" s="203"/>
      <c r="O13" s="203"/>
      <c r="P13" s="276"/>
      <c r="Q13" s="265"/>
      <c r="R13" s="265"/>
      <c r="S13" s="265"/>
      <c r="T13" s="267"/>
    </row>
    <row r="14" spans="1:20" ht="18" customHeight="1">
      <c r="A14" s="204">
        <v>10</v>
      </c>
      <c r="B14" s="202" t="s">
        <v>173</v>
      </c>
      <c r="C14" s="202" t="s">
        <v>1282</v>
      </c>
      <c r="D14" s="202" t="s">
        <v>92</v>
      </c>
      <c r="E14" s="300">
        <v>15</v>
      </c>
      <c r="F14" s="210">
        <v>15</v>
      </c>
      <c r="G14" s="210">
        <v>15</v>
      </c>
      <c r="H14" s="210">
        <f t="shared" si="0"/>
        <v>0</v>
      </c>
      <c r="I14" s="203" t="s">
        <v>451</v>
      </c>
      <c r="J14" s="203" t="s">
        <v>452</v>
      </c>
      <c r="K14" s="203" t="s">
        <v>452</v>
      </c>
      <c r="L14" s="203" t="s">
        <v>451</v>
      </c>
      <c r="M14" s="203"/>
      <c r="N14" s="203"/>
      <c r="O14" s="203"/>
      <c r="P14" s="276"/>
      <c r="Q14" s="265"/>
      <c r="R14" s="265"/>
      <c r="S14" s="265"/>
      <c r="T14" s="267"/>
    </row>
    <row r="15" spans="1:20" ht="18" customHeight="1">
      <c r="A15" s="204">
        <v>11</v>
      </c>
      <c r="B15" s="202" t="s">
        <v>174</v>
      </c>
      <c r="C15" s="202" t="s">
        <v>1283</v>
      </c>
      <c r="D15" s="202" t="s">
        <v>92</v>
      </c>
      <c r="E15" s="300">
        <v>55</v>
      </c>
      <c r="F15" s="210">
        <v>55</v>
      </c>
      <c r="G15" s="210">
        <v>55</v>
      </c>
      <c r="H15" s="210">
        <f t="shared" si="0"/>
        <v>0</v>
      </c>
      <c r="I15" s="203" t="s">
        <v>451</v>
      </c>
      <c r="J15" s="203" t="s">
        <v>452</v>
      </c>
      <c r="K15" s="203" t="s">
        <v>452</v>
      </c>
      <c r="L15" s="203" t="s">
        <v>451</v>
      </c>
      <c r="M15" s="203"/>
      <c r="N15" s="318"/>
      <c r="O15" s="203"/>
      <c r="P15" s="276"/>
      <c r="Q15" s="265"/>
      <c r="R15" s="265"/>
      <c r="S15" s="265"/>
      <c r="T15" s="267"/>
    </row>
    <row r="16" spans="1:20" ht="18" customHeight="1">
      <c r="A16" s="204">
        <v>12</v>
      </c>
      <c r="B16" s="202" t="s">
        <v>175</v>
      </c>
      <c r="C16" s="202" t="s">
        <v>1284</v>
      </c>
      <c r="D16" s="202" t="s">
        <v>92</v>
      </c>
      <c r="E16" s="300">
        <v>1077</v>
      </c>
      <c r="F16" s="210">
        <v>1077</v>
      </c>
      <c r="G16" s="210">
        <v>1077</v>
      </c>
      <c r="H16" s="210">
        <f t="shared" si="0"/>
        <v>0</v>
      </c>
      <c r="I16" s="203" t="s">
        <v>451</v>
      </c>
      <c r="J16" s="203" t="s">
        <v>452</v>
      </c>
      <c r="K16" s="203" t="s">
        <v>452</v>
      </c>
      <c r="L16" s="203" t="s">
        <v>451</v>
      </c>
      <c r="M16" s="203"/>
      <c r="N16" s="203"/>
      <c r="O16" s="203"/>
      <c r="P16" s="276"/>
      <c r="Q16" s="265"/>
      <c r="R16" s="265"/>
      <c r="S16" s="265"/>
      <c r="T16" s="267"/>
    </row>
    <row r="17" spans="1:20" s="329" customFormat="1" ht="18" customHeight="1">
      <c r="A17" s="204">
        <v>13</v>
      </c>
      <c r="B17" s="202" t="s">
        <v>176</v>
      </c>
      <c r="C17" s="202" t="s">
        <v>1285</v>
      </c>
      <c r="D17" s="202" t="s">
        <v>92</v>
      </c>
      <c r="E17" s="300">
        <v>648</v>
      </c>
      <c r="F17" s="210">
        <v>277</v>
      </c>
      <c r="G17" s="210">
        <v>277</v>
      </c>
      <c r="H17" s="210">
        <f t="shared" si="0"/>
        <v>0</v>
      </c>
      <c r="I17" s="203" t="s">
        <v>177</v>
      </c>
      <c r="J17" s="203" t="s">
        <v>178</v>
      </c>
      <c r="K17" s="203" t="s">
        <v>452</v>
      </c>
      <c r="L17" s="203" t="s">
        <v>451</v>
      </c>
      <c r="M17" s="203"/>
      <c r="N17" s="203"/>
      <c r="O17" s="203"/>
      <c r="P17" s="276"/>
      <c r="Q17" s="327"/>
      <c r="R17" s="327"/>
      <c r="S17" s="327"/>
      <c r="T17" s="328"/>
    </row>
    <row r="18" spans="1:20" ht="18" customHeight="1">
      <c r="A18" s="204">
        <v>14</v>
      </c>
      <c r="B18" s="202" t="s">
        <v>179</v>
      </c>
      <c r="C18" s="202" t="s">
        <v>1286</v>
      </c>
      <c r="D18" s="202" t="s">
        <v>92</v>
      </c>
      <c r="E18" s="300">
        <v>1140</v>
      </c>
      <c r="F18" s="210">
        <v>1140</v>
      </c>
      <c r="G18" s="210">
        <v>1140</v>
      </c>
      <c r="H18" s="210">
        <f t="shared" si="0"/>
        <v>0</v>
      </c>
      <c r="I18" s="203" t="s">
        <v>451</v>
      </c>
      <c r="J18" s="203" t="s">
        <v>452</v>
      </c>
      <c r="K18" s="203" t="s">
        <v>452</v>
      </c>
      <c r="L18" s="203" t="s">
        <v>451</v>
      </c>
      <c r="M18" s="203"/>
      <c r="N18" s="203"/>
      <c r="O18" s="203"/>
      <c r="P18" s="276"/>
      <c r="Q18" s="265"/>
      <c r="R18" s="265"/>
      <c r="S18" s="265"/>
      <c r="T18" s="267"/>
    </row>
    <row r="19" spans="1:20" ht="18" customHeight="1">
      <c r="A19" s="204">
        <v>15</v>
      </c>
      <c r="B19" s="202" t="s">
        <v>180</v>
      </c>
      <c r="C19" s="202" t="s">
        <v>1287</v>
      </c>
      <c r="D19" s="202" t="s">
        <v>92</v>
      </c>
      <c r="E19" s="300">
        <v>666</v>
      </c>
      <c r="F19" s="210">
        <v>666</v>
      </c>
      <c r="G19" s="210">
        <v>666</v>
      </c>
      <c r="H19" s="210">
        <f t="shared" si="0"/>
        <v>0</v>
      </c>
      <c r="I19" s="203" t="s">
        <v>451</v>
      </c>
      <c r="J19" s="203" t="s">
        <v>452</v>
      </c>
      <c r="K19" s="203" t="s">
        <v>452</v>
      </c>
      <c r="L19" s="203" t="s">
        <v>451</v>
      </c>
      <c r="M19" s="203"/>
      <c r="N19" s="203"/>
      <c r="O19" s="203"/>
      <c r="P19" s="276"/>
      <c r="Q19" s="265"/>
      <c r="R19" s="265"/>
      <c r="S19" s="265"/>
      <c r="T19" s="267"/>
    </row>
    <row r="20" spans="1:20" ht="18" customHeight="1">
      <c r="A20" s="204">
        <v>16</v>
      </c>
      <c r="B20" s="202" t="s">
        <v>181</v>
      </c>
      <c r="C20" s="202" t="s">
        <v>1288</v>
      </c>
      <c r="D20" s="202" t="s">
        <v>92</v>
      </c>
      <c r="E20" s="300">
        <v>80</v>
      </c>
      <c r="F20" s="210">
        <v>80</v>
      </c>
      <c r="G20" s="210">
        <v>80</v>
      </c>
      <c r="H20" s="210">
        <f t="shared" si="0"/>
        <v>0</v>
      </c>
      <c r="I20" s="203" t="s">
        <v>451</v>
      </c>
      <c r="J20" s="203" t="s">
        <v>452</v>
      </c>
      <c r="K20" s="203" t="s">
        <v>452</v>
      </c>
      <c r="L20" s="203" t="s">
        <v>451</v>
      </c>
      <c r="M20" s="203"/>
      <c r="N20" s="203"/>
      <c r="O20" s="203"/>
      <c r="P20" s="276"/>
      <c r="Q20" s="265"/>
      <c r="R20" s="265"/>
      <c r="S20" s="265"/>
      <c r="T20" s="267"/>
    </row>
    <row r="21" spans="1:20" ht="18" customHeight="1">
      <c r="A21" s="204">
        <v>17</v>
      </c>
      <c r="B21" s="202" t="s">
        <v>182</v>
      </c>
      <c r="C21" s="202" t="s">
        <v>1289</v>
      </c>
      <c r="D21" s="202" t="s">
        <v>92</v>
      </c>
      <c r="E21" s="300">
        <v>353</v>
      </c>
      <c r="F21" s="210">
        <v>353</v>
      </c>
      <c r="G21" s="210">
        <v>353</v>
      </c>
      <c r="H21" s="210">
        <f t="shared" si="0"/>
        <v>0</v>
      </c>
      <c r="I21" s="203" t="s">
        <v>451</v>
      </c>
      <c r="J21" s="203" t="s">
        <v>452</v>
      </c>
      <c r="K21" s="203" t="s">
        <v>452</v>
      </c>
      <c r="L21" s="203" t="s">
        <v>451</v>
      </c>
      <c r="M21" s="203"/>
      <c r="N21" s="203"/>
      <c r="O21" s="203"/>
      <c r="P21" s="276"/>
      <c r="Q21" s="265"/>
      <c r="R21" s="265"/>
      <c r="S21" s="265"/>
      <c r="T21" s="267"/>
    </row>
    <row r="22" spans="1:20" ht="18" customHeight="1">
      <c r="A22" s="204">
        <v>18</v>
      </c>
      <c r="B22" s="202" t="s">
        <v>183</v>
      </c>
      <c r="C22" s="202" t="s">
        <v>1290</v>
      </c>
      <c r="D22" s="202" t="s">
        <v>92</v>
      </c>
      <c r="E22" s="300">
        <v>754</v>
      </c>
      <c r="F22" s="210">
        <v>754</v>
      </c>
      <c r="G22" s="210">
        <v>754</v>
      </c>
      <c r="H22" s="210">
        <f t="shared" si="0"/>
        <v>0</v>
      </c>
      <c r="I22" s="203" t="s">
        <v>451</v>
      </c>
      <c r="J22" s="203" t="s">
        <v>452</v>
      </c>
      <c r="K22" s="203" t="s">
        <v>452</v>
      </c>
      <c r="L22" s="203" t="s">
        <v>451</v>
      </c>
      <c r="M22" s="203"/>
      <c r="N22" s="203"/>
      <c r="O22" s="203"/>
      <c r="P22" s="276"/>
      <c r="Q22" s="265"/>
      <c r="R22" s="265"/>
      <c r="S22" s="265"/>
      <c r="T22" s="267"/>
    </row>
    <row r="23" spans="1:20" ht="18" customHeight="1">
      <c r="A23" s="204">
        <v>19</v>
      </c>
      <c r="B23" s="202" t="s">
        <v>184</v>
      </c>
      <c r="C23" s="202" t="s">
        <v>1291</v>
      </c>
      <c r="D23" s="202" t="s">
        <v>147</v>
      </c>
      <c r="E23" s="300"/>
      <c r="F23" s="210">
        <v>31</v>
      </c>
      <c r="G23" s="210">
        <v>31</v>
      </c>
      <c r="H23" s="210">
        <f t="shared" si="0"/>
        <v>0</v>
      </c>
      <c r="I23" s="203" t="s">
        <v>604</v>
      </c>
      <c r="J23" s="203"/>
      <c r="K23" s="203"/>
      <c r="L23" s="203" t="s">
        <v>511</v>
      </c>
      <c r="M23" s="203"/>
      <c r="N23" s="318"/>
      <c r="O23" s="203"/>
      <c r="P23" s="276"/>
      <c r="Q23" s="265"/>
      <c r="R23" s="265"/>
      <c r="S23" s="265"/>
      <c r="T23" s="267"/>
    </row>
    <row r="24" spans="1:20" ht="18" customHeight="1">
      <c r="A24" s="204">
        <v>20</v>
      </c>
      <c r="B24" s="202" t="s">
        <v>185</v>
      </c>
      <c r="C24" s="202" t="s">
        <v>1292</v>
      </c>
      <c r="D24" s="202" t="s">
        <v>92</v>
      </c>
      <c r="E24" s="300">
        <v>283</v>
      </c>
      <c r="F24" s="210">
        <v>283</v>
      </c>
      <c r="G24" s="210">
        <v>283</v>
      </c>
      <c r="H24" s="210">
        <f t="shared" si="0"/>
        <v>0</v>
      </c>
      <c r="I24" s="203" t="s">
        <v>451</v>
      </c>
      <c r="J24" s="203" t="s">
        <v>452</v>
      </c>
      <c r="K24" s="203" t="s">
        <v>452</v>
      </c>
      <c r="L24" s="203" t="s">
        <v>451</v>
      </c>
      <c r="M24" s="203"/>
      <c r="N24" s="203"/>
      <c r="O24" s="203"/>
      <c r="P24" s="276"/>
      <c r="Q24" s="265"/>
      <c r="R24" s="265"/>
      <c r="S24" s="265"/>
      <c r="T24" s="267"/>
    </row>
    <row r="25" spans="1:20" ht="18" customHeight="1">
      <c r="A25" s="204">
        <v>21</v>
      </c>
      <c r="B25" s="202" t="s">
        <v>186</v>
      </c>
      <c r="C25" s="202" t="s">
        <v>1293</v>
      </c>
      <c r="D25" s="202" t="s">
        <v>92</v>
      </c>
      <c r="E25" s="300">
        <v>1972</v>
      </c>
      <c r="F25" s="210">
        <v>1972</v>
      </c>
      <c r="G25" s="210">
        <v>1972</v>
      </c>
      <c r="H25" s="210">
        <f t="shared" si="0"/>
        <v>0</v>
      </c>
      <c r="I25" s="203" t="s">
        <v>451</v>
      </c>
      <c r="J25" s="203" t="s">
        <v>452</v>
      </c>
      <c r="K25" s="203" t="s">
        <v>452</v>
      </c>
      <c r="L25" s="203" t="s">
        <v>451</v>
      </c>
      <c r="M25" s="203"/>
      <c r="N25" s="203"/>
      <c r="O25" s="203"/>
      <c r="P25" s="276"/>
      <c r="Q25" s="265"/>
      <c r="R25" s="265"/>
      <c r="S25" s="265"/>
      <c r="T25" s="267"/>
    </row>
    <row r="26" spans="1:20" ht="18" customHeight="1">
      <c r="A26" s="204">
        <v>22</v>
      </c>
      <c r="B26" s="202" t="s">
        <v>187</v>
      </c>
      <c r="C26" s="202" t="s">
        <v>1294</v>
      </c>
      <c r="D26" s="202" t="s">
        <v>92</v>
      </c>
      <c r="E26" s="300">
        <v>2759</v>
      </c>
      <c r="F26" s="210">
        <v>2759</v>
      </c>
      <c r="G26" s="210">
        <v>2759</v>
      </c>
      <c r="H26" s="210">
        <f t="shared" si="0"/>
        <v>0</v>
      </c>
      <c r="I26" s="203" t="s">
        <v>451</v>
      </c>
      <c r="J26" s="203" t="s">
        <v>452</v>
      </c>
      <c r="K26" s="203" t="s">
        <v>452</v>
      </c>
      <c r="L26" s="203" t="s">
        <v>451</v>
      </c>
      <c r="M26" s="203"/>
      <c r="N26" s="203"/>
      <c r="O26" s="203"/>
      <c r="P26" s="276"/>
      <c r="Q26" s="265"/>
      <c r="R26" s="265"/>
      <c r="S26" s="265"/>
      <c r="T26" s="267"/>
    </row>
    <row r="27" spans="1:20" ht="18" customHeight="1">
      <c r="A27" s="204">
        <v>23</v>
      </c>
      <c r="B27" s="202" t="s">
        <v>188</v>
      </c>
      <c r="C27" s="202" t="s">
        <v>971</v>
      </c>
      <c r="D27" s="202" t="s">
        <v>92</v>
      </c>
      <c r="E27" s="300">
        <v>8</v>
      </c>
      <c r="F27" s="210">
        <v>8</v>
      </c>
      <c r="G27" s="210">
        <v>8</v>
      </c>
      <c r="H27" s="210">
        <f t="shared" si="0"/>
        <v>0</v>
      </c>
      <c r="I27" s="203" t="s">
        <v>451</v>
      </c>
      <c r="J27" s="203" t="s">
        <v>452</v>
      </c>
      <c r="K27" s="203" t="s">
        <v>452</v>
      </c>
      <c r="L27" s="203" t="s">
        <v>451</v>
      </c>
      <c r="M27" s="203"/>
      <c r="N27" s="203"/>
      <c r="O27" s="203"/>
      <c r="P27" s="276"/>
      <c r="Q27" s="265"/>
      <c r="R27" s="265"/>
      <c r="S27" s="265"/>
      <c r="T27" s="267"/>
    </row>
    <row r="28" spans="1:20" ht="18" customHeight="1">
      <c r="A28" s="204">
        <v>24</v>
      </c>
      <c r="B28" s="202" t="s">
        <v>189</v>
      </c>
      <c r="C28" s="202" t="s">
        <v>1295</v>
      </c>
      <c r="D28" s="202" t="s">
        <v>92</v>
      </c>
      <c r="E28" s="300">
        <v>6867</v>
      </c>
      <c r="F28" s="210">
        <v>6867</v>
      </c>
      <c r="G28" s="210">
        <v>6867</v>
      </c>
      <c r="H28" s="210">
        <f t="shared" si="0"/>
        <v>0</v>
      </c>
      <c r="I28" s="203" t="s">
        <v>451</v>
      </c>
      <c r="J28" s="203" t="s">
        <v>452</v>
      </c>
      <c r="K28" s="203" t="s">
        <v>452</v>
      </c>
      <c r="L28" s="203" t="s">
        <v>451</v>
      </c>
      <c r="M28" s="203"/>
      <c r="N28" s="203"/>
      <c r="O28" s="203"/>
      <c r="P28" s="276"/>
      <c r="Q28" s="265"/>
      <c r="R28" s="265"/>
      <c r="S28" s="265"/>
      <c r="T28" s="267"/>
    </row>
    <row r="29" spans="1:20" ht="18" customHeight="1">
      <c r="A29" s="204">
        <v>25</v>
      </c>
      <c r="B29" s="202" t="s">
        <v>190</v>
      </c>
      <c r="C29" s="202" t="s">
        <v>1296</v>
      </c>
      <c r="D29" s="202" t="s">
        <v>80</v>
      </c>
      <c r="E29" s="300">
        <v>43</v>
      </c>
      <c r="F29" s="210">
        <v>43</v>
      </c>
      <c r="G29" s="210">
        <v>43</v>
      </c>
      <c r="H29" s="210">
        <f t="shared" si="0"/>
        <v>0</v>
      </c>
      <c r="I29" s="203" t="s">
        <v>191</v>
      </c>
      <c r="J29" s="203" t="s">
        <v>192</v>
      </c>
      <c r="K29" s="203" t="s">
        <v>452</v>
      </c>
      <c r="L29" s="203" t="s">
        <v>451</v>
      </c>
      <c r="M29" s="203"/>
      <c r="N29" s="203"/>
      <c r="O29" s="203"/>
      <c r="P29" s="276"/>
      <c r="Q29" s="265"/>
      <c r="R29" s="265"/>
      <c r="S29" s="265"/>
      <c r="T29" s="267"/>
    </row>
    <row r="30" spans="1:20" ht="18" customHeight="1">
      <c r="A30" s="204">
        <v>26</v>
      </c>
      <c r="B30" s="202" t="s">
        <v>193</v>
      </c>
      <c r="C30" s="202" t="s">
        <v>1297</v>
      </c>
      <c r="D30" s="202" t="s">
        <v>92</v>
      </c>
      <c r="E30" s="300">
        <v>448</v>
      </c>
      <c r="F30" s="210">
        <v>448</v>
      </c>
      <c r="G30" s="210">
        <v>448</v>
      </c>
      <c r="H30" s="210">
        <f t="shared" si="0"/>
        <v>0</v>
      </c>
      <c r="I30" s="203" t="s">
        <v>0</v>
      </c>
      <c r="J30" s="203" t="s">
        <v>194</v>
      </c>
      <c r="K30" s="203" t="s">
        <v>1396</v>
      </c>
      <c r="L30" s="203" t="s">
        <v>451</v>
      </c>
      <c r="M30" s="203"/>
      <c r="N30" s="203"/>
      <c r="O30" s="203"/>
      <c r="P30" s="276"/>
      <c r="Q30" s="265"/>
      <c r="R30" s="265"/>
      <c r="S30" s="265"/>
      <c r="T30" s="267"/>
    </row>
    <row r="31" spans="1:20" ht="18" customHeight="1">
      <c r="A31" s="204">
        <v>27</v>
      </c>
      <c r="B31" s="202" t="s">
        <v>195</v>
      </c>
      <c r="C31" s="202" t="s">
        <v>1298</v>
      </c>
      <c r="D31" s="202" t="s">
        <v>92</v>
      </c>
      <c r="E31" s="300">
        <v>722</v>
      </c>
      <c r="F31" s="210">
        <v>722</v>
      </c>
      <c r="G31" s="210">
        <v>722</v>
      </c>
      <c r="H31" s="210">
        <f t="shared" si="0"/>
        <v>0</v>
      </c>
      <c r="I31" s="203" t="s">
        <v>0</v>
      </c>
      <c r="J31" s="203" t="s">
        <v>87</v>
      </c>
      <c r="K31" s="203" t="s">
        <v>537</v>
      </c>
      <c r="L31" s="203" t="s">
        <v>451</v>
      </c>
      <c r="M31" s="203"/>
      <c r="N31" s="318"/>
      <c r="O31" s="203"/>
      <c r="P31" s="276"/>
      <c r="Q31" s="265"/>
      <c r="R31" s="265"/>
      <c r="S31" s="265"/>
      <c r="T31" s="267"/>
    </row>
    <row r="32" spans="1:20" ht="18" customHeight="1">
      <c r="A32" s="204">
        <v>28</v>
      </c>
      <c r="B32" s="202" t="s">
        <v>196</v>
      </c>
      <c r="C32" s="202" t="s">
        <v>1299</v>
      </c>
      <c r="D32" s="202" t="s">
        <v>79</v>
      </c>
      <c r="E32" s="300">
        <v>1924</v>
      </c>
      <c r="F32" s="210">
        <v>319</v>
      </c>
      <c r="G32" s="210">
        <v>319</v>
      </c>
      <c r="H32" s="210">
        <f t="shared" si="0"/>
        <v>0</v>
      </c>
      <c r="I32" s="203" t="s">
        <v>86</v>
      </c>
      <c r="J32" s="203" t="s">
        <v>153</v>
      </c>
      <c r="K32" s="203" t="s">
        <v>514</v>
      </c>
      <c r="L32" s="203" t="s">
        <v>511</v>
      </c>
      <c r="M32" s="203"/>
      <c r="N32" s="203"/>
      <c r="O32" s="203"/>
      <c r="P32" s="276"/>
      <c r="Q32" s="265"/>
      <c r="R32" s="265"/>
      <c r="S32" s="265"/>
      <c r="T32" s="267"/>
    </row>
    <row r="33" spans="1:20" ht="18" customHeight="1">
      <c r="A33" s="204">
        <v>29</v>
      </c>
      <c r="B33" s="202" t="s">
        <v>197</v>
      </c>
      <c r="C33" s="202" t="s">
        <v>1300</v>
      </c>
      <c r="D33" s="202" t="s">
        <v>90</v>
      </c>
      <c r="E33" s="300">
        <v>712</v>
      </c>
      <c r="F33" s="210">
        <v>712</v>
      </c>
      <c r="G33" s="210">
        <v>712</v>
      </c>
      <c r="H33" s="210">
        <f t="shared" si="0"/>
        <v>0</v>
      </c>
      <c r="I33" s="203" t="s">
        <v>451</v>
      </c>
      <c r="J33" s="203" t="s">
        <v>452</v>
      </c>
      <c r="K33" s="203" t="s">
        <v>452</v>
      </c>
      <c r="L33" s="203" t="s">
        <v>451</v>
      </c>
      <c r="M33" s="203"/>
      <c r="N33" s="203"/>
      <c r="O33" s="203"/>
      <c r="P33" s="276"/>
      <c r="Q33" s="265"/>
      <c r="R33" s="265"/>
      <c r="S33" s="265"/>
      <c r="T33" s="267"/>
    </row>
    <row r="34" spans="1:20" ht="18" customHeight="1">
      <c r="A34" s="204">
        <v>30</v>
      </c>
      <c r="B34" s="202" t="s">
        <v>198</v>
      </c>
      <c r="C34" s="202" t="s">
        <v>1301</v>
      </c>
      <c r="D34" s="202" t="s">
        <v>90</v>
      </c>
      <c r="E34" s="300">
        <v>547</v>
      </c>
      <c r="F34" s="210">
        <v>547</v>
      </c>
      <c r="G34" s="210">
        <v>547</v>
      </c>
      <c r="H34" s="210">
        <f t="shared" si="0"/>
        <v>0</v>
      </c>
      <c r="I34" s="203" t="s">
        <v>451</v>
      </c>
      <c r="J34" s="203" t="s">
        <v>452</v>
      </c>
      <c r="K34" s="203" t="s">
        <v>452</v>
      </c>
      <c r="L34" s="203" t="s">
        <v>451</v>
      </c>
      <c r="M34" s="203"/>
      <c r="N34" s="203"/>
      <c r="O34" s="203"/>
      <c r="P34" s="276"/>
      <c r="Q34" s="265"/>
      <c r="R34" s="265"/>
      <c r="S34" s="265"/>
      <c r="T34" s="267"/>
    </row>
    <row r="35" spans="1:20" ht="18" customHeight="1">
      <c r="A35" s="204">
        <v>31</v>
      </c>
      <c r="B35" s="202" t="s">
        <v>199</v>
      </c>
      <c r="C35" s="202" t="s">
        <v>692</v>
      </c>
      <c r="D35" s="202" t="s">
        <v>90</v>
      </c>
      <c r="E35" s="300">
        <v>1790</v>
      </c>
      <c r="F35" s="210">
        <v>1790</v>
      </c>
      <c r="G35" s="210">
        <v>1790</v>
      </c>
      <c r="H35" s="210">
        <f t="shared" si="0"/>
        <v>0</v>
      </c>
      <c r="I35" s="203" t="s">
        <v>451</v>
      </c>
      <c r="J35" s="203" t="s">
        <v>452</v>
      </c>
      <c r="K35" s="203" t="s">
        <v>452</v>
      </c>
      <c r="L35" s="203" t="s">
        <v>451</v>
      </c>
      <c r="M35" s="203"/>
      <c r="N35" s="203"/>
      <c r="O35" s="203"/>
      <c r="P35" s="276"/>
      <c r="Q35" s="265"/>
      <c r="R35" s="265"/>
      <c r="S35" s="265"/>
      <c r="T35" s="267"/>
    </row>
    <row r="36" spans="1:20" ht="18" customHeight="1">
      <c r="A36" s="204">
        <v>33</v>
      </c>
      <c r="B36" s="202" t="s">
        <v>200</v>
      </c>
      <c r="C36" s="202" t="s">
        <v>1302</v>
      </c>
      <c r="D36" s="202" t="s">
        <v>92</v>
      </c>
      <c r="E36" s="300">
        <v>2113</v>
      </c>
      <c r="F36" s="210">
        <v>2113</v>
      </c>
      <c r="G36" s="210">
        <v>2113</v>
      </c>
      <c r="H36" s="210">
        <f t="shared" si="0"/>
        <v>0</v>
      </c>
      <c r="I36" s="203" t="s">
        <v>451</v>
      </c>
      <c r="J36" s="203" t="s">
        <v>452</v>
      </c>
      <c r="K36" s="203" t="s">
        <v>452</v>
      </c>
      <c r="L36" s="203" t="s">
        <v>451</v>
      </c>
      <c r="M36" s="203"/>
      <c r="N36" s="203"/>
      <c r="O36" s="203"/>
      <c r="P36" s="276"/>
      <c r="Q36" s="265"/>
      <c r="R36" s="265"/>
      <c r="S36" s="265"/>
      <c r="T36" s="267"/>
    </row>
    <row r="37" spans="1:20" ht="18" customHeight="1">
      <c r="A37" s="204">
        <v>34</v>
      </c>
      <c r="B37" s="202" t="s">
        <v>201</v>
      </c>
      <c r="C37" s="202" t="s">
        <v>1303</v>
      </c>
      <c r="D37" s="202" t="s">
        <v>92</v>
      </c>
      <c r="E37" s="300">
        <v>2341</v>
      </c>
      <c r="F37" s="210">
        <v>2341</v>
      </c>
      <c r="G37" s="210">
        <v>2341</v>
      </c>
      <c r="H37" s="210">
        <f t="shared" si="0"/>
        <v>0</v>
      </c>
      <c r="I37" s="203" t="s">
        <v>451</v>
      </c>
      <c r="J37" s="203" t="s">
        <v>452</v>
      </c>
      <c r="K37" s="203" t="s">
        <v>452</v>
      </c>
      <c r="L37" s="203" t="s">
        <v>451</v>
      </c>
      <c r="M37" s="203"/>
      <c r="N37" s="203"/>
      <c r="O37" s="203"/>
      <c r="P37" s="276"/>
      <c r="Q37" s="265"/>
      <c r="R37" s="265"/>
      <c r="S37" s="265"/>
      <c r="T37" s="267"/>
    </row>
    <row r="38" spans="1:20" ht="18" customHeight="1">
      <c r="A38" s="204">
        <v>36</v>
      </c>
      <c r="B38" s="202" t="s">
        <v>202</v>
      </c>
      <c r="C38" s="202" t="s">
        <v>1304</v>
      </c>
      <c r="D38" s="202" t="s">
        <v>92</v>
      </c>
      <c r="E38" s="300">
        <v>51</v>
      </c>
      <c r="F38" s="210">
        <v>51</v>
      </c>
      <c r="G38" s="210">
        <v>51</v>
      </c>
      <c r="H38" s="210">
        <f t="shared" si="0"/>
        <v>0</v>
      </c>
      <c r="I38" s="203" t="s">
        <v>451</v>
      </c>
      <c r="J38" s="203" t="s">
        <v>452</v>
      </c>
      <c r="K38" s="203" t="s">
        <v>452</v>
      </c>
      <c r="L38" s="203" t="s">
        <v>451</v>
      </c>
      <c r="M38" s="203"/>
      <c r="N38" s="203"/>
      <c r="O38" s="203"/>
      <c r="P38" s="276"/>
      <c r="Q38" s="265"/>
      <c r="R38" s="265"/>
      <c r="S38" s="265"/>
      <c r="T38" s="267"/>
    </row>
    <row r="39" spans="1:20" ht="18" customHeight="1">
      <c r="A39" s="204">
        <v>37</v>
      </c>
      <c r="B39" s="202" t="s">
        <v>203</v>
      </c>
      <c r="C39" s="202" t="s">
        <v>1305</v>
      </c>
      <c r="D39" s="202" t="s">
        <v>80</v>
      </c>
      <c r="E39" s="300">
        <v>68</v>
      </c>
      <c r="F39" s="210">
        <v>68</v>
      </c>
      <c r="G39" s="210">
        <v>68</v>
      </c>
      <c r="H39" s="210">
        <f t="shared" si="0"/>
        <v>0</v>
      </c>
      <c r="I39" s="203" t="s">
        <v>451</v>
      </c>
      <c r="J39" s="203" t="s">
        <v>452</v>
      </c>
      <c r="K39" s="203" t="s">
        <v>452</v>
      </c>
      <c r="L39" s="203" t="s">
        <v>451</v>
      </c>
      <c r="M39" s="203"/>
      <c r="N39" s="203"/>
      <c r="O39" s="203"/>
      <c r="P39" s="276"/>
      <c r="Q39" s="265"/>
      <c r="R39" s="265"/>
      <c r="S39" s="265"/>
      <c r="T39" s="267"/>
    </row>
    <row r="40" spans="1:20" ht="18" customHeight="1">
      <c r="A40" s="204">
        <v>38</v>
      </c>
      <c r="B40" s="202" t="s">
        <v>204</v>
      </c>
      <c r="C40" s="202" t="s">
        <v>1306</v>
      </c>
      <c r="D40" s="202" t="s">
        <v>80</v>
      </c>
      <c r="E40" s="300">
        <v>251</v>
      </c>
      <c r="F40" s="210">
        <v>251</v>
      </c>
      <c r="G40" s="210">
        <v>251</v>
      </c>
      <c r="H40" s="210">
        <f t="shared" si="0"/>
        <v>0</v>
      </c>
      <c r="I40" s="203" t="s">
        <v>451</v>
      </c>
      <c r="J40" s="203" t="s">
        <v>452</v>
      </c>
      <c r="K40" s="203" t="s">
        <v>452</v>
      </c>
      <c r="L40" s="203" t="s">
        <v>451</v>
      </c>
      <c r="M40" s="203"/>
      <c r="N40" s="203"/>
      <c r="O40" s="203"/>
      <c r="P40" s="276"/>
      <c r="Q40" s="265"/>
      <c r="R40" s="265"/>
      <c r="S40" s="265"/>
      <c r="T40" s="267"/>
    </row>
    <row r="41" spans="1:20" ht="18" customHeight="1">
      <c r="A41" s="204">
        <v>39</v>
      </c>
      <c r="B41" s="202" t="s">
        <v>205</v>
      </c>
      <c r="C41" s="202" t="s">
        <v>1307</v>
      </c>
      <c r="D41" s="202" t="s">
        <v>80</v>
      </c>
      <c r="E41" s="300">
        <v>994</v>
      </c>
      <c r="F41" s="210">
        <v>994</v>
      </c>
      <c r="G41" s="210">
        <v>994</v>
      </c>
      <c r="H41" s="210">
        <f t="shared" si="0"/>
        <v>0</v>
      </c>
      <c r="I41" s="203" t="s">
        <v>451</v>
      </c>
      <c r="J41" s="203" t="s">
        <v>452</v>
      </c>
      <c r="K41" s="203" t="s">
        <v>452</v>
      </c>
      <c r="L41" s="203" t="s">
        <v>451</v>
      </c>
      <c r="M41" s="203"/>
      <c r="N41" s="203"/>
      <c r="O41" s="203"/>
      <c r="P41" s="276"/>
      <c r="Q41" s="265"/>
      <c r="R41" s="265"/>
      <c r="S41" s="265"/>
      <c r="T41" s="267"/>
    </row>
    <row r="42" spans="1:20" ht="18" customHeight="1">
      <c r="A42" s="204">
        <v>40</v>
      </c>
      <c r="B42" s="202" t="s">
        <v>206</v>
      </c>
      <c r="C42" s="202" t="s">
        <v>1308</v>
      </c>
      <c r="D42" s="202" t="s">
        <v>92</v>
      </c>
      <c r="E42" s="300">
        <v>665</v>
      </c>
      <c r="F42" s="210">
        <v>665</v>
      </c>
      <c r="G42" s="210">
        <v>665</v>
      </c>
      <c r="H42" s="210">
        <f t="shared" si="0"/>
        <v>0</v>
      </c>
      <c r="I42" s="203" t="s">
        <v>451</v>
      </c>
      <c r="J42" s="203" t="s">
        <v>452</v>
      </c>
      <c r="K42" s="203" t="s">
        <v>452</v>
      </c>
      <c r="L42" s="203" t="s">
        <v>451</v>
      </c>
      <c r="M42" s="203"/>
      <c r="N42" s="203"/>
      <c r="O42" s="203"/>
      <c r="P42" s="276"/>
      <c r="Q42" s="265"/>
      <c r="R42" s="265"/>
      <c r="S42" s="265"/>
      <c r="T42" s="267"/>
    </row>
    <row r="43" spans="1:20" ht="18" customHeight="1">
      <c r="A43" s="204">
        <v>41</v>
      </c>
      <c r="B43" s="202" t="s">
        <v>207</v>
      </c>
      <c r="C43" s="202" t="s">
        <v>1309</v>
      </c>
      <c r="D43" s="202" t="s">
        <v>92</v>
      </c>
      <c r="E43" s="300">
        <v>1255</v>
      </c>
      <c r="F43" s="210">
        <v>988</v>
      </c>
      <c r="G43" s="210">
        <v>988</v>
      </c>
      <c r="H43" s="210">
        <f t="shared" si="0"/>
        <v>0</v>
      </c>
      <c r="I43" s="203" t="s">
        <v>451</v>
      </c>
      <c r="J43" s="203" t="s">
        <v>452</v>
      </c>
      <c r="K43" s="203" t="s">
        <v>452</v>
      </c>
      <c r="L43" s="203" t="s">
        <v>451</v>
      </c>
      <c r="M43" s="203"/>
      <c r="N43" s="203"/>
      <c r="O43" s="203"/>
      <c r="P43" s="276"/>
      <c r="Q43" s="265"/>
      <c r="R43" s="265"/>
      <c r="S43" s="265"/>
      <c r="T43" s="267"/>
    </row>
    <row r="44" spans="1:20" ht="18" customHeight="1">
      <c r="A44" s="204">
        <v>43</v>
      </c>
      <c r="B44" s="202" t="s">
        <v>208</v>
      </c>
      <c r="C44" s="202" t="s">
        <v>1310</v>
      </c>
      <c r="D44" s="202" t="s">
        <v>92</v>
      </c>
      <c r="E44" s="300">
        <v>375</v>
      </c>
      <c r="F44" s="210">
        <v>375</v>
      </c>
      <c r="G44" s="210">
        <v>375</v>
      </c>
      <c r="H44" s="210">
        <f t="shared" si="0"/>
        <v>0</v>
      </c>
      <c r="I44" s="203" t="s">
        <v>451</v>
      </c>
      <c r="J44" s="203" t="s">
        <v>452</v>
      </c>
      <c r="K44" s="203" t="s">
        <v>452</v>
      </c>
      <c r="L44" s="203" t="s">
        <v>451</v>
      </c>
      <c r="M44" s="203"/>
      <c r="N44" s="318"/>
      <c r="O44" s="203"/>
      <c r="P44" s="276"/>
      <c r="Q44" s="265"/>
      <c r="R44" s="265"/>
      <c r="S44" s="265"/>
      <c r="T44" s="267"/>
    </row>
    <row r="45" spans="1:20" ht="18" customHeight="1">
      <c r="A45" s="204">
        <v>44</v>
      </c>
      <c r="B45" s="202" t="s">
        <v>209</v>
      </c>
      <c r="C45" s="202" t="s">
        <v>1311</v>
      </c>
      <c r="D45" s="202" t="s">
        <v>92</v>
      </c>
      <c r="E45" s="300">
        <v>2117</v>
      </c>
      <c r="F45" s="210">
        <v>2117</v>
      </c>
      <c r="G45" s="210">
        <v>2117</v>
      </c>
      <c r="H45" s="210">
        <f t="shared" si="0"/>
        <v>0</v>
      </c>
      <c r="I45" s="203" t="s">
        <v>451</v>
      </c>
      <c r="J45" s="203" t="s">
        <v>452</v>
      </c>
      <c r="K45" s="203" t="s">
        <v>452</v>
      </c>
      <c r="L45" s="203" t="s">
        <v>451</v>
      </c>
      <c r="M45" s="203"/>
      <c r="N45" s="203"/>
      <c r="O45" s="203"/>
      <c r="P45" s="276"/>
      <c r="Q45" s="265"/>
      <c r="R45" s="265"/>
      <c r="S45" s="265"/>
      <c r="T45" s="267"/>
    </row>
    <row r="46" spans="1:20" ht="18" customHeight="1">
      <c r="A46" s="204">
        <v>45</v>
      </c>
      <c r="B46" s="202" t="s">
        <v>210</v>
      </c>
      <c r="C46" s="202" t="s">
        <v>1312</v>
      </c>
      <c r="D46" s="202" t="s">
        <v>79</v>
      </c>
      <c r="E46" s="300">
        <v>355</v>
      </c>
      <c r="F46" s="210">
        <v>355</v>
      </c>
      <c r="G46" s="210">
        <v>355</v>
      </c>
      <c r="H46" s="210">
        <f t="shared" si="0"/>
        <v>0</v>
      </c>
      <c r="I46" s="203" t="s">
        <v>0</v>
      </c>
      <c r="J46" s="203" t="s">
        <v>87</v>
      </c>
      <c r="K46" s="203" t="s">
        <v>537</v>
      </c>
      <c r="L46" s="203" t="s">
        <v>451</v>
      </c>
      <c r="M46" s="203"/>
      <c r="N46" s="203"/>
      <c r="O46" s="203"/>
      <c r="P46" s="276"/>
      <c r="Q46" s="265"/>
      <c r="R46" s="265"/>
      <c r="S46" s="265"/>
      <c r="T46" s="267"/>
    </row>
    <row r="47" spans="1:20" ht="18" customHeight="1">
      <c r="A47" s="204">
        <v>46</v>
      </c>
      <c r="B47" s="202" t="s">
        <v>211</v>
      </c>
      <c r="C47" s="202" t="s">
        <v>1313</v>
      </c>
      <c r="D47" s="202" t="s">
        <v>79</v>
      </c>
      <c r="E47" s="300">
        <v>23</v>
      </c>
      <c r="F47" s="210">
        <v>23</v>
      </c>
      <c r="G47" s="210">
        <v>23</v>
      </c>
      <c r="H47" s="210">
        <f t="shared" si="0"/>
        <v>0</v>
      </c>
      <c r="I47" s="203" t="s">
        <v>212</v>
      </c>
      <c r="J47" s="203" t="s">
        <v>213</v>
      </c>
      <c r="K47" s="203" t="s">
        <v>452</v>
      </c>
      <c r="L47" s="203" t="s">
        <v>451</v>
      </c>
      <c r="M47" s="203"/>
      <c r="N47" s="203"/>
      <c r="O47" s="203"/>
      <c r="P47" s="276"/>
      <c r="Q47" s="265"/>
      <c r="R47" s="265"/>
      <c r="S47" s="265"/>
      <c r="T47" s="267"/>
    </row>
    <row r="48" spans="1:20" ht="18" customHeight="1">
      <c r="A48" s="204">
        <v>47</v>
      </c>
      <c r="B48" s="202" t="s">
        <v>214</v>
      </c>
      <c r="C48" s="202" t="s">
        <v>493</v>
      </c>
      <c r="D48" s="202" t="s">
        <v>79</v>
      </c>
      <c r="E48" s="300">
        <v>53</v>
      </c>
      <c r="F48" s="210">
        <v>24</v>
      </c>
      <c r="G48" s="210">
        <v>24</v>
      </c>
      <c r="H48" s="210">
        <f t="shared" si="0"/>
        <v>0</v>
      </c>
      <c r="I48" s="203" t="s">
        <v>0</v>
      </c>
      <c r="J48" s="203" t="s">
        <v>87</v>
      </c>
      <c r="K48" s="203" t="s">
        <v>537</v>
      </c>
      <c r="L48" s="203" t="s">
        <v>451</v>
      </c>
      <c r="M48" s="203"/>
      <c r="N48" s="203"/>
      <c r="O48" s="203"/>
      <c r="P48" s="276"/>
      <c r="Q48" s="265"/>
      <c r="R48" s="265"/>
      <c r="S48" s="265"/>
      <c r="T48" s="267"/>
    </row>
    <row r="49" spans="1:20" ht="18" customHeight="1">
      <c r="A49" s="204">
        <v>48</v>
      </c>
      <c r="B49" s="202" t="s">
        <v>84</v>
      </c>
      <c r="C49" s="202" t="s">
        <v>689</v>
      </c>
      <c r="D49" s="202" t="s">
        <v>90</v>
      </c>
      <c r="E49" s="300">
        <v>814</v>
      </c>
      <c r="F49" s="210">
        <v>814</v>
      </c>
      <c r="G49" s="210">
        <v>814</v>
      </c>
      <c r="H49" s="210">
        <f t="shared" si="0"/>
        <v>0</v>
      </c>
      <c r="I49" s="203" t="s">
        <v>451</v>
      </c>
      <c r="J49" s="203" t="s">
        <v>452</v>
      </c>
      <c r="K49" s="203" t="s">
        <v>452</v>
      </c>
      <c r="L49" s="203" t="s">
        <v>451</v>
      </c>
      <c r="M49" s="203"/>
      <c r="N49" s="203"/>
      <c r="O49" s="203"/>
      <c r="P49" s="276"/>
      <c r="Q49" s="265"/>
      <c r="R49" s="265"/>
      <c r="S49" s="265"/>
      <c r="T49" s="267"/>
    </row>
    <row r="50" spans="1:20" ht="18" customHeight="1">
      <c r="A50" s="204">
        <v>49</v>
      </c>
      <c r="B50" s="202" t="s">
        <v>215</v>
      </c>
      <c r="C50" s="202" t="s">
        <v>1314</v>
      </c>
      <c r="D50" s="202" t="s">
        <v>90</v>
      </c>
      <c r="E50" s="300">
        <v>1048</v>
      </c>
      <c r="F50" s="210">
        <v>1048</v>
      </c>
      <c r="G50" s="210">
        <v>1048</v>
      </c>
      <c r="H50" s="210">
        <f t="shared" si="0"/>
        <v>0</v>
      </c>
      <c r="I50" s="203" t="s">
        <v>451</v>
      </c>
      <c r="J50" s="203" t="s">
        <v>452</v>
      </c>
      <c r="K50" s="203" t="s">
        <v>452</v>
      </c>
      <c r="L50" s="203" t="s">
        <v>451</v>
      </c>
      <c r="M50" s="203"/>
      <c r="N50" s="203"/>
      <c r="O50" s="203"/>
      <c r="P50" s="276"/>
      <c r="Q50" s="265"/>
      <c r="R50" s="265"/>
      <c r="S50" s="265"/>
      <c r="T50" s="267"/>
    </row>
    <row r="51" spans="1:20" ht="18" customHeight="1">
      <c r="A51" s="204">
        <v>50</v>
      </c>
      <c r="B51" s="202" t="s">
        <v>216</v>
      </c>
      <c r="C51" s="202" t="s">
        <v>1315</v>
      </c>
      <c r="D51" s="202" t="s">
        <v>90</v>
      </c>
      <c r="E51" s="300">
        <v>269</v>
      </c>
      <c r="F51" s="210">
        <v>269</v>
      </c>
      <c r="G51" s="210">
        <v>269</v>
      </c>
      <c r="H51" s="210">
        <f t="shared" si="0"/>
        <v>0</v>
      </c>
      <c r="I51" s="203" t="s">
        <v>451</v>
      </c>
      <c r="J51" s="203" t="s">
        <v>452</v>
      </c>
      <c r="K51" s="203" t="s">
        <v>452</v>
      </c>
      <c r="L51" s="203" t="s">
        <v>451</v>
      </c>
      <c r="M51" s="203"/>
      <c r="N51" s="203"/>
      <c r="O51" s="203"/>
      <c r="P51" s="276"/>
      <c r="Q51" s="265"/>
      <c r="R51" s="265"/>
      <c r="S51" s="265"/>
      <c r="T51" s="267"/>
    </row>
    <row r="52" spans="1:20" ht="18" customHeight="1">
      <c r="A52" s="204">
        <v>51</v>
      </c>
      <c r="B52" s="202" t="s">
        <v>217</v>
      </c>
      <c r="C52" s="202" t="s">
        <v>1316</v>
      </c>
      <c r="D52" s="202" t="s">
        <v>90</v>
      </c>
      <c r="E52" s="300">
        <v>139</v>
      </c>
      <c r="F52" s="210">
        <v>139</v>
      </c>
      <c r="G52" s="210">
        <v>139</v>
      </c>
      <c r="H52" s="210">
        <f t="shared" si="0"/>
        <v>0</v>
      </c>
      <c r="I52" s="203" t="s">
        <v>451</v>
      </c>
      <c r="J52" s="203" t="s">
        <v>452</v>
      </c>
      <c r="K52" s="203" t="s">
        <v>452</v>
      </c>
      <c r="L52" s="203" t="s">
        <v>451</v>
      </c>
      <c r="M52" s="203"/>
      <c r="N52" s="318"/>
      <c r="O52" s="203"/>
      <c r="P52" s="276"/>
      <c r="Q52" s="265"/>
      <c r="R52" s="265"/>
      <c r="S52" s="265"/>
      <c r="T52" s="267"/>
    </row>
    <row r="53" spans="1:20" ht="18" customHeight="1">
      <c r="A53" s="204">
        <v>52</v>
      </c>
      <c r="B53" s="202" t="s">
        <v>218</v>
      </c>
      <c r="C53" s="202" t="s">
        <v>1317</v>
      </c>
      <c r="D53" s="202" t="s">
        <v>80</v>
      </c>
      <c r="E53" s="300">
        <v>921</v>
      </c>
      <c r="F53" s="210">
        <v>921</v>
      </c>
      <c r="G53" s="210">
        <v>921</v>
      </c>
      <c r="H53" s="210">
        <f t="shared" si="0"/>
        <v>0</v>
      </c>
      <c r="I53" s="203" t="s">
        <v>451</v>
      </c>
      <c r="J53" s="203" t="s">
        <v>452</v>
      </c>
      <c r="K53" s="203" t="s">
        <v>452</v>
      </c>
      <c r="L53" s="203" t="s">
        <v>451</v>
      </c>
      <c r="M53" s="203"/>
      <c r="N53" s="203"/>
      <c r="O53" s="203"/>
      <c r="P53" s="276"/>
      <c r="Q53" s="265"/>
      <c r="R53" s="265"/>
      <c r="S53" s="265"/>
      <c r="T53" s="267"/>
    </row>
    <row r="54" spans="1:20" ht="18" customHeight="1">
      <c r="A54" s="204">
        <v>53</v>
      </c>
      <c r="B54" s="202" t="s">
        <v>219</v>
      </c>
      <c r="C54" s="202" t="s">
        <v>1318</v>
      </c>
      <c r="D54" s="202" t="s">
        <v>90</v>
      </c>
      <c r="E54" s="300">
        <v>464</v>
      </c>
      <c r="F54" s="210">
        <v>464</v>
      </c>
      <c r="G54" s="210">
        <v>464</v>
      </c>
      <c r="H54" s="210">
        <f t="shared" si="0"/>
        <v>0</v>
      </c>
      <c r="I54" s="203" t="s">
        <v>451</v>
      </c>
      <c r="J54" s="203" t="s">
        <v>452</v>
      </c>
      <c r="K54" s="203" t="s">
        <v>452</v>
      </c>
      <c r="L54" s="203" t="s">
        <v>451</v>
      </c>
      <c r="M54" s="203"/>
      <c r="N54" s="203"/>
      <c r="O54" s="203"/>
      <c r="P54" s="276"/>
      <c r="Q54" s="265"/>
      <c r="R54" s="265"/>
      <c r="S54" s="265"/>
      <c r="T54" s="267"/>
    </row>
    <row r="55" spans="1:20" ht="18" customHeight="1">
      <c r="A55" s="204">
        <v>54</v>
      </c>
      <c r="B55" s="202" t="s">
        <v>220</v>
      </c>
      <c r="C55" s="202" t="s">
        <v>1319</v>
      </c>
      <c r="D55" s="202" t="s">
        <v>81</v>
      </c>
      <c r="E55" s="300"/>
      <c r="F55" s="210">
        <v>171</v>
      </c>
      <c r="G55" s="210">
        <v>171</v>
      </c>
      <c r="H55" s="210">
        <f t="shared" si="0"/>
        <v>0</v>
      </c>
      <c r="I55" s="203" t="s">
        <v>451</v>
      </c>
      <c r="J55" s="203" t="s">
        <v>452</v>
      </c>
      <c r="K55" s="203" t="s">
        <v>452</v>
      </c>
      <c r="L55" s="203" t="s">
        <v>451</v>
      </c>
      <c r="M55" s="203"/>
      <c r="N55" s="203"/>
      <c r="O55" s="203"/>
      <c r="P55" s="276"/>
      <c r="Q55" s="265"/>
      <c r="R55" s="265"/>
      <c r="S55" s="265"/>
      <c r="T55" s="267"/>
    </row>
    <row r="56" spans="1:20" ht="18" customHeight="1">
      <c r="A56" s="204">
        <v>55</v>
      </c>
      <c r="B56" s="202" t="s">
        <v>221</v>
      </c>
      <c r="C56" s="202" t="s">
        <v>1320</v>
      </c>
      <c r="D56" s="202" t="s">
        <v>80</v>
      </c>
      <c r="E56" s="300">
        <v>1063</v>
      </c>
      <c r="F56" s="210">
        <v>1063</v>
      </c>
      <c r="G56" s="210">
        <v>1063</v>
      </c>
      <c r="H56" s="210">
        <f t="shared" si="0"/>
        <v>0</v>
      </c>
      <c r="I56" s="203" t="s">
        <v>0</v>
      </c>
      <c r="J56" s="203" t="s">
        <v>1</v>
      </c>
      <c r="K56" s="203" t="s">
        <v>452</v>
      </c>
      <c r="L56" s="203" t="s">
        <v>451</v>
      </c>
      <c r="M56" s="203"/>
      <c r="N56" s="203"/>
      <c r="O56" s="203"/>
      <c r="P56" s="276"/>
      <c r="Q56" s="265"/>
      <c r="R56" s="265"/>
      <c r="S56" s="265"/>
      <c r="T56" s="267"/>
    </row>
    <row r="57" spans="1:20" ht="18" customHeight="1">
      <c r="A57" s="204">
        <v>56</v>
      </c>
      <c r="B57" s="202" t="s">
        <v>132</v>
      </c>
      <c r="C57" s="202" t="s">
        <v>1321</v>
      </c>
      <c r="D57" s="202" t="s">
        <v>92</v>
      </c>
      <c r="E57" s="300">
        <v>2</v>
      </c>
      <c r="F57" s="210">
        <v>2</v>
      </c>
      <c r="G57" s="210">
        <v>2</v>
      </c>
      <c r="H57" s="210">
        <f t="shared" si="0"/>
        <v>0</v>
      </c>
      <c r="I57" s="203" t="s">
        <v>0</v>
      </c>
      <c r="J57" s="203" t="s">
        <v>1</v>
      </c>
      <c r="K57" s="203" t="s">
        <v>452</v>
      </c>
      <c r="L57" s="203" t="s">
        <v>451</v>
      </c>
      <c r="M57" s="203"/>
      <c r="N57" s="203"/>
      <c r="O57" s="203"/>
      <c r="P57" s="276"/>
      <c r="Q57" s="265"/>
      <c r="R57" s="265"/>
      <c r="S57" s="265"/>
      <c r="T57" s="267"/>
    </row>
    <row r="58" spans="1:20" ht="18" customHeight="1">
      <c r="A58" s="204">
        <v>57</v>
      </c>
      <c r="B58" s="202" t="s">
        <v>133</v>
      </c>
      <c r="C58" s="202" t="s">
        <v>1322</v>
      </c>
      <c r="D58" s="202" t="s">
        <v>92</v>
      </c>
      <c r="E58" s="300">
        <v>12</v>
      </c>
      <c r="F58" s="210">
        <v>12</v>
      </c>
      <c r="G58" s="210">
        <v>12</v>
      </c>
      <c r="H58" s="210">
        <f t="shared" si="0"/>
        <v>0</v>
      </c>
      <c r="I58" s="203" t="s">
        <v>0</v>
      </c>
      <c r="J58" s="203" t="s">
        <v>1</v>
      </c>
      <c r="K58" s="203" t="s">
        <v>452</v>
      </c>
      <c r="L58" s="203" t="s">
        <v>451</v>
      </c>
      <c r="M58" s="203"/>
      <c r="N58" s="203"/>
      <c r="O58" s="203"/>
      <c r="P58" s="276"/>
      <c r="Q58" s="265"/>
      <c r="R58" s="265"/>
      <c r="S58" s="265"/>
      <c r="T58" s="267"/>
    </row>
    <row r="59" spans="1:20" ht="18" customHeight="1">
      <c r="A59" s="204">
        <v>58</v>
      </c>
      <c r="B59" s="202" t="s">
        <v>533</v>
      </c>
      <c r="C59" s="202" t="s">
        <v>1323</v>
      </c>
      <c r="D59" s="202" t="s">
        <v>92</v>
      </c>
      <c r="E59" s="300">
        <v>3853</v>
      </c>
      <c r="F59" s="210">
        <v>3853</v>
      </c>
      <c r="G59" s="210">
        <v>3853</v>
      </c>
      <c r="H59" s="210">
        <f t="shared" si="0"/>
        <v>0</v>
      </c>
      <c r="I59" s="203" t="s">
        <v>0</v>
      </c>
      <c r="J59" s="203" t="s">
        <v>1</v>
      </c>
      <c r="K59" s="203" t="s">
        <v>452</v>
      </c>
      <c r="L59" s="203" t="s">
        <v>451</v>
      </c>
      <c r="M59" s="203"/>
      <c r="N59" s="318"/>
      <c r="O59" s="203"/>
      <c r="P59" s="276"/>
      <c r="Q59" s="265"/>
      <c r="R59" s="265"/>
      <c r="S59" s="265"/>
      <c r="T59" s="267"/>
    </row>
    <row r="60" spans="1:20" ht="18" customHeight="1">
      <c r="A60" s="204">
        <v>59</v>
      </c>
      <c r="B60" s="202" t="s">
        <v>410</v>
      </c>
      <c r="C60" s="202" t="s">
        <v>1324</v>
      </c>
      <c r="D60" s="202" t="s">
        <v>92</v>
      </c>
      <c r="E60" s="300">
        <v>2379</v>
      </c>
      <c r="F60" s="210">
        <v>2379</v>
      </c>
      <c r="G60" s="210">
        <v>2379</v>
      </c>
      <c r="H60" s="210">
        <f t="shared" si="0"/>
        <v>0</v>
      </c>
      <c r="I60" s="203" t="s">
        <v>0</v>
      </c>
      <c r="J60" s="203" t="s">
        <v>1</v>
      </c>
      <c r="K60" s="203" t="s">
        <v>452</v>
      </c>
      <c r="L60" s="203" t="s">
        <v>451</v>
      </c>
      <c r="M60" s="203"/>
      <c r="N60" s="203"/>
      <c r="O60" s="203"/>
      <c r="P60" s="276"/>
      <c r="Q60" s="265"/>
      <c r="R60" s="265"/>
      <c r="S60" s="265"/>
      <c r="T60" s="267"/>
    </row>
    <row r="61" spans="1:20" ht="18" customHeight="1">
      <c r="A61" s="204">
        <v>60</v>
      </c>
      <c r="B61" s="202" t="s">
        <v>222</v>
      </c>
      <c r="C61" s="202" t="s">
        <v>1036</v>
      </c>
      <c r="D61" s="202" t="s">
        <v>92</v>
      </c>
      <c r="E61" s="300">
        <v>2364</v>
      </c>
      <c r="F61" s="210">
        <v>2364</v>
      </c>
      <c r="G61" s="210">
        <v>2364</v>
      </c>
      <c r="H61" s="210">
        <f t="shared" si="0"/>
        <v>0</v>
      </c>
      <c r="I61" s="203" t="s">
        <v>0</v>
      </c>
      <c r="J61" s="203" t="s">
        <v>1</v>
      </c>
      <c r="K61" s="203" t="s">
        <v>452</v>
      </c>
      <c r="L61" s="203" t="s">
        <v>451</v>
      </c>
      <c r="M61" s="203"/>
      <c r="N61" s="203"/>
      <c r="O61" s="203"/>
      <c r="P61" s="276"/>
      <c r="Q61" s="265"/>
      <c r="R61" s="265"/>
      <c r="S61" s="265"/>
      <c r="T61" s="267"/>
    </row>
    <row r="62" spans="1:20" ht="18" customHeight="1">
      <c r="A62" s="204">
        <v>61</v>
      </c>
      <c r="B62" s="202" t="s">
        <v>223</v>
      </c>
      <c r="C62" s="202" t="s">
        <v>1037</v>
      </c>
      <c r="D62" s="202" t="s">
        <v>92</v>
      </c>
      <c r="E62" s="300">
        <v>12358</v>
      </c>
      <c r="F62" s="210">
        <v>12358</v>
      </c>
      <c r="G62" s="210">
        <v>12358</v>
      </c>
      <c r="H62" s="210">
        <f t="shared" si="0"/>
        <v>0</v>
      </c>
      <c r="I62" s="203" t="s">
        <v>0</v>
      </c>
      <c r="J62" s="203" t="s">
        <v>1</v>
      </c>
      <c r="K62" s="203" t="s">
        <v>452</v>
      </c>
      <c r="L62" s="203" t="s">
        <v>451</v>
      </c>
      <c r="M62" s="203"/>
      <c r="N62" s="203"/>
      <c r="O62" s="203"/>
      <c r="P62" s="276"/>
      <c r="Q62" s="265"/>
      <c r="R62" s="265"/>
      <c r="S62" s="265"/>
      <c r="T62" s="267"/>
    </row>
    <row r="63" spans="1:20" ht="18" customHeight="1">
      <c r="A63" s="204">
        <v>62</v>
      </c>
      <c r="B63" s="202" t="s">
        <v>224</v>
      </c>
      <c r="C63" s="202" t="s">
        <v>1325</v>
      </c>
      <c r="D63" s="202" t="s">
        <v>81</v>
      </c>
      <c r="E63" s="300">
        <v>262.89999999999998</v>
      </c>
      <c r="F63" s="210">
        <v>262.89999999999998</v>
      </c>
      <c r="G63" s="210">
        <v>262.89999999999998</v>
      </c>
      <c r="H63" s="210">
        <f t="shared" si="0"/>
        <v>0</v>
      </c>
      <c r="I63" s="203" t="s">
        <v>86</v>
      </c>
      <c r="J63" s="203" t="s">
        <v>88</v>
      </c>
      <c r="K63" s="203" t="s">
        <v>512</v>
      </c>
      <c r="L63" s="203" t="s">
        <v>511</v>
      </c>
      <c r="M63" s="203"/>
      <c r="N63" s="203"/>
      <c r="O63" s="203"/>
      <c r="P63" s="276"/>
      <c r="Q63" s="265"/>
      <c r="R63" s="265"/>
      <c r="S63" s="265"/>
      <c r="T63" s="267"/>
    </row>
    <row r="64" spans="1:20" ht="18" customHeight="1">
      <c r="A64" s="204">
        <v>63</v>
      </c>
      <c r="B64" s="202" t="s">
        <v>225</v>
      </c>
      <c r="C64" s="202" t="s">
        <v>1326</v>
      </c>
      <c r="D64" s="202" t="s">
        <v>90</v>
      </c>
      <c r="E64" s="300">
        <v>1322.1</v>
      </c>
      <c r="F64" s="210">
        <v>1322.1</v>
      </c>
      <c r="G64" s="210">
        <v>1322.1</v>
      </c>
      <c r="H64" s="210">
        <f t="shared" si="0"/>
        <v>0</v>
      </c>
      <c r="I64" s="203" t="s">
        <v>0</v>
      </c>
      <c r="J64" s="203" t="s">
        <v>1</v>
      </c>
      <c r="K64" s="203" t="s">
        <v>452</v>
      </c>
      <c r="L64" s="203" t="s">
        <v>451</v>
      </c>
      <c r="M64" s="203"/>
      <c r="N64" s="203"/>
      <c r="O64" s="203"/>
      <c r="P64" s="276"/>
      <c r="Q64" s="265"/>
      <c r="R64" s="265"/>
      <c r="S64" s="265"/>
      <c r="T64" s="267"/>
    </row>
    <row r="65" spans="1:20" ht="18" customHeight="1">
      <c r="A65" s="204">
        <v>64</v>
      </c>
      <c r="B65" s="202" t="s">
        <v>226</v>
      </c>
      <c r="C65" s="202" t="s">
        <v>1327</v>
      </c>
      <c r="D65" s="202" t="s">
        <v>90</v>
      </c>
      <c r="E65" s="300">
        <v>2721</v>
      </c>
      <c r="F65" s="210">
        <v>2721</v>
      </c>
      <c r="G65" s="210">
        <v>2721</v>
      </c>
      <c r="H65" s="210">
        <f t="shared" si="0"/>
        <v>0</v>
      </c>
      <c r="I65" s="203" t="s">
        <v>0</v>
      </c>
      <c r="J65" s="203" t="s">
        <v>1</v>
      </c>
      <c r="K65" s="203" t="s">
        <v>452</v>
      </c>
      <c r="L65" s="203" t="s">
        <v>451</v>
      </c>
      <c r="M65" s="203"/>
      <c r="N65" s="203"/>
      <c r="O65" s="203"/>
      <c r="P65" s="276"/>
      <c r="Q65" s="265"/>
      <c r="R65" s="265"/>
      <c r="S65" s="265"/>
      <c r="T65" s="267"/>
    </row>
    <row r="66" spans="1:20" ht="18" customHeight="1">
      <c r="A66" s="204">
        <v>65</v>
      </c>
      <c r="B66" s="202" t="s">
        <v>227</v>
      </c>
      <c r="C66" s="202" t="s">
        <v>1328</v>
      </c>
      <c r="D66" s="202" t="s">
        <v>90</v>
      </c>
      <c r="E66" s="300">
        <v>3286.4</v>
      </c>
      <c r="F66" s="210">
        <v>3286.4</v>
      </c>
      <c r="G66" s="210">
        <v>3286.4</v>
      </c>
      <c r="H66" s="210">
        <f t="shared" si="0"/>
        <v>0</v>
      </c>
      <c r="I66" s="203" t="s">
        <v>0</v>
      </c>
      <c r="J66" s="203" t="s">
        <v>1</v>
      </c>
      <c r="K66" s="203" t="s">
        <v>452</v>
      </c>
      <c r="L66" s="203" t="s">
        <v>451</v>
      </c>
      <c r="M66" s="203"/>
      <c r="N66" s="203"/>
      <c r="O66" s="203"/>
      <c r="P66" s="276"/>
      <c r="Q66" s="265"/>
      <c r="R66" s="265"/>
      <c r="S66" s="265"/>
      <c r="T66" s="267"/>
    </row>
    <row r="67" spans="1:20" ht="18" customHeight="1">
      <c r="A67" s="204">
        <v>66</v>
      </c>
      <c r="B67" s="202" t="s">
        <v>228</v>
      </c>
      <c r="C67" s="202" t="s">
        <v>1329</v>
      </c>
      <c r="D67" s="202" t="s">
        <v>90</v>
      </c>
      <c r="E67" s="300">
        <v>1494.1</v>
      </c>
      <c r="F67" s="210">
        <v>1494.1</v>
      </c>
      <c r="G67" s="210">
        <v>1494.1</v>
      </c>
      <c r="H67" s="210">
        <f t="shared" si="0"/>
        <v>0</v>
      </c>
      <c r="I67" s="203" t="s">
        <v>0</v>
      </c>
      <c r="J67" s="203" t="s">
        <v>1</v>
      </c>
      <c r="K67" s="203" t="s">
        <v>452</v>
      </c>
      <c r="L67" s="203" t="s">
        <v>451</v>
      </c>
      <c r="M67" s="203"/>
      <c r="N67" s="318"/>
      <c r="O67" s="203"/>
      <c r="P67" s="276"/>
      <c r="Q67" s="265"/>
      <c r="R67" s="265"/>
      <c r="S67" s="265"/>
      <c r="T67" s="267"/>
    </row>
    <row r="68" spans="1:20" ht="18" customHeight="1">
      <c r="A68" s="204">
        <v>67</v>
      </c>
      <c r="B68" s="202" t="s">
        <v>229</v>
      </c>
      <c r="C68" s="202" t="s">
        <v>1330</v>
      </c>
      <c r="D68" s="202" t="s">
        <v>90</v>
      </c>
      <c r="E68" s="300">
        <v>1139.2</v>
      </c>
      <c r="F68" s="210">
        <v>1139.2</v>
      </c>
      <c r="G68" s="210">
        <v>1139.2</v>
      </c>
      <c r="H68" s="210">
        <f t="shared" si="0"/>
        <v>0</v>
      </c>
      <c r="I68" s="203" t="s">
        <v>0</v>
      </c>
      <c r="J68" s="203" t="s">
        <v>1</v>
      </c>
      <c r="K68" s="203" t="s">
        <v>452</v>
      </c>
      <c r="L68" s="203" t="s">
        <v>451</v>
      </c>
      <c r="M68" s="203"/>
      <c r="N68" s="203"/>
      <c r="O68" s="203"/>
      <c r="P68" s="276"/>
      <c r="Q68" s="265"/>
      <c r="R68" s="265"/>
      <c r="S68" s="265"/>
      <c r="T68" s="267"/>
    </row>
    <row r="69" spans="1:20" ht="18" customHeight="1">
      <c r="A69" s="204">
        <v>68</v>
      </c>
      <c r="B69" s="202" t="s">
        <v>230</v>
      </c>
      <c r="C69" s="202" t="s">
        <v>1331</v>
      </c>
      <c r="D69" s="202" t="s">
        <v>90</v>
      </c>
      <c r="E69" s="300">
        <v>1477.2</v>
      </c>
      <c r="F69" s="210">
        <v>1477.2</v>
      </c>
      <c r="G69" s="210">
        <v>1477.2</v>
      </c>
      <c r="H69" s="210">
        <f t="shared" si="0"/>
        <v>0</v>
      </c>
      <c r="I69" s="203" t="s">
        <v>0</v>
      </c>
      <c r="J69" s="203" t="s">
        <v>1</v>
      </c>
      <c r="K69" s="203" t="s">
        <v>452</v>
      </c>
      <c r="L69" s="203" t="s">
        <v>451</v>
      </c>
      <c r="M69" s="203"/>
      <c r="N69" s="203"/>
      <c r="O69" s="203"/>
      <c r="P69" s="276"/>
      <c r="Q69" s="265"/>
      <c r="R69" s="265"/>
      <c r="S69" s="265"/>
      <c r="T69" s="267"/>
    </row>
    <row r="70" spans="1:20" ht="18" customHeight="1">
      <c r="A70" s="204">
        <v>69</v>
      </c>
      <c r="B70" s="202" t="s">
        <v>231</v>
      </c>
      <c r="C70" s="202" t="s">
        <v>1332</v>
      </c>
      <c r="D70" s="202" t="s">
        <v>90</v>
      </c>
      <c r="E70" s="300">
        <v>1127</v>
      </c>
      <c r="F70" s="210">
        <v>1127</v>
      </c>
      <c r="G70" s="210">
        <v>1127</v>
      </c>
      <c r="H70" s="210">
        <f t="shared" ref="H70:H127" si="1">G70-F70</f>
        <v>0</v>
      </c>
      <c r="I70" s="203" t="s">
        <v>0</v>
      </c>
      <c r="J70" s="203" t="s">
        <v>1</v>
      </c>
      <c r="K70" s="203" t="s">
        <v>452</v>
      </c>
      <c r="L70" s="203" t="s">
        <v>451</v>
      </c>
      <c r="M70" s="203"/>
      <c r="N70" s="203"/>
      <c r="O70" s="203"/>
      <c r="P70" s="276"/>
      <c r="Q70" s="265"/>
      <c r="R70" s="265"/>
      <c r="S70" s="265"/>
      <c r="T70" s="267"/>
    </row>
    <row r="71" spans="1:20" ht="18" customHeight="1">
      <c r="A71" s="204">
        <v>70</v>
      </c>
      <c r="B71" s="202" t="s">
        <v>232</v>
      </c>
      <c r="C71" s="202" t="s">
        <v>1333</v>
      </c>
      <c r="D71" s="202" t="s">
        <v>90</v>
      </c>
      <c r="E71" s="300">
        <v>1455.7</v>
      </c>
      <c r="F71" s="210">
        <v>1455.7</v>
      </c>
      <c r="G71" s="210">
        <v>1455.7</v>
      </c>
      <c r="H71" s="210">
        <f t="shared" si="1"/>
        <v>0</v>
      </c>
      <c r="I71" s="203" t="s">
        <v>451</v>
      </c>
      <c r="J71" s="203" t="s">
        <v>452</v>
      </c>
      <c r="K71" s="203" t="s">
        <v>452</v>
      </c>
      <c r="L71" s="203" t="s">
        <v>451</v>
      </c>
      <c r="M71" s="203"/>
      <c r="N71" s="203"/>
      <c r="O71" s="203"/>
      <c r="P71" s="276"/>
      <c r="Q71" s="265"/>
      <c r="R71" s="265"/>
      <c r="S71" s="265"/>
      <c r="T71" s="267"/>
    </row>
    <row r="72" spans="1:20" ht="18" customHeight="1">
      <c r="A72" s="204">
        <v>71</v>
      </c>
      <c r="B72" s="202" t="s">
        <v>233</v>
      </c>
      <c r="C72" s="202" t="s">
        <v>1334</v>
      </c>
      <c r="D72" s="202" t="s">
        <v>90</v>
      </c>
      <c r="E72" s="300">
        <v>971.6</v>
      </c>
      <c r="F72" s="210">
        <v>971.6</v>
      </c>
      <c r="G72" s="210">
        <v>971.6</v>
      </c>
      <c r="H72" s="210">
        <f t="shared" si="1"/>
        <v>0</v>
      </c>
      <c r="I72" s="203" t="s">
        <v>0</v>
      </c>
      <c r="J72" s="203" t="s">
        <v>1</v>
      </c>
      <c r="K72" s="203" t="s">
        <v>452</v>
      </c>
      <c r="L72" s="203" t="s">
        <v>451</v>
      </c>
      <c r="M72" s="203"/>
      <c r="N72" s="203"/>
      <c r="O72" s="203"/>
      <c r="P72" s="276"/>
      <c r="Q72" s="265"/>
      <c r="R72" s="265"/>
      <c r="S72" s="265"/>
      <c r="T72" s="267"/>
    </row>
    <row r="73" spans="1:20" ht="18" customHeight="1">
      <c r="A73" s="204">
        <v>72</v>
      </c>
      <c r="B73" s="202" t="s">
        <v>234</v>
      </c>
      <c r="C73" s="202" t="s">
        <v>1335</v>
      </c>
      <c r="D73" s="202" t="s">
        <v>90</v>
      </c>
      <c r="E73" s="300">
        <v>499.7</v>
      </c>
      <c r="F73" s="210">
        <v>499.7</v>
      </c>
      <c r="G73" s="210">
        <v>499.7</v>
      </c>
      <c r="H73" s="210">
        <f t="shared" si="1"/>
        <v>0</v>
      </c>
      <c r="I73" s="203" t="s">
        <v>0</v>
      </c>
      <c r="J73" s="203" t="s">
        <v>1</v>
      </c>
      <c r="K73" s="203" t="s">
        <v>452</v>
      </c>
      <c r="L73" s="203" t="s">
        <v>451</v>
      </c>
      <c r="M73" s="203"/>
      <c r="N73" s="203"/>
      <c r="O73" s="203"/>
      <c r="P73" s="276"/>
      <c r="Q73" s="265"/>
      <c r="R73" s="265"/>
      <c r="S73" s="265"/>
      <c r="T73" s="267"/>
    </row>
    <row r="74" spans="1:20" ht="18" customHeight="1">
      <c r="A74" s="204">
        <v>73</v>
      </c>
      <c r="B74" s="202" t="s">
        <v>235</v>
      </c>
      <c r="C74" s="202" t="s">
        <v>1336</v>
      </c>
      <c r="D74" s="202" t="s">
        <v>90</v>
      </c>
      <c r="E74" s="300">
        <v>1914.6</v>
      </c>
      <c r="F74" s="210">
        <v>1914.6</v>
      </c>
      <c r="G74" s="210">
        <v>1914.6</v>
      </c>
      <c r="H74" s="210">
        <f t="shared" si="1"/>
        <v>0</v>
      </c>
      <c r="I74" s="203" t="s">
        <v>451</v>
      </c>
      <c r="J74" s="203" t="s">
        <v>452</v>
      </c>
      <c r="K74" s="203" t="s">
        <v>452</v>
      </c>
      <c r="L74" s="203" t="s">
        <v>451</v>
      </c>
      <c r="M74" s="203"/>
      <c r="N74" s="203"/>
      <c r="O74" s="203"/>
      <c r="P74" s="276"/>
      <c r="Q74" s="265"/>
      <c r="R74" s="265"/>
      <c r="S74" s="265"/>
      <c r="T74" s="267"/>
    </row>
    <row r="75" spans="1:20" ht="18" customHeight="1">
      <c r="A75" s="204">
        <v>74</v>
      </c>
      <c r="B75" s="202" t="s">
        <v>236</v>
      </c>
      <c r="C75" s="202" t="s">
        <v>1337</v>
      </c>
      <c r="D75" s="202" t="s">
        <v>79</v>
      </c>
      <c r="E75" s="300">
        <v>1548.8</v>
      </c>
      <c r="F75" s="210">
        <v>1548.8</v>
      </c>
      <c r="G75" s="210">
        <v>1548.8</v>
      </c>
      <c r="H75" s="210">
        <f t="shared" si="1"/>
        <v>0</v>
      </c>
      <c r="I75" s="203" t="s">
        <v>86</v>
      </c>
      <c r="J75" s="203" t="s">
        <v>88</v>
      </c>
      <c r="K75" s="203" t="s">
        <v>512</v>
      </c>
      <c r="L75" s="203" t="s">
        <v>511</v>
      </c>
      <c r="M75" s="203"/>
      <c r="N75" s="318"/>
      <c r="O75" s="203"/>
      <c r="P75" s="276"/>
      <c r="Q75" s="265"/>
      <c r="R75" s="265"/>
      <c r="S75" s="265"/>
      <c r="T75" s="267"/>
    </row>
    <row r="76" spans="1:20" ht="18" customHeight="1">
      <c r="A76" s="204">
        <v>75</v>
      </c>
      <c r="B76" s="202" t="s">
        <v>237</v>
      </c>
      <c r="C76" s="202" t="s">
        <v>1338</v>
      </c>
      <c r="D76" s="202" t="s">
        <v>238</v>
      </c>
      <c r="E76" s="300">
        <v>597.9</v>
      </c>
      <c r="F76" s="210">
        <v>597.9</v>
      </c>
      <c r="G76" s="210">
        <v>597.9</v>
      </c>
      <c r="H76" s="210">
        <f t="shared" si="1"/>
        <v>0</v>
      </c>
      <c r="I76" s="203" t="s">
        <v>86</v>
      </c>
      <c r="J76" s="203" t="s">
        <v>153</v>
      </c>
      <c r="K76" s="203" t="s">
        <v>514</v>
      </c>
      <c r="L76" s="203" t="s">
        <v>511</v>
      </c>
      <c r="M76" s="203"/>
      <c r="N76" s="203"/>
      <c r="O76" s="203"/>
      <c r="P76" s="276"/>
      <c r="Q76" s="265"/>
      <c r="R76" s="265"/>
      <c r="S76" s="265"/>
      <c r="T76" s="267"/>
    </row>
    <row r="77" spans="1:20" ht="18" customHeight="1">
      <c r="A77" s="204">
        <v>76</v>
      </c>
      <c r="B77" s="202" t="s">
        <v>239</v>
      </c>
      <c r="C77" s="202" t="s">
        <v>1339</v>
      </c>
      <c r="D77" s="202" t="s">
        <v>90</v>
      </c>
      <c r="E77" s="300">
        <v>2258.5</v>
      </c>
      <c r="F77" s="210">
        <v>2258.5</v>
      </c>
      <c r="G77" s="210">
        <v>2258.5</v>
      </c>
      <c r="H77" s="210">
        <f t="shared" si="1"/>
        <v>0</v>
      </c>
      <c r="I77" s="203" t="s">
        <v>451</v>
      </c>
      <c r="J77" s="203" t="s">
        <v>452</v>
      </c>
      <c r="K77" s="203" t="s">
        <v>452</v>
      </c>
      <c r="L77" s="203" t="s">
        <v>451</v>
      </c>
      <c r="M77" s="203"/>
      <c r="N77" s="203"/>
      <c r="O77" s="203"/>
      <c r="P77" s="276"/>
      <c r="Q77" s="265"/>
      <c r="R77" s="265"/>
      <c r="S77" s="265"/>
      <c r="T77" s="267"/>
    </row>
    <row r="78" spans="1:20" ht="18" customHeight="1">
      <c r="A78" s="204">
        <v>77</v>
      </c>
      <c r="B78" s="202" t="s">
        <v>240</v>
      </c>
      <c r="C78" s="202" t="s">
        <v>1340</v>
      </c>
      <c r="D78" s="202" t="s">
        <v>92</v>
      </c>
      <c r="E78" s="300">
        <v>82</v>
      </c>
      <c r="F78" s="210">
        <v>82</v>
      </c>
      <c r="G78" s="210">
        <v>82</v>
      </c>
      <c r="H78" s="210">
        <f t="shared" si="1"/>
        <v>0</v>
      </c>
      <c r="I78" s="203" t="s">
        <v>451</v>
      </c>
      <c r="J78" s="203" t="s">
        <v>452</v>
      </c>
      <c r="K78" s="203" t="s">
        <v>452</v>
      </c>
      <c r="L78" s="203" t="s">
        <v>451</v>
      </c>
      <c r="M78" s="203"/>
      <c r="N78" s="203"/>
      <c r="O78" s="203"/>
      <c r="P78" s="276"/>
      <c r="Q78" s="265"/>
      <c r="R78" s="265"/>
      <c r="S78" s="265"/>
      <c r="T78" s="267"/>
    </row>
    <row r="79" spans="1:20" ht="18" customHeight="1">
      <c r="A79" s="204">
        <v>78</v>
      </c>
      <c r="B79" s="202" t="s">
        <v>134</v>
      </c>
      <c r="C79" s="202" t="s">
        <v>1341</v>
      </c>
      <c r="D79" s="202" t="s">
        <v>92</v>
      </c>
      <c r="E79" s="300">
        <v>327</v>
      </c>
      <c r="F79" s="210">
        <v>327</v>
      </c>
      <c r="G79" s="210">
        <v>327</v>
      </c>
      <c r="H79" s="210">
        <f t="shared" si="1"/>
        <v>0</v>
      </c>
      <c r="I79" s="203" t="s">
        <v>451</v>
      </c>
      <c r="J79" s="203" t="s">
        <v>452</v>
      </c>
      <c r="K79" s="203" t="s">
        <v>452</v>
      </c>
      <c r="L79" s="203" t="s">
        <v>451</v>
      </c>
      <c r="M79" s="203"/>
      <c r="N79" s="203"/>
      <c r="O79" s="203"/>
      <c r="P79" s="276"/>
      <c r="Q79" s="265"/>
      <c r="R79" s="265"/>
      <c r="S79" s="265"/>
      <c r="T79" s="267"/>
    </row>
    <row r="80" spans="1:20" ht="18" customHeight="1">
      <c r="A80" s="204">
        <v>79</v>
      </c>
      <c r="B80" s="202" t="s">
        <v>135</v>
      </c>
      <c r="C80" s="202" t="s">
        <v>1342</v>
      </c>
      <c r="D80" s="202" t="s">
        <v>92</v>
      </c>
      <c r="E80" s="300">
        <v>156</v>
      </c>
      <c r="F80" s="210">
        <v>156</v>
      </c>
      <c r="G80" s="210">
        <v>156</v>
      </c>
      <c r="H80" s="210">
        <f t="shared" si="1"/>
        <v>0</v>
      </c>
      <c r="I80" s="203" t="s">
        <v>451</v>
      </c>
      <c r="J80" s="203" t="s">
        <v>452</v>
      </c>
      <c r="K80" s="203" t="s">
        <v>452</v>
      </c>
      <c r="L80" s="203" t="s">
        <v>451</v>
      </c>
      <c r="M80" s="203"/>
      <c r="N80" s="203"/>
      <c r="O80" s="203"/>
      <c r="P80" s="276"/>
      <c r="Q80" s="265"/>
      <c r="R80" s="265"/>
      <c r="S80" s="265"/>
      <c r="T80" s="267"/>
    </row>
    <row r="81" spans="1:20" ht="18" customHeight="1">
      <c r="A81" s="204">
        <v>80</v>
      </c>
      <c r="B81" s="202" t="s">
        <v>241</v>
      </c>
      <c r="C81" s="202" t="s">
        <v>1343</v>
      </c>
      <c r="D81" s="202" t="s">
        <v>90</v>
      </c>
      <c r="E81" s="300">
        <v>827</v>
      </c>
      <c r="F81" s="210">
        <v>827</v>
      </c>
      <c r="G81" s="210">
        <v>827</v>
      </c>
      <c r="H81" s="210">
        <f t="shared" si="1"/>
        <v>0</v>
      </c>
      <c r="I81" s="203" t="s">
        <v>451</v>
      </c>
      <c r="J81" s="203" t="s">
        <v>452</v>
      </c>
      <c r="K81" s="203" t="s">
        <v>452</v>
      </c>
      <c r="L81" s="203" t="s">
        <v>451</v>
      </c>
      <c r="M81" s="203"/>
      <c r="N81" s="203"/>
      <c r="O81" s="203"/>
      <c r="P81" s="276"/>
      <c r="Q81" s="265"/>
      <c r="R81" s="265"/>
      <c r="S81" s="265"/>
      <c r="T81" s="267"/>
    </row>
    <row r="82" spans="1:20" ht="18" customHeight="1">
      <c r="A82" s="204">
        <v>81</v>
      </c>
      <c r="B82" s="202" t="s">
        <v>242</v>
      </c>
      <c r="C82" s="202" t="s">
        <v>1344</v>
      </c>
      <c r="D82" s="202" t="s">
        <v>81</v>
      </c>
      <c r="E82" s="300">
        <v>421.7</v>
      </c>
      <c r="F82" s="210">
        <v>421.7</v>
      </c>
      <c r="G82" s="210">
        <v>421.7</v>
      </c>
      <c r="H82" s="210">
        <f t="shared" si="1"/>
        <v>0</v>
      </c>
      <c r="I82" s="203" t="s">
        <v>86</v>
      </c>
      <c r="J82" s="203" t="s">
        <v>88</v>
      </c>
      <c r="K82" s="203" t="s">
        <v>512</v>
      </c>
      <c r="L82" s="203" t="s">
        <v>511</v>
      </c>
      <c r="M82" s="203"/>
      <c r="N82" s="203"/>
      <c r="O82" s="203"/>
      <c r="P82" s="276"/>
      <c r="Q82" s="265"/>
      <c r="R82" s="265"/>
      <c r="S82" s="265"/>
      <c r="T82" s="267"/>
    </row>
    <row r="83" spans="1:20" ht="18" customHeight="1">
      <c r="A83" s="204">
        <v>82</v>
      </c>
      <c r="B83" s="202" t="s">
        <v>243</v>
      </c>
      <c r="C83" s="202" t="s">
        <v>1345</v>
      </c>
      <c r="D83" s="202" t="s">
        <v>79</v>
      </c>
      <c r="E83" s="300">
        <v>1082</v>
      </c>
      <c r="F83" s="210">
        <v>1082</v>
      </c>
      <c r="G83" s="210">
        <v>1082</v>
      </c>
      <c r="H83" s="210">
        <f t="shared" si="1"/>
        <v>0</v>
      </c>
      <c r="I83" s="203" t="s">
        <v>86</v>
      </c>
      <c r="J83" s="203" t="s">
        <v>88</v>
      </c>
      <c r="K83" s="203" t="s">
        <v>512</v>
      </c>
      <c r="L83" s="203" t="s">
        <v>511</v>
      </c>
      <c r="M83" s="203"/>
      <c r="N83" s="318"/>
      <c r="O83" s="203"/>
      <c r="P83" s="276"/>
      <c r="Q83" s="265"/>
      <c r="R83" s="265"/>
      <c r="S83" s="265"/>
      <c r="T83" s="267"/>
    </row>
    <row r="84" spans="1:20" ht="18" customHeight="1">
      <c r="A84" s="204">
        <v>83</v>
      </c>
      <c r="B84" s="202" t="s">
        <v>244</v>
      </c>
      <c r="C84" s="202" t="s">
        <v>1346</v>
      </c>
      <c r="D84" s="202" t="s">
        <v>90</v>
      </c>
      <c r="E84" s="300">
        <v>1075.5999999999999</v>
      </c>
      <c r="F84" s="210">
        <v>1075.5999999999999</v>
      </c>
      <c r="G84" s="210">
        <v>1075.5999999999999</v>
      </c>
      <c r="H84" s="210">
        <f t="shared" si="1"/>
        <v>0</v>
      </c>
      <c r="I84" s="203" t="s">
        <v>451</v>
      </c>
      <c r="J84" s="203" t="s">
        <v>452</v>
      </c>
      <c r="K84" s="203" t="s">
        <v>452</v>
      </c>
      <c r="L84" s="203" t="s">
        <v>451</v>
      </c>
      <c r="M84" s="203"/>
      <c r="N84" s="203"/>
      <c r="O84" s="203"/>
      <c r="P84" s="276"/>
      <c r="Q84" s="265"/>
      <c r="R84" s="265"/>
      <c r="S84" s="265"/>
      <c r="T84" s="267"/>
    </row>
    <row r="85" spans="1:20" ht="18" customHeight="1">
      <c r="A85" s="204">
        <v>84</v>
      </c>
      <c r="B85" s="202" t="s">
        <v>245</v>
      </c>
      <c r="C85" s="202" t="s">
        <v>1347</v>
      </c>
      <c r="D85" s="202" t="s">
        <v>90</v>
      </c>
      <c r="E85" s="300">
        <v>891.7</v>
      </c>
      <c r="F85" s="210">
        <v>891.7</v>
      </c>
      <c r="G85" s="210">
        <v>891.7</v>
      </c>
      <c r="H85" s="210">
        <f t="shared" si="1"/>
        <v>0</v>
      </c>
      <c r="I85" s="203" t="s">
        <v>0</v>
      </c>
      <c r="J85" s="203" t="s">
        <v>1</v>
      </c>
      <c r="K85" s="203" t="s">
        <v>452</v>
      </c>
      <c r="L85" s="203" t="s">
        <v>451</v>
      </c>
      <c r="M85" s="203"/>
      <c r="N85" s="203"/>
      <c r="O85" s="203"/>
      <c r="P85" s="276"/>
      <c r="Q85" s="265"/>
      <c r="R85" s="265"/>
      <c r="S85" s="265"/>
      <c r="T85" s="267"/>
    </row>
    <row r="86" spans="1:20" ht="18" customHeight="1">
      <c r="A86" s="204">
        <v>85</v>
      </c>
      <c r="B86" s="202" t="s">
        <v>246</v>
      </c>
      <c r="C86" s="202" t="s">
        <v>1348</v>
      </c>
      <c r="D86" s="202" t="s">
        <v>81</v>
      </c>
      <c r="E86" s="300">
        <v>607.6</v>
      </c>
      <c r="F86" s="210">
        <v>607.6</v>
      </c>
      <c r="G86" s="210">
        <v>607.6</v>
      </c>
      <c r="H86" s="210">
        <f t="shared" si="1"/>
        <v>0</v>
      </c>
      <c r="I86" s="203" t="s">
        <v>86</v>
      </c>
      <c r="J86" s="203" t="s">
        <v>88</v>
      </c>
      <c r="K86" s="203" t="s">
        <v>512</v>
      </c>
      <c r="L86" s="203" t="s">
        <v>511</v>
      </c>
      <c r="M86" s="203"/>
      <c r="N86" s="203"/>
      <c r="O86" s="203"/>
      <c r="P86" s="276"/>
      <c r="Q86" s="265"/>
      <c r="R86" s="265"/>
      <c r="S86" s="265"/>
      <c r="T86" s="267"/>
    </row>
    <row r="87" spans="1:20" ht="18" customHeight="1">
      <c r="A87" s="204">
        <v>86</v>
      </c>
      <c r="B87" s="202" t="s">
        <v>247</v>
      </c>
      <c r="C87" s="202" t="s">
        <v>1349</v>
      </c>
      <c r="D87" s="202" t="s">
        <v>90</v>
      </c>
      <c r="E87" s="300">
        <v>874.3</v>
      </c>
      <c r="F87" s="210">
        <v>874.3</v>
      </c>
      <c r="G87" s="210">
        <v>874.3</v>
      </c>
      <c r="H87" s="210">
        <f t="shared" si="1"/>
        <v>0</v>
      </c>
      <c r="I87" s="203" t="s">
        <v>0</v>
      </c>
      <c r="J87" s="203" t="s">
        <v>1</v>
      </c>
      <c r="K87" s="203" t="s">
        <v>452</v>
      </c>
      <c r="L87" s="203" t="s">
        <v>451</v>
      </c>
      <c r="M87" s="203"/>
      <c r="N87" s="203"/>
      <c r="O87" s="203"/>
      <c r="P87" s="276"/>
      <c r="Q87" s="265"/>
      <c r="R87" s="265"/>
      <c r="S87" s="265"/>
      <c r="T87" s="267"/>
    </row>
    <row r="88" spans="1:20" ht="18" customHeight="1">
      <c r="A88" s="204">
        <v>87</v>
      </c>
      <c r="B88" s="202" t="s">
        <v>248</v>
      </c>
      <c r="C88" s="202" t="s">
        <v>1350</v>
      </c>
      <c r="D88" s="202" t="s">
        <v>90</v>
      </c>
      <c r="E88" s="300">
        <v>712.8</v>
      </c>
      <c r="F88" s="210">
        <v>712.8</v>
      </c>
      <c r="G88" s="210">
        <v>712.8</v>
      </c>
      <c r="H88" s="210">
        <f t="shared" si="1"/>
        <v>0</v>
      </c>
      <c r="I88" s="203" t="s">
        <v>0</v>
      </c>
      <c r="J88" s="203" t="s">
        <v>1</v>
      </c>
      <c r="K88" s="203" t="s">
        <v>452</v>
      </c>
      <c r="L88" s="203" t="s">
        <v>451</v>
      </c>
      <c r="M88" s="203"/>
      <c r="N88" s="203"/>
      <c r="O88" s="203"/>
      <c r="P88" s="276"/>
      <c r="Q88" s="265"/>
      <c r="R88" s="265"/>
      <c r="S88" s="265"/>
      <c r="T88" s="267"/>
    </row>
    <row r="89" spans="1:20" ht="18" customHeight="1">
      <c r="A89" s="204">
        <v>88</v>
      </c>
      <c r="B89" s="202" t="s">
        <v>249</v>
      </c>
      <c r="C89" s="202" t="s">
        <v>1351</v>
      </c>
      <c r="D89" s="202" t="s">
        <v>90</v>
      </c>
      <c r="E89" s="300">
        <v>273</v>
      </c>
      <c r="F89" s="210">
        <v>273</v>
      </c>
      <c r="G89" s="210">
        <v>273</v>
      </c>
      <c r="H89" s="210">
        <f t="shared" si="1"/>
        <v>0</v>
      </c>
      <c r="I89" s="203" t="s">
        <v>0</v>
      </c>
      <c r="J89" s="203" t="s">
        <v>1</v>
      </c>
      <c r="K89" s="203" t="s">
        <v>452</v>
      </c>
      <c r="L89" s="203" t="s">
        <v>451</v>
      </c>
      <c r="M89" s="203"/>
      <c r="N89" s="203"/>
      <c r="O89" s="203"/>
      <c r="P89" s="276"/>
      <c r="Q89" s="265"/>
      <c r="R89" s="265"/>
      <c r="S89" s="265"/>
      <c r="T89" s="267"/>
    </row>
    <row r="90" spans="1:20" ht="18" customHeight="1">
      <c r="A90" s="204">
        <v>89</v>
      </c>
      <c r="B90" s="202" t="s">
        <v>250</v>
      </c>
      <c r="C90" s="202" t="s">
        <v>1352</v>
      </c>
      <c r="D90" s="202" t="s">
        <v>90</v>
      </c>
      <c r="E90" s="300">
        <v>358.4</v>
      </c>
      <c r="F90" s="210">
        <v>358.4</v>
      </c>
      <c r="G90" s="210">
        <v>358.4</v>
      </c>
      <c r="H90" s="210">
        <f t="shared" si="1"/>
        <v>0</v>
      </c>
      <c r="I90" s="203" t="s">
        <v>0</v>
      </c>
      <c r="J90" s="203" t="s">
        <v>1</v>
      </c>
      <c r="K90" s="203" t="s">
        <v>452</v>
      </c>
      <c r="L90" s="203" t="s">
        <v>451</v>
      </c>
      <c r="M90" s="203"/>
      <c r="N90" s="203"/>
      <c r="O90" s="203"/>
      <c r="P90" s="276"/>
      <c r="Q90" s="265"/>
      <c r="R90" s="265"/>
      <c r="S90" s="265"/>
      <c r="T90" s="267"/>
    </row>
    <row r="91" spans="1:20" ht="18" customHeight="1">
      <c r="A91" s="204">
        <v>90</v>
      </c>
      <c r="B91" s="202" t="s">
        <v>251</v>
      </c>
      <c r="C91" s="202" t="s">
        <v>1353</v>
      </c>
      <c r="D91" s="202" t="s">
        <v>90</v>
      </c>
      <c r="E91" s="300">
        <v>464.8</v>
      </c>
      <c r="F91" s="210">
        <v>464.8</v>
      </c>
      <c r="G91" s="210">
        <v>464.8</v>
      </c>
      <c r="H91" s="210">
        <f t="shared" si="1"/>
        <v>0</v>
      </c>
      <c r="I91" s="203" t="s">
        <v>0</v>
      </c>
      <c r="J91" s="203" t="s">
        <v>1</v>
      </c>
      <c r="K91" s="203" t="s">
        <v>452</v>
      </c>
      <c r="L91" s="203" t="s">
        <v>451</v>
      </c>
      <c r="M91" s="203"/>
      <c r="N91" s="318"/>
      <c r="O91" s="203"/>
      <c r="P91" s="276"/>
      <c r="Q91" s="265"/>
      <c r="R91" s="265"/>
      <c r="S91" s="265"/>
      <c r="T91" s="267"/>
    </row>
    <row r="92" spans="1:20" ht="18" customHeight="1">
      <c r="A92" s="204">
        <v>91</v>
      </c>
      <c r="B92" s="202" t="s">
        <v>252</v>
      </c>
      <c r="C92" s="202" t="s">
        <v>1354</v>
      </c>
      <c r="D92" s="202" t="s">
        <v>90</v>
      </c>
      <c r="E92" s="300">
        <v>686.1</v>
      </c>
      <c r="F92" s="210">
        <v>686.1</v>
      </c>
      <c r="G92" s="210">
        <v>686.1</v>
      </c>
      <c r="H92" s="210">
        <f t="shared" si="1"/>
        <v>0</v>
      </c>
      <c r="I92" s="203" t="s">
        <v>0</v>
      </c>
      <c r="J92" s="203" t="s">
        <v>1</v>
      </c>
      <c r="K92" s="203" t="s">
        <v>452</v>
      </c>
      <c r="L92" s="203" t="s">
        <v>451</v>
      </c>
      <c r="M92" s="203"/>
      <c r="N92" s="203"/>
      <c r="O92" s="203"/>
      <c r="P92" s="276"/>
      <c r="Q92" s="265"/>
      <c r="R92" s="265"/>
      <c r="S92" s="265"/>
      <c r="T92" s="267"/>
    </row>
    <row r="93" spans="1:20" ht="18" customHeight="1">
      <c r="A93" s="204">
        <v>92</v>
      </c>
      <c r="B93" s="202" t="s">
        <v>253</v>
      </c>
      <c r="C93" s="202" t="s">
        <v>1355</v>
      </c>
      <c r="D93" s="202" t="s">
        <v>90</v>
      </c>
      <c r="E93" s="300">
        <v>1538.5</v>
      </c>
      <c r="F93" s="210">
        <v>1538.5</v>
      </c>
      <c r="G93" s="210">
        <v>1538.5</v>
      </c>
      <c r="H93" s="210">
        <f t="shared" si="1"/>
        <v>0</v>
      </c>
      <c r="I93" s="203" t="s">
        <v>0</v>
      </c>
      <c r="J93" s="203" t="s">
        <v>1</v>
      </c>
      <c r="K93" s="203" t="s">
        <v>452</v>
      </c>
      <c r="L93" s="203" t="s">
        <v>451</v>
      </c>
      <c r="M93" s="203"/>
      <c r="N93" s="203"/>
      <c r="O93" s="203"/>
      <c r="P93" s="276"/>
      <c r="Q93" s="265"/>
      <c r="R93" s="265"/>
      <c r="S93" s="265"/>
      <c r="T93" s="267"/>
    </row>
    <row r="94" spans="1:20" ht="18" customHeight="1">
      <c r="A94" s="204">
        <v>93</v>
      </c>
      <c r="B94" s="202" t="s">
        <v>254</v>
      </c>
      <c r="C94" s="202" t="s">
        <v>1356</v>
      </c>
      <c r="D94" s="202" t="s">
        <v>90</v>
      </c>
      <c r="E94" s="300">
        <v>2235.6999999999998</v>
      </c>
      <c r="F94" s="210">
        <v>2235.6999999999998</v>
      </c>
      <c r="G94" s="210">
        <v>2235.6999999999998</v>
      </c>
      <c r="H94" s="210">
        <f t="shared" si="1"/>
        <v>0</v>
      </c>
      <c r="I94" s="203" t="s">
        <v>451</v>
      </c>
      <c r="J94" s="203" t="s">
        <v>452</v>
      </c>
      <c r="K94" s="203" t="s">
        <v>452</v>
      </c>
      <c r="L94" s="203" t="s">
        <v>451</v>
      </c>
      <c r="M94" s="203"/>
      <c r="N94" s="203"/>
      <c r="O94" s="203"/>
      <c r="P94" s="276"/>
      <c r="Q94" s="265"/>
      <c r="R94" s="265"/>
      <c r="S94" s="265"/>
      <c r="T94" s="267"/>
    </row>
    <row r="95" spans="1:20" ht="18" customHeight="1">
      <c r="A95" s="204">
        <v>94</v>
      </c>
      <c r="B95" s="202" t="s">
        <v>255</v>
      </c>
      <c r="C95" s="202" t="s">
        <v>1357</v>
      </c>
      <c r="D95" s="202" t="s">
        <v>90</v>
      </c>
      <c r="E95" s="300">
        <v>2175.1999999999998</v>
      </c>
      <c r="F95" s="210">
        <v>2175.1999999999998</v>
      </c>
      <c r="G95" s="210">
        <v>2175.1999999999998</v>
      </c>
      <c r="H95" s="210">
        <f t="shared" si="1"/>
        <v>0</v>
      </c>
      <c r="I95" s="203" t="s">
        <v>0</v>
      </c>
      <c r="J95" s="203" t="s">
        <v>1</v>
      </c>
      <c r="K95" s="203" t="s">
        <v>452</v>
      </c>
      <c r="L95" s="203" t="s">
        <v>451</v>
      </c>
      <c r="M95" s="203"/>
      <c r="N95" s="203"/>
      <c r="O95" s="203"/>
      <c r="P95" s="276"/>
      <c r="Q95" s="265"/>
      <c r="R95" s="265"/>
      <c r="S95" s="265"/>
      <c r="T95" s="267"/>
    </row>
    <row r="96" spans="1:20" ht="18" customHeight="1">
      <c r="A96" s="204">
        <v>95</v>
      </c>
      <c r="B96" s="202" t="s">
        <v>256</v>
      </c>
      <c r="C96" s="202" t="s">
        <v>1358</v>
      </c>
      <c r="D96" s="202" t="s">
        <v>90</v>
      </c>
      <c r="E96" s="300">
        <v>1110</v>
      </c>
      <c r="F96" s="210">
        <v>1110</v>
      </c>
      <c r="G96" s="210">
        <v>1110</v>
      </c>
      <c r="H96" s="210">
        <f t="shared" si="1"/>
        <v>0</v>
      </c>
      <c r="I96" s="203" t="s">
        <v>0</v>
      </c>
      <c r="J96" s="203" t="s">
        <v>1</v>
      </c>
      <c r="K96" s="203" t="s">
        <v>452</v>
      </c>
      <c r="L96" s="203" t="s">
        <v>451</v>
      </c>
      <c r="M96" s="203"/>
      <c r="N96" s="203"/>
      <c r="O96" s="203"/>
      <c r="P96" s="276"/>
      <c r="Q96" s="265"/>
      <c r="R96" s="265"/>
      <c r="S96" s="265"/>
      <c r="T96" s="267"/>
    </row>
    <row r="97" spans="1:20" ht="18" customHeight="1">
      <c r="A97" s="204">
        <v>96</v>
      </c>
      <c r="B97" s="202" t="s">
        <v>257</v>
      </c>
      <c r="C97" s="202" t="s">
        <v>1359</v>
      </c>
      <c r="D97" s="202" t="s">
        <v>90</v>
      </c>
      <c r="E97" s="300">
        <v>999.2</v>
      </c>
      <c r="F97" s="210">
        <v>999.2</v>
      </c>
      <c r="G97" s="210">
        <v>999.2</v>
      </c>
      <c r="H97" s="210">
        <f t="shared" si="1"/>
        <v>0</v>
      </c>
      <c r="I97" s="203" t="s">
        <v>0</v>
      </c>
      <c r="J97" s="203" t="s">
        <v>1</v>
      </c>
      <c r="K97" s="203" t="s">
        <v>452</v>
      </c>
      <c r="L97" s="203" t="s">
        <v>451</v>
      </c>
      <c r="M97" s="203"/>
      <c r="N97" s="203"/>
      <c r="O97" s="203"/>
      <c r="P97" s="276"/>
      <c r="Q97" s="265"/>
      <c r="R97" s="265"/>
      <c r="S97" s="265"/>
      <c r="T97" s="267"/>
    </row>
    <row r="98" spans="1:20" ht="18" customHeight="1">
      <c r="A98" s="204">
        <v>97</v>
      </c>
      <c r="B98" s="202" t="s">
        <v>258</v>
      </c>
      <c r="C98" s="202" t="s">
        <v>1360</v>
      </c>
      <c r="D98" s="202" t="s">
        <v>90</v>
      </c>
      <c r="E98" s="300">
        <v>2037.2</v>
      </c>
      <c r="F98" s="210">
        <v>2037.2</v>
      </c>
      <c r="G98" s="210">
        <v>2037.2</v>
      </c>
      <c r="H98" s="210">
        <f t="shared" si="1"/>
        <v>0</v>
      </c>
      <c r="I98" s="203" t="s">
        <v>0</v>
      </c>
      <c r="J98" s="203" t="s">
        <v>1</v>
      </c>
      <c r="K98" s="203" t="s">
        <v>452</v>
      </c>
      <c r="L98" s="203" t="s">
        <v>451</v>
      </c>
      <c r="M98" s="203"/>
      <c r="N98" s="203"/>
      <c r="O98" s="203"/>
      <c r="P98" s="276"/>
      <c r="Q98" s="265"/>
      <c r="R98" s="265"/>
      <c r="S98" s="265"/>
      <c r="T98" s="267"/>
    </row>
    <row r="99" spans="1:20" ht="18" customHeight="1">
      <c r="A99" s="204">
        <v>98</v>
      </c>
      <c r="B99" s="202" t="s">
        <v>259</v>
      </c>
      <c r="C99" s="202" t="s">
        <v>1361</v>
      </c>
      <c r="D99" s="202" t="s">
        <v>90</v>
      </c>
      <c r="E99" s="300">
        <v>1410.3</v>
      </c>
      <c r="F99" s="210">
        <v>1410.3</v>
      </c>
      <c r="G99" s="210">
        <v>1410.3</v>
      </c>
      <c r="H99" s="210">
        <f t="shared" si="1"/>
        <v>0</v>
      </c>
      <c r="I99" s="203" t="s">
        <v>0</v>
      </c>
      <c r="J99" s="203" t="s">
        <v>1</v>
      </c>
      <c r="K99" s="203" t="s">
        <v>452</v>
      </c>
      <c r="L99" s="203" t="s">
        <v>451</v>
      </c>
      <c r="M99" s="203"/>
      <c r="N99" s="318"/>
      <c r="O99" s="203"/>
      <c r="P99" s="276"/>
      <c r="Q99" s="265"/>
      <c r="R99" s="265"/>
      <c r="S99" s="265"/>
      <c r="T99" s="267"/>
    </row>
    <row r="100" spans="1:20" ht="18" customHeight="1">
      <c r="A100" s="204">
        <v>99</v>
      </c>
      <c r="B100" s="202" t="s">
        <v>260</v>
      </c>
      <c r="C100" s="202" t="s">
        <v>1362</v>
      </c>
      <c r="D100" s="202" t="s">
        <v>79</v>
      </c>
      <c r="E100" s="300">
        <v>435.1</v>
      </c>
      <c r="F100" s="210">
        <v>435.1</v>
      </c>
      <c r="G100" s="210">
        <v>435.1</v>
      </c>
      <c r="H100" s="210">
        <f t="shared" si="1"/>
        <v>0</v>
      </c>
      <c r="I100" s="203" t="s">
        <v>86</v>
      </c>
      <c r="J100" s="203" t="s">
        <v>88</v>
      </c>
      <c r="K100" s="203" t="s">
        <v>512</v>
      </c>
      <c r="L100" s="203" t="s">
        <v>511</v>
      </c>
      <c r="M100" s="203"/>
      <c r="N100" s="203"/>
      <c r="O100" s="203"/>
      <c r="P100" s="276"/>
      <c r="Q100" s="265"/>
      <c r="R100" s="265"/>
      <c r="S100" s="265"/>
      <c r="T100" s="267"/>
    </row>
    <row r="101" spans="1:20" ht="18" customHeight="1">
      <c r="A101" s="204">
        <v>100</v>
      </c>
      <c r="B101" s="202" t="s">
        <v>261</v>
      </c>
      <c r="C101" s="202" t="s">
        <v>1363</v>
      </c>
      <c r="D101" s="202" t="s">
        <v>81</v>
      </c>
      <c r="E101" s="300">
        <v>38</v>
      </c>
      <c r="F101" s="210">
        <v>38</v>
      </c>
      <c r="G101" s="210">
        <v>38</v>
      </c>
      <c r="H101" s="210">
        <f t="shared" si="1"/>
        <v>0</v>
      </c>
      <c r="I101" s="203" t="s">
        <v>86</v>
      </c>
      <c r="J101" s="203" t="s">
        <v>88</v>
      </c>
      <c r="K101" s="203" t="s">
        <v>512</v>
      </c>
      <c r="L101" s="203" t="s">
        <v>511</v>
      </c>
      <c r="M101" s="203"/>
      <c r="N101" s="203"/>
      <c r="O101" s="203"/>
      <c r="P101" s="276"/>
      <c r="Q101" s="265"/>
      <c r="R101" s="265"/>
      <c r="S101" s="265"/>
      <c r="T101" s="267"/>
    </row>
    <row r="102" spans="1:20" ht="18" customHeight="1">
      <c r="A102" s="204">
        <v>101</v>
      </c>
      <c r="B102" s="202" t="s">
        <v>411</v>
      </c>
      <c r="C102" s="202" t="s">
        <v>1364</v>
      </c>
      <c r="D102" s="202" t="s">
        <v>91</v>
      </c>
      <c r="E102" s="300">
        <v>61</v>
      </c>
      <c r="F102" s="210">
        <v>61</v>
      </c>
      <c r="G102" s="210">
        <v>61</v>
      </c>
      <c r="H102" s="210">
        <f t="shared" si="1"/>
        <v>0</v>
      </c>
      <c r="I102" s="203"/>
      <c r="J102" s="203"/>
      <c r="K102" s="203" t="s">
        <v>452</v>
      </c>
      <c r="L102" s="203" t="s">
        <v>451</v>
      </c>
      <c r="M102" s="203"/>
      <c r="N102" s="203"/>
      <c r="O102" s="203"/>
      <c r="P102" s="276"/>
      <c r="Q102" s="265"/>
      <c r="R102" s="265"/>
      <c r="S102" s="265"/>
      <c r="T102" s="267"/>
    </row>
    <row r="103" spans="1:20" ht="18" customHeight="1">
      <c r="A103" s="204">
        <v>102</v>
      </c>
      <c r="B103" s="202" t="s">
        <v>262</v>
      </c>
      <c r="C103" s="202" t="s">
        <v>1365</v>
      </c>
      <c r="D103" s="202" t="s">
        <v>90</v>
      </c>
      <c r="E103" s="300">
        <v>283.7</v>
      </c>
      <c r="F103" s="210">
        <v>283.7</v>
      </c>
      <c r="G103" s="210">
        <v>283.7</v>
      </c>
      <c r="H103" s="210">
        <f t="shared" si="1"/>
        <v>0</v>
      </c>
      <c r="I103" s="203" t="s">
        <v>451</v>
      </c>
      <c r="J103" s="203" t="s">
        <v>452</v>
      </c>
      <c r="K103" s="203" t="s">
        <v>452</v>
      </c>
      <c r="L103" s="203" t="s">
        <v>451</v>
      </c>
      <c r="M103" s="203"/>
      <c r="N103" s="203"/>
      <c r="O103" s="203"/>
      <c r="P103" s="276"/>
      <c r="Q103" s="265"/>
      <c r="R103" s="265"/>
      <c r="S103" s="265"/>
      <c r="T103" s="267"/>
    </row>
    <row r="104" spans="1:20" ht="18" customHeight="1">
      <c r="A104" s="204">
        <v>103</v>
      </c>
      <c r="B104" s="202" t="s">
        <v>263</v>
      </c>
      <c r="C104" s="202" t="s">
        <v>1366</v>
      </c>
      <c r="D104" s="202" t="s">
        <v>90</v>
      </c>
      <c r="E104" s="300">
        <v>160.30000000000001</v>
      </c>
      <c r="F104" s="210">
        <v>160.30000000000001</v>
      </c>
      <c r="G104" s="210">
        <v>160.30000000000001</v>
      </c>
      <c r="H104" s="210">
        <f t="shared" si="1"/>
        <v>0</v>
      </c>
      <c r="I104" s="203" t="s">
        <v>0</v>
      </c>
      <c r="J104" s="203" t="s">
        <v>1</v>
      </c>
      <c r="K104" s="203" t="s">
        <v>452</v>
      </c>
      <c r="L104" s="203" t="s">
        <v>451</v>
      </c>
      <c r="M104" s="203"/>
      <c r="N104" s="203"/>
      <c r="O104" s="203"/>
      <c r="P104" s="276"/>
      <c r="Q104" s="265"/>
      <c r="R104" s="265"/>
      <c r="S104" s="265"/>
      <c r="T104" s="267"/>
    </row>
    <row r="105" spans="1:20" ht="18" customHeight="1">
      <c r="A105" s="204">
        <v>104</v>
      </c>
      <c r="B105" s="202" t="s">
        <v>415</v>
      </c>
      <c r="C105" s="202" t="s">
        <v>1367</v>
      </c>
      <c r="D105" s="202" t="s">
        <v>90</v>
      </c>
      <c r="E105" s="300">
        <v>183.2</v>
      </c>
      <c r="F105" s="210">
        <v>183.2</v>
      </c>
      <c r="G105" s="210">
        <v>183.2</v>
      </c>
      <c r="H105" s="210">
        <f t="shared" si="1"/>
        <v>0</v>
      </c>
      <c r="I105" s="203" t="s">
        <v>0</v>
      </c>
      <c r="J105" s="203" t="s">
        <v>1</v>
      </c>
      <c r="K105" s="203" t="s">
        <v>452</v>
      </c>
      <c r="L105" s="203" t="s">
        <v>451</v>
      </c>
      <c r="M105" s="203"/>
      <c r="N105" s="203"/>
      <c r="O105" s="203"/>
      <c r="P105" s="276"/>
      <c r="Q105" s="265"/>
      <c r="R105" s="265"/>
      <c r="S105" s="265"/>
      <c r="T105" s="267"/>
    </row>
    <row r="106" spans="1:20" ht="18" customHeight="1">
      <c r="A106" s="204">
        <v>105</v>
      </c>
      <c r="B106" s="202" t="s">
        <v>264</v>
      </c>
      <c r="C106" s="202" t="s">
        <v>1368</v>
      </c>
      <c r="D106" s="202" t="s">
        <v>90</v>
      </c>
      <c r="E106" s="300">
        <v>300</v>
      </c>
      <c r="F106" s="210">
        <v>300</v>
      </c>
      <c r="G106" s="210">
        <v>300</v>
      </c>
      <c r="H106" s="210">
        <f t="shared" si="1"/>
        <v>0</v>
      </c>
      <c r="I106" s="203" t="s">
        <v>451</v>
      </c>
      <c r="J106" s="203" t="s">
        <v>452</v>
      </c>
      <c r="K106" s="203" t="s">
        <v>452</v>
      </c>
      <c r="L106" s="203" t="s">
        <v>451</v>
      </c>
      <c r="M106" s="203"/>
      <c r="N106" s="203"/>
      <c r="O106" s="203"/>
      <c r="P106" s="276"/>
      <c r="Q106" s="265"/>
      <c r="R106" s="265"/>
      <c r="S106" s="265"/>
      <c r="T106" s="265"/>
    </row>
    <row r="107" spans="1:20" ht="18" customHeight="1">
      <c r="A107" s="204">
        <v>106</v>
      </c>
      <c r="B107" s="202" t="s">
        <v>265</v>
      </c>
      <c r="C107" s="202" t="s">
        <v>1369</v>
      </c>
      <c r="D107" s="202" t="s">
        <v>81</v>
      </c>
      <c r="E107" s="300">
        <v>918.5</v>
      </c>
      <c r="F107" s="210">
        <v>918.5</v>
      </c>
      <c r="G107" s="210">
        <v>918.5</v>
      </c>
      <c r="H107" s="210">
        <f t="shared" si="1"/>
        <v>0</v>
      </c>
      <c r="I107" s="203" t="s">
        <v>86</v>
      </c>
      <c r="J107" s="203" t="s">
        <v>88</v>
      </c>
      <c r="K107" s="203" t="s">
        <v>512</v>
      </c>
      <c r="L107" s="203" t="s">
        <v>511</v>
      </c>
      <c r="M107" s="203"/>
      <c r="N107" s="318"/>
      <c r="O107" s="203"/>
      <c r="P107" s="276"/>
      <c r="Q107" s="265"/>
      <c r="R107" s="265"/>
      <c r="S107" s="265"/>
      <c r="T107" s="265"/>
    </row>
    <row r="108" spans="1:20" ht="18" customHeight="1">
      <c r="A108" s="204">
        <v>107</v>
      </c>
      <c r="B108" s="202" t="s">
        <v>266</v>
      </c>
      <c r="C108" s="202" t="s">
        <v>1370</v>
      </c>
      <c r="D108" s="202" t="s">
        <v>79</v>
      </c>
      <c r="E108" s="300">
        <v>1538</v>
      </c>
      <c r="F108" s="210">
        <v>1538</v>
      </c>
      <c r="G108" s="210">
        <v>1538</v>
      </c>
      <c r="H108" s="210">
        <f t="shared" si="1"/>
        <v>0</v>
      </c>
      <c r="I108" s="203" t="s">
        <v>86</v>
      </c>
      <c r="J108" s="203" t="s">
        <v>88</v>
      </c>
      <c r="K108" s="203" t="s">
        <v>512</v>
      </c>
      <c r="L108" s="203" t="s">
        <v>511</v>
      </c>
      <c r="M108" s="203"/>
      <c r="N108" s="203"/>
      <c r="O108" s="203"/>
      <c r="P108" s="276"/>
      <c r="Q108" s="265"/>
      <c r="R108" s="265"/>
      <c r="S108" s="265"/>
      <c r="T108" s="265"/>
    </row>
    <row r="109" spans="1:20" ht="18" customHeight="1">
      <c r="A109" s="204">
        <v>108</v>
      </c>
      <c r="B109" s="202" t="s">
        <v>267</v>
      </c>
      <c r="C109" s="202" t="s">
        <v>1371</v>
      </c>
      <c r="D109" s="202" t="s">
        <v>90</v>
      </c>
      <c r="E109" s="300">
        <v>591.6</v>
      </c>
      <c r="F109" s="210">
        <v>591.6</v>
      </c>
      <c r="G109" s="210">
        <v>591.6</v>
      </c>
      <c r="H109" s="210">
        <f t="shared" si="1"/>
        <v>0</v>
      </c>
      <c r="I109" s="203" t="s">
        <v>0</v>
      </c>
      <c r="J109" s="203" t="s">
        <v>1</v>
      </c>
      <c r="K109" s="203" t="s">
        <v>452</v>
      </c>
      <c r="L109" s="203" t="s">
        <v>451</v>
      </c>
      <c r="M109" s="203"/>
      <c r="N109" s="203"/>
      <c r="O109" s="203"/>
      <c r="P109" s="276"/>
      <c r="Q109" s="265"/>
      <c r="R109" s="265"/>
      <c r="S109" s="265"/>
      <c r="T109" s="265"/>
    </row>
    <row r="110" spans="1:20" ht="18" customHeight="1">
      <c r="A110" s="204">
        <v>109</v>
      </c>
      <c r="B110" s="202" t="s">
        <v>268</v>
      </c>
      <c r="C110" s="202" t="s">
        <v>1372</v>
      </c>
      <c r="D110" s="202" t="s">
        <v>90</v>
      </c>
      <c r="E110" s="300">
        <v>375.4</v>
      </c>
      <c r="F110" s="210">
        <v>375.4</v>
      </c>
      <c r="G110" s="210">
        <v>375.4</v>
      </c>
      <c r="H110" s="210">
        <f t="shared" si="1"/>
        <v>0</v>
      </c>
      <c r="I110" s="203" t="s">
        <v>451</v>
      </c>
      <c r="J110" s="203" t="s">
        <v>452</v>
      </c>
      <c r="K110" s="203" t="s">
        <v>452</v>
      </c>
      <c r="L110" s="203" t="s">
        <v>451</v>
      </c>
      <c r="M110" s="203"/>
      <c r="N110" s="203"/>
      <c r="O110" s="203"/>
      <c r="P110" s="276"/>
      <c r="Q110" s="265"/>
      <c r="R110" s="265"/>
      <c r="S110" s="265"/>
      <c r="T110" s="265"/>
    </row>
    <row r="111" spans="1:20" ht="18" customHeight="1">
      <c r="A111" s="204">
        <v>110</v>
      </c>
      <c r="B111" s="202" t="s">
        <v>269</v>
      </c>
      <c r="C111" s="202" t="s">
        <v>1373</v>
      </c>
      <c r="D111" s="202" t="s">
        <v>90</v>
      </c>
      <c r="E111" s="300">
        <v>350.5</v>
      </c>
      <c r="F111" s="210">
        <v>350.5</v>
      </c>
      <c r="G111" s="210">
        <v>350.5</v>
      </c>
      <c r="H111" s="210">
        <f t="shared" si="1"/>
        <v>0</v>
      </c>
      <c r="I111" s="203" t="s">
        <v>0</v>
      </c>
      <c r="J111" s="203" t="s">
        <v>1</v>
      </c>
      <c r="K111" s="203" t="s">
        <v>452</v>
      </c>
      <c r="L111" s="203" t="s">
        <v>451</v>
      </c>
      <c r="M111" s="203"/>
      <c r="N111" s="203"/>
      <c r="O111" s="203"/>
      <c r="P111" s="276"/>
      <c r="Q111" s="265"/>
      <c r="R111" s="265"/>
      <c r="S111" s="265"/>
      <c r="T111" s="265"/>
    </row>
    <row r="112" spans="1:20" ht="18" customHeight="1">
      <c r="A112" s="204">
        <v>111</v>
      </c>
      <c r="B112" s="202" t="s">
        <v>270</v>
      </c>
      <c r="C112" s="202" t="s">
        <v>1374</v>
      </c>
      <c r="D112" s="202" t="s">
        <v>90</v>
      </c>
      <c r="E112" s="300">
        <v>1330</v>
      </c>
      <c r="F112" s="210">
        <v>1330</v>
      </c>
      <c r="G112" s="210">
        <v>1330</v>
      </c>
      <c r="H112" s="210">
        <f t="shared" si="1"/>
        <v>0</v>
      </c>
      <c r="I112" s="203" t="s">
        <v>0</v>
      </c>
      <c r="J112" s="203" t="s">
        <v>1</v>
      </c>
      <c r="K112" s="203" t="s">
        <v>452</v>
      </c>
      <c r="L112" s="203" t="s">
        <v>451</v>
      </c>
      <c r="M112" s="203"/>
      <c r="N112" s="203"/>
      <c r="O112" s="203"/>
      <c r="P112" s="276"/>
      <c r="Q112" s="265"/>
      <c r="R112" s="265"/>
      <c r="S112" s="265"/>
      <c r="T112" s="265"/>
    </row>
    <row r="113" spans="1:23" ht="18" customHeight="1">
      <c r="A113" s="204">
        <v>112</v>
      </c>
      <c r="B113" s="202" t="s">
        <v>271</v>
      </c>
      <c r="C113" s="202" t="s">
        <v>1375</v>
      </c>
      <c r="D113" s="202" t="s">
        <v>81</v>
      </c>
      <c r="E113" s="300">
        <v>259.3</v>
      </c>
      <c r="F113" s="210">
        <v>259.3</v>
      </c>
      <c r="G113" s="210">
        <v>259.3</v>
      </c>
      <c r="H113" s="210">
        <f t="shared" si="1"/>
        <v>0</v>
      </c>
      <c r="I113" s="203" t="s">
        <v>86</v>
      </c>
      <c r="J113" s="203" t="s">
        <v>88</v>
      </c>
      <c r="K113" s="203" t="s">
        <v>512</v>
      </c>
      <c r="L113" s="203" t="s">
        <v>511</v>
      </c>
      <c r="M113" s="203"/>
      <c r="N113" s="203"/>
      <c r="O113" s="203"/>
      <c r="P113" s="276"/>
      <c r="Q113" s="265"/>
      <c r="R113" s="265"/>
      <c r="S113" s="265"/>
      <c r="T113" s="265"/>
    </row>
    <row r="114" spans="1:23" ht="18" customHeight="1">
      <c r="A114" s="204">
        <v>113</v>
      </c>
      <c r="B114" s="202" t="s">
        <v>272</v>
      </c>
      <c r="C114" s="202" t="s">
        <v>1376</v>
      </c>
      <c r="D114" s="202" t="s">
        <v>80</v>
      </c>
      <c r="E114" s="300">
        <v>165</v>
      </c>
      <c r="F114" s="210">
        <v>165</v>
      </c>
      <c r="G114" s="210">
        <v>165</v>
      </c>
      <c r="H114" s="210">
        <f t="shared" si="1"/>
        <v>0</v>
      </c>
      <c r="I114" s="203" t="s">
        <v>451</v>
      </c>
      <c r="J114" s="203" t="s">
        <v>452</v>
      </c>
      <c r="K114" s="203" t="s">
        <v>452</v>
      </c>
      <c r="L114" s="203" t="s">
        <v>451</v>
      </c>
      <c r="M114" s="203"/>
      <c r="N114" s="203"/>
      <c r="O114" s="203"/>
      <c r="P114" s="276"/>
      <c r="Q114" s="265"/>
      <c r="R114" s="265"/>
      <c r="S114" s="265"/>
      <c r="T114" s="265"/>
    </row>
    <row r="115" spans="1:23" ht="18" customHeight="1">
      <c r="A115" s="204">
        <v>114</v>
      </c>
      <c r="B115" s="202" t="s">
        <v>273</v>
      </c>
      <c r="C115" s="202" t="s">
        <v>1377</v>
      </c>
      <c r="D115" s="202" t="s">
        <v>147</v>
      </c>
      <c r="E115" s="300"/>
      <c r="F115" s="210">
        <v>71</v>
      </c>
      <c r="G115" s="210">
        <v>71</v>
      </c>
      <c r="H115" s="210">
        <f t="shared" si="1"/>
        <v>0</v>
      </c>
      <c r="I115" s="203" t="s">
        <v>604</v>
      </c>
      <c r="J115" s="203"/>
      <c r="K115" s="203"/>
      <c r="L115" s="203" t="s">
        <v>511</v>
      </c>
      <c r="M115" s="203"/>
      <c r="N115" s="318"/>
      <c r="O115" s="203"/>
      <c r="P115" s="276"/>
      <c r="Q115" s="265"/>
      <c r="R115" s="265"/>
      <c r="S115" s="265"/>
      <c r="T115" s="265"/>
    </row>
    <row r="116" spans="1:23" ht="18" customHeight="1">
      <c r="A116" s="204">
        <v>115</v>
      </c>
      <c r="B116" s="202" t="s">
        <v>274</v>
      </c>
      <c r="C116" s="202" t="s">
        <v>1378</v>
      </c>
      <c r="D116" s="202" t="s">
        <v>79</v>
      </c>
      <c r="E116" s="300">
        <v>1669</v>
      </c>
      <c r="F116" s="210">
        <v>1669</v>
      </c>
      <c r="G116" s="210">
        <v>1669</v>
      </c>
      <c r="H116" s="210">
        <f t="shared" si="1"/>
        <v>0</v>
      </c>
      <c r="I116" s="203" t="s">
        <v>0</v>
      </c>
      <c r="J116" s="203" t="s">
        <v>1</v>
      </c>
      <c r="K116" s="203" t="s">
        <v>452</v>
      </c>
      <c r="L116" s="203" t="s">
        <v>451</v>
      </c>
      <c r="M116" s="203"/>
      <c r="N116" s="203"/>
      <c r="O116" s="203"/>
      <c r="P116" s="276"/>
      <c r="Q116" s="265"/>
      <c r="R116" s="265"/>
      <c r="S116" s="265"/>
      <c r="T116" s="265"/>
    </row>
    <row r="117" spans="1:23" ht="18" customHeight="1">
      <c r="A117" s="204">
        <v>116</v>
      </c>
      <c r="B117" s="202" t="s">
        <v>275</v>
      </c>
      <c r="C117" s="202" t="s">
        <v>1379</v>
      </c>
      <c r="D117" s="202" t="s">
        <v>79</v>
      </c>
      <c r="E117" s="300">
        <v>2056</v>
      </c>
      <c r="F117" s="210">
        <v>2056</v>
      </c>
      <c r="G117" s="210">
        <v>2056</v>
      </c>
      <c r="H117" s="210">
        <f t="shared" si="1"/>
        <v>0</v>
      </c>
      <c r="I117" s="203" t="s">
        <v>0</v>
      </c>
      <c r="J117" s="203" t="s">
        <v>1</v>
      </c>
      <c r="K117" s="203" t="s">
        <v>452</v>
      </c>
      <c r="L117" s="203" t="s">
        <v>451</v>
      </c>
      <c r="M117" s="203"/>
      <c r="N117" s="203"/>
      <c r="O117" s="203"/>
      <c r="P117" s="276"/>
      <c r="Q117" s="265"/>
      <c r="R117" s="265"/>
      <c r="S117" s="265"/>
      <c r="T117" s="265"/>
    </row>
    <row r="118" spans="1:23" ht="18" customHeight="1">
      <c r="A118" s="204">
        <v>117</v>
      </c>
      <c r="B118" s="202" t="s">
        <v>276</v>
      </c>
      <c r="C118" s="202" t="s">
        <v>1380</v>
      </c>
      <c r="D118" s="202" t="s">
        <v>79</v>
      </c>
      <c r="E118" s="300">
        <v>1277</v>
      </c>
      <c r="F118" s="210">
        <v>1231</v>
      </c>
      <c r="G118" s="210">
        <v>1231</v>
      </c>
      <c r="H118" s="210">
        <f t="shared" si="1"/>
        <v>0</v>
      </c>
      <c r="I118" s="203" t="s">
        <v>0</v>
      </c>
      <c r="J118" s="203" t="s">
        <v>1</v>
      </c>
      <c r="K118" s="203" t="s">
        <v>452</v>
      </c>
      <c r="L118" s="203" t="s">
        <v>451</v>
      </c>
      <c r="M118" s="203"/>
      <c r="N118" s="203"/>
      <c r="O118" s="203"/>
      <c r="P118" s="276"/>
      <c r="Q118" s="265"/>
      <c r="R118" s="265"/>
      <c r="S118" s="265"/>
      <c r="T118" s="265"/>
    </row>
    <row r="119" spans="1:23" ht="18" customHeight="1">
      <c r="A119" s="204">
        <v>118</v>
      </c>
      <c r="B119" s="202" t="s">
        <v>277</v>
      </c>
      <c r="C119" s="202" t="s">
        <v>1381</v>
      </c>
      <c r="D119" s="202" t="s">
        <v>79</v>
      </c>
      <c r="E119" s="300">
        <v>4950</v>
      </c>
      <c r="F119" s="210">
        <v>3724</v>
      </c>
      <c r="G119" s="210">
        <v>3724</v>
      </c>
      <c r="H119" s="210">
        <f t="shared" si="1"/>
        <v>0</v>
      </c>
      <c r="I119" s="203" t="s">
        <v>0</v>
      </c>
      <c r="J119" s="203" t="s">
        <v>1</v>
      </c>
      <c r="K119" s="203" t="s">
        <v>452</v>
      </c>
      <c r="L119" s="203" t="s">
        <v>451</v>
      </c>
      <c r="M119" s="203"/>
      <c r="N119" s="203"/>
      <c r="O119" s="203"/>
      <c r="P119" s="276"/>
      <c r="Q119" s="265"/>
      <c r="R119" s="265"/>
      <c r="S119" s="265"/>
      <c r="T119" s="265"/>
    </row>
    <row r="120" spans="1:23" ht="18" customHeight="1">
      <c r="A120" s="204">
        <v>119</v>
      </c>
      <c r="B120" s="202" t="s">
        <v>405</v>
      </c>
      <c r="C120" s="202" t="s">
        <v>1382</v>
      </c>
      <c r="D120" s="202" t="s">
        <v>79</v>
      </c>
      <c r="E120" s="300">
        <v>2224</v>
      </c>
      <c r="F120" s="210">
        <v>2224</v>
      </c>
      <c r="G120" s="210">
        <v>2224</v>
      </c>
      <c r="H120" s="210">
        <f t="shared" si="1"/>
        <v>0</v>
      </c>
      <c r="I120" s="203" t="s">
        <v>0</v>
      </c>
      <c r="J120" s="203" t="s">
        <v>1</v>
      </c>
      <c r="K120" s="203" t="s">
        <v>452</v>
      </c>
      <c r="L120" s="203" t="s">
        <v>451</v>
      </c>
      <c r="M120" s="203"/>
      <c r="N120" s="203"/>
      <c r="O120" s="203"/>
      <c r="P120" s="276"/>
      <c r="Q120" s="265"/>
      <c r="R120" s="265"/>
      <c r="S120" s="265"/>
      <c r="T120" s="265"/>
    </row>
    <row r="121" spans="1:23" ht="18" customHeight="1">
      <c r="A121" s="204">
        <v>120</v>
      </c>
      <c r="B121" s="202" t="s">
        <v>278</v>
      </c>
      <c r="C121" s="202" t="s">
        <v>1383</v>
      </c>
      <c r="D121" s="202" t="s">
        <v>79</v>
      </c>
      <c r="E121" s="300">
        <v>22152</v>
      </c>
      <c r="F121" s="210">
        <v>1761</v>
      </c>
      <c r="G121" s="210">
        <v>1761</v>
      </c>
      <c r="H121" s="210">
        <f t="shared" si="1"/>
        <v>0</v>
      </c>
      <c r="I121" s="203" t="s">
        <v>86</v>
      </c>
      <c r="J121" s="203" t="s">
        <v>153</v>
      </c>
      <c r="K121" s="203" t="s">
        <v>514</v>
      </c>
      <c r="L121" s="203" t="s">
        <v>511</v>
      </c>
      <c r="M121" s="203"/>
      <c r="N121" s="203"/>
      <c r="O121" s="203"/>
      <c r="P121" s="276"/>
      <c r="Q121" s="265"/>
      <c r="R121" s="265"/>
      <c r="S121" s="265"/>
      <c r="T121" s="267"/>
    </row>
    <row r="122" spans="1:23" ht="18" customHeight="1">
      <c r="A122" s="204">
        <v>121</v>
      </c>
      <c r="B122" s="202" t="s">
        <v>279</v>
      </c>
      <c r="C122" s="202" t="s">
        <v>1384</v>
      </c>
      <c r="D122" s="202" t="s">
        <v>79</v>
      </c>
      <c r="E122" s="300">
        <v>167</v>
      </c>
      <c r="F122" s="210">
        <v>89</v>
      </c>
      <c r="G122" s="210">
        <v>89</v>
      </c>
      <c r="H122" s="210">
        <f t="shared" si="1"/>
        <v>0</v>
      </c>
      <c r="I122" s="203" t="s">
        <v>0</v>
      </c>
      <c r="J122" s="203" t="s">
        <v>1</v>
      </c>
      <c r="K122" s="203" t="s">
        <v>452</v>
      </c>
      <c r="L122" s="203" t="s">
        <v>451</v>
      </c>
      <c r="M122" s="203"/>
      <c r="N122" s="203"/>
      <c r="O122" s="203"/>
      <c r="P122" s="276"/>
      <c r="Q122" s="265"/>
      <c r="R122" s="265"/>
      <c r="S122" s="265"/>
      <c r="T122" s="267"/>
    </row>
    <row r="123" spans="1:23" ht="18" customHeight="1">
      <c r="A123" s="204">
        <v>122</v>
      </c>
      <c r="B123" s="202" t="s">
        <v>280</v>
      </c>
      <c r="C123" s="202" t="s">
        <v>1385</v>
      </c>
      <c r="D123" s="202" t="s">
        <v>79</v>
      </c>
      <c r="E123" s="300">
        <v>1959</v>
      </c>
      <c r="F123" s="210">
        <v>1807</v>
      </c>
      <c r="G123" s="210">
        <v>1807</v>
      </c>
      <c r="H123" s="210">
        <f t="shared" si="1"/>
        <v>0</v>
      </c>
      <c r="I123" s="203" t="s">
        <v>0</v>
      </c>
      <c r="J123" s="203" t="s">
        <v>1</v>
      </c>
      <c r="K123" s="203" t="s">
        <v>452</v>
      </c>
      <c r="L123" s="203" t="s">
        <v>451</v>
      </c>
      <c r="M123" s="203"/>
      <c r="N123" s="318"/>
      <c r="O123" s="203"/>
      <c r="P123" s="276"/>
      <c r="Q123" s="265"/>
      <c r="R123" s="265"/>
      <c r="S123" s="265"/>
      <c r="T123" s="267"/>
    </row>
    <row r="124" spans="1:23" ht="18" customHeight="1">
      <c r="A124" s="204">
        <v>123</v>
      </c>
      <c r="B124" s="202" t="s">
        <v>281</v>
      </c>
      <c r="C124" s="202" t="s">
        <v>1386</v>
      </c>
      <c r="D124" s="202" t="s">
        <v>79</v>
      </c>
      <c r="E124" s="300">
        <v>1097</v>
      </c>
      <c r="F124" s="210">
        <v>480</v>
      </c>
      <c r="G124" s="210">
        <v>480</v>
      </c>
      <c r="H124" s="210">
        <f t="shared" si="1"/>
        <v>0</v>
      </c>
      <c r="I124" s="203" t="s">
        <v>0</v>
      </c>
      <c r="J124" s="203" t="s">
        <v>1</v>
      </c>
      <c r="K124" s="203" t="s">
        <v>452</v>
      </c>
      <c r="L124" s="203" t="s">
        <v>451</v>
      </c>
      <c r="M124" s="203"/>
      <c r="N124" s="203"/>
      <c r="O124" s="203"/>
      <c r="P124" s="276"/>
      <c r="Q124" s="265"/>
      <c r="R124" s="265"/>
      <c r="S124" s="265"/>
      <c r="T124" s="267"/>
    </row>
    <row r="125" spans="1:23" ht="18" customHeight="1">
      <c r="A125" s="204">
        <v>124</v>
      </c>
      <c r="B125" s="202" t="s">
        <v>282</v>
      </c>
      <c r="C125" s="202" t="s">
        <v>1387</v>
      </c>
      <c r="D125" s="202" t="s">
        <v>79</v>
      </c>
      <c r="E125" s="300">
        <v>1620</v>
      </c>
      <c r="F125" s="210">
        <v>944</v>
      </c>
      <c r="G125" s="210">
        <v>944</v>
      </c>
      <c r="H125" s="210">
        <f t="shared" si="1"/>
        <v>0</v>
      </c>
      <c r="I125" s="203" t="s">
        <v>0</v>
      </c>
      <c r="J125" s="203" t="s">
        <v>1</v>
      </c>
      <c r="K125" s="203" t="s">
        <v>452</v>
      </c>
      <c r="L125" s="203" t="s">
        <v>451</v>
      </c>
      <c r="M125" s="203"/>
      <c r="N125" s="203"/>
      <c r="O125" s="203"/>
      <c r="P125" s="276"/>
      <c r="Q125" s="265"/>
      <c r="R125" s="265"/>
      <c r="S125" s="265"/>
      <c r="T125" s="284"/>
      <c r="U125" s="265"/>
      <c r="V125" s="265"/>
      <c r="W125" s="265"/>
    </row>
    <row r="126" spans="1:23" ht="18" customHeight="1">
      <c r="A126" s="204">
        <v>125</v>
      </c>
      <c r="B126" s="202" t="s">
        <v>283</v>
      </c>
      <c r="C126" s="202" t="s">
        <v>1388</v>
      </c>
      <c r="D126" s="202" t="s">
        <v>79</v>
      </c>
      <c r="E126" s="300">
        <v>1330</v>
      </c>
      <c r="F126" s="210">
        <v>182</v>
      </c>
      <c r="G126" s="210">
        <v>182</v>
      </c>
      <c r="H126" s="210">
        <f t="shared" si="1"/>
        <v>0</v>
      </c>
      <c r="I126" s="203" t="s">
        <v>0</v>
      </c>
      <c r="J126" s="203" t="s">
        <v>1</v>
      </c>
      <c r="K126" s="203" t="s">
        <v>452</v>
      </c>
      <c r="L126" s="203" t="s">
        <v>451</v>
      </c>
      <c r="M126" s="203"/>
      <c r="N126" s="203"/>
      <c r="O126" s="203"/>
      <c r="P126" s="276"/>
      <c r="Q126" s="265"/>
      <c r="R126" s="265"/>
      <c r="S126" s="265"/>
      <c r="T126" s="265"/>
    </row>
    <row r="127" spans="1:23" ht="18" customHeight="1">
      <c r="A127" s="204">
        <v>126</v>
      </c>
      <c r="B127" s="202" t="s">
        <v>284</v>
      </c>
      <c r="C127" s="202" t="s">
        <v>1389</v>
      </c>
      <c r="D127" s="202" t="s">
        <v>79</v>
      </c>
      <c r="E127" s="300">
        <v>1098</v>
      </c>
      <c r="F127" s="210">
        <v>12</v>
      </c>
      <c r="G127" s="210">
        <v>12</v>
      </c>
      <c r="H127" s="210">
        <f t="shared" si="1"/>
        <v>0</v>
      </c>
      <c r="I127" s="203" t="s">
        <v>0</v>
      </c>
      <c r="J127" s="203" t="s">
        <v>1</v>
      </c>
      <c r="K127" s="203" t="s">
        <v>452</v>
      </c>
      <c r="L127" s="203" t="s">
        <v>451</v>
      </c>
      <c r="M127" s="203"/>
      <c r="N127" s="203"/>
      <c r="O127" s="203"/>
      <c r="P127" s="276"/>
      <c r="Q127" s="265"/>
      <c r="R127" s="265"/>
      <c r="S127" s="265"/>
      <c r="T127" s="265"/>
    </row>
    <row r="128" spans="1:23" ht="18" customHeight="1">
      <c r="A128" s="270" t="s">
        <v>126</v>
      </c>
      <c r="B128" s="271"/>
      <c r="C128" s="271"/>
      <c r="D128" s="271"/>
      <c r="E128" s="272"/>
      <c r="F128" s="436">
        <f>SUM(F5:F127)</f>
        <v>124209.40000000001</v>
      </c>
      <c r="G128" s="436">
        <f>SUM(G5:G127)</f>
        <v>124209.40000000001</v>
      </c>
      <c r="H128" s="272">
        <f>G128-F128</f>
        <v>0</v>
      </c>
      <c r="I128" s="282"/>
      <c r="J128" s="282"/>
      <c r="K128" s="282"/>
      <c r="L128" s="282"/>
      <c r="M128" s="282"/>
      <c r="N128" s="282"/>
      <c r="O128" s="282"/>
      <c r="P128" s="283"/>
      <c r="Q128" s="265"/>
      <c r="R128" s="265"/>
      <c r="S128" s="265"/>
      <c r="T128" s="284"/>
      <c r="U128" s="265"/>
      <c r="V128" s="265"/>
      <c r="W128" s="265"/>
    </row>
    <row r="129" spans="1:20" ht="30" customHeight="1">
      <c r="A129" s="204"/>
      <c r="B129" s="202"/>
      <c r="C129" s="202"/>
      <c r="D129" s="202"/>
      <c r="E129" s="300"/>
      <c r="F129" s="210"/>
      <c r="G129" s="210"/>
      <c r="H129" s="210"/>
      <c r="I129" s="203"/>
      <c r="J129" s="203"/>
      <c r="K129" s="203"/>
      <c r="L129" s="203"/>
      <c r="M129" s="203"/>
      <c r="N129" s="203"/>
      <c r="O129" s="205"/>
      <c r="P129" s="291"/>
      <c r="Q129" s="265"/>
      <c r="R129" s="265"/>
      <c r="S129" s="265"/>
      <c r="T129" s="265"/>
    </row>
    <row r="130" spans="1:20" ht="30" customHeight="1">
      <c r="A130" s="204"/>
      <c r="B130" s="202"/>
      <c r="C130" s="202"/>
      <c r="D130" s="202"/>
      <c r="E130" s="300"/>
      <c r="F130" s="210"/>
      <c r="G130" s="210"/>
      <c r="H130" s="210"/>
      <c r="I130" s="203"/>
      <c r="J130" s="203"/>
      <c r="K130" s="203"/>
      <c r="L130" s="203"/>
      <c r="M130" s="203"/>
      <c r="N130" s="203"/>
      <c r="O130" s="205"/>
      <c r="P130" s="291"/>
      <c r="Q130" s="265"/>
      <c r="R130" s="265"/>
      <c r="S130" s="265"/>
      <c r="T130" s="265"/>
    </row>
    <row r="131" spans="1:20" ht="30" customHeight="1">
      <c r="A131" s="204"/>
      <c r="B131" s="202"/>
      <c r="C131" s="202"/>
      <c r="D131" s="202"/>
      <c r="E131" s="300"/>
      <c r="F131" s="210"/>
      <c r="G131" s="210"/>
      <c r="H131" s="210"/>
      <c r="I131" s="203"/>
      <c r="J131" s="203"/>
      <c r="K131" s="203"/>
      <c r="L131" s="203"/>
      <c r="M131" s="203"/>
      <c r="N131" s="203"/>
      <c r="O131" s="205"/>
      <c r="P131" s="291"/>
      <c r="Q131" s="265"/>
      <c r="R131" s="265"/>
      <c r="S131" s="265"/>
      <c r="T131" s="265"/>
    </row>
    <row r="132" spans="1:20" ht="30" customHeight="1">
      <c r="A132" s="204"/>
      <c r="B132" s="202"/>
      <c r="C132" s="202"/>
      <c r="D132" s="202"/>
      <c r="E132" s="300"/>
      <c r="F132" s="210"/>
      <c r="G132" s="210"/>
      <c r="H132" s="210"/>
      <c r="I132" s="203"/>
      <c r="J132" s="203"/>
      <c r="K132" s="203"/>
      <c r="L132" s="203"/>
      <c r="M132" s="203"/>
      <c r="N132" s="203"/>
      <c r="O132" s="205"/>
      <c r="P132" s="291"/>
      <c r="Q132" s="265"/>
      <c r="R132" s="265"/>
      <c r="S132" s="265"/>
      <c r="T132" s="265"/>
    </row>
    <row r="133" spans="1:20" ht="30" customHeight="1">
      <c r="A133" s="204"/>
      <c r="B133" s="202"/>
      <c r="C133" s="202"/>
      <c r="D133" s="202"/>
      <c r="E133" s="300"/>
      <c r="F133" s="210"/>
      <c r="G133" s="210"/>
      <c r="H133" s="210"/>
      <c r="I133" s="203"/>
      <c r="J133" s="203"/>
      <c r="K133" s="203"/>
      <c r="L133" s="203"/>
      <c r="M133" s="203"/>
      <c r="N133" s="203"/>
      <c r="O133" s="205"/>
      <c r="P133" s="291"/>
      <c r="Q133" s="265"/>
      <c r="R133" s="265"/>
      <c r="S133" s="265"/>
      <c r="T133" s="265"/>
    </row>
    <row r="134" spans="1:20" ht="30" customHeight="1">
      <c r="A134" s="204"/>
      <c r="B134" s="202"/>
      <c r="C134" s="202"/>
      <c r="D134" s="202"/>
      <c r="E134" s="300"/>
      <c r="F134" s="210"/>
      <c r="G134" s="210"/>
      <c r="H134" s="210"/>
      <c r="I134" s="203"/>
      <c r="J134" s="203"/>
      <c r="K134" s="203"/>
      <c r="L134" s="203"/>
      <c r="M134" s="203"/>
      <c r="N134" s="203"/>
      <c r="O134" s="205"/>
      <c r="P134" s="291"/>
      <c r="Q134" s="265"/>
      <c r="R134" s="265"/>
      <c r="S134" s="265"/>
      <c r="T134" s="265"/>
    </row>
    <row r="135" spans="1:20" ht="30" customHeight="1">
      <c r="A135" s="204"/>
      <c r="B135" s="202"/>
      <c r="C135" s="202"/>
      <c r="D135" s="202"/>
      <c r="E135" s="300"/>
      <c r="F135" s="210"/>
      <c r="G135" s="210"/>
      <c r="H135" s="210"/>
      <c r="I135" s="203"/>
      <c r="J135" s="203"/>
      <c r="K135" s="203"/>
      <c r="L135" s="203"/>
      <c r="M135" s="203"/>
      <c r="N135" s="203"/>
      <c r="O135" s="205"/>
      <c r="P135" s="291"/>
      <c r="Q135" s="265"/>
      <c r="R135" s="265"/>
      <c r="S135" s="265"/>
      <c r="T135" s="265"/>
    </row>
    <row r="136" spans="1:20" ht="30" customHeight="1">
      <c r="A136" s="204"/>
      <c r="B136" s="202"/>
      <c r="C136" s="202"/>
      <c r="D136" s="202"/>
      <c r="E136" s="300"/>
      <c r="F136" s="210"/>
      <c r="G136" s="210"/>
      <c r="H136" s="210"/>
      <c r="I136" s="203"/>
      <c r="J136" s="203"/>
      <c r="K136" s="203"/>
      <c r="L136" s="203"/>
      <c r="M136" s="203"/>
      <c r="N136" s="203"/>
      <c r="O136" s="205"/>
      <c r="P136" s="291"/>
      <c r="Q136" s="265"/>
      <c r="R136" s="265"/>
      <c r="S136" s="265"/>
      <c r="T136" s="265"/>
    </row>
    <row r="137" spans="1:20" ht="30" customHeight="1">
      <c r="A137" s="204"/>
      <c r="B137" s="202"/>
      <c r="C137" s="202"/>
      <c r="D137" s="202"/>
      <c r="E137" s="300"/>
      <c r="F137" s="210"/>
      <c r="G137" s="210"/>
      <c r="H137" s="210"/>
      <c r="I137" s="203"/>
      <c r="J137" s="203"/>
      <c r="K137" s="203"/>
      <c r="L137" s="203"/>
      <c r="M137" s="203"/>
      <c r="N137" s="203"/>
      <c r="O137" s="205"/>
      <c r="P137" s="291"/>
      <c r="Q137" s="265"/>
      <c r="R137" s="265"/>
      <c r="S137" s="265"/>
      <c r="T137" s="265"/>
    </row>
    <row r="138" spans="1:20" ht="30" customHeight="1">
      <c r="A138" s="204"/>
      <c r="B138" s="202"/>
      <c r="C138" s="202"/>
      <c r="D138" s="202"/>
      <c r="E138" s="300"/>
      <c r="F138" s="210"/>
      <c r="G138" s="210"/>
      <c r="H138" s="210"/>
      <c r="I138" s="203"/>
      <c r="J138" s="203"/>
      <c r="K138" s="203"/>
      <c r="L138" s="203"/>
      <c r="M138" s="203"/>
      <c r="N138" s="203"/>
      <c r="O138" s="205"/>
      <c r="P138" s="291"/>
      <c r="Q138" s="265"/>
      <c r="R138" s="265"/>
      <c r="S138" s="265"/>
      <c r="T138" s="265"/>
    </row>
    <row r="139" spans="1:20" ht="30" customHeight="1">
      <c r="A139" s="204"/>
      <c r="B139" s="202"/>
      <c r="C139" s="202"/>
      <c r="D139" s="202"/>
      <c r="E139" s="300"/>
      <c r="F139" s="210"/>
      <c r="G139" s="210"/>
      <c r="H139" s="210"/>
      <c r="I139" s="203"/>
      <c r="J139" s="203"/>
      <c r="K139" s="203"/>
      <c r="L139" s="203"/>
      <c r="M139" s="203"/>
      <c r="N139" s="203"/>
      <c r="O139" s="205"/>
      <c r="P139" s="291"/>
      <c r="Q139" s="265"/>
      <c r="R139" s="265"/>
      <c r="S139" s="265"/>
      <c r="T139" s="265"/>
    </row>
    <row r="140" spans="1:20" ht="30" customHeight="1">
      <c r="A140" s="204"/>
      <c r="B140" s="202"/>
      <c r="C140" s="202"/>
      <c r="D140" s="202"/>
      <c r="E140" s="300"/>
      <c r="F140" s="210"/>
      <c r="G140" s="210"/>
      <c r="H140" s="210"/>
      <c r="I140" s="203"/>
      <c r="J140" s="203"/>
      <c r="K140" s="203"/>
      <c r="L140" s="203"/>
      <c r="M140" s="203"/>
      <c r="N140" s="203"/>
      <c r="O140" s="205"/>
      <c r="P140" s="291"/>
      <c r="Q140" s="265"/>
      <c r="R140" s="265"/>
      <c r="S140" s="265"/>
      <c r="T140" s="265"/>
    </row>
    <row r="141" spans="1:20" ht="30" customHeight="1">
      <c r="A141" s="204"/>
      <c r="B141" s="202"/>
      <c r="C141" s="202"/>
      <c r="D141" s="202"/>
      <c r="E141" s="300"/>
      <c r="F141" s="210"/>
      <c r="G141" s="210"/>
      <c r="H141" s="210"/>
      <c r="I141" s="203"/>
      <c r="J141" s="203"/>
      <c r="K141" s="203"/>
      <c r="L141" s="203"/>
      <c r="M141" s="203"/>
      <c r="N141" s="203"/>
      <c r="O141" s="205"/>
      <c r="P141" s="291"/>
      <c r="Q141" s="265"/>
      <c r="R141" s="265"/>
      <c r="S141" s="265"/>
      <c r="T141" s="265"/>
    </row>
    <row r="142" spans="1:20" ht="30" customHeight="1">
      <c r="A142" s="204"/>
      <c r="B142" s="202"/>
      <c r="C142" s="202"/>
      <c r="D142" s="202"/>
      <c r="E142" s="300"/>
      <c r="F142" s="210"/>
      <c r="G142" s="210"/>
      <c r="H142" s="210"/>
      <c r="I142" s="203"/>
      <c r="J142" s="203"/>
      <c r="K142" s="203"/>
      <c r="L142" s="203"/>
      <c r="M142" s="203"/>
      <c r="N142" s="203"/>
      <c r="O142" s="205"/>
      <c r="P142" s="291"/>
      <c r="Q142" s="265"/>
      <c r="R142" s="265"/>
      <c r="S142" s="265"/>
      <c r="T142" s="265"/>
    </row>
    <row r="143" spans="1:20" ht="30" customHeight="1">
      <c r="A143" s="204"/>
      <c r="B143" s="202"/>
      <c r="C143" s="202"/>
      <c r="D143" s="202"/>
      <c r="E143" s="300"/>
      <c r="F143" s="210"/>
      <c r="G143" s="210"/>
      <c r="H143" s="210"/>
      <c r="I143" s="203"/>
      <c r="J143" s="203"/>
      <c r="K143" s="203"/>
      <c r="L143" s="203"/>
      <c r="M143" s="203"/>
      <c r="N143" s="203"/>
      <c r="O143" s="205"/>
      <c r="P143" s="291"/>
      <c r="Q143" s="265"/>
      <c r="R143" s="265"/>
      <c r="S143" s="265"/>
      <c r="T143" s="265"/>
    </row>
    <row r="144" spans="1:20" ht="30" customHeight="1">
      <c r="A144" s="204"/>
      <c r="B144" s="202"/>
      <c r="C144" s="202"/>
      <c r="D144" s="202"/>
      <c r="E144" s="300"/>
      <c r="F144" s="210"/>
      <c r="G144" s="210"/>
      <c r="H144" s="210"/>
      <c r="I144" s="203"/>
      <c r="J144" s="203"/>
      <c r="K144" s="203"/>
      <c r="L144" s="203"/>
      <c r="M144" s="203"/>
      <c r="N144" s="203"/>
      <c r="O144" s="205"/>
      <c r="P144" s="291"/>
      <c r="Q144" s="265"/>
      <c r="R144" s="265"/>
      <c r="S144" s="265"/>
      <c r="T144" s="267"/>
    </row>
    <row r="145" spans="1:23" ht="30" customHeight="1">
      <c r="A145" s="204"/>
      <c r="B145" s="202"/>
      <c r="C145" s="202"/>
      <c r="D145" s="202"/>
      <c r="E145" s="300"/>
      <c r="F145" s="210"/>
      <c r="G145" s="210"/>
      <c r="H145" s="210"/>
      <c r="I145" s="203"/>
      <c r="J145" s="203"/>
      <c r="K145" s="203"/>
      <c r="L145" s="203"/>
      <c r="M145" s="203"/>
      <c r="N145" s="203"/>
      <c r="O145" s="205"/>
      <c r="P145" s="291"/>
      <c r="Q145" s="265"/>
      <c r="R145" s="265"/>
      <c r="S145" s="265"/>
      <c r="T145" s="267"/>
    </row>
    <row r="146" spans="1:23" ht="30" customHeight="1">
      <c r="A146" s="204"/>
      <c r="B146" s="202"/>
      <c r="C146" s="202"/>
      <c r="D146" s="202"/>
      <c r="E146" s="300"/>
      <c r="F146" s="210"/>
      <c r="G146" s="210"/>
      <c r="H146" s="210"/>
      <c r="I146" s="203"/>
      <c r="J146" s="203"/>
      <c r="K146" s="203"/>
      <c r="L146" s="203"/>
      <c r="M146" s="203"/>
      <c r="N146" s="203"/>
      <c r="O146" s="205"/>
      <c r="P146" s="291"/>
      <c r="Q146" s="265"/>
      <c r="R146" s="265"/>
      <c r="S146" s="265"/>
      <c r="T146" s="267"/>
    </row>
    <row r="147" spans="1:23" ht="30" customHeight="1">
      <c r="A147" s="204"/>
      <c r="B147" s="202"/>
      <c r="C147" s="202"/>
      <c r="D147" s="202"/>
      <c r="E147" s="300"/>
      <c r="F147" s="210"/>
      <c r="G147" s="210"/>
      <c r="H147" s="210"/>
      <c r="I147" s="203"/>
      <c r="J147" s="203"/>
      <c r="K147" s="203"/>
      <c r="L147" s="203"/>
      <c r="M147" s="203"/>
      <c r="N147" s="203"/>
      <c r="O147" s="205"/>
      <c r="P147" s="291"/>
      <c r="Q147" s="265"/>
      <c r="R147" s="265"/>
      <c r="S147" s="265"/>
      <c r="T147" s="267"/>
    </row>
    <row r="148" spans="1:23" ht="30" customHeight="1">
      <c r="A148" s="304"/>
      <c r="B148" s="296"/>
      <c r="C148" s="305"/>
      <c r="D148" s="306"/>
      <c r="E148" s="297"/>
      <c r="F148" s="298"/>
      <c r="G148" s="298"/>
      <c r="H148" s="298"/>
      <c r="I148" s="282"/>
      <c r="J148" s="282"/>
      <c r="K148" s="282"/>
      <c r="L148" s="282"/>
      <c r="M148" s="282"/>
      <c r="N148" s="282"/>
      <c r="O148" s="283"/>
      <c r="P148" s="303"/>
      <c r="Q148" s="265"/>
      <c r="R148" s="265"/>
      <c r="S148" s="265"/>
      <c r="T148" s="284"/>
      <c r="U148" s="265"/>
      <c r="V148" s="265"/>
      <c r="W148" s="265"/>
    </row>
    <row r="149" spans="1:23" ht="30" customHeight="1">
      <c r="A149" s="260"/>
      <c r="B149" s="200"/>
      <c r="C149" s="200"/>
      <c r="D149" s="200"/>
      <c r="E149" s="299"/>
      <c r="F149" s="209"/>
      <c r="G149" s="209"/>
      <c r="H149" s="209"/>
      <c r="I149" s="201"/>
      <c r="J149" s="201"/>
      <c r="K149" s="201"/>
      <c r="L149" s="201"/>
      <c r="M149" s="201"/>
      <c r="N149" s="201"/>
      <c r="O149" s="262"/>
      <c r="P149" s="291"/>
      <c r="Q149" s="265"/>
      <c r="R149" s="265"/>
      <c r="S149" s="265"/>
      <c r="T149" s="284"/>
      <c r="U149" s="265"/>
      <c r="V149" s="265"/>
      <c r="W149" s="265"/>
    </row>
    <row r="150" spans="1:23" ht="30" customHeight="1">
      <c r="A150" s="204"/>
      <c r="B150" s="202"/>
      <c r="C150" s="202"/>
      <c r="D150" s="202"/>
      <c r="E150" s="300"/>
      <c r="F150" s="210"/>
      <c r="G150" s="210"/>
      <c r="H150" s="210"/>
      <c r="I150" s="203"/>
      <c r="J150" s="203"/>
      <c r="K150" s="203"/>
      <c r="L150" s="203"/>
      <c r="M150" s="203"/>
      <c r="N150" s="203"/>
      <c r="O150" s="205"/>
      <c r="P150" s="291"/>
      <c r="Q150" s="265"/>
      <c r="R150" s="265"/>
      <c r="S150" s="265"/>
      <c r="T150" s="265"/>
    </row>
    <row r="151" spans="1:23" ht="30" customHeight="1">
      <c r="A151" s="204"/>
      <c r="B151" s="202"/>
      <c r="C151" s="202"/>
      <c r="D151" s="202"/>
      <c r="E151" s="300"/>
      <c r="F151" s="210"/>
      <c r="G151" s="210"/>
      <c r="H151" s="210"/>
      <c r="I151" s="203"/>
      <c r="J151" s="203"/>
      <c r="K151" s="203"/>
      <c r="L151" s="203"/>
      <c r="M151" s="203"/>
      <c r="N151" s="203"/>
      <c r="O151" s="205"/>
      <c r="P151" s="291"/>
      <c r="Q151" s="265"/>
      <c r="R151" s="265"/>
      <c r="S151" s="265"/>
      <c r="T151" s="265"/>
    </row>
    <row r="152" spans="1:23" ht="30" customHeight="1">
      <c r="A152" s="204"/>
      <c r="B152" s="202"/>
      <c r="C152" s="202"/>
      <c r="D152" s="202"/>
      <c r="E152" s="300"/>
      <c r="F152" s="210"/>
      <c r="G152" s="210"/>
      <c r="H152" s="210"/>
      <c r="I152" s="203"/>
      <c r="J152" s="203"/>
      <c r="K152" s="203"/>
      <c r="L152" s="203"/>
      <c r="M152" s="203"/>
      <c r="N152" s="203"/>
      <c r="O152" s="205"/>
      <c r="P152" s="291"/>
      <c r="Q152" s="265"/>
      <c r="R152" s="265"/>
      <c r="S152" s="265"/>
      <c r="T152" s="265"/>
    </row>
    <row r="153" spans="1:23" ht="30" customHeight="1">
      <c r="A153" s="204"/>
      <c r="B153" s="202"/>
      <c r="C153" s="202"/>
      <c r="D153" s="202"/>
      <c r="E153" s="300"/>
      <c r="F153" s="210"/>
      <c r="G153" s="210"/>
      <c r="H153" s="210"/>
      <c r="I153" s="203"/>
      <c r="J153" s="203"/>
      <c r="K153" s="203"/>
      <c r="L153" s="203"/>
      <c r="M153" s="203"/>
      <c r="N153" s="203"/>
      <c r="O153" s="205"/>
      <c r="P153" s="291"/>
      <c r="Q153" s="265"/>
      <c r="R153" s="265"/>
      <c r="S153" s="265"/>
      <c r="T153" s="265"/>
    </row>
    <row r="154" spans="1:23" ht="30" customHeight="1">
      <c r="A154" s="204"/>
      <c r="B154" s="202"/>
      <c r="C154" s="202"/>
      <c r="D154" s="202"/>
      <c r="E154" s="300"/>
      <c r="F154" s="210"/>
      <c r="G154" s="210"/>
      <c r="H154" s="210"/>
      <c r="I154" s="203"/>
      <c r="J154" s="203"/>
      <c r="K154" s="203"/>
      <c r="L154" s="203"/>
      <c r="M154" s="203"/>
      <c r="N154" s="203"/>
      <c r="O154" s="205"/>
      <c r="P154" s="291"/>
      <c r="Q154" s="265"/>
      <c r="R154" s="265"/>
      <c r="S154" s="265"/>
      <c r="T154" s="265"/>
    </row>
    <row r="155" spans="1:23" ht="30" customHeight="1">
      <c r="A155" s="204"/>
      <c r="B155" s="202"/>
      <c r="C155" s="202"/>
      <c r="D155" s="202"/>
      <c r="E155" s="300"/>
      <c r="F155" s="210"/>
      <c r="G155" s="210"/>
      <c r="H155" s="210"/>
      <c r="I155" s="203"/>
      <c r="J155" s="203"/>
      <c r="K155" s="203"/>
      <c r="L155" s="203"/>
      <c r="M155" s="203"/>
      <c r="N155" s="203"/>
      <c r="O155" s="205"/>
      <c r="P155" s="291"/>
      <c r="Q155" s="265"/>
      <c r="R155" s="265"/>
      <c r="S155" s="265"/>
      <c r="T155" s="265"/>
    </row>
    <row r="156" spans="1:23" ht="30" customHeight="1">
      <c r="A156" s="204"/>
      <c r="B156" s="202"/>
      <c r="C156" s="202"/>
      <c r="D156" s="202"/>
      <c r="E156" s="300"/>
      <c r="F156" s="210"/>
      <c r="G156" s="210"/>
      <c r="H156" s="210"/>
      <c r="I156" s="203"/>
      <c r="J156" s="203"/>
      <c r="K156" s="203"/>
      <c r="L156" s="203"/>
      <c r="M156" s="203"/>
      <c r="N156" s="203"/>
      <c r="O156" s="205"/>
      <c r="P156" s="291"/>
      <c r="Q156" s="265"/>
      <c r="R156" s="265"/>
      <c r="S156" s="265"/>
      <c r="T156" s="265"/>
    </row>
    <row r="157" spans="1:23" ht="30" customHeight="1">
      <c r="A157" s="204"/>
      <c r="B157" s="202"/>
      <c r="C157" s="202"/>
      <c r="D157" s="202"/>
      <c r="E157" s="300"/>
      <c r="F157" s="210"/>
      <c r="G157" s="210"/>
      <c r="H157" s="210"/>
      <c r="I157" s="203"/>
      <c r="J157" s="203"/>
      <c r="K157" s="203"/>
      <c r="L157" s="203"/>
      <c r="M157" s="203"/>
      <c r="N157" s="203"/>
      <c r="O157" s="205"/>
      <c r="P157" s="291"/>
      <c r="Q157" s="265"/>
      <c r="R157" s="265"/>
      <c r="S157" s="265"/>
      <c r="T157" s="265"/>
    </row>
    <row r="158" spans="1:23" ht="30" customHeight="1">
      <c r="A158" s="204"/>
      <c r="B158" s="202"/>
      <c r="C158" s="202"/>
      <c r="D158" s="202"/>
      <c r="E158" s="300"/>
      <c r="F158" s="210"/>
      <c r="G158" s="210"/>
      <c r="H158" s="210"/>
      <c r="I158" s="203"/>
      <c r="J158" s="203"/>
      <c r="K158" s="203"/>
      <c r="L158" s="203"/>
      <c r="M158" s="203"/>
      <c r="N158" s="203"/>
      <c r="O158" s="205"/>
      <c r="P158" s="291"/>
      <c r="Q158" s="265"/>
      <c r="R158" s="265"/>
      <c r="S158" s="265"/>
      <c r="T158" s="265"/>
    </row>
    <row r="159" spans="1:23" ht="30" customHeight="1">
      <c r="A159" s="204"/>
      <c r="B159" s="202"/>
      <c r="C159" s="202"/>
      <c r="D159" s="202"/>
      <c r="E159" s="300"/>
      <c r="F159" s="210"/>
      <c r="G159" s="210"/>
      <c r="H159" s="210"/>
      <c r="I159" s="203"/>
      <c r="J159" s="203"/>
      <c r="K159" s="203"/>
      <c r="L159" s="203"/>
      <c r="M159" s="203"/>
      <c r="N159" s="203"/>
      <c r="O159" s="205"/>
      <c r="P159" s="291"/>
      <c r="Q159" s="265"/>
      <c r="R159" s="265"/>
      <c r="S159" s="265"/>
      <c r="T159" s="265"/>
    </row>
    <row r="160" spans="1:23" ht="30" customHeight="1">
      <c r="A160" s="204"/>
      <c r="B160" s="202"/>
      <c r="C160" s="202"/>
      <c r="D160" s="202"/>
      <c r="E160" s="300"/>
      <c r="F160" s="210"/>
      <c r="G160" s="210"/>
      <c r="H160" s="210"/>
      <c r="I160" s="203"/>
      <c r="J160" s="203"/>
      <c r="K160" s="203"/>
      <c r="L160" s="203"/>
      <c r="M160" s="203"/>
      <c r="N160" s="203"/>
      <c r="O160" s="205"/>
      <c r="P160" s="291"/>
      <c r="Q160" s="265"/>
      <c r="R160" s="265"/>
      <c r="S160" s="265"/>
      <c r="T160" s="265"/>
    </row>
    <row r="161" spans="1:23" ht="30" customHeight="1">
      <c r="A161" s="204"/>
      <c r="B161" s="202"/>
      <c r="C161" s="202"/>
      <c r="D161" s="202"/>
      <c r="E161" s="300"/>
      <c r="F161" s="210"/>
      <c r="G161" s="210"/>
      <c r="H161" s="210"/>
      <c r="I161" s="203"/>
      <c r="J161" s="203"/>
      <c r="K161" s="203"/>
      <c r="L161" s="203"/>
      <c r="M161" s="203"/>
      <c r="N161" s="203"/>
      <c r="O161" s="205"/>
      <c r="P161" s="291"/>
      <c r="Q161" s="265"/>
      <c r="R161" s="265"/>
      <c r="S161" s="265"/>
      <c r="T161" s="265"/>
    </row>
    <row r="162" spans="1:23" ht="30" customHeight="1">
      <c r="A162" s="204"/>
      <c r="B162" s="202"/>
      <c r="C162" s="202"/>
      <c r="D162" s="202"/>
      <c r="E162" s="300"/>
      <c r="F162" s="210"/>
      <c r="G162" s="210"/>
      <c r="H162" s="210"/>
      <c r="I162" s="203"/>
      <c r="J162" s="203"/>
      <c r="K162" s="203"/>
      <c r="L162" s="203"/>
      <c r="M162" s="203"/>
      <c r="N162" s="203"/>
      <c r="O162" s="205"/>
      <c r="P162" s="291"/>
      <c r="Q162" s="265"/>
      <c r="R162" s="265"/>
      <c r="S162" s="265"/>
      <c r="T162" s="265"/>
    </row>
    <row r="163" spans="1:23" ht="30" customHeight="1">
      <c r="A163" s="204"/>
      <c r="B163" s="202"/>
      <c r="C163" s="202"/>
      <c r="D163" s="202"/>
      <c r="E163" s="300"/>
      <c r="F163" s="210"/>
      <c r="G163" s="210"/>
      <c r="H163" s="210"/>
      <c r="I163" s="203"/>
      <c r="J163" s="203"/>
      <c r="K163" s="203"/>
      <c r="L163" s="203"/>
      <c r="M163" s="203"/>
      <c r="N163" s="203"/>
      <c r="O163" s="205"/>
      <c r="P163" s="291"/>
      <c r="Q163" s="265"/>
      <c r="R163" s="265"/>
      <c r="S163" s="265"/>
      <c r="T163" s="265"/>
    </row>
    <row r="164" spans="1:23" ht="30" customHeight="1">
      <c r="A164" s="204"/>
      <c r="B164" s="202"/>
      <c r="C164" s="202"/>
      <c r="D164" s="202"/>
      <c r="E164" s="300"/>
      <c r="F164" s="210"/>
      <c r="G164" s="210"/>
      <c r="H164" s="210"/>
      <c r="I164" s="203"/>
      <c r="J164" s="203"/>
      <c r="K164" s="203"/>
      <c r="L164" s="203"/>
      <c r="M164" s="203"/>
      <c r="N164" s="203"/>
      <c r="O164" s="205"/>
      <c r="P164" s="291"/>
      <c r="Q164" s="265"/>
      <c r="R164" s="265"/>
      <c r="S164" s="265"/>
      <c r="T164" s="265"/>
    </row>
    <row r="165" spans="1:23" ht="30" customHeight="1">
      <c r="A165" s="204"/>
      <c r="B165" s="202"/>
      <c r="C165" s="202"/>
      <c r="D165" s="202"/>
      <c r="E165" s="300"/>
      <c r="F165" s="210"/>
      <c r="G165" s="210"/>
      <c r="H165" s="210"/>
      <c r="I165" s="203"/>
      <c r="J165" s="203"/>
      <c r="K165" s="203"/>
      <c r="L165" s="203"/>
      <c r="M165" s="203"/>
      <c r="N165" s="203"/>
      <c r="O165" s="205"/>
      <c r="P165" s="291"/>
      <c r="Q165" s="265"/>
      <c r="R165" s="265"/>
      <c r="S165" s="265"/>
      <c r="T165" s="267"/>
    </row>
    <row r="166" spans="1:23" ht="30" customHeight="1">
      <c r="A166" s="204"/>
      <c r="B166" s="202"/>
      <c r="C166" s="202"/>
      <c r="D166" s="202"/>
      <c r="E166" s="300"/>
      <c r="F166" s="210"/>
      <c r="G166" s="210"/>
      <c r="H166" s="210"/>
      <c r="I166" s="203"/>
      <c r="J166" s="203"/>
      <c r="K166" s="203"/>
      <c r="L166" s="203"/>
      <c r="M166" s="203"/>
      <c r="N166" s="203"/>
      <c r="O166" s="205"/>
      <c r="P166" s="291"/>
      <c r="Q166" s="265"/>
      <c r="R166" s="265"/>
      <c r="S166" s="265"/>
      <c r="T166" s="267"/>
    </row>
    <row r="167" spans="1:23" ht="30" customHeight="1">
      <c r="A167" s="204"/>
      <c r="B167" s="202"/>
      <c r="C167" s="202"/>
      <c r="D167" s="202"/>
      <c r="E167" s="300"/>
      <c r="F167" s="210"/>
      <c r="G167" s="210"/>
      <c r="H167" s="210"/>
      <c r="I167" s="203"/>
      <c r="J167" s="203"/>
      <c r="K167" s="203"/>
      <c r="L167" s="203"/>
      <c r="M167" s="203"/>
      <c r="N167" s="203"/>
      <c r="O167" s="205"/>
      <c r="P167" s="291"/>
      <c r="Q167" s="265"/>
      <c r="R167" s="265"/>
      <c r="S167" s="265"/>
      <c r="T167" s="267"/>
    </row>
    <row r="168" spans="1:23" ht="30" customHeight="1">
      <c r="A168" s="204"/>
      <c r="B168" s="202"/>
      <c r="C168" s="202"/>
      <c r="D168" s="202"/>
      <c r="E168" s="300"/>
      <c r="F168" s="210"/>
      <c r="G168" s="210"/>
      <c r="H168" s="210"/>
      <c r="I168" s="203"/>
      <c r="J168" s="203"/>
      <c r="K168" s="203"/>
      <c r="L168" s="203"/>
      <c r="M168" s="203"/>
      <c r="N168" s="203"/>
      <c r="O168" s="205"/>
      <c r="P168" s="291"/>
      <c r="Q168" s="265"/>
      <c r="R168" s="265"/>
      <c r="S168" s="265"/>
      <c r="T168" s="267"/>
    </row>
    <row r="169" spans="1:23" ht="30" customHeight="1">
      <c r="A169" s="304"/>
      <c r="B169" s="296"/>
      <c r="C169" s="305"/>
      <c r="D169" s="306"/>
      <c r="E169" s="297"/>
      <c r="F169" s="298"/>
      <c r="G169" s="298"/>
      <c r="H169" s="298"/>
      <c r="I169" s="282"/>
      <c r="J169" s="282"/>
      <c r="K169" s="282"/>
      <c r="L169" s="282"/>
      <c r="M169" s="282"/>
      <c r="N169" s="282"/>
      <c r="O169" s="283"/>
      <c r="P169" s="303"/>
      <c r="Q169" s="265"/>
      <c r="R169" s="265"/>
      <c r="S169" s="265"/>
      <c r="T169" s="284"/>
      <c r="U169" s="265"/>
      <c r="V169" s="265"/>
      <c r="W169" s="265"/>
    </row>
    <row r="170" spans="1:23" ht="30" customHeight="1">
      <c r="A170" s="260"/>
      <c r="B170" s="200"/>
      <c r="C170" s="200"/>
      <c r="D170" s="200"/>
      <c r="E170" s="299"/>
      <c r="F170" s="209"/>
      <c r="G170" s="209"/>
      <c r="H170" s="209"/>
      <c r="I170" s="201"/>
      <c r="J170" s="201"/>
      <c r="K170" s="201"/>
      <c r="L170" s="201"/>
      <c r="M170" s="201"/>
      <c r="N170" s="201"/>
      <c r="O170" s="262"/>
      <c r="P170" s="291"/>
      <c r="Q170" s="265"/>
      <c r="R170" s="265"/>
      <c r="S170" s="265"/>
      <c r="T170" s="284"/>
      <c r="U170" s="265"/>
      <c r="V170" s="265"/>
      <c r="W170" s="265"/>
    </row>
    <row r="171" spans="1:23" ht="30" customHeight="1">
      <c r="A171" s="204"/>
      <c r="B171" s="202"/>
      <c r="C171" s="202"/>
      <c r="D171" s="202"/>
      <c r="E171" s="300"/>
      <c r="F171" s="210"/>
      <c r="G171" s="210"/>
      <c r="H171" s="210"/>
      <c r="I171" s="203"/>
      <c r="J171" s="203"/>
      <c r="K171" s="203"/>
      <c r="L171" s="203"/>
      <c r="M171" s="203"/>
      <c r="N171" s="203"/>
      <c r="O171" s="205"/>
      <c r="P171" s="291"/>
      <c r="Q171" s="265"/>
      <c r="R171" s="265"/>
      <c r="S171" s="265"/>
      <c r="T171" s="265"/>
    </row>
    <row r="172" spans="1:23" ht="30" customHeight="1">
      <c r="A172" s="204"/>
      <c r="B172" s="202"/>
      <c r="C172" s="202"/>
      <c r="D172" s="202"/>
      <c r="E172" s="300"/>
      <c r="F172" s="210"/>
      <c r="G172" s="210"/>
      <c r="H172" s="210"/>
      <c r="I172" s="203"/>
      <c r="J172" s="203"/>
      <c r="K172" s="203"/>
      <c r="L172" s="203"/>
      <c r="M172" s="203"/>
      <c r="N172" s="203"/>
      <c r="O172" s="205"/>
      <c r="P172" s="291"/>
      <c r="Q172" s="265"/>
      <c r="R172" s="265"/>
      <c r="S172" s="265"/>
      <c r="T172" s="265"/>
    </row>
    <row r="173" spans="1:23" ht="30" customHeight="1">
      <c r="A173" s="204"/>
      <c r="B173" s="202"/>
      <c r="C173" s="202"/>
      <c r="D173" s="202"/>
      <c r="E173" s="300"/>
      <c r="F173" s="210"/>
      <c r="G173" s="210"/>
      <c r="H173" s="210"/>
      <c r="I173" s="203"/>
      <c r="J173" s="203"/>
      <c r="K173" s="203"/>
      <c r="L173" s="203"/>
      <c r="M173" s="203"/>
      <c r="N173" s="203"/>
      <c r="O173" s="205"/>
      <c r="P173" s="291"/>
      <c r="Q173" s="265"/>
      <c r="R173" s="265"/>
      <c r="S173" s="265"/>
      <c r="T173" s="265"/>
    </row>
    <row r="174" spans="1:23" ht="30" customHeight="1">
      <c r="A174" s="204"/>
      <c r="B174" s="202"/>
      <c r="C174" s="202"/>
      <c r="D174" s="202"/>
      <c r="E174" s="300"/>
      <c r="F174" s="210"/>
      <c r="G174" s="210"/>
      <c r="H174" s="210"/>
      <c r="I174" s="203"/>
      <c r="J174" s="203"/>
      <c r="K174" s="203"/>
      <c r="L174" s="203"/>
      <c r="M174" s="203"/>
      <c r="N174" s="203"/>
      <c r="O174" s="205"/>
      <c r="P174" s="291"/>
      <c r="Q174" s="265"/>
      <c r="R174" s="265"/>
      <c r="S174" s="265"/>
      <c r="T174" s="265"/>
    </row>
    <row r="175" spans="1:23" ht="30" customHeight="1">
      <c r="A175" s="204"/>
      <c r="B175" s="202"/>
      <c r="C175" s="202"/>
      <c r="D175" s="202"/>
      <c r="E175" s="300"/>
      <c r="F175" s="210"/>
      <c r="G175" s="210"/>
      <c r="H175" s="210"/>
      <c r="I175" s="203"/>
      <c r="J175" s="203"/>
      <c r="K175" s="203"/>
      <c r="L175" s="203"/>
      <c r="M175" s="203"/>
      <c r="N175" s="203"/>
      <c r="O175" s="205"/>
      <c r="P175" s="291"/>
      <c r="Q175" s="265"/>
      <c r="R175" s="265"/>
      <c r="S175" s="265"/>
      <c r="T175" s="265"/>
    </row>
    <row r="176" spans="1:23" ht="30" customHeight="1">
      <c r="A176" s="204"/>
      <c r="B176" s="202"/>
      <c r="C176" s="202"/>
      <c r="D176" s="202"/>
      <c r="E176" s="300"/>
      <c r="F176" s="210"/>
      <c r="G176" s="210"/>
      <c r="H176" s="210"/>
      <c r="I176" s="203"/>
      <c r="J176" s="203"/>
      <c r="K176" s="203"/>
      <c r="L176" s="203"/>
      <c r="M176" s="203"/>
      <c r="N176" s="203"/>
      <c r="O176" s="205"/>
      <c r="P176" s="291"/>
      <c r="Q176" s="265"/>
      <c r="R176" s="265"/>
      <c r="S176" s="265"/>
      <c r="T176" s="265"/>
    </row>
    <row r="177" spans="1:23" ht="30" customHeight="1">
      <c r="A177" s="204"/>
      <c r="B177" s="202"/>
      <c r="C177" s="202"/>
      <c r="D177" s="202"/>
      <c r="E177" s="300"/>
      <c r="F177" s="210"/>
      <c r="G177" s="210"/>
      <c r="H177" s="210"/>
      <c r="I177" s="203"/>
      <c r="J177" s="203"/>
      <c r="K177" s="203"/>
      <c r="L177" s="203"/>
      <c r="M177" s="203"/>
      <c r="N177" s="203"/>
      <c r="O177" s="205"/>
      <c r="P177" s="291"/>
      <c r="Q177" s="265"/>
      <c r="R177" s="265"/>
      <c r="S177" s="265"/>
      <c r="T177" s="265"/>
    </row>
    <row r="178" spans="1:23" ht="30" customHeight="1">
      <c r="A178" s="204"/>
      <c r="B178" s="202"/>
      <c r="C178" s="202"/>
      <c r="D178" s="202"/>
      <c r="E178" s="300"/>
      <c r="F178" s="210"/>
      <c r="G178" s="210"/>
      <c r="H178" s="210"/>
      <c r="I178" s="203"/>
      <c r="J178" s="203"/>
      <c r="K178" s="203"/>
      <c r="L178" s="203"/>
      <c r="M178" s="203"/>
      <c r="N178" s="203"/>
      <c r="O178" s="205"/>
      <c r="P178" s="291"/>
      <c r="Q178" s="265"/>
      <c r="R178" s="265"/>
      <c r="S178" s="265"/>
      <c r="T178" s="265"/>
    </row>
    <row r="179" spans="1:23" ht="30" customHeight="1">
      <c r="A179" s="204"/>
      <c r="B179" s="202"/>
      <c r="C179" s="202"/>
      <c r="D179" s="202"/>
      <c r="E179" s="300"/>
      <c r="F179" s="210"/>
      <c r="G179" s="210"/>
      <c r="H179" s="210"/>
      <c r="I179" s="203"/>
      <c r="J179" s="203"/>
      <c r="K179" s="203"/>
      <c r="L179" s="203"/>
      <c r="M179" s="203"/>
      <c r="N179" s="203"/>
      <c r="O179" s="205"/>
      <c r="P179" s="291"/>
      <c r="Q179" s="265"/>
      <c r="R179" s="265"/>
      <c r="S179" s="265"/>
      <c r="T179" s="265"/>
    </row>
    <row r="180" spans="1:23" ht="30" customHeight="1">
      <c r="A180" s="204"/>
      <c r="B180" s="202"/>
      <c r="C180" s="202"/>
      <c r="D180" s="202"/>
      <c r="E180" s="300"/>
      <c r="F180" s="210"/>
      <c r="G180" s="210"/>
      <c r="H180" s="210"/>
      <c r="I180" s="203"/>
      <c r="J180" s="203"/>
      <c r="K180" s="203"/>
      <c r="L180" s="203"/>
      <c r="M180" s="203"/>
      <c r="N180" s="203"/>
      <c r="O180" s="205"/>
      <c r="P180" s="291"/>
      <c r="Q180" s="265"/>
      <c r="R180" s="265"/>
      <c r="S180" s="265"/>
      <c r="T180" s="265"/>
    </row>
    <row r="181" spans="1:23" ht="30" customHeight="1">
      <c r="A181" s="204"/>
      <c r="B181" s="202"/>
      <c r="C181" s="202"/>
      <c r="D181" s="202"/>
      <c r="E181" s="300"/>
      <c r="F181" s="210"/>
      <c r="G181" s="210"/>
      <c r="H181" s="210"/>
      <c r="I181" s="203"/>
      <c r="J181" s="203"/>
      <c r="K181" s="203"/>
      <c r="L181" s="203"/>
      <c r="M181" s="203"/>
      <c r="N181" s="203"/>
      <c r="O181" s="205"/>
      <c r="P181" s="291"/>
      <c r="Q181" s="265"/>
      <c r="R181" s="265"/>
      <c r="S181" s="265"/>
      <c r="T181" s="265"/>
    </row>
    <row r="182" spans="1:23" ht="30" customHeight="1">
      <c r="A182" s="204"/>
      <c r="B182" s="202"/>
      <c r="C182" s="202"/>
      <c r="D182" s="202"/>
      <c r="E182" s="300"/>
      <c r="F182" s="210"/>
      <c r="G182" s="210"/>
      <c r="H182" s="210"/>
      <c r="I182" s="203"/>
      <c r="J182" s="203"/>
      <c r="K182" s="203"/>
      <c r="L182" s="203"/>
      <c r="M182" s="203"/>
      <c r="N182" s="203"/>
      <c r="O182" s="205"/>
      <c r="P182" s="291"/>
      <c r="Q182" s="265"/>
      <c r="R182" s="265"/>
      <c r="S182" s="265"/>
      <c r="T182" s="265"/>
    </row>
    <row r="183" spans="1:23" ht="30" customHeight="1">
      <c r="A183" s="204"/>
      <c r="B183" s="202"/>
      <c r="C183" s="202"/>
      <c r="D183" s="202"/>
      <c r="E183" s="300"/>
      <c r="F183" s="210"/>
      <c r="G183" s="210"/>
      <c r="H183" s="210"/>
      <c r="I183" s="203"/>
      <c r="J183" s="203"/>
      <c r="K183" s="203"/>
      <c r="L183" s="203"/>
      <c r="M183" s="203"/>
      <c r="N183" s="203"/>
      <c r="O183" s="205"/>
      <c r="P183" s="291"/>
      <c r="Q183" s="265"/>
      <c r="R183" s="265"/>
      <c r="S183" s="265"/>
      <c r="T183" s="265"/>
    </row>
    <row r="184" spans="1:23" ht="30" customHeight="1">
      <c r="A184" s="204"/>
      <c r="B184" s="202"/>
      <c r="C184" s="202"/>
      <c r="D184" s="202"/>
      <c r="E184" s="300"/>
      <c r="F184" s="210"/>
      <c r="G184" s="210"/>
      <c r="H184" s="210"/>
      <c r="I184" s="203"/>
      <c r="J184" s="203"/>
      <c r="K184" s="203"/>
      <c r="L184" s="203"/>
      <c r="M184" s="203"/>
      <c r="N184" s="203"/>
      <c r="O184" s="205"/>
      <c r="P184" s="291"/>
      <c r="Q184" s="265"/>
      <c r="R184" s="265"/>
      <c r="S184" s="265"/>
      <c r="T184" s="265"/>
    </row>
    <row r="185" spans="1:23" ht="30" customHeight="1">
      <c r="A185" s="204"/>
      <c r="B185" s="202"/>
      <c r="C185" s="202"/>
      <c r="D185" s="202"/>
      <c r="E185" s="300"/>
      <c r="F185" s="210"/>
      <c r="G185" s="210"/>
      <c r="H185" s="210"/>
      <c r="I185" s="203"/>
      <c r="J185" s="203"/>
      <c r="K185" s="203"/>
      <c r="L185" s="203"/>
      <c r="M185" s="203"/>
      <c r="N185" s="203"/>
      <c r="O185" s="205"/>
      <c r="P185" s="291"/>
      <c r="Q185" s="265"/>
      <c r="R185" s="265"/>
      <c r="S185" s="265"/>
      <c r="T185" s="265"/>
    </row>
    <row r="186" spans="1:23" ht="30" customHeight="1">
      <c r="A186" s="204"/>
      <c r="B186" s="202"/>
      <c r="C186" s="202"/>
      <c r="D186" s="202"/>
      <c r="E186" s="300"/>
      <c r="F186" s="210"/>
      <c r="G186" s="210"/>
      <c r="H186" s="210"/>
      <c r="I186" s="203"/>
      <c r="J186" s="203"/>
      <c r="K186" s="203"/>
      <c r="L186" s="203"/>
      <c r="M186" s="203"/>
      <c r="N186" s="203"/>
      <c r="O186" s="205"/>
      <c r="P186" s="291"/>
      <c r="Q186" s="265"/>
      <c r="R186" s="265"/>
      <c r="S186" s="265"/>
      <c r="T186" s="267"/>
    </row>
    <row r="187" spans="1:23" ht="30" customHeight="1">
      <c r="A187" s="204"/>
      <c r="B187" s="202"/>
      <c r="C187" s="202"/>
      <c r="D187" s="202"/>
      <c r="E187" s="300"/>
      <c r="F187" s="210"/>
      <c r="G187" s="210"/>
      <c r="H187" s="210"/>
      <c r="I187" s="203"/>
      <c r="J187" s="203"/>
      <c r="K187" s="203"/>
      <c r="L187" s="203"/>
      <c r="M187" s="203"/>
      <c r="N187" s="203"/>
      <c r="O187" s="205"/>
      <c r="P187" s="291"/>
      <c r="Q187" s="265"/>
      <c r="R187" s="265"/>
      <c r="S187" s="265"/>
      <c r="T187" s="267"/>
    </row>
    <row r="188" spans="1:23" ht="30" customHeight="1">
      <c r="A188" s="204"/>
      <c r="B188" s="202"/>
      <c r="C188" s="202"/>
      <c r="D188" s="202"/>
      <c r="E188" s="300"/>
      <c r="F188" s="210"/>
      <c r="G188" s="210"/>
      <c r="H188" s="210"/>
      <c r="I188" s="203"/>
      <c r="J188" s="203"/>
      <c r="K188" s="203"/>
      <c r="L188" s="203"/>
      <c r="M188" s="203"/>
      <c r="N188" s="203"/>
      <c r="O188" s="205"/>
      <c r="P188" s="291"/>
      <c r="Q188" s="265"/>
      <c r="R188" s="265"/>
      <c r="S188" s="265"/>
      <c r="T188" s="267"/>
    </row>
    <row r="189" spans="1:23" ht="30" customHeight="1">
      <c r="A189" s="204"/>
      <c r="B189" s="202"/>
      <c r="C189" s="202"/>
      <c r="D189" s="202"/>
      <c r="E189" s="300"/>
      <c r="F189" s="210"/>
      <c r="G189" s="210"/>
      <c r="H189" s="210"/>
      <c r="I189" s="203"/>
      <c r="J189" s="203"/>
      <c r="K189" s="203"/>
      <c r="L189" s="203"/>
      <c r="M189" s="203"/>
      <c r="N189" s="203"/>
      <c r="O189" s="205"/>
      <c r="P189" s="291"/>
      <c r="Q189" s="265"/>
      <c r="R189" s="265"/>
      <c r="S189" s="265"/>
      <c r="T189" s="267"/>
    </row>
    <row r="190" spans="1:23" ht="30" customHeight="1">
      <c r="A190" s="304"/>
      <c r="B190" s="296"/>
      <c r="C190" s="305"/>
      <c r="D190" s="306"/>
      <c r="E190" s="297"/>
      <c r="F190" s="298"/>
      <c r="G190" s="298"/>
      <c r="H190" s="298"/>
      <c r="I190" s="282"/>
      <c r="J190" s="282"/>
      <c r="K190" s="282"/>
      <c r="L190" s="282"/>
      <c r="M190" s="282"/>
      <c r="N190" s="282"/>
      <c r="O190" s="283"/>
      <c r="P190" s="303"/>
      <c r="Q190" s="265"/>
      <c r="R190" s="265"/>
      <c r="S190" s="265"/>
      <c r="T190" s="284"/>
      <c r="U190" s="265"/>
      <c r="V190" s="265"/>
      <c r="W190" s="265"/>
    </row>
    <row r="191" spans="1:23" ht="30" customHeight="1">
      <c r="A191" s="260"/>
      <c r="B191" s="200"/>
      <c r="C191" s="200"/>
      <c r="D191" s="200"/>
      <c r="E191" s="299"/>
      <c r="F191" s="209"/>
      <c r="G191" s="209"/>
      <c r="H191" s="209"/>
      <c r="I191" s="201"/>
      <c r="J191" s="201"/>
      <c r="K191" s="201"/>
      <c r="L191" s="201"/>
      <c r="M191" s="201"/>
      <c r="N191" s="201"/>
      <c r="O191" s="262"/>
      <c r="P191" s="291"/>
      <c r="Q191" s="265"/>
      <c r="R191" s="265"/>
      <c r="S191" s="265"/>
      <c r="T191" s="284"/>
      <c r="U191" s="265"/>
      <c r="V191" s="265"/>
      <c r="W191" s="265"/>
    </row>
    <row r="192" spans="1:23" ht="30" customHeight="1">
      <c r="A192" s="204"/>
      <c r="B192" s="202"/>
      <c r="C192" s="202"/>
      <c r="D192" s="202"/>
      <c r="E192" s="300"/>
      <c r="F192" s="210"/>
      <c r="G192" s="210"/>
      <c r="H192" s="210"/>
      <c r="I192" s="203"/>
      <c r="J192" s="203"/>
      <c r="K192" s="203"/>
      <c r="L192" s="203"/>
      <c r="M192" s="203"/>
      <c r="N192" s="203"/>
      <c r="O192" s="205"/>
      <c r="P192" s="291"/>
      <c r="Q192" s="265"/>
      <c r="R192" s="265"/>
      <c r="S192" s="265"/>
      <c r="T192" s="265"/>
    </row>
    <row r="193" spans="1:20" ht="30" customHeight="1">
      <c r="A193" s="204"/>
      <c r="B193" s="202"/>
      <c r="C193" s="202"/>
      <c r="D193" s="202"/>
      <c r="E193" s="300"/>
      <c r="F193" s="210"/>
      <c r="G193" s="210"/>
      <c r="H193" s="210"/>
      <c r="I193" s="203"/>
      <c r="J193" s="203"/>
      <c r="K193" s="203"/>
      <c r="L193" s="203"/>
      <c r="M193" s="203"/>
      <c r="N193" s="203"/>
      <c r="O193" s="205"/>
      <c r="P193" s="291"/>
      <c r="Q193" s="265"/>
      <c r="R193" s="265"/>
      <c r="S193" s="265"/>
      <c r="T193" s="265"/>
    </row>
    <row r="194" spans="1:20" ht="30" customHeight="1">
      <c r="A194" s="204"/>
      <c r="B194" s="202"/>
      <c r="C194" s="202"/>
      <c r="D194" s="202"/>
      <c r="E194" s="300"/>
      <c r="F194" s="210"/>
      <c r="G194" s="210"/>
      <c r="H194" s="210"/>
      <c r="I194" s="203"/>
      <c r="J194" s="203"/>
      <c r="K194" s="203"/>
      <c r="L194" s="203"/>
      <c r="M194" s="203"/>
      <c r="N194" s="203"/>
      <c r="O194" s="205"/>
      <c r="P194" s="291"/>
      <c r="Q194" s="265"/>
      <c r="R194" s="265"/>
      <c r="S194" s="265"/>
      <c r="T194" s="265"/>
    </row>
    <row r="195" spans="1:20" ht="30" customHeight="1">
      <c r="A195" s="204"/>
      <c r="B195" s="202"/>
      <c r="C195" s="202"/>
      <c r="D195" s="202"/>
      <c r="E195" s="300"/>
      <c r="F195" s="210"/>
      <c r="G195" s="210"/>
      <c r="H195" s="210"/>
      <c r="I195" s="203"/>
      <c r="J195" s="203"/>
      <c r="K195" s="203"/>
      <c r="L195" s="203"/>
      <c r="M195" s="203"/>
      <c r="N195" s="203"/>
      <c r="O195" s="205"/>
      <c r="P195" s="291"/>
      <c r="Q195" s="265"/>
      <c r="R195" s="265"/>
      <c r="S195" s="265"/>
      <c r="T195" s="265"/>
    </row>
    <row r="196" spans="1:20" ht="30" customHeight="1">
      <c r="A196" s="204"/>
      <c r="B196" s="202"/>
      <c r="C196" s="202"/>
      <c r="D196" s="202"/>
      <c r="E196" s="300"/>
      <c r="F196" s="210"/>
      <c r="G196" s="210"/>
      <c r="H196" s="210"/>
      <c r="I196" s="203"/>
      <c r="J196" s="203"/>
      <c r="K196" s="203"/>
      <c r="L196" s="203"/>
      <c r="M196" s="203"/>
      <c r="N196" s="203"/>
      <c r="O196" s="205"/>
      <c r="P196" s="291"/>
      <c r="Q196" s="265"/>
      <c r="R196" s="265"/>
      <c r="S196" s="265"/>
      <c r="T196" s="265"/>
    </row>
    <row r="197" spans="1:20" ht="30" customHeight="1">
      <c r="A197" s="204" t="str">
        <f>IF(ISBLANK(D197)," ",113-COUNTBLANK($D$5:D197))</f>
        <v xml:space="preserve"> </v>
      </c>
      <c r="B197" s="202"/>
      <c r="C197" s="202"/>
      <c r="D197" s="202"/>
      <c r="E197" s="300"/>
      <c r="F197" s="210"/>
      <c r="G197" s="210"/>
      <c r="H197" s="210"/>
      <c r="I197" s="203"/>
      <c r="J197" s="203"/>
      <c r="K197" s="203"/>
      <c r="L197" s="203"/>
      <c r="M197" s="203"/>
      <c r="N197" s="203"/>
      <c r="O197" s="205"/>
      <c r="P197" s="291"/>
      <c r="Q197" s="265"/>
      <c r="R197" s="265"/>
      <c r="S197" s="265"/>
      <c r="T197" s="265"/>
    </row>
    <row r="198" spans="1:20" ht="30" customHeight="1">
      <c r="A198" s="204" t="str">
        <f>IF(ISBLANK(D198)," ",114-COUNTBLANK($D$5:D198))</f>
        <v xml:space="preserve"> </v>
      </c>
      <c r="B198" s="202"/>
      <c r="C198" s="202"/>
      <c r="D198" s="202"/>
      <c r="E198" s="300"/>
      <c r="F198" s="210"/>
      <c r="G198" s="210"/>
      <c r="H198" s="210"/>
      <c r="I198" s="203"/>
      <c r="J198" s="203"/>
      <c r="K198" s="203"/>
      <c r="L198" s="203"/>
      <c r="M198" s="203"/>
      <c r="N198" s="203"/>
      <c r="O198" s="205"/>
      <c r="P198" s="291"/>
      <c r="Q198" s="265"/>
      <c r="R198" s="265"/>
      <c r="S198" s="265"/>
      <c r="T198" s="265"/>
    </row>
    <row r="199" spans="1:20" ht="30" customHeight="1">
      <c r="A199" s="204" t="str">
        <f>IF(ISBLANK(D199)," ",115-COUNTBLANK($D$5:D199))</f>
        <v xml:space="preserve"> </v>
      </c>
      <c r="B199" s="202"/>
      <c r="C199" s="202"/>
      <c r="D199" s="202"/>
      <c r="E199" s="300"/>
      <c r="F199" s="210"/>
      <c r="G199" s="210"/>
      <c r="H199" s="210"/>
      <c r="I199" s="203"/>
      <c r="J199" s="203"/>
      <c r="K199" s="203"/>
      <c r="L199" s="203"/>
      <c r="M199" s="203"/>
      <c r="N199" s="203"/>
      <c r="O199" s="205"/>
      <c r="P199" s="291"/>
      <c r="Q199" s="265"/>
      <c r="R199" s="265"/>
      <c r="S199" s="265"/>
      <c r="T199" s="265"/>
    </row>
    <row r="200" spans="1:20" ht="30" customHeight="1">
      <c r="A200" s="204" t="str">
        <f>IF(ISBLANK(D200)," ",116-COUNTBLANK($D$5:D200))</f>
        <v xml:space="preserve"> </v>
      </c>
      <c r="B200" s="202"/>
      <c r="C200" s="202"/>
      <c r="D200" s="202"/>
      <c r="E200" s="300"/>
      <c r="F200" s="210"/>
      <c r="G200" s="210"/>
      <c r="H200" s="210"/>
      <c r="I200" s="203"/>
      <c r="J200" s="203"/>
      <c r="K200" s="203"/>
      <c r="L200" s="203"/>
      <c r="M200" s="203"/>
      <c r="N200" s="203"/>
      <c r="O200" s="205"/>
      <c r="P200" s="291"/>
      <c r="Q200" s="265"/>
      <c r="R200" s="265"/>
      <c r="S200" s="265"/>
      <c r="T200" s="265"/>
    </row>
    <row r="201" spans="1:20" ht="30" customHeight="1">
      <c r="A201" s="204" t="str">
        <f>IF(ISBLANK(D201)," ",117-COUNTBLANK($D$5:D201))</f>
        <v xml:space="preserve"> </v>
      </c>
      <c r="B201" s="202"/>
      <c r="C201" s="202"/>
      <c r="D201" s="202"/>
      <c r="E201" s="300"/>
      <c r="F201" s="210"/>
      <c r="G201" s="210"/>
      <c r="H201" s="210"/>
      <c r="I201" s="203"/>
      <c r="J201" s="203"/>
      <c r="K201" s="203"/>
      <c r="L201" s="203"/>
      <c r="M201" s="203"/>
      <c r="N201" s="203"/>
      <c r="O201" s="205"/>
      <c r="P201" s="291"/>
      <c r="Q201" s="265"/>
      <c r="R201" s="265"/>
      <c r="S201" s="265"/>
      <c r="T201" s="265"/>
    </row>
    <row r="202" spans="1:20" ht="30" customHeight="1">
      <c r="A202" s="204" t="str">
        <f>IF(ISBLANK(D202)," ",118-COUNTBLANK($D$5:D202))</f>
        <v xml:space="preserve"> </v>
      </c>
      <c r="B202" s="202"/>
      <c r="C202" s="202"/>
      <c r="D202" s="202"/>
      <c r="E202" s="300"/>
      <c r="F202" s="210"/>
      <c r="G202" s="210"/>
      <c r="H202" s="210"/>
      <c r="I202" s="203"/>
      <c r="J202" s="203"/>
      <c r="K202" s="203"/>
      <c r="L202" s="203"/>
      <c r="M202" s="203"/>
      <c r="N202" s="203"/>
      <c r="O202" s="205"/>
      <c r="P202" s="291"/>
      <c r="Q202" s="265"/>
      <c r="R202" s="265"/>
      <c r="S202" s="265"/>
      <c r="T202" s="265"/>
    </row>
    <row r="203" spans="1:20" ht="30" customHeight="1">
      <c r="A203" s="204" t="str">
        <f>IF(ISBLANK(D203)," ",119-COUNTBLANK($D$5:D203))</f>
        <v xml:space="preserve"> </v>
      </c>
      <c r="B203" s="202"/>
      <c r="C203" s="202"/>
      <c r="D203" s="202"/>
      <c r="E203" s="300"/>
      <c r="F203" s="210"/>
      <c r="G203" s="210"/>
      <c r="H203" s="210"/>
      <c r="I203" s="203"/>
      <c r="J203" s="203"/>
      <c r="K203" s="203"/>
      <c r="L203" s="203"/>
      <c r="M203" s="203"/>
      <c r="N203" s="203"/>
      <c r="O203" s="205"/>
      <c r="P203" s="291"/>
      <c r="Q203" s="265"/>
      <c r="R203" s="265"/>
      <c r="S203" s="265"/>
      <c r="T203" s="265"/>
    </row>
    <row r="204" spans="1:20" ht="30" customHeight="1">
      <c r="A204" s="204" t="str">
        <f>IF(ISBLANK(D204)," ",120-COUNTBLANK($D$5:D204))</f>
        <v xml:space="preserve"> </v>
      </c>
      <c r="B204" s="202"/>
      <c r="C204" s="202"/>
      <c r="D204" s="202"/>
      <c r="E204" s="300"/>
      <c r="F204" s="210"/>
      <c r="G204" s="210"/>
      <c r="H204" s="210"/>
      <c r="I204" s="203"/>
      <c r="J204" s="203"/>
      <c r="K204" s="203"/>
      <c r="L204" s="203"/>
      <c r="M204" s="203"/>
      <c r="N204" s="203"/>
      <c r="O204" s="205"/>
      <c r="P204" s="291"/>
      <c r="Q204" s="265"/>
      <c r="R204" s="265"/>
      <c r="S204" s="265"/>
      <c r="T204" s="265"/>
    </row>
    <row r="205" spans="1:20" ht="30" customHeight="1">
      <c r="A205" s="204" t="str">
        <f>IF(ISBLANK(D205)," ",121-COUNTBLANK($D$5:D205))</f>
        <v xml:space="preserve"> </v>
      </c>
      <c r="B205" s="202"/>
      <c r="C205" s="202"/>
      <c r="D205" s="202"/>
      <c r="E205" s="300"/>
      <c r="F205" s="210"/>
      <c r="G205" s="210"/>
      <c r="H205" s="210"/>
      <c r="I205" s="203"/>
      <c r="J205" s="203"/>
      <c r="K205" s="203"/>
      <c r="L205" s="203"/>
      <c r="M205" s="203"/>
      <c r="N205" s="203"/>
      <c r="O205" s="205"/>
      <c r="P205" s="291"/>
      <c r="Q205" s="265"/>
      <c r="R205" s="265"/>
      <c r="S205" s="265"/>
      <c r="T205" s="265"/>
    </row>
    <row r="206" spans="1:20" ht="30" customHeight="1">
      <c r="A206" s="204" t="str">
        <f>IF(ISBLANK(D206)," ",122-COUNTBLANK($D$5:D206))</f>
        <v xml:space="preserve"> </v>
      </c>
      <c r="B206" s="202"/>
      <c r="C206" s="202"/>
      <c r="D206" s="202"/>
      <c r="E206" s="300"/>
      <c r="F206" s="210"/>
      <c r="G206" s="210"/>
      <c r="H206" s="210"/>
      <c r="I206" s="203"/>
      <c r="J206" s="203"/>
      <c r="K206" s="203"/>
      <c r="L206" s="203"/>
      <c r="M206" s="203"/>
      <c r="N206" s="203"/>
      <c r="O206" s="205"/>
      <c r="P206" s="291"/>
      <c r="Q206" s="265"/>
      <c r="R206" s="265"/>
      <c r="S206" s="265"/>
      <c r="T206" s="265"/>
    </row>
    <row r="207" spans="1:20" ht="30" customHeight="1">
      <c r="A207" s="204" t="str">
        <f>IF(ISBLANK(D207)," ",123-COUNTBLANK($D$5:D207))</f>
        <v xml:space="preserve"> </v>
      </c>
      <c r="B207" s="202"/>
      <c r="C207" s="202"/>
      <c r="D207" s="202"/>
      <c r="E207" s="300"/>
      <c r="F207" s="210"/>
      <c r="G207" s="210"/>
      <c r="H207" s="210"/>
      <c r="I207" s="203"/>
      <c r="J207" s="203"/>
      <c r="K207" s="203"/>
      <c r="L207" s="203"/>
      <c r="M207" s="203"/>
      <c r="N207" s="203"/>
      <c r="O207" s="205"/>
      <c r="P207" s="291"/>
      <c r="Q207" s="265"/>
      <c r="R207" s="265"/>
      <c r="S207" s="265"/>
      <c r="T207" s="267"/>
    </row>
    <row r="208" spans="1:20" ht="30" customHeight="1">
      <c r="A208" s="204" t="str">
        <f>IF(ISBLANK(D208)," ",124-COUNTBLANK($D$5:D208))</f>
        <v xml:space="preserve"> </v>
      </c>
      <c r="B208" s="202"/>
      <c r="C208" s="202"/>
      <c r="D208" s="202"/>
      <c r="E208" s="300"/>
      <c r="F208" s="210"/>
      <c r="G208" s="210"/>
      <c r="H208" s="210"/>
      <c r="I208" s="203"/>
      <c r="J208" s="203"/>
      <c r="K208" s="203"/>
      <c r="L208" s="203"/>
      <c r="M208" s="203"/>
      <c r="N208" s="203"/>
      <c r="O208" s="205"/>
      <c r="P208" s="291"/>
      <c r="Q208" s="265"/>
      <c r="R208" s="265"/>
      <c r="S208" s="265"/>
      <c r="T208" s="267"/>
    </row>
    <row r="209" spans="1:23" ht="30" customHeight="1">
      <c r="A209" s="204" t="str">
        <f>IF(ISBLANK(D209)," ",125-COUNTBLANK($D$5:D209))</f>
        <v xml:space="preserve"> </v>
      </c>
      <c r="B209" s="202"/>
      <c r="C209" s="202"/>
      <c r="D209" s="202"/>
      <c r="E209" s="300"/>
      <c r="F209" s="210"/>
      <c r="G209" s="210"/>
      <c r="H209" s="210"/>
      <c r="I209" s="203"/>
      <c r="J209" s="203"/>
      <c r="K209" s="203"/>
      <c r="L209" s="203"/>
      <c r="M209" s="203"/>
      <c r="N209" s="203"/>
      <c r="O209" s="205"/>
      <c r="P209" s="291"/>
      <c r="Q209" s="265"/>
      <c r="R209" s="265"/>
      <c r="S209" s="265"/>
      <c r="T209" s="267"/>
    </row>
    <row r="210" spans="1:23" ht="30" customHeight="1">
      <c r="A210" s="204" t="s">
        <v>68</v>
      </c>
      <c r="B210" s="202"/>
      <c r="C210" s="202"/>
      <c r="D210" s="202"/>
      <c r="E210" s="300"/>
      <c r="F210" s="210">
        <f>SUM(F5:F209)</f>
        <v>248418.80000000002</v>
      </c>
      <c r="G210" s="210"/>
      <c r="H210" s="210"/>
      <c r="I210" s="203"/>
      <c r="J210" s="203"/>
      <c r="K210" s="203"/>
      <c r="L210" s="203"/>
      <c r="M210" s="203"/>
      <c r="N210" s="203"/>
      <c r="O210" s="205"/>
      <c r="P210" s="291"/>
      <c r="Q210" s="265"/>
      <c r="R210" s="265"/>
      <c r="S210" s="265"/>
      <c r="T210" s="267"/>
    </row>
    <row r="211" spans="1:23" ht="30" customHeight="1">
      <c r="A211" s="304" t="str">
        <f>IF(ISBLANK(D211)," ",127-COUNTBLANK($D$5:D211))</f>
        <v xml:space="preserve"> </v>
      </c>
      <c r="B211" s="296"/>
      <c r="C211" s="305"/>
      <c r="D211" s="306"/>
      <c r="E211" s="297"/>
      <c r="F211" s="298"/>
      <c r="G211" s="298"/>
      <c r="H211" s="282"/>
      <c r="I211" s="282"/>
      <c r="J211" s="282"/>
      <c r="K211" s="282"/>
      <c r="L211" s="282"/>
      <c r="M211" s="282"/>
      <c r="N211" s="282"/>
      <c r="O211" s="283"/>
      <c r="P211" s="303"/>
      <c r="Q211" s="265"/>
      <c r="R211" s="265"/>
      <c r="S211" s="265"/>
      <c r="T211" s="284"/>
      <c r="U211" s="265"/>
      <c r="V211" s="265"/>
      <c r="W211" s="265"/>
    </row>
    <row r="212" spans="1:23" ht="30" customHeight="1">
      <c r="A212" s="260" t="str">
        <f>IF(ISBLANK(D212)," ",128-COUNTBLANK($D$5:D212))</f>
        <v xml:space="preserve"> </v>
      </c>
      <c r="B212" s="200"/>
      <c r="C212" s="200"/>
      <c r="D212" s="200"/>
      <c r="E212" s="299"/>
      <c r="F212" s="209"/>
      <c r="G212" s="209"/>
      <c r="H212" s="201"/>
      <c r="I212" s="201"/>
      <c r="J212" s="201"/>
      <c r="K212" s="201"/>
      <c r="L212" s="201"/>
      <c r="M212" s="201"/>
      <c r="N212" s="201"/>
      <c r="O212" s="262"/>
      <c r="P212" s="291"/>
      <c r="Q212" s="265"/>
      <c r="R212" s="265"/>
      <c r="S212" s="265"/>
      <c r="T212" s="284"/>
      <c r="U212" s="265"/>
      <c r="V212" s="265"/>
      <c r="W212" s="265"/>
    </row>
    <row r="213" spans="1:23" ht="30" customHeight="1">
      <c r="A213" s="204" t="str">
        <f>IF(ISBLANK(D213)," ",129-COUNTBLANK($D$5:D213))</f>
        <v xml:space="preserve"> </v>
      </c>
      <c r="B213" s="202"/>
      <c r="C213" s="202"/>
      <c r="D213" s="202"/>
      <c r="E213" s="300"/>
      <c r="F213" s="210"/>
      <c r="G213" s="210"/>
      <c r="H213" s="203"/>
      <c r="I213" s="203"/>
      <c r="J213" s="203"/>
      <c r="K213" s="203"/>
      <c r="L213" s="203"/>
      <c r="M213" s="203"/>
      <c r="N213" s="203"/>
      <c r="O213" s="205"/>
      <c r="P213" s="291"/>
      <c r="Q213" s="265"/>
      <c r="R213" s="265"/>
      <c r="S213" s="265"/>
      <c r="T213" s="265"/>
    </row>
    <row r="214" spans="1:23" ht="30" customHeight="1">
      <c r="A214" s="204" t="str">
        <f>IF(ISBLANK(D214)," ",130-COUNTBLANK($D$5:D214))</f>
        <v xml:space="preserve"> </v>
      </c>
      <c r="B214" s="202"/>
      <c r="C214" s="202"/>
      <c r="D214" s="202"/>
      <c r="E214" s="300"/>
      <c r="F214" s="210"/>
      <c r="G214" s="210"/>
      <c r="H214" s="203"/>
      <c r="I214" s="203"/>
      <c r="J214" s="203"/>
      <c r="K214" s="203"/>
      <c r="L214" s="203"/>
      <c r="M214" s="203"/>
      <c r="N214" s="203"/>
      <c r="O214" s="205"/>
      <c r="P214" s="291"/>
      <c r="Q214" s="265"/>
      <c r="R214" s="265"/>
      <c r="S214" s="265"/>
      <c r="T214" s="265"/>
    </row>
    <row r="215" spans="1:23" ht="30" customHeight="1">
      <c r="A215" s="204" t="str">
        <f>IF(ISBLANK(D215)," ",131-COUNTBLANK($D$5:D215))</f>
        <v xml:space="preserve"> </v>
      </c>
      <c r="B215" s="202"/>
      <c r="C215" s="202"/>
      <c r="D215" s="202"/>
      <c r="E215" s="300"/>
      <c r="F215" s="210"/>
      <c r="G215" s="210"/>
      <c r="H215" s="203"/>
      <c r="I215" s="203"/>
      <c r="J215" s="203"/>
      <c r="K215" s="203"/>
      <c r="L215" s="203"/>
      <c r="M215" s="203"/>
      <c r="N215" s="203"/>
      <c r="O215" s="205"/>
      <c r="P215" s="291"/>
      <c r="Q215" s="265"/>
      <c r="R215" s="265"/>
      <c r="S215" s="265"/>
      <c r="T215" s="265"/>
    </row>
    <row r="216" spans="1:23" ht="30" customHeight="1">
      <c r="A216" s="204" t="str">
        <f>IF(ISBLANK(D216)," ",132-COUNTBLANK($D$5:D216))</f>
        <v xml:space="preserve"> </v>
      </c>
      <c r="B216" s="202"/>
      <c r="C216" s="202"/>
      <c r="D216" s="202"/>
      <c r="E216" s="300"/>
      <c r="F216" s="210"/>
      <c r="G216" s="210"/>
      <c r="H216" s="203"/>
      <c r="I216" s="203"/>
      <c r="J216" s="203"/>
      <c r="K216" s="203"/>
      <c r="L216" s="203"/>
      <c r="M216" s="203"/>
      <c r="N216" s="203"/>
      <c r="O216" s="205"/>
      <c r="P216" s="291"/>
      <c r="Q216" s="265"/>
      <c r="R216" s="265"/>
      <c r="S216" s="265"/>
      <c r="T216" s="265"/>
    </row>
    <row r="217" spans="1:23" ht="30" customHeight="1">
      <c r="A217" s="204" t="str">
        <f>IF(ISBLANK(D217)," ",133-COUNTBLANK($D$5:D217))</f>
        <v xml:space="preserve"> </v>
      </c>
      <c r="B217" s="202"/>
      <c r="C217" s="202"/>
      <c r="D217" s="202"/>
      <c r="E217" s="300"/>
      <c r="F217" s="210"/>
      <c r="G217" s="210"/>
      <c r="H217" s="203"/>
      <c r="I217" s="203"/>
      <c r="J217" s="203"/>
      <c r="K217" s="203"/>
      <c r="L217" s="203"/>
      <c r="M217" s="203"/>
      <c r="N217" s="203"/>
      <c r="O217" s="205"/>
      <c r="P217" s="291"/>
      <c r="Q217" s="265"/>
      <c r="R217" s="265"/>
      <c r="S217" s="265"/>
      <c r="T217" s="265"/>
    </row>
    <row r="218" spans="1:23" ht="30" customHeight="1">
      <c r="A218" s="204" t="str">
        <f>IF(ISBLANK(D218)," ",134-COUNTBLANK($D$5:D218))</f>
        <v xml:space="preserve"> </v>
      </c>
      <c r="B218" s="202"/>
      <c r="C218" s="202"/>
      <c r="D218" s="202"/>
      <c r="E218" s="300"/>
      <c r="F218" s="210"/>
      <c r="G218" s="210"/>
      <c r="H218" s="203"/>
      <c r="I218" s="203"/>
      <c r="J218" s="203"/>
      <c r="K218" s="203"/>
      <c r="L218" s="203"/>
      <c r="M218" s="203"/>
      <c r="N218" s="203"/>
      <c r="O218" s="205"/>
      <c r="P218" s="291"/>
      <c r="Q218" s="265"/>
      <c r="R218" s="265"/>
      <c r="S218" s="265"/>
      <c r="T218" s="265"/>
    </row>
    <row r="219" spans="1:23" ht="30" customHeight="1">
      <c r="A219" s="204" t="str">
        <f>IF(ISBLANK(D219)," ",135-COUNTBLANK($D$5:D219))</f>
        <v xml:space="preserve"> </v>
      </c>
      <c r="B219" s="202"/>
      <c r="C219" s="202"/>
      <c r="D219" s="202"/>
      <c r="E219" s="300"/>
      <c r="F219" s="210"/>
      <c r="G219" s="210"/>
      <c r="H219" s="203"/>
      <c r="I219" s="203"/>
      <c r="J219" s="203"/>
      <c r="K219" s="203"/>
      <c r="L219" s="203"/>
      <c r="M219" s="203"/>
      <c r="N219" s="203"/>
      <c r="O219" s="205"/>
      <c r="P219" s="291"/>
      <c r="Q219" s="265"/>
      <c r="R219" s="265"/>
      <c r="S219" s="265"/>
      <c r="T219" s="265"/>
    </row>
    <row r="220" spans="1:23" ht="30" customHeight="1">
      <c r="A220" s="204" t="str">
        <f>IF(ISBLANK(D220)," ",136-COUNTBLANK($D$5:D220))</f>
        <v xml:space="preserve"> </v>
      </c>
      <c r="B220" s="202"/>
      <c r="C220" s="202"/>
      <c r="D220" s="202"/>
      <c r="E220" s="300"/>
      <c r="F220" s="210"/>
      <c r="G220" s="210"/>
      <c r="H220" s="203"/>
      <c r="I220" s="203"/>
      <c r="J220" s="203"/>
      <c r="K220" s="203"/>
      <c r="L220" s="203"/>
      <c r="M220" s="203"/>
      <c r="N220" s="203"/>
      <c r="O220" s="205"/>
      <c r="P220" s="291"/>
      <c r="Q220" s="265"/>
      <c r="R220" s="265"/>
      <c r="S220" s="265"/>
      <c r="T220" s="265"/>
    </row>
    <row r="221" spans="1:23" ht="30" customHeight="1">
      <c r="A221" s="204" t="str">
        <f>IF(ISBLANK(D221)," ",137-COUNTBLANK($D$5:D221))</f>
        <v xml:space="preserve"> </v>
      </c>
      <c r="B221" s="202"/>
      <c r="C221" s="202"/>
      <c r="D221" s="202"/>
      <c r="E221" s="300"/>
      <c r="F221" s="210"/>
      <c r="G221" s="210"/>
      <c r="H221" s="203"/>
      <c r="I221" s="203"/>
      <c r="J221" s="203"/>
      <c r="K221" s="203"/>
      <c r="L221" s="203"/>
      <c r="M221" s="203"/>
      <c r="N221" s="203"/>
      <c r="O221" s="205"/>
      <c r="P221" s="291"/>
      <c r="Q221" s="265"/>
      <c r="R221" s="265"/>
      <c r="S221" s="265"/>
      <c r="T221" s="265"/>
    </row>
    <row r="222" spans="1:23" ht="30" customHeight="1">
      <c r="A222" s="204" t="str">
        <f>IF(ISBLANK(D222)," ",138-COUNTBLANK($D$5:D222))</f>
        <v xml:space="preserve"> </v>
      </c>
      <c r="B222" s="202"/>
      <c r="C222" s="202"/>
      <c r="D222" s="202"/>
      <c r="E222" s="300"/>
      <c r="F222" s="210"/>
      <c r="G222" s="210"/>
      <c r="H222" s="203"/>
      <c r="I222" s="203"/>
      <c r="J222" s="203"/>
      <c r="K222" s="203"/>
      <c r="L222" s="203"/>
      <c r="M222" s="203"/>
      <c r="N222" s="203"/>
      <c r="O222" s="205"/>
      <c r="P222" s="291"/>
      <c r="Q222" s="265"/>
      <c r="R222" s="265"/>
      <c r="S222" s="265"/>
      <c r="T222" s="265"/>
    </row>
    <row r="223" spans="1:23" ht="30" customHeight="1">
      <c r="A223" s="204" t="str">
        <f>IF(ISBLANK(D223)," ",139-COUNTBLANK($D$5:D223))</f>
        <v xml:space="preserve"> </v>
      </c>
      <c r="B223" s="202"/>
      <c r="C223" s="202"/>
      <c r="D223" s="202"/>
      <c r="E223" s="300"/>
      <c r="F223" s="210"/>
      <c r="G223" s="210"/>
      <c r="H223" s="203"/>
      <c r="I223" s="203"/>
      <c r="J223" s="203"/>
      <c r="K223" s="203"/>
      <c r="L223" s="203"/>
      <c r="M223" s="203"/>
      <c r="N223" s="203"/>
      <c r="O223" s="205"/>
      <c r="P223" s="291"/>
      <c r="Q223" s="265"/>
      <c r="R223" s="265"/>
      <c r="S223" s="265"/>
      <c r="T223" s="265"/>
    </row>
    <row r="224" spans="1:23" ht="30" customHeight="1">
      <c r="A224" s="204" t="str">
        <f>IF(ISBLANK(D224)," ",140-COUNTBLANK($D$5:D224))</f>
        <v xml:space="preserve"> </v>
      </c>
      <c r="B224" s="202"/>
      <c r="C224" s="202"/>
      <c r="D224" s="202"/>
      <c r="E224" s="300"/>
      <c r="F224" s="210"/>
      <c r="G224" s="210"/>
      <c r="H224" s="203"/>
      <c r="I224" s="203"/>
      <c r="J224" s="203"/>
      <c r="K224" s="203"/>
      <c r="L224" s="203"/>
      <c r="M224" s="203"/>
      <c r="N224" s="203"/>
      <c r="O224" s="205"/>
      <c r="P224" s="291"/>
      <c r="Q224" s="265"/>
      <c r="R224" s="265"/>
      <c r="S224" s="265"/>
      <c r="T224" s="265"/>
    </row>
    <row r="225" spans="1:23" ht="30" customHeight="1">
      <c r="A225" s="204" t="str">
        <f>IF(ISBLANK(D225)," ",141-COUNTBLANK($D$5:D225))</f>
        <v xml:space="preserve"> </v>
      </c>
      <c r="B225" s="202"/>
      <c r="C225" s="202"/>
      <c r="D225" s="202"/>
      <c r="E225" s="300"/>
      <c r="F225" s="210"/>
      <c r="G225" s="210"/>
      <c r="H225" s="203"/>
      <c r="I225" s="203"/>
      <c r="J225" s="203"/>
      <c r="K225" s="203"/>
      <c r="L225" s="203"/>
      <c r="M225" s="203"/>
      <c r="N225" s="203"/>
      <c r="O225" s="205"/>
      <c r="P225" s="291"/>
      <c r="Q225" s="265"/>
      <c r="R225" s="265"/>
      <c r="S225" s="265"/>
      <c r="T225" s="265"/>
    </row>
    <row r="226" spans="1:23" ht="30" customHeight="1">
      <c r="A226" s="204" t="str">
        <f>IF(ISBLANK(D226)," ",142-COUNTBLANK($D$5:D226))</f>
        <v xml:space="preserve"> </v>
      </c>
      <c r="B226" s="202"/>
      <c r="C226" s="202"/>
      <c r="D226" s="202"/>
      <c r="E226" s="300"/>
      <c r="F226" s="210"/>
      <c r="G226" s="210"/>
      <c r="H226" s="203"/>
      <c r="I226" s="203"/>
      <c r="J226" s="203"/>
      <c r="K226" s="203"/>
      <c r="L226" s="203"/>
      <c r="M226" s="203"/>
      <c r="N226" s="203"/>
      <c r="O226" s="205"/>
      <c r="P226" s="291"/>
      <c r="Q226" s="265"/>
      <c r="R226" s="265"/>
      <c r="S226" s="265"/>
      <c r="T226" s="265"/>
    </row>
    <row r="227" spans="1:23" ht="30" customHeight="1">
      <c r="A227" s="204" t="str">
        <f>IF(ISBLANK(D227)," ",143-COUNTBLANK($D$5:D227))</f>
        <v xml:space="preserve"> </v>
      </c>
      <c r="B227" s="202"/>
      <c r="C227" s="202"/>
      <c r="D227" s="202"/>
      <c r="E227" s="300"/>
      <c r="F227" s="210"/>
      <c r="G227" s="210"/>
      <c r="H227" s="203"/>
      <c r="I227" s="203"/>
      <c r="J227" s="203"/>
      <c r="K227" s="203"/>
      <c r="L227" s="203"/>
      <c r="M227" s="203"/>
      <c r="N227" s="203"/>
      <c r="O227" s="205"/>
      <c r="P227" s="291"/>
      <c r="Q227" s="265"/>
      <c r="R227" s="265"/>
      <c r="S227" s="265"/>
      <c r="T227" s="265"/>
    </row>
    <row r="228" spans="1:23" ht="30" customHeight="1">
      <c r="A228" s="204" t="str">
        <f>IF(ISBLANK(D228)," ",144-COUNTBLANK($D$5:D228))</f>
        <v xml:space="preserve"> </v>
      </c>
      <c r="B228" s="202"/>
      <c r="C228" s="202"/>
      <c r="D228" s="202"/>
      <c r="E228" s="300"/>
      <c r="F228" s="210"/>
      <c r="G228" s="210"/>
      <c r="H228" s="203"/>
      <c r="I228" s="203"/>
      <c r="J228" s="203"/>
      <c r="K228" s="203"/>
      <c r="L228" s="203"/>
      <c r="M228" s="203"/>
      <c r="N228" s="203"/>
      <c r="O228" s="205"/>
      <c r="P228" s="291"/>
      <c r="Q228" s="265"/>
      <c r="R228" s="265"/>
      <c r="S228" s="265"/>
      <c r="T228" s="267"/>
    </row>
    <row r="229" spans="1:23" ht="30" customHeight="1">
      <c r="A229" s="204" t="str">
        <f>IF(ISBLANK(D229)," ",145-COUNTBLANK($D$5:D229))</f>
        <v xml:space="preserve"> </v>
      </c>
      <c r="B229" s="202"/>
      <c r="C229" s="202"/>
      <c r="D229" s="202"/>
      <c r="E229" s="300"/>
      <c r="F229" s="210"/>
      <c r="G229" s="210"/>
      <c r="H229" s="203"/>
      <c r="I229" s="203"/>
      <c r="J229" s="203"/>
      <c r="K229" s="203"/>
      <c r="L229" s="203"/>
      <c r="M229" s="203"/>
      <c r="N229" s="203"/>
      <c r="O229" s="205"/>
      <c r="P229" s="291"/>
      <c r="Q229" s="265"/>
      <c r="R229" s="265"/>
      <c r="S229" s="265"/>
      <c r="T229" s="267"/>
    </row>
    <row r="230" spans="1:23" ht="30" customHeight="1">
      <c r="A230" s="204" t="str">
        <f>IF(ISBLANK(D230)," ",146-COUNTBLANK($D$5:D230))</f>
        <v xml:space="preserve"> </v>
      </c>
      <c r="B230" s="202"/>
      <c r="C230" s="202"/>
      <c r="D230" s="202"/>
      <c r="E230" s="300"/>
      <c r="F230" s="210"/>
      <c r="G230" s="210"/>
      <c r="H230" s="203"/>
      <c r="I230" s="203"/>
      <c r="J230" s="203"/>
      <c r="K230" s="203"/>
      <c r="L230" s="203"/>
      <c r="M230" s="203"/>
      <c r="N230" s="203"/>
      <c r="O230" s="205"/>
      <c r="P230" s="291"/>
      <c r="Q230" s="265"/>
      <c r="R230" s="265"/>
      <c r="S230" s="265"/>
      <c r="T230" s="267"/>
    </row>
    <row r="231" spans="1:23" ht="30" customHeight="1">
      <c r="A231" s="304" t="str">
        <f>IF(ISBLANK(D231)," ",148-COUNTBLANK($D$5:D231))</f>
        <v xml:space="preserve"> </v>
      </c>
      <c r="B231" s="296"/>
      <c r="C231" s="305"/>
      <c r="D231" s="306"/>
      <c r="E231" s="297"/>
      <c r="F231" s="298"/>
      <c r="G231" s="298"/>
      <c r="H231" s="282"/>
      <c r="I231" s="282"/>
      <c r="J231" s="282"/>
      <c r="K231" s="282"/>
      <c r="L231" s="282"/>
      <c r="M231" s="282"/>
      <c r="N231" s="282"/>
      <c r="O231" s="283"/>
      <c r="P231" s="303"/>
      <c r="Q231" s="265"/>
      <c r="R231" s="265"/>
      <c r="S231" s="265"/>
      <c r="T231" s="284"/>
      <c r="U231" s="265"/>
      <c r="V231" s="265"/>
      <c r="W231" s="265"/>
    </row>
    <row r="232" spans="1:23" ht="30" customHeight="1">
      <c r="A232" s="260" t="str">
        <f>IF(ISBLANK(D232)," ",149-COUNTBLANK($D$5:D232))</f>
        <v xml:space="preserve"> </v>
      </c>
      <c r="B232" s="200"/>
      <c r="C232" s="200"/>
      <c r="D232" s="200"/>
      <c r="E232" s="299"/>
      <c r="F232" s="209"/>
      <c r="G232" s="209"/>
      <c r="H232" s="201"/>
      <c r="I232" s="201"/>
      <c r="J232" s="201"/>
      <c r="K232" s="201"/>
      <c r="L232" s="201"/>
      <c r="M232" s="201"/>
      <c r="N232" s="201"/>
      <c r="O232" s="262"/>
      <c r="P232" s="291"/>
      <c r="Q232" s="265"/>
      <c r="R232" s="265"/>
      <c r="S232" s="265"/>
      <c r="T232" s="284"/>
      <c r="U232" s="265"/>
      <c r="V232" s="265"/>
      <c r="W232" s="265"/>
    </row>
    <row r="233" spans="1:23" ht="30" customHeight="1">
      <c r="A233" s="204" t="str">
        <f>IF(ISBLANK(D233)," ",150-COUNTBLANK($D$5:D233))</f>
        <v xml:space="preserve"> </v>
      </c>
      <c r="B233" s="202"/>
      <c r="C233" s="202"/>
      <c r="D233" s="202"/>
      <c r="E233" s="300"/>
      <c r="F233" s="210"/>
      <c r="G233" s="210"/>
      <c r="H233" s="203"/>
      <c r="I233" s="203"/>
      <c r="J233" s="203"/>
      <c r="K233" s="203"/>
      <c r="L233" s="203"/>
      <c r="M233" s="203"/>
      <c r="N233" s="203"/>
      <c r="O233" s="205"/>
      <c r="P233" s="291"/>
      <c r="Q233" s="265"/>
      <c r="R233" s="265"/>
      <c r="S233" s="265"/>
      <c r="T233" s="265"/>
    </row>
    <row r="234" spans="1:23" ht="30" customHeight="1">
      <c r="A234" s="204" t="str">
        <f>IF(ISBLANK(D234)," ",151-COUNTBLANK($D$5:D234))</f>
        <v xml:space="preserve"> </v>
      </c>
      <c r="B234" s="202"/>
      <c r="C234" s="202"/>
      <c r="D234" s="202"/>
      <c r="E234" s="300"/>
      <c r="F234" s="210"/>
      <c r="G234" s="210"/>
      <c r="H234" s="203"/>
      <c r="I234" s="203"/>
      <c r="J234" s="203"/>
      <c r="K234" s="203"/>
      <c r="L234" s="203"/>
      <c r="M234" s="203"/>
      <c r="N234" s="203"/>
      <c r="O234" s="205"/>
      <c r="P234" s="291"/>
      <c r="Q234" s="265"/>
      <c r="R234" s="265"/>
      <c r="S234" s="265"/>
      <c r="T234" s="265"/>
    </row>
    <row r="235" spans="1:23" ht="30" customHeight="1">
      <c r="A235" s="204" t="str">
        <f>IF(ISBLANK(D235)," ",152-COUNTBLANK($D$5:D235))</f>
        <v xml:space="preserve"> </v>
      </c>
      <c r="B235" s="202"/>
      <c r="C235" s="202"/>
      <c r="D235" s="202"/>
      <c r="E235" s="300"/>
      <c r="F235" s="210"/>
      <c r="G235" s="210"/>
      <c r="H235" s="203"/>
      <c r="I235" s="203"/>
      <c r="J235" s="203"/>
      <c r="K235" s="203"/>
      <c r="L235" s="203"/>
      <c r="M235" s="203"/>
      <c r="N235" s="203"/>
      <c r="O235" s="205"/>
      <c r="P235" s="291"/>
      <c r="Q235" s="265"/>
      <c r="R235" s="265"/>
      <c r="S235" s="265"/>
      <c r="T235" s="265"/>
    </row>
    <row r="236" spans="1:23" ht="30" customHeight="1">
      <c r="A236" s="204" t="str">
        <f>IF(ISBLANK(D236)," ",153-COUNTBLANK($D$5:D236))</f>
        <v xml:space="preserve"> </v>
      </c>
      <c r="B236" s="202"/>
      <c r="C236" s="202"/>
      <c r="D236" s="202"/>
      <c r="E236" s="300"/>
      <c r="F236" s="210"/>
      <c r="G236" s="210"/>
      <c r="H236" s="203"/>
      <c r="I236" s="203"/>
      <c r="J236" s="203"/>
      <c r="K236" s="203"/>
      <c r="L236" s="203"/>
      <c r="M236" s="203"/>
      <c r="N236" s="203"/>
      <c r="O236" s="205"/>
      <c r="P236" s="291"/>
      <c r="Q236" s="265"/>
      <c r="R236" s="265"/>
      <c r="S236" s="265"/>
      <c r="T236" s="265"/>
    </row>
    <row r="237" spans="1:23" ht="30" customHeight="1">
      <c r="A237" s="204" t="str">
        <f>IF(ISBLANK(D237)," ",154-COUNTBLANK($D$5:D237))</f>
        <v xml:space="preserve"> </v>
      </c>
      <c r="B237" s="202"/>
      <c r="C237" s="202"/>
      <c r="D237" s="202"/>
      <c r="E237" s="300"/>
      <c r="F237" s="210"/>
      <c r="G237" s="210"/>
      <c r="H237" s="203"/>
      <c r="I237" s="203"/>
      <c r="J237" s="203"/>
      <c r="K237" s="203"/>
      <c r="L237" s="203"/>
      <c r="M237" s="203"/>
      <c r="N237" s="203"/>
      <c r="O237" s="205"/>
      <c r="P237" s="291"/>
      <c r="Q237" s="265"/>
      <c r="R237" s="265"/>
      <c r="S237" s="265"/>
      <c r="T237" s="265"/>
    </row>
    <row r="238" spans="1:23" ht="30" customHeight="1">
      <c r="A238" s="204" t="str">
        <f>IF(ISBLANK(D238)," ",155-COUNTBLANK($D$5:D238))</f>
        <v xml:space="preserve"> </v>
      </c>
      <c r="B238" s="202"/>
      <c r="C238" s="202"/>
      <c r="D238" s="202"/>
      <c r="E238" s="300"/>
      <c r="F238" s="210"/>
      <c r="G238" s="210"/>
      <c r="H238" s="203"/>
      <c r="I238" s="203"/>
      <c r="J238" s="203"/>
      <c r="K238" s="203"/>
      <c r="L238" s="203"/>
      <c r="M238" s="203"/>
      <c r="N238" s="203"/>
      <c r="O238" s="205"/>
      <c r="P238" s="291"/>
      <c r="Q238" s="265"/>
      <c r="R238" s="265"/>
      <c r="S238" s="265"/>
      <c r="T238" s="265"/>
    </row>
    <row r="239" spans="1:23" ht="30" customHeight="1">
      <c r="A239" s="204" t="str">
        <f>IF(ISBLANK(D239)," ",156-COUNTBLANK($D$5:D239))</f>
        <v xml:space="preserve"> </v>
      </c>
      <c r="B239" s="202"/>
      <c r="C239" s="202"/>
      <c r="D239" s="202"/>
      <c r="E239" s="300"/>
      <c r="F239" s="210"/>
      <c r="G239" s="210"/>
      <c r="H239" s="203"/>
      <c r="I239" s="203"/>
      <c r="J239" s="203"/>
      <c r="K239" s="203"/>
      <c r="L239" s="203"/>
      <c r="M239" s="203"/>
      <c r="N239" s="203"/>
      <c r="O239" s="205"/>
      <c r="P239" s="291"/>
      <c r="Q239" s="265"/>
      <c r="R239" s="265"/>
      <c r="S239" s="265"/>
      <c r="T239" s="265"/>
    </row>
    <row r="240" spans="1:23" ht="30" customHeight="1">
      <c r="A240" s="204" t="str">
        <f>IF(ISBLANK(D240)," ",157-COUNTBLANK($D$5:D240))</f>
        <v xml:space="preserve"> </v>
      </c>
      <c r="B240" s="202"/>
      <c r="C240" s="202"/>
      <c r="D240" s="202"/>
      <c r="E240" s="300"/>
      <c r="F240" s="210"/>
      <c r="G240" s="210"/>
      <c r="H240" s="203"/>
      <c r="I240" s="203"/>
      <c r="J240" s="203"/>
      <c r="K240" s="203"/>
      <c r="L240" s="203"/>
      <c r="M240" s="203"/>
      <c r="N240" s="203"/>
      <c r="O240" s="205"/>
      <c r="P240" s="291"/>
      <c r="Q240" s="265"/>
      <c r="R240" s="265"/>
      <c r="S240" s="265"/>
      <c r="T240" s="265"/>
    </row>
    <row r="241" spans="1:23" ht="30" customHeight="1">
      <c r="A241" s="204" t="str">
        <f>IF(ISBLANK(D241)," ",158-COUNTBLANK($D$5:D241))</f>
        <v xml:space="preserve"> </v>
      </c>
      <c r="B241" s="202"/>
      <c r="C241" s="202"/>
      <c r="D241" s="202"/>
      <c r="E241" s="300"/>
      <c r="F241" s="210"/>
      <c r="G241" s="210"/>
      <c r="H241" s="203"/>
      <c r="I241" s="203"/>
      <c r="J241" s="203"/>
      <c r="K241" s="203"/>
      <c r="L241" s="203"/>
      <c r="M241" s="203"/>
      <c r="N241" s="203"/>
      <c r="O241" s="205"/>
      <c r="P241" s="291"/>
      <c r="Q241" s="265"/>
      <c r="R241" s="265"/>
      <c r="S241" s="265"/>
      <c r="T241" s="265"/>
    </row>
    <row r="242" spans="1:23" ht="30" customHeight="1">
      <c r="A242" s="204" t="str">
        <f>IF(ISBLANK(D242)," ",159-COUNTBLANK($D$5:D242))</f>
        <v xml:space="preserve"> </v>
      </c>
      <c r="B242" s="202"/>
      <c r="C242" s="202"/>
      <c r="D242" s="202"/>
      <c r="E242" s="300"/>
      <c r="F242" s="210"/>
      <c r="G242" s="210"/>
      <c r="H242" s="203"/>
      <c r="I242" s="203"/>
      <c r="J242" s="203"/>
      <c r="K242" s="203"/>
      <c r="L242" s="203"/>
      <c r="M242" s="203"/>
      <c r="N242" s="203"/>
      <c r="O242" s="205"/>
      <c r="P242" s="291"/>
      <c r="Q242" s="265"/>
      <c r="R242" s="265"/>
      <c r="S242" s="265"/>
      <c r="T242" s="265"/>
    </row>
    <row r="243" spans="1:23" ht="30" customHeight="1">
      <c r="A243" s="204" t="str">
        <f>IF(ISBLANK(D243)," ",160-COUNTBLANK($D$5:D243))</f>
        <v xml:space="preserve"> </v>
      </c>
      <c r="B243" s="202"/>
      <c r="C243" s="202"/>
      <c r="D243" s="202"/>
      <c r="E243" s="300"/>
      <c r="F243" s="210"/>
      <c r="G243" s="210"/>
      <c r="H243" s="203"/>
      <c r="I243" s="203"/>
      <c r="J243" s="203"/>
      <c r="K243" s="203"/>
      <c r="L243" s="203"/>
      <c r="M243" s="203"/>
      <c r="N243" s="203"/>
      <c r="O243" s="205"/>
      <c r="P243" s="291"/>
      <c r="Q243" s="265"/>
      <c r="R243" s="265"/>
      <c r="S243" s="265"/>
      <c r="T243" s="265"/>
    </row>
    <row r="244" spans="1:23" ht="30" customHeight="1">
      <c r="A244" s="204" t="str">
        <f>IF(ISBLANK(D244)," ",161-COUNTBLANK($D$5:D244))</f>
        <v xml:space="preserve"> </v>
      </c>
      <c r="B244" s="202"/>
      <c r="C244" s="202"/>
      <c r="D244" s="202"/>
      <c r="E244" s="300"/>
      <c r="F244" s="210"/>
      <c r="G244" s="210"/>
      <c r="H244" s="203"/>
      <c r="I244" s="203"/>
      <c r="J244" s="203"/>
      <c r="K244" s="203"/>
      <c r="L244" s="203"/>
      <c r="M244" s="203"/>
      <c r="N244" s="203"/>
      <c r="O244" s="205"/>
      <c r="P244" s="291"/>
      <c r="Q244" s="265"/>
      <c r="R244" s="265"/>
      <c r="S244" s="265"/>
      <c r="T244" s="265"/>
    </row>
    <row r="245" spans="1:23" ht="30" customHeight="1">
      <c r="A245" s="204" t="str">
        <f>IF(ISBLANK(D245)," ",162-COUNTBLANK($D$5:D245))</f>
        <v xml:space="preserve"> </v>
      </c>
      <c r="B245" s="202"/>
      <c r="C245" s="202"/>
      <c r="D245" s="202"/>
      <c r="E245" s="300"/>
      <c r="F245" s="210"/>
      <c r="G245" s="210"/>
      <c r="H245" s="203"/>
      <c r="I245" s="203"/>
      <c r="J245" s="203"/>
      <c r="K245" s="203"/>
      <c r="L245" s="203"/>
      <c r="M245" s="203"/>
      <c r="N245" s="203"/>
      <c r="O245" s="205"/>
      <c r="P245" s="291"/>
      <c r="Q245" s="265"/>
      <c r="R245" s="265"/>
      <c r="S245" s="265"/>
      <c r="T245" s="265"/>
    </row>
    <row r="246" spans="1:23" ht="30" customHeight="1">
      <c r="A246" s="204" t="str">
        <f>IF(ISBLANK(D246)," ",163-COUNTBLANK($D$5:D246))</f>
        <v xml:space="preserve"> </v>
      </c>
      <c r="B246" s="202"/>
      <c r="C246" s="202"/>
      <c r="D246" s="202"/>
      <c r="E246" s="300"/>
      <c r="F246" s="210"/>
      <c r="G246" s="210"/>
      <c r="H246" s="203"/>
      <c r="I246" s="203"/>
      <c r="J246" s="203"/>
      <c r="K246" s="203"/>
      <c r="L246" s="203"/>
      <c r="M246" s="203"/>
      <c r="N246" s="203"/>
      <c r="O246" s="205"/>
      <c r="P246" s="291"/>
      <c r="Q246" s="265"/>
      <c r="R246" s="265"/>
      <c r="S246" s="265"/>
      <c r="T246" s="265"/>
    </row>
    <row r="247" spans="1:23" ht="30" customHeight="1">
      <c r="A247" s="204" t="str">
        <f>IF(ISBLANK(D247)," ",164-COUNTBLANK($D$5:D247))</f>
        <v xml:space="preserve"> </v>
      </c>
      <c r="B247" s="202"/>
      <c r="C247" s="202"/>
      <c r="D247" s="202"/>
      <c r="E247" s="300"/>
      <c r="F247" s="210"/>
      <c r="G247" s="210"/>
      <c r="H247" s="203"/>
      <c r="I247" s="203"/>
      <c r="J247" s="203"/>
      <c r="K247" s="203"/>
      <c r="L247" s="203"/>
      <c r="M247" s="203"/>
      <c r="N247" s="203"/>
      <c r="O247" s="205"/>
      <c r="P247" s="291"/>
      <c r="Q247" s="265"/>
      <c r="R247" s="265"/>
      <c r="S247" s="265"/>
      <c r="T247" s="265"/>
    </row>
    <row r="248" spans="1:23" ht="30" customHeight="1">
      <c r="A248" s="204" t="str">
        <f>IF(ISBLANK(D248)," ",165-COUNTBLANK($D$5:D248))</f>
        <v xml:space="preserve"> </v>
      </c>
      <c r="B248" s="202"/>
      <c r="C248" s="202"/>
      <c r="D248" s="202"/>
      <c r="E248" s="300"/>
      <c r="F248" s="210"/>
      <c r="G248" s="210"/>
      <c r="H248" s="203"/>
      <c r="I248" s="203"/>
      <c r="J248" s="203"/>
      <c r="K248" s="203"/>
      <c r="L248" s="203"/>
      <c r="M248" s="203"/>
      <c r="N248" s="203"/>
      <c r="O248" s="205"/>
      <c r="P248" s="291"/>
      <c r="Q248" s="265"/>
      <c r="R248" s="265"/>
      <c r="S248" s="265"/>
      <c r="T248" s="267"/>
    </row>
    <row r="249" spans="1:23" ht="30" customHeight="1">
      <c r="A249" s="204" t="str">
        <f>IF(ISBLANK(D249)," ",166-COUNTBLANK($D$5:D249))</f>
        <v xml:space="preserve"> </v>
      </c>
      <c r="B249" s="202"/>
      <c r="C249" s="202"/>
      <c r="D249" s="202"/>
      <c r="E249" s="300"/>
      <c r="F249" s="210"/>
      <c r="G249" s="210"/>
      <c r="H249" s="203"/>
      <c r="I249" s="203"/>
      <c r="J249" s="203"/>
      <c r="K249" s="203"/>
      <c r="L249" s="203"/>
      <c r="M249" s="203"/>
      <c r="N249" s="203"/>
      <c r="O249" s="205"/>
      <c r="P249" s="291"/>
      <c r="Q249" s="265"/>
      <c r="R249" s="265"/>
      <c r="S249" s="265"/>
      <c r="T249" s="267"/>
    </row>
    <row r="250" spans="1:23" ht="30" customHeight="1">
      <c r="A250" s="204" t="str">
        <f>IF(ISBLANK(D250)," ",167-COUNTBLANK($D$5:D250))</f>
        <v xml:space="preserve"> </v>
      </c>
      <c r="B250" s="202"/>
      <c r="C250" s="202"/>
      <c r="D250" s="202"/>
      <c r="E250" s="300"/>
      <c r="F250" s="210"/>
      <c r="G250" s="210"/>
      <c r="H250" s="203"/>
      <c r="I250" s="203"/>
      <c r="J250" s="203"/>
      <c r="K250" s="203"/>
      <c r="L250" s="203"/>
      <c r="M250" s="203"/>
      <c r="N250" s="203"/>
      <c r="O250" s="205"/>
      <c r="P250" s="291"/>
      <c r="Q250" s="265"/>
      <c r="R250" s="265"/>
      <c r="S250" s="265"/>
      <c r="T250" s="267"/>
    </row>
    <row r="251" spans="1:23" ht="30" customHeight="1">
      <c r="A251" s="304" t="str">
        <f>IF(ISBLANK(D251)," ",169-COUNTBLANK($D$5:D251))</f>
        <v xml:space="preserve"> </v>
      </c>
      <c r="B251" s="296"/>
      <c r="C251" s="305"/>
      <c r="D251" s="306"/>
      <c r="E251" s="297"/>
      <c r="F251" s="298"/>
      <c r="G251" s="298"/>
      <c r="H251" s="282"/>
      <c r="I251" s="282"/>
      <c r="J251" s="282"/>
      <c r="K251" s="282"/>
      <c r="L251" s="282"/>
      <c r="M251" s="282"/>
      <c r="N251" s="282"/>
      <c r="O251" s="283"/>
      <c r="P251" s="303"/>
      <c r="Q251" s="265"/>
      <c r="R251" s="265"/>
      <c r="S251" s="265"/>
      <c r="T251" s="284"/>
      <c r="U251" s="265"/>
      <c r="V251" s="265"/>
      <c r="W251" s="265"/>
    </row>
    <row r="252" spans="1:23" ht="30" customHeight="1">
      <c r="A252" s="260" t="str">
        <f>IF(ISBLANK(D252)," ",170-COUNTBLANK($D$5:D252))</f>
        <v xml:space="preserve"> </v>
      </c>
      <c r="B252" s="200"/>
      <c r="C252" s="200"/>
      <c r="D252" s="200"/>
      <c r="E252" s="299"/>
      <c r="F252" s="209"/>
      <c r="G252" s="209"/>
      <c r="H252" s="201"/>
      <c r="I252" s="201"/>
      <c r="J252" s="201"/>
      <c r="K252" s="201"/>
      <c r="L252" s="201"/>
      <c r="M252" s="201"/>
      <c r="N252" s="201"/>
      <c r="O252" s="262"/>
      <c r="P252" s="291"/>
      <c r="Q252" s="265"/>
      <c r="R252" s="265"/>
      <c r="S252" s="265"/>
      <c r="T252" s="284"/>
      <c r="U252" s="265"/>
      <c r="V252" s="265"/>
      <c r="W252" s="265"/>
    </row>
    <row r="253" spans="1:23" ht="30" customHeight="1">
      <c r="A253" s="204" t="str">
        <f>IF(ISBLANK(D253)," ",171-COUNTBLANK($D$5:D253))</f>
        <v xml:space="preserve"> </v>
      </c>
      <c r="B253" s="202"/>
      <c r="C253" s="202"/>
      <c r="D253" s="202"/>
      <c r="E253" s="300"/>
      <c r="F253" s="210"/>
      <c r="G253" s="210"/>
      <c r="H253" s="203"/>
      <c r="I253" s="203"/>
      <c r="J253" s="203"/>
      <c r="K253" s="203"/>
      <c r="L253" s="203"/>
      <c r="M253" s="203"/>
      <c r="N253" s="203"/>
      <c r="O253" s="205"/>
      <c r="P253" s="291"/>
      <c r="Q253" s="265"/>
      <c r="R253" s="265"/>
      <c r="S253" s="265"/>
      <c r="T253" s="265"/>
    </row>
    <row r="254" spans="1:23" ht="30" customHeight="1">
      <c r="A254" s="204" t="str">
        <f>IF(ISBLANK(D254)," ",172-COUNTBLANK($D$5:D254))</f>
        <v xml:space="preserve"> </v>
      </c>
      <c r="B254" s="202"/>
      <c r="C254" s="202"/>
      <c r="D254" s="202"/>
      <c r="E254" s="300"/>
      <c r="F254" s="210"/>
      <c r="G254" s="210"/>
      <c r="H254" s="203"/>
      <c r="I254" s="203"/>
      <c r="J254" s="203"/>
      <c r="K254" s="203"/>
      <c r="L254" s="203"/>
      <c r="M254" s="203"/>
      <c r="N254" s="203"/>
      <c r="O254" s="205"/>
      <c r="P254" s="291"/>
      <c r="Q254" s="265"/>
      <c r="R254" s="265"/>
      <c r="S254" s="265"/>
      <c r="T254" s="265"/>
    </row>
    <row r="255" spans="1:23" ht="30" customHeight="1">
      <c r="A255" s="204" t="str">
        <f>IF(ISBLANK(D255)," ",173-COUNTBLANK($D$5:D255))</f>
        <v xml:space="preserve"> </v>
      </c>
      <c r="B255" s="202"/>
      <c r="C255" s="202"/>
      <c r="D255" s="202"/>
      <c r="E255" s="300"/>
      <c r="F255" s="210"/>
      <c r="G255" s="210"/>
      <c r="H255" s="203"/>
      <c r="I255" s="203"/>
      <c r="J255" s="203"/>
      <c r="K255" s="203"/>
      <c r="L255" s="203"/>
      <c r="M255" s="203"/>
      <c r="N255" s="203"/>
      <c r="O255" s="205"/>
      <c r="P255" s="291"/>
      <c r="Q255" s="265"/>
      <c r="R255" s="265"/>
      <c r="S255" s="265"/>
      <c r="T255" s="265"/>
    </row>
    <row r="256" spans="1:23" ht="30" customHeight="1">
      <c r="A256" s="204" t="str">
        <f>IF(ISBLANK(D256)," ",174-COUNTBLANK($D$5:D256))</f>
        <v xml:space="preserve"> </v>
      </c>
      <c r="B256" s="202"/>
      <c r="C256" s="202"/>
      <c r="D256" s="202"/>
      <c r="E256" s="300"/>
      <c r="F256" s="210"/>
      <c r="G256" s="210"/>
      <c r="H256" s="203"/>
      <c r="I256" s="203"/>
      <c r="J256" s="203"/>
      <c r="K256" s="203"/>
      <c r="L256" s="203"/>
      <c r="M256" s="203"/>
      <c r="N256" s="203"/>
      <c r="O256" s="205"/>
      <c r="P256" s="291"/>
      <c r="Q256" s="265"/>
      <c r="R256" s="265"/>
      <c r="S256" s="265"/>
      <c r="T256" s="265"/>
    </row>
    <row r="257" spans="1:23" ht="30" customHeight="1">
      <c r="A257" s="204" t="str">
        <f>IF(ISBLANK(D257)," ",175-COUNTBLANK($D$5:D257))</f>
        <v xml:space="preserve"> </v>
      </c>
      <c r="B257" s="202"/>
      <c r="C257" s="202"/>
      <c r="D257" s="202"/>
      <c r="E257" s="300"/>
      <c r="F257" s="210"/>
      <c r="G257" s="210"/>
      <c r="H257" s="203"/>
      <c r="I257" s="203"/>
      <c r="J257" s="203"/>
      <c r="K257" s="203"/>
      <c r="L257" s="203"/>
      <c r="M257" s="203"/>
      <c r="N257" s="203"/>
      <c r="O257" s="205"/>
      <c r="P257" s="291"/>
      <c r="Q257" s="265"/>
      <c r="R257" s="265"/>
      <c r="S257" s="265"/>
      <c r="T257" s="265"/>
    </row>
    <row r="258" spans="1:23" ht="30" customHeight="1">
      <c r="A258" s="204" t="str">
        <f>IF(ISBLANK(D258)," ",176-COUNTBLANK($D$5:D258))</f>
        <v xml:space="preserve"> </v>
      </c>
      <c r="B258" s="202"/>
      <c r="C258" s="202"/>
      <c r="D258" s="202"/>
      <c r="E258" s="300"/>
      <c r="F258" s="210"/>
      <c r="G258" s="210"/>
      <c r="H258" s="203"/>
      <c r="I258" s="203"/>
      <c r="J258" s="203"/>
      <c r="K258" s="203"/>
      <c r="L258" s="203"/>
      <c r="M258" s="203"/>
      <c r="N258" s="203"/>
      <c r="O258" s="205"/>
      <c r="P258" s="291"/>
      <c r="Q258" s="265"/>
      <c r="R258" s="265"/>
      <c r="S258" s="265"/>
      <c r="T258" s="265"/>
    </row>
    <row r="259" spans="1:23" ht="30" customHeight="1">
      <c r="A259" s="204" t="str">
        <f>IF(ISBLANK(D259)," ",177-COUNTBLANK($D$5:D259))</f>
        <v xml:space="preserve"> </v>
      </c>
      <c r="B259" s="202"/>
      <c r="C259" s="202"/>
      <c r="D259" s="202"/>
      <c r="E259" s="300"/>
      <c r="F259" s="210"/>
      <c r="G259" s="210"/>
      <c r="H259" s="203"/>
      <c r="I259" s="203"/>
      <c r="J259" s="203"/>
      <c r="K259" s="203"/>
      <c r="L259" s="203"/>
      <c r="M259" s="203"/>
      <c r="N259" s="203"/>
      <c r="O259" s="205"/>
      <c r="P259" s="291"/>
      <c r="Q259" s="265"/>
      <c r="R259" s="265"/>
      <c r="S259" s="265"/>
      <c r="T259" s="265"/>
    </row>
    <row r="260" spans="1:23" ht="30" customHeight="1">
      <c r="A260" s="204" t="str">
        <f>IF(ISBLANK(D260)," ",178-COUNTBLANK($D$5:D260))</f>
        <v xml:space="preserve"> </v>
      </c>
      <c r="B260" s="202"/>
      <c r="C260" s="202"/>
      <c r="D260" s="202"/>
      <c r="E260" s="300"/>
      <c r="F260" s="210"/>
      <c r="G260" s="210"/>
      <c r="H260" s="203"/>
      <c r="I260" s="203"/>
      <c r="J260" s="203"/>
      <c r="K260" s="203"/>
      <c r="L260" s="203"/>
      <c r="M260" s="203"/>
      <c r="N260" s="203"/>
      <c r="O260" s="205"/>
      <c r="P260" s="291"/>
      <c r="Q260" s="265"/>
      <c r="R260" s="265"/>
      <c r="S260" s="265"/>
      <c r="T260" s="265"/>
    </row>
    <row r="261" spans="1:23" ht="30" customHeight="1">
      <c r="A261" s="204" t="str">
        <f>IF(ISBLANK(D261)," ",179-COUNTBLANK($D$5:D261))</f>
        <v xml:space="preserve"> </v>
      </c>
      <c r="B261" s="202"/>
      <c r="C261" s="202"/>
      <c r="D261" s="202"/>
      <c r="E261" s="300"/>
      <c r="F261" s="210"/>
      <c r="G261" s="210"/>
      <c r="H261" s="203"/>
      <c r="I261" s="203"/>
      <c r="J261" s="203"/>
      <c r="K261" s="203"/>
      <c r="L261" s="203"/>
      <c r="M261" s="203"/>
      <c r="N261" s="203"/>
      <c r="O261" s="205"/>
      <c r="P261" s="291"/>
      <c r="Q261" s="265"/>
      <c r="R261" s="265"/>
      <c r="S261" s="265"/>
      <c r="T261" s="265"/>
    </row>
    <row r="262" spans="1:23" ht="30" customHeight="1">
      <c r="A262" s="204" t="str">
        <f>IF(ISBLANK(D262)," ",180-COUNTBLANK($D$5:D262))</f>
        <v xml:space="preserve"> </v>
      </c>
      <c r="B262" s="202"/>
      <c r="C262" s="202"/>
      <c r="D262" s="202"/>
      <c r="E262" s="300"/>
      <c r="F262" s="210"/>
      <c r="G262" s="210"/>
      <c r="H262" s="203"/>
      <c r="I262" s="203"/>
      <c r="J262" s="203"/>
      <c r="K262" s="203"/>
      <c r="L262" s="203"/>
      <c r="M262" s="203"/>
      <c r="N262" s="203"/>
      <c r="O262" s="205"/>
      <c r="P262" s="291"/>
      <c r="Q262" s="265"/>
      <c r="R262" s="265"/>
      <c r="S262" s="265"/>
      <c r="T262" s="265"/>
    </row>
    <row r="263" spans="1:23" ht="30" customHeight="1">
      <c r="A263" s="204" t="str">
        <f>IF(ISBLANK(D263)," ",181-COUNTBLANK($D$5:D263))</f>
        <v xml:space="preserve"> </v>
      </c>
      <c r="B263" s="202"/>
      <c r="C263" s="202"/>
      <c r="D263" s="202"/>
      <c r="E263" s="300"/>
      <c r="F263" s="210"/>
      <c r="G263" s="210"/>
      <c r="H263" s="203"/>
      <c r="I263" s="203"/>
      <c r="J263" s="203"/>
      <c r="K263" s="203"/>
      <c r="L263" s="203"/>
      <c r="M263" s="203"/>
      <c r="N263" s="203"/>
      <c r="O263" s="205"/>
      <c r="P263" s="291"/>
      <c r="Q263" s="265"/>
      <c r="R263" s="265"/>
      <c r="S263" s="265"/>
      <c r="T263" s="265"/>
    </row>
    <row r="264" spans="1:23" ht="30" customHeight="1">
      <c r="A264" s="204" t="str">
        <f>IF(ISBLANK(D264)," ",182-COUNTBLANK($D$5:D264))</f>
        <v xml:space="preserve"> </v>
      </c>
      <c r="B264" s="202"/>
      <c r="C264" s="202"/>
      <c r="D264" s="202"/>
      <c r="E264" s="300"/>
      <c r="F264" s="210"/>
      <c r="G264" s="210"/>
      <c r="H264" s="203"/>
      <c r="I264" s="203"/>
      <c r="J264" s="203"/>
      <c r="K264" s="203"/>
      <c r="L264" s="203"/>
      <c r="M264" s="203"/>
      <c r="N264" s="203"/>
      <c r="O264" s="205"/>
      <c r="P264" s="291"/>
      <c r="Q264" s="265"/>
      <c r="R264" s="265"/>
      <c r="S264" s="265"/>
      <c r="T264" s="265"/>
    </row>
    <row r="265" spans="1:23" ht="30" customHeight="1">
      <c r="A265" s="204" t="str">
        <f>IF(ISBLANK(D265)," ",183-COUNTBLANK($D$5:D265))</f>
        <v xml:space="preserve"> </v>
      </c>
      <c r="B265" s="202"/>
      <c r="C265" s="202"/>
      <c r="D265" s="202"/>
      <c r="E265" s="300"/>
      <c r="F265" s="210"/>
      <c r="G265" s="210"/>
      <c r="H265" s="203"/>
      <c r="I265" s="203"/>
      <c r="J265" s="203"/>
      <c r="K265" s="203"/>
      <c r="L265" s="203"/>
      <c r="M265" s="203"/>
      <c r="N265" s="203"/>
      <c r="O265" s="205"/>
      <c r="P265" s="291"/>
      <c r="Q265" s="265"/>
      <c r="R265" s="265"/>
      <c r="S265" s="265"/>
      <c r="T265" s="265"/>
    </row>
    <row r="266" spans="1:23" ht="30" customHeight="1">
      <c r="A266" s="204" t="str">
        <f>IF(ISBLANK(D266)," ",184-COUNTBLANK($D$5:D266))</f>
        <v xml:space="preserve"> </v>
      </c>
      <c r="B266" s="202"/>
      <c r="C266" s="202"/>
      <c r="D266" s="202"/>
      <c r="E266" s="300"/>
      <c r="F266" s="210"/>
      <c r="G266" s="210"/>
      <c r="H266" s="203"/>
      <c r="I266" s="203"/>
      <c r="J266" s="203"/>
      <c r="K266" s="203"/>
      <c r="L266" s="203"/>
      <c r="M266" s="203"/>
      <c r="N266" s="203"/>
      <c r="O266" s="205"/>
      <c r="P266" s="291"/>
      <c r="Q266" s="265"/>
      <c r="R266" s="265"/>
      <c r="S266" s="265"/>
      <c r="T266" s="265"/>
    </row>
    <row r="267" spans="1:23" ht="30" customHeight="1">
      <c r="A267" s="204" t="str">
        <f>IF(ISBLANK(D267)," ",185-COUNTBLANK($D$5:D267))</f>
        <v xml:space="preserve"> </v>
      </c>
      <c r="B267" s="202"/>
      <c r="C267" s="202"/>
      <c r="D267" s="202"/>
      <c r="E267" s="300"/>
      <c r="F267" s="210"/>
      <c r="G267" s="210"/>
      <c r="H267" s="203"/>
      <c r="I267" s="203"/>
      <c r="J267" s="203"/>
      <c r="K267" s="203"/>
      <c r="L267" s="203"/>
      <c r="M267" s="203"/>
      <c r="N267" s="203"/>
      <c r="O267" s="205"/>
      <c r="P267" s="291"/>
      <c r="Q267" s="265"/>
      <c r="R267" s="265"/>
      <c r="S267" s="265"/>
      <c r="T267" s="265"/>
    </row>
    <row r="268" spans="1:23" ht="30" customHeight="1">
      <c r="A268" s="204" t="str">
        <f>IF(ISBLANK(D268)," ",186-COUNTBLANK($D$5:D268))</f>
        <v xml:space="preserve"> </v>
      </c>
      <c r="B268" s="202"/>
      <c r="C268" s="202"/>
      <c r="D268" s="202"/>
      <c r="E268" s="300"/>
      <c r="F268" s="210"/>
      <c r="G268" s="210"/>
      <c r="H268" s="203"/>
      <c r="I268" s="203"/>
      <c r="J268" s="203"/>
      <c r="K268" s="203"/>
      <c r="L268" s="203"/>
      <c r="M268" s="203"/>
      <c r="N268" s="203"/>
      <c r="O268" s="205"/>
      <c r="P268" s="291"/>
      <c r="Q268" s="265"/>
      <c r="R268" s="265"/>
      <c r="S268" s="265"/>
      <c r="T268" s="267"/>
    </row>
    <row r="269" spans="1:23" ht="30" customHeight="1">
      <c r="A269" s="204" t="str">
        <f>IF(ISBLANK(D269)," ",187-COUNTBLANK($D$5:D269))</f>
        <v xml:space="preserve"> </v>
      </c>
      <c r="B269" s="202"/>
      <c r="C269" s="202"/>
      <c r="D269" s="202"/>
      <c r="E269" s="300"/>
      <c r="F269" s="210"/>
      <c r="G269" s="210"/>
      <c r="H269" s="203"/>
      <c r="I269" s="203"/>
      <c r="J269" s="203"/>
      <c r="K269" s="203"/>
      <c r="L269" s="203"/>
      <c r="M269" s="203"/>
      <c r="N269" s="203"/>
      <c r="O269" s="205"/>
      <c r="P269" s="291"/>
      <c r="Q269" s="265"/>
      <c r="R269" s="265"/>
      <c r="S269" s="265"/>
      <c r="T269" s="267"/>
    </row>
    <row r="270" spans="1:23" ht="30" customHeight="1">
      <c r="A270" s="204" t="str">
        <f>IF(ISBLANK(D270)," ",188-COUNTBLANK($D$5:D270))</f>
        <v xml:space="preserve"> </v>
      </c>
      <c r="B270" s="202"/>
      <c r="C270" s="202"/>
      <c r="D270" s="202"/>
      <c r="E270" s="300"/>
      <c r="F270" s="210"/>
      <c r="G270" s="210"/>
      <c r="H270" s="203"/>
      <c r="I270" s="203"/>
      <c r="J270" s="203"/>
      <c r="K270" s="203"/>
      <c r="L270" s="203"/>
      <c r="M270" s="203"/>
      <c r="N270" s="203"/>
      <c r="O270" s="205"/>
      <c r="P270" s="291"/>
      <c r="Q270" s="265"/>
      <c r="R270" s="265"/>
      <c r="S270" s="265"/>
      <c r="T270" s="267"/>
    </row>
    <row r="271" spans="1:23" ht="30" customHeight="1">
      <c r="A271" s="304" t="str">
        <f>IF(ISBLANK(D271)," ",190-COUNTBLANK($D$5:D271))</f>
        <v xml:space="preserve"> </v>
      </c>
      <c r="B271" s="296"/>
      <c r="C271" s="305"/>
      <c r="D271" s="306"/>
      <c r="E271" s="297"/>
      <c r="F271" s="298"/>
      <c r="G271" s="298"/>
      <c r="H271" s="282"/>
      <c r="I271" s="282"/>
      <c r="J271" s="282"/>
      <c r="K271" s="282"/>
      <c r="L271" s="282"/>
      <c r="M271" s="282"/>
      <c r="N271" s="282"/>
      <c r="O271" s="283"/>
      <c r="P271" s="303"/>
      <c r="Q271" s="265"/>
      <c r="R271" s="265"/>
      <c r="S271" s="265"/>
      <c r="T271" s="284"/>
      <c r="U271" s="265"/>
      <c r="V271" s="265"/>
      <c r="W271" s="265"/>
    </row>
    <row r="272" spans="1:23" ht="30" customHeight="1">
      <c r="A272" s="260" t="str">
        <f>IF(ISBLANK(D272)," ",191-COUNTBLANK($D$5:D272))</f>
        <v xml:space="preserve"> </v>
      </c>
      <c r="B272" s="200"/>
      <c r="C272" s="200"/>
      <c r="D272" s="200"/>
      <c r="E272" s="299"/>
      <c r="F272" s="209"/>
      <c r="G272" s="209"/>
      <c r="H272" s="201"/>
      <c r="I272" s="201"/>
      <c r="J272" s="201"/>
      <c r="K272" s="201"/>
      <c r="L272" s="201"/>
      <c r="M272" s="201"/>
      <c r="N272" s="201"/>
      <c r="O272" s="262"/>
      <c r="P272" s="291"/>
      <c r="Q272" s="265"/>
      <c r="R272" s="265"/>
      <c r="S272" s="265"/>
      <c r="T272" s="284"/>
      <c r="U272" s="265"/>
      <c r="V272" s="265"/>
      <c r="W272" s="265"/>
    </row>
    <row r="273" spans="1:20" ht="30" customHeight="1">
      <c r="A273" s="204" t="str">
        <f>IF(ISBLANK(D273)," ",192-COUNTBLANK($D$5:D273))</f>
        <v xml:space="preserve"> </v>
      </c>
      <c r="B273" s="202"/>
      <c r="C273" s="202"/>
      <c r="D273" s="202"/>
      <c r="E273" s="300"/>
      <c r="F273" s="210"/>
      <c r="G273" s="210"/>
      <c r="H273" s="203"/>
      <c r="I273" s="203"/>
      <c r="J273" s="203"/>
      <c r="K273" s="203"/>
      <c r="L273" s="203"/>
      <c r="M273" s="203"/>
      <c r="N273" s="203"/>
      <c r="O273" s="205"/>
      <c r="P273" s="291"/>
      <c r="Q273" s="265"/>
      <c r="R273" s="265"/>
      <c r="S273" s="265"/>
      <c r="T273" s="265"/>
    </row>
    <row r="274" spans="1:20" ht="30" customHeight="1">
      <c r="A274" s="204" t="str">
        <f>IF(ISBLANK(D274)," ",193-COUNTBLANK($D$5:D274))</f>
        <v xml:space="preserve"> </v>
      </c>
      <c r="B274" s="202"/>
      <c r="C274" s="202"/>
      <c r="D274" s="202"/>
      <c r="E274" s="300"/>
      <c r="F274" s="210"/>
      <c r="G274" s="210"/>
      <c r="H274" s="203"/>
      <c r="I274" s="203"/>
      <c r="J274" s="203"/>
      <c r="K274" s="203"/>
      <c r="L274" s="203"/>
      <c r="M274" s="203"/>
      <c r="N274" s="203"/>
      <c r="O274" s="205"/>
      <c r="P274" s="291"/>
      <c r="Q274" s="265"/>
      <c r="R274" s="265"/>
      <c r="S274" s="265"/>
      <c r="T274" s="265"/>
    </row>
    <row r="275" spans="1:20" ht="30" customHeight="1">
      <c r="A275" s="204" t="str">
        <f>IF(ISBLANK(D275)," ",194-COUNTBLANK($D$5:D275))</f>
        <v xml:space="preserve"> </v>
      </c>
      <c r="B275" s="202"/>
      <c r="C275" s="202"/>
      <c r="D275" s="202"/>
      <c r="E275" s="300"/>
      <c r="F275" s="210"/>
      <c r="G275" s="210"/>
      <c r="H275" s="203"/>
      <c r="I275" s="203"/>
      <c r="J275" s="203"/>
      <c r="K275" s="203"/>
      <c r="L275" s="203"/>
      <c r="M275" s="203"/>
      <c r="N275" s="203"/>
      <c r="O275" s="205"/>
      <c r="P275" s="291"/>
      <c r="Q275" s="265"/>
      <c r="R275" s="265"/>
      <c r="S275" s="265"/>
      <c r="T275" s="265"/>
    </row>
    <row r="276" spans="1:20" ht="30" customHeight="1">
      <c r="A276" s="204" t="str">
        <f>IF(ISBLANK(D276)," ",195-COUNTBLANK($D$5:D276))</f>
        <v xml:space="preserve"> </v>
      </c>
      <c r="B276" s="202"/>
      <c r="C276" s="202"/>
      <c r="D276" s="202"/>
      <c r="E276" s="300"/>
      <c r="F276" s="210"/>
      <c r="G276" s="210"/>
      <c r="H276" s="203"/>
      <c r="I276" s="203"/>
      <c r="J276" s="203"/>
      <c r="K276" s="203"/>
      <c r="L276" s="203"/>
      <c r="M276" s="203"/>
      <c r="N276" s="203"/>
      <c r="O276" s="205"/>
      <c r="P276" s="291"/>
      <c r="Q276" s="265"/>
      <c r="R276" s="265"/>
      <c r="S276" s="265"/>
      <c r="T276" s="265"/>
    </row>
    <row r="277" spans="1:20" ht="30" customHeight="1">
      <c r="A277" s="204" t="str">
        <f>IF(ISBLANK(D277)," ",196-COUNTBLANK($D$5:D277))</f>
        <v xml:space="preserve"> </v>
      </c>
      <c r="B277" s="202"/>
      <c r="C277" s="202"/>
      <c r="D277" s="202"/>
      <c r="E277" s="300"/>
      <c r="F277" s="210"/>
      <c r="G277" s="210"/>
      <c r="H277" s="203"/>
      <c r="I277" s="203"/>
      <c r="J277" s="203"/>
      <c r="K277" s="203"/>
      <c r="L277" s="203"/>
      <c r="M277" s="203"/>
      <c r="N277" s="203"/>
      <c r="O277" s="205"/>
      <c r="P277" s="291"/>
      <c r="Q277" s="265"/>
      <c r="R277" s="265"/>
      <c r="S277" s="265"/>
      <c r="T277" s="265"/>
    </row>
    <row r="278" spans="1:20" ht="30" customHeight="1">
      <c r="A278" s="204" t="str">
        <f>IF(ISBLANK(D278)," ",197-COUNTBLANK($D$5:D278))</f>
        <v xml:space="preserve"> </v>
      </c>
      <c r="B278" s="202"/>
      <c r="C278" s="202"/>
      <c r="D278" s="202"/>
      <c r="E278" s="300"/>
      <c r="F278" s="210"/>
      <c r="G278" s="210"/>
      <c r="H278" s="203"/>
      <c r="I278" s="203"/>
      <c r="J278" s="203"/>
      <c r="K278" s="203"/>
      <c r="L278" s="203"/>
      <c r="M278" s="203"/>
      <c r="N278" s="203"/>
      <c r="O278" s="205"/>
      <c r="P278" s="291"/>
      <c r="Q278" s="265"/>
      <c r="R278" s="265"/>
      <c r="S278" s="265"/>
      <c r="T278" s="265"/>
    </row>
    <row r="279" spans="1:20" ht="30" customHeight="1">
      <c r="A279" s="204" t="str">
        <f>IF(ISBLANK(D279)," ",198-COUNTBLANK($D$5:D279))</f>
        <v xml:space="preserve"> </v>
      </c>
      <c r="B279" s="202"/>
      <c r="C279" s="202"/>
      <c r="D279" s="202"/>
      <c r="E279" s="300"/>
      <c r="F279" s="210"/>
      <c r="G279" s="210"/>
      <c r="H279" s="203"/>
      <c r="I279" s="203"/>
      <c r="J279" s="203"/>
      <c r="K279" s="203"/>
      <c r="L279" s="203"/>
      <c r="M279" s="203"/>
      <c r="N279" s="203"/>
      <c r="O279" s="205"/>
      <c r="P279" s="291"/>
      <c r="Q279" s="265"/>
      <c r="R279" s="265"/>
      <c r="S279" s="265"/>
      <c r="T279" s="265"/>
    </row>
    <row r="280" spans="1:20" ht="30" customHeight="1">
      <c r="A280" s="204" t="str">
        <f>IF(ISBLANK(D280)," ",199-COUNTBLANK($D$5:D280))</f>
        <v xml:space="preserve"> </v>
      </c>
      <c r="B280" s="202"/>
      <c r="C280" s="202"/>
      <c r="D280" s="202"/>
      <c r="E280" s="300"/>
      <c r="F280" s="210"/>
      <c r="G280" s="210"/>
      <c r="H280" s="203"/>
      <c r="I280" s="203"/>
      <c r="J280" s="203"/>
      <c r="K280" s="203"/>
      <c r="L280" s="203"/>
      <c r="M280" s="203"/>
      <c r="N280" s="203"/>
      <c r="O280" s="205"/>
      <c r="P280" s="291"/>
      <c r="Q280" s="265"/>
      <c r="R280" s="265"/>
      <c r="S280" s="265"/>
      <c r="T280" s="265"/>
    </row>
    <row r="281" spans="1:20" ht="30" customHeight="1">
      <c r="A281" s="204" t="str">
        <f>IF(ISBLANK(D281)," ",200-COUNTBLANK($D$5:D281))</f>
        <v xml:space="preserve"> </v>
      </c>
      <c r="B281" s="202"/>
      <c r="C281" s="202"/>
      <c r="D281" s="202"/>
      <c r="E281" s="300"/>
      <c r="F281" s="210"/>
      <c r="G281" s="210"/>
      <c r="H281" s="203"/>
      <c r="I281" s="203"/>
      <c r="J281" s="203"/>
      <c r="K281" s="203"/>
      <c r="L281" s="203"/>
      <c r="M281" s="203"/>
      <c r="N281" s="203"/>
      <c r="O281" s="205"/>
      <c r="P281" s="291"/>
      <c r="Q281" s="265"/>
      <c r="R281" s="265"/>
      <c r="S281" s="265"/>
      <c r="T281" s="265"/>
    </row>
    <row r="282" spans="1:20" ht="30" customHeight="1">
      <c r="A282" s="204" t="str">
        <f>IF(ISBLANK(D282)," ",201-COUNTBLANK($D$5:D282))</f>
        <v xml:space="preserve"> </v>
      </c>
      <c r="B282" s="202"/>
      <c r="C282" s="202"/>
      <c r="D282" s="202"/>
      <c r="E282" s="300"/>
      <c r="F282" s="210"/>
      <c r="G282" s="210"/>
      <c r="H282" s="203"/>
      <c r="I282" s="203"/>
      <c r="J282" s="203"/>
      <c r="K282" s="203"/>
      <c r="L282" s="203"/>
      <c r="M282" s="203"/>
      <c r="N282" s="203"/>
      <c r="O282" s="205"/>
      <c r="P282" s="291"/>
      <c r="Q282" s="265"/>
      <c r="R282" s="265"/>
      <c r="S282" s="265"/>
      <c r="T282" s="265"/>
    </row>
    <row r="283" spans="1:20" ht="30" customHeight="1">
      <c r="A283" s="204" t="str">
        <f>IF(ISBLANK(D283)," ",202-COUNTBLANK($D$5:D283))</f>
        <v xml:space="preserve"> </v>
      </c>
      <c r="B283" s="202"/>
      <c r="C283" s="202"/>
      <c r="D283" s="202"/>
      <c r="E283" s="300"/>
      <c r="F283" s="210"/>
      <c r="G283" s="210"/>
      <c r="H283" s="203"/>
      <c r="I283" s="203"/>
      <c r="J283" s="203"/>
      <c r="K283" s="203"/>
      <c r="L283" s="203"/>
      <c r="M283" s="203"/>
      <c r="N283" s="203"/>
      <c r="O283" s="205"/>
      <c r="P283" s="291"/>
      <c r="Q283" s="265"/>
      <c r="R283" s="265"/>
      <c r="S283" s="265"/>
      <c r="T283" s="265"/>
    </row>
    <row r="284" spans="1:20" ht="30" customHeight="1">
      <c r="A284" s="204" t="str">
        <f>IF(ISBLANK(D284)," ",203-COUNTBLANK($D$5:D284))</f>
        <v xml:space="preserve"> </v>
      </c>
      <c r="B284" s="202"/>
      <c r="C284" s="202"/>
      <c r="D284" s="202"/>
      <c r="E284" s="300"/>
      <c r="F284" s="210"/>
      <c r="G284" s="210"/>
      <c r="H284" s="203"/>
      <c r="I284" s="203"/>
      <c r="J284" s="203"/>
      <c r="K284" s="203"/>
      <c r="L284" s="203"/>
      <c r="M284" s="203"/>
      <c r="N284" s="203"/>
      <c r="O284" s="205"/>
      <c r="P284" s="291"/>
      <c r="Q284" s="265"/>
      <c r="R284" s="265"/>
      <c r="S284" s="265"/>
      <c r="T284" s="265"/>
    </row>
    <row r="285" spans="1:20" ht="30" customHeight="1">
      <c r="A285" s="204" t="str">
        <f>IF(ISBLANK(D285)," ",204-COUNTBLANK($D$5:D285))</f>
        <v xml:space="preserve"> </v>
      </c>
      <c r="B285" s="202"/>
      <c r="C285" s="202"/>
      <c r="D285" s="202"/>
      <c r="E285" s="300"/>
      <c r="F285" s="210"/>
      <c r="G285" s="210"/>
      <c r="H285" s="203"/>
      <c r="I285" s="203"/>
      <c r="J285" s="203"/>
      <c r="K285" s="203"/>
      <c r="L285" s="203"/>
      <c r="M285" s="203"/>
      <c r="N285" s="203"/>
      <c r="O285" s="205"/>
      <c r="P285" s="291"/>
      <c r="Q285" s="265"/>
      <c r="R285" s="265"/>
      <c r="S285" s="265"/>
      <c r="T285" s="265"/>
    </row>
    <row r="286" spans="1:20" ht="30" customHeight="1">
      <c r="A286" s="204" t="str">
        <f>IF(ISBLANK(D286)," ",205-COUNTBLANK($D$5:D286))</f>
        <v xml:space="preserve"> </v>
      </c>
      <c r="B286" s="202"/>
      <c r="C286" s="202"/>
      <c r="D286" s="202"/>
      <c r="E286" s="300"/>
      <c r="F286" s="210"/>
      <c r="G286" s="210"/>
      <c r="H286" s="203"/>
      <c r="I286" s="203"/>
      <c r="J286" s="203"/>
      <c r="K286" s="203"/>
      <c r="L286" s="203"/>
      <c r="M286" s="203"/>
      <c r="N286" s="203"/>
      <c r="O286" s="205"/>
      <c r="P286" s="291"/>
      <c r="Q286" s="265"/>
      <c r="R286" s="265"/>
      <c r="S286" s="265"/>
      <c r="T286" s="265"/>
    </row>
    <row r="287" spans="1:20" ht="30" customHeight="1">
      <c r="A287" s="204" t="str">
        <f>IF(ISBLANK(D287)," ",206-COUNTBLANK($D$5:D287))</f>
        <v xml:space="preserve"> </v>
      </c>
      <c r="B287" s="202"/>
      <c r="C287" s="202"/>
      <c r="D287" s="202"/>
      <c r="E287" s="300"/>
      <c r="F287" s="210"/>
      <c r="G287" s="210"/>
      <c r="H287" s="203"/>
      <c r="I287" s="203"/>
      <c r="J287" s="203"/>
      <c r="K287" s="203"/>
      <c r="L287" s="203"/>
      <c r="M287" s="203"/>
      <c r="N287" s="203"/>
      <c r="O287" s="205"/>
      <c r="P287" s="291"/>
      <c r="Q287" s="265"/>
      <c r="R287" s="265"/>
      <c r="S287" s="265"/>
      <c r="T287" s="265"/>
    </row>
    <row r="288" spans="1:20" ht="30" customHeight="1">
      <c r="A288" s="204" t="str">
        <f>IF(ISBLANK(D288)," ",207-COUNTBLANK($D$5:D288))</f>
        <v xml:space="preserve"> </v>
      </c>
      <c r="B288" s="202"/>
      <c r="C288" s="202"/>
      <c r="D288" s="202"/>
      <c r="E288" s="300"/>
      <c r="F288" s="210"/>
      <c r="G288" s="210"/>
      <c r="H288" s="203"/>
      <c r="I288" s="203"/>
      <c r="J288" s="203"/>
      <c r="K288" s="203"/>
      <c r="L288" s="203"/>
      <c r="M288" s="203"/>
      <c r="N288" s="203"/>
      <c r="O288" s="205"/>
      <c r="P288" s="291"/>
      <c r="Q288" s="265"/>
      <c r="R288" s="265"/>
      <c r="S288" s="265"/>
      <c r="T288" s="267"/>
    </row>
    <row r="289" spans="1:23" ht="30" customHeight="1">
      <c r="A289" s="204" t="str">
        <f>IF(ISBLANK(D289)," ",208-COUNTBLANK($D$5:D289))</f>
        <v xml:space="preserve"> </v>
      </c>
      <c r="B289" s="202"/>
      <c r="C289" s="202"/>
      <c r="D289" s="202"/>
      <c r="E289" s="300"/>
      <c r="F289" s="210"/>
      <c r="G289" s="210"/>
      <c r="H289" s="203"/>
      <c r="I289" s="203"/>
      <c r="J289" s="203"/>
      <c r="K289" s="203"/>
      <c r="L289" s="203"/>
      <c r="M289" s="203"/>
      <c r="N289" s="203"/>
      <c r="O289" s="205"/>
      <c r="P289" s="291"/>
      <c r="Q289" s="265"/>
      <c r="R289" s="265"/>
      <c r="S289" s="265"/>
      <c r="T289" s="267"/>
    </row>
    <row r="290" spans="1:23" ht="30" customHeight="1">
      <c r="A290" s="204" t="str">
        <f>IF(ISBLANK(D290)," ",209-COUNTBLANK($D$5:D290))</f>
        <v xml:space="preserve"> </v>
      </c>
      <c r="B290" s="202"/>
      <c r="C290" s="202"/>
      <c r="D290" s="202"/>
      <c r="E290" s="300"/>
      <c r="F290" s="210"/>
      <c r="G290" s="210"/>
      <c r="H290" s="203"/>
      <c r="I290" s="203"/>
      <c r="J290" s="203"/>
      <c r="K290" s="203"/>
      <c r="L290" s="203"/>
      <c r="M290" s="203"/>
      <c r="N290" s="203"/>
      <c r="O290" s="205"/>
      <c r="P290" s="291"/>
      <c r="Q290" s="265"/>
      <c r="R290" s="265"/>
      <c r="S290" s="265"/>
      <c r="T290" s="267"/>
    </row>
    <row r="291" spans="1:23" ht="30" customHeight="1">
      <c r="A291" s="304" t="str">
        <f>IF(ISBLANK(D291)," ",211-COUNTBLANK($D$5:D291))</f>
        <v xml:space="preserve"> </v>
      </c>
      <c r="B291" s="296"/>
      <c r="C291" s="305"/>
      <c r="D291" s="306"/>
      <c r="E291" s="297"/>
      <c r="F291" s="298"/>
      <c r="G291" s="298"/>
      <c r="H291" s="282"/>
      <c r="I291" s="282"/>
      <c r="J291" s="282"/>
      <c r="K291" s="282"/>
      <c r="L291" s="282"/>
      <c r="M291" s="282"/>
      <c r="N291" s="282"/>
      <c r="O291" s="283"/>
      <c r="P291" s="303"/>
      <c r="Q291" s="265"/>
      <c r="R291" s="265"/>
      <c r="S291" s="265"/>
      <c r="T291" s="284"/>
      <c r="U291" s="265"/>
      <c r="V291" s="265"/>
      <c r="W291" s="265"/>
    </row>
    <row r="292" spans="1:23" ht="30" customHeight="1">
      <c r="A292" s="260" t="str">
        <f>IF(ISBLANK(D292)," ",212-COUNTBLANK($D$5:D292))</f>
        <v xml:space="preserve"> </v>
      </c>
      <c r="B292" s="200"/>
      <c r="C292" s="200"/>
      <c r="D292" s="200"/>
      <c r="E292" s="299"/>
      <c r="F292" s="209"/>
      <c r="G292" s="209"/>
      <c r="H292" s="201"/>
      <c r="I292" s="201"/>
      <c r="J292" s="201"/>
      <c r="K292" s="201"/>
      <c r="L292" s="201"/>
      <c r="M292" s="201"/>
      <c r="N292" s="201"/>
      <c r="O292" s="262"/>
      <c r="P292" s="291"/>
      <c r="Q292" s="265"/>
      <c r="R292" s="265"/>
      <c r="S292" s="265"/>
      <c r="T292" s="284"/>
      <c r="U292" s="265"/>
      <c r="V292" s="265"/>
      <c r="W292" s="265"/>
    </row>
    <row r="293" spans="1:23" ht="30" customHeight="1">
      <c r="A293" s="204" t="str">
        <f>IF(ISBLANK(D293)," ",213-COUNTBLANK($D$5:D293))</f>
        <v xml:space="preserve"> </v>
      </c>
      <c r="B293" s="202"/>
      <c r="C293" s="202"/>
      <c r="D293" s="202"/>
      <c r="E293" s="300"/>
      <c r="F293" s="210"/>
      <c r="G293" s="210"/>
      <c r="H293" s="203"/>
      <c r="I293" s="203"/>
      <c r="J293" s="203"/>
      <c r="K293" s="203"/>
      <c r="L293" s="203"/>
      <c r="M293" s="203"/>
      <c r="N293" s="203"/>
      <c r="O293" s="205"/>
      <c r="P293" s="291"/>
      <c r="Q293" s="265"/>
      <c r="R293" s="265"/>
      <c r="S293" s="265"/>
      <c r="T293" s="265"/>
    </row>
    <row r="294" spans="1:23" ht="30" customHeight="1">
      <c r="A294" s="204" t="str">
        <f>IF(ISBLANK(D294)," ",214-COUNTBLANK($D$5:D294))</f>
        <v xml:space="preserve"> </v>
      </c>
      <c r="B294" s="202"/>
      <c r="C294" s="202"/>
      <c r="D294" s="202"/>
      <c r="E294" s="300"/>
      <c r="F294" s="210"/>
      <c r="G294" s="210"/>
      <c r="H294" s="203"/>
      <c r="I294" s="203"/>
      <c r="J294" s="203"/>
      <c r="K294" s="203"/>
      <c r="L294" s="203"/>
      <c r="M294" s="203"/>
      <c r="N294" s="203"/>
      <c r="O294" s="205"/>
      <c r="P294" s="291"/>
      <c r="Q294" s="265"/>
      <c r="R294" s="265"/>
      <c r="S294" s="265"/>
      <c r="T294" s="265"/>
    </row>
    <row r="295" spans="1:23" ht="30" customHeight="1">
      <c r="A295" s="204" t="str">
        <f>IF(ISBLANK(D295)," ",215-COUNTBLANK($D$5:D295))</f>
        <v xml:space="preserve"> </v>
      </c>
      <c r="B295" s="202"/>
      <c r="C295" s="202"/>
      <c r="D295" s="202"/>
      <c r="E295" s="300"/>
      <c r="F295" s="210"/>
      <c r="G295" s="210"/>
      <c r="H295" s="203"/>
      <c r="I295" s="203"/>
      <c r="J295" s="203"/>
      <c r="K295" s="203"/>
      <c r="L295" s="203"/>
      <c r="M295" s="203"/>
      <c r="N295" s="203"/>
      <c r="O295" s="205"/>
      <c r="P295" s="291"/>
      <c r="Q295" s="265"/>
      <c r="R295" s="265"/>
      <c r="S295" s="265"/>
      <c r="T295" s="265"/>
    </row>
    <row r="296" spans="1:23" ht="30" customHeight="1">
      <c r="A296" s="204" t="str">
        <f>IF(ISBLANK(D296)," ",216-COUNTBLANK($D$5:D296))</f>
        <v xml:space="preserve"> </v>
      </c>
      <c r="B296" s="202"/>
      <c r="C296" s="202"/>
      <c r="D296" s="202"/>
      <c r="E296" s="300"/>
      <c r="F296" s="210"/>
      <c r="G296" s="210"/>
      <c r="H296" s="203"/>
      <c r="I296" s="203"/>
      <c r="J296" s="203"/>
      <c r="K296" s="203"/>
      <c r="L296" s="203"/>
      <c r="M296" s="203"/>
      <c r="N296" s="203"/>
      <c r="O296" s="205"/>
      <c r="P296" s="291"/>
      <c r="Q296" s="265"/>
      <c r="R296" s="265"/>
      <c r="S296" s="265"/>
      <c r="T296" s="265"/>
    </row>
    <row r="297" spans="1:23" ht="30" customHeight="1">
      <c r="A297" s="204" t="str">
        <f>IF(ISBLANK(D297)," ",217-COUNTBLANK($D$5:D297))</f>
        <v xml:space="preserve"> </v>
      </c>
      <c r="B297" s="202"/>
      <c r="C297" s="202"/>
      <c r="D297" s="202"/>
      <c r="E297" s="300"/>
      <c r="F297" s="210"/>
      <c r="G297" s="210"/>
      <c r="H297" s="203"/>
      <c r="I297" s="203"/>
      <c r="J297" s="203"/>
      <c r="K297" s="203"/>
      <c r="L297" s="203"/>
      <c r="M297" s="203"/>
      <c r="N297" s="203"/>
      <c r="O297" s="205"/>
      <c r="P297" s="291"/>
      <c r="Q297" s="265"/>
      <c r="R297" s="265"/>
      <c r="S297" s="265"/>
      <c r="T297" s="265"/>
    </row>
    <row r="298" spans="1:23" ht="30" customHeight="1">
      <c r="A298" s="204" t="str">
        <f>IF(ISBLANK(D298)," ",218-COUNTBLANK($D$5:D298))</f>
        <v xml:space="preserve"> </v>
      </c>
      <c r="B298" s="202"/>
      <c r="C298" s="202"/>
      <c r="D298" s="202"/>
      <c r="E298" s="300"/>
      <c r="F298" s="210"/>
      <c r="G298" s="210"/>
      <c r="H298" s="203"/>
      <c r="I298" s="203"/>
      <c r="J298" s="203"/>
      <c r="K298" s="203"/>
      <c r="L298" s="203"/>
      <c r="M298" s="203"/>
      <c r="N298" s="203"/>
      <c r="O298" s="205"/>
      <c r="P298" s="291"/>
      <c r="Q298" s="265"/>
      <c r="R298" s="265"/>
      <c r="S298" s="265"/>
      <c r="T298" s="265"/>
    </row>
    <row r="299" spans="1:23" ht="30" customHeight="1">
      <c r="A299" s="204" t="str">
        <f>IF(ISBLANK(D299)," ",219-COUNTBLANK($D$5:D299))</f>
        <v xml:space="preserve"> </v>
      </c>
      <c r="B299" s="202"/>
      <c r="C299" s="202"/>
      <c r="D299" s="202"/>
      <c r="E299" s="300"/>
      <c r="F299" s="210"/>
      <c r="G299" s="210"/>
      <c r="H299" s="203"/>
      <c r="I299" s="203"/>
      <c r="J299" s="203"/>
      <c r="K299" s="203"/>
      <c r="L299" s="203"/>
      <c r="M299" s="203"/>
      <c r="N299" s="203"/>
      <c r="O299" s="205"/>
      <c r="P299" s="291"/>
      <c r="Q299" s="265"/>
      <c r="R299" s="265"/>
      <c r="S299" s="265"/>
      <c r="T299" s="265"/>
    </row>
    <row r="300" spans="1:23" ht="30" customHeight="1">
      <c r="A300" s="204" t="str">
        <f>IF(ISBLANK(D300)," ",220-COUNTBLANK($D$5:D300))</f>
        <v xml:space="preserve"> </v>
      </c>
      <c r="B300" s="202"/>
      <c r="C300" s="202"/>
      <c r="D300" s="202"/>
      <c r="E300" s="300"/>
      <c r="F300" s="210"/>
      <c r="G300" s="210"/>
      <c r="H300" s="203"/>
      <c r="I300" s="203"/>
      <c r="J300" s="203"/>
      <c r="K300" s="203"/>
      <c r="L300" s="203"/>
      <c r="M300" s="203"/>
      <c r="N300" s="203"/>
      <c r="O300" s="205"/>
      <c r="P300" s="291"/>
      <c r="Q300" s="265"/>
      <c r="R300" s="265"/>
      <c r="S300" s="265"/>
      <c r="T300" s="265"/>
    </row>
    <row r="301" spans="1:23" ht="30" customHeight="1">
      <c r="A301" s="204" t="str">
        <f>IF(ISBLANK(D301)," ",221-COUNTBLANK($D$5:D301))</f>
        <v xml:space="preserve"> </v>
      </c>
      <c r="B301" s="202"/>
      <c r="C301" s="202"/>
      <c r="D301" s="202"/>
      <c r="E301" s="300"/>
      <c r="F301" s="210"/>
      <c r="G301" s="210"/>
      <c r="H301" s="203"/>
      <c r="I301" s="203"/>
      <c r="J301" s="203"/>
      <c r="K301" s="203"/>
      <c r="L301" s="203"/>
      <c r="M301" s="203"/>
      <c r="N301" s="203"/>
      <c r="O301" s="205"/>
      <c r="P301" s="291"/>
      <c r="Q301" s="265"/>
      <c r="R301" s="265"/>
      <c r="S301" s="265"/>
      <c r="T301" s="265"/>
    </row>
    <row r="302" spans="1:23" ht="30" customHeight="1">
      <c r="A302" s="204" t="str">
        <f>IF(ISBLANK(D302)," ",222-COUNTBLANK($D$5:D302))</f>
        <v xml:space="preserve"> </v>
      </c>
      <c r="B302" s="202"/>
      <c r="C302" s="202"/>
      <c r="D302" s="202"/>
      <c r="E302" s="300"/>
      <c r="F302" s="210"/>
      <c r="G302" s="210"/>
      <c r="H302" s="203"/>
      <c r="I302" s="203"/>
      <c r="J302" s="203"/>
      <c r="K302" s="203"/>
      <c r="L302" s="203"/>
      <c r="M302" s="203"/>
      <c r="N302" s="203"/>
      <c r="O302" s="205"/>
      <c r="P302" s="291"/>
      <c r="Q302" s="265"/>
      <c r="R302" s="265"/>
      <c r="S302" s="265"/>
      <c r="T302" s="265"/>
    </row>
    <row r="303" spans="1:23" ht="30" customHeight="1">
      <c r="A303" s="204" t="str">
        <f>IF(ISBLANK(D303)," ",223-COUNTBLANK($D$5:D303))</f>
        <v xml:space="preserve"> </v>
      </c>
      <c r="B303" s="202"/>
      <c r="C303" s="202"/>
      <c r="D303" s="202"/>
      <c r="E303" s="300"/>
      <c r="F303" s="210"/>
      <c r="G303" s="210"/>
      <c r="H303" s="203"/>
      <c r="I303" s="203"/>
      <c r="J303" s="203"/>
      <c r="K303" s="203"/>
      <c r="L303" s="203"/>
      <c r="M303" s="203"/>
      <c r="N303" s="203"/>
      <c r="O303" s="205"/>
      <c r="P303" s="291"/>
      <c r="Q303" s="265"/>
      <c r="R303" s="265"/>
      <c r="S303" s="265"/>
      <c r="T303" s="265"/>
    </row>
    <row r="304" spans="1:23" ht="30" customHeight="1">
      <c r="A304" s="204" t="str">
        <f>IF(ISBLANK(D304)," ",224-COUNTBLANK($D$5:D304))</f>
        <v xml:space="preserve"> </v>
      </c>
      <c r="B304" s="202"/>
      <c r="C304" s="202"/>
      <c r="D304" s="202"/>
      <c r="E304" s="300"/>
      <c r="F304" s="210"/>
      <c r="G304" s="210"/>
      <c r="H304" s="203"/>
      <c r="I304" s="203"/>
      <c r="J304" s="203"/>
      <c r="K304" s="203"/>
      <c r="L304" s="203"/>
      <c r="M304" s="203"/>
      <c r="N304" s="203"/>
      <c r="O304" s="205"/>
      <c r="P304" s="291"/>
      <c r="Q304" s="265"/>
      <c r="R304" s="265"/>
      <c r="S304" s="265"/>
      <c r="T304" s="265"/>
    </row>
    <row r="305" spans="1:23" ht="30" customHeight="1">
      <c r="A305" s="204" t="str">
        <f>IF(ISBLANK(D305)," ",225-COUNTBLANK($D$5:D305))</f>
        <v xml:space="preserve"> </v>
      </c>
      <c r="B305" s="202"/>
      <c r="C305" s="202"/>
      <c r="D305" s="202"/>
      <c r="E305" s="300"/>
      <c r="F305" s="210"/>
      <c r="G305" s="210"/>
      <c r="H305" s="203"/>
      <c r="I305" s="203"/>
      <c r="J305" s="203"/>
      <c r="K305" s="203"/>
      <c r="L305" s="203"/>
      <c r="M305" s="203"/>
      <c r="N305" s="203"/>
      <c r="O305" s="205"/>
      <c r="P305" s="291"/>
      <c r="Q305" s="265"/>
      <c r="R305" s="265"/>
      <c r="S305" s="265"/>
      <c r="T305" s="265"/>
    </row>
    <row r="306" spans="1:23" ht="30" customHeight="1">
      <c r="A306" s="204" t="str">
        <f>IF(ISBLANK(D306)," ",226-COUNTBLANK($D$5:D306))</f>
        <v xml:space="preserve"> </v>
      </c>
      <c r="B306" s="202"/>
      <c r="C306" s="202"/>
      <c r="D306" s="202"/>
      <c r="E306" s="300"/>
      <c r="F306" s="210"/>
      <c r="G306" s="210"/>
      <c r="H306" s="203"/>
      <c r="I306" s="203"/>
      <c r="J306" s="203"/>
      <c r="K306" s="203"/>
      <c r="L306" s="203"/>
      <c r="M306" s="203"/>
      <c r="N306" s="203"/>
      <c r="O306" s="205"/>
      <c r="P306" s="291"/>
      <c r="Q306" s="265"/>
      <c r="R306" s="265"/>
      <c r="S306" s="265"/>
      <c r="T306" s="265"/>
    </row>
    <row r="307" spans="1:23" ht="30" customHeight="1">
      <c r="A307" s="204" t="str">
        <f>IF(ISBLANK(D307)," ",227-COUNTBLANK($D$5:D307))</f>
        <v xml:space="preserve"> </v>
      </c>
      <c r="B307" s="202"/>
      <c r="C307" s="202"/>
      <c r="D307" s="202"/>
      <c r="E307" s="300"/>
      <c r="F307" s="210"/>
      <c r="G307" s="210"/>
      <c r="H307" s="203"/>
      <c r="I307" s="203"/>
      <c r="J307" s="203"/>
      <c r="K307" s="203"/>
      <c r="L307" s="203"/>
      <c r="M307" s="203"/>
      <c r="N307" s="203"/>
      <c r="O307" s="205"/>
      <c r="P307" s="291"/>
      <c r="Q307" s="265"/>
      <c r="R307" s="265"/>
      <c r="S307" s="265"/>
      <c r="T307" s="265"/>
    </row>
    <row r="308" spans="1:23" ht="30" customHeight="1">
      <c r="A308" s="204" t="str">
        <f>IF(ISBLANK(D308)," ",228-COUNTBLANK($D$5:D308))</f>
        <v xml:space="preserve"> </v>
      </c>
      <c r="B308" s="202"/>
      <c r="C308" s="202"/>
      <c r="D308" s="202"/>
      <c r="E308" s="300"/>
      <c r="F308" s="210"/>
      <c r="G308" s="210"/>
      <c r="H308" s="203"/>
      <c r="I308" s="203"/>
      <c r="J308" s="203"/>
      <c r="K308" s="203"/>
      <c r="L308" s="203"/>
      <c r="M308" s="203"/>
      <c r="N308" s="203"/>
      <c r="O308" s="205"/>
      <c r="P308" s="291"/>
      <c r="Q308" s="265"/>
      <c r="R308" s="265"/>
      <c r="S308" s="265"/>
      <c r="T308" s="267"/>
    </row>
    <row r="309" spans="1:23" ht="30" customHeight="1">
      <c r="A309" s="204" t="str">
        <f>IF(ISBLANK(D309)," ",229-COUNTBLANK($D$5:D309))</f>
        <v xml:space="preserve"> </v>
      </c>
      <c r="B309" s="202"/>
      <c r="C309" s="202"/>
      <c r="D309" s="202"/>
      <c r="E309" s="300"/>
      <c r="F309" s="210"/>
      <c r="G309" s="210"/>
      <c r="H309" s="203"/>
      <c r="I309" s="203"/>
      <c r="J309" s="203"/>
      <c r="K309" s="203"/>
      <c r="L309" s="203"/>
      <c r="M309" s="203"/>
      <c r="N309" s="203"/>
      <c r="O309" s="205"/>
      <c r="P309" s="291"/>
      <c r="Q309" s="265"/>
      <c r="R309" s="265"/>
      <c r="S309" s="265"/>
      <c r="T309" s="267"/>
    </row>
    <row r="310" spans="1:23" ht="30" customHeight="1">
      <c r="A310" s="204" t="str">
        <f>IF(ISBLANK(D310)," ",230-COUNTBLANK($D$5:D310))</f>
        <v xml:space="preserve"> </v>
      </c>
      <c r="B310" s="202"/>
      <c r="C310" s="202"/>
      <c r="D310" s="202"/>
      <c r="E310" s="300"/>
      <c r="F310" s="210"/>
      <c r="G310" s="210"/>
      <c r="H310" s="203"/>
      <c r="I310" s="203"/>
      <c r="J310" s="203"/>
      <c r="K310" s="203"/>
      <c r="L310" s="203"/>
      <c r="M310" s="203"/>
      <c r="N310" s="203"/>
      <c r="O310" s="205"/>
      <c r="P310" s="291"/>
      <c r="Q310" s="265"/>
      <c r="R310" s="265"/>
      <c r="S310" s="265"/>
      <c r="T310" s="267"/>
    </row>
    <row r="311" spans="1:23" ht="30" customHeight="1">
      <c r="A311" s="304" t="str">
        <f>IF(ISBLANK(D311)," ",232-COUNTBLANK($D$5:D311))</f>
        <v xml:space="preserve"> </v>
      </c>
      <c r="B311" s="296"/>
      <c r="C311" s="305"/>
      <c r="D311" s="306"/>
      <c r="E311" s="297"/>
      <c r="F311" s="298"/>
      <c r="G311" s="298"/>
      <c r="H311" s="282"/>
      <c r="I311" s="282"/>
      <c r="J311" s="282"/>
      <c r="K311" s="282"/>
      <c r="L311" s="282"/>
      <c r="M311" s="282"/>
      <c r="N311" s="282"/>
      <c r="O311" s="283"/>
      <c r="P311" s="303"/>
      <c r="Q311" s="265"/>
      <c r="R311" s="265"/>
      <c r="S311" s="265"/>
      <c r="T311" s="284"/>
      <c r="U311" s="265"/>
      <c r="V311" s="265"/>
      <c r="W311" s="265"/>
    </row>
    <row r="312" spans="1:23" ht="30" customHeight="1">
      <c r="A312" s="260" t="str">
        <f>IF(ISBLANK(D312)," ",233-COUNTBLANK($D$5:D312))</f>
        <v xml:space="preserve"> </v>
      </c>
      <c r="B312" s="200"/>
      <c r="C312" s="200"/>
      <c r="D312" s="200"/>
      <c r="E312" s="299"/>
      <c r="F312" s="209"/>
      <c r="G312" s="209"/>
      <c r="H312" s="201"/>
      <c r="I312" s="201"/>
      <c r="J312" s="201"/>
      <c r="K312" s="201"/>
      <c r="L312" s="201"/>
      <c r="M312" s="201"/>
      <c r="N312" s="201"/>
      <c r="O312" s="262"/>
      <c r="P312" s="291"/>
      <c r="Q312" s="265"/>
      <c r="R312" s="265"/>
      <c r="S312" s="265"/>
      <c r="T312" s="284"/>
      <c r="U312" s="265"/>
      <c r="V312" s="265"/>
      <c r="W312" s="265"/>
    </row>
    <row r="313" spans="1:23" ht="30" customHeight="1">
      <c r="A313" s="204" t="str">
        <f>IF(ISBLANK(D313)," ",234-COUNTBLANK($D$5:D313))</f>
        <v xml:space="preserve"> </v>
      </c>
      <c r="B313" s="202"/>
      <c r="C313" s="202"/>
      <c r="D313" s="202"/>
      <c r="E313" s="300"/>
      <c r="F313" s="210"/>
      <c r="G313" s="210"/>
      <c r="H313" s="203"/>
      <c r="I313" s="203"/>
      <c r="J313" s="203"/>
      <c r="K313" s="203"/>
      <c r="L313" s="203"/>
      <c r="M313" s="203"/>
      <c r="N313" s="203"/>
      <c r="O313" s="205"/>
      <c r="P313" s="291"/>
      <c r="Q313" s="265"/>
      <c r="R313" s="265"/>
      <c r="S313" s="265"/>
      <c r="T313" s="265"/>
    </row>
    <row r="314" spans="1:23" ht="30" customHeight="1">
      <c r="A314" s="204" t="str">
        <f>IF(ISBLANK(D314)," ",235-COUNTBLANK($D$5:D314))</f>
        <v xml:space="preserve"> </v>
      </c>
      <c r="B314" s="202"/>
      <c r="C314" s="202"/>
      <c r="D314" s="202"/>
      <c r="E314" s="300"/>
      <c r="F314" s="210"/>
      <c r="G314" s="210"/>
      <c r="H314" s="203"/>
      <c r="I314" s="203"/>
      <c r="J314" s="203"/>
      <c r="K314" s="203"/>
      <c r="L314" s="203"/>
      <c r="M314" s="203"/>
      <c r="N314" s="203"/>
      <c r="O314" s="205"/>
      <c r="P314" s="291"/>
      <c r="Q314" s="265"/>
      <c r="R314" s="265"/>
      <c r="S314" s="265"/>
      <c r="T314" s="265"/>
    </row>
    <row r="315" spans="1:23" ht="30" customHeight="1">
      <c r="A315" s="204" t="str">
        <f>IF(ISBLANK(D315)," ",236-COUNTBLANK($D$5:D315))</f>
        <v xml:space="preserve"> </v>
      </c>
      <c r="B315" s="202"/>
      <c r="C315" s="202"/>
      <c r="D315" s="202"/>
      <c r="E315" s="300"/>
      <c r="F315" s="210"/>
      <c r="G315" s="210"/>
      <c r="H315" s="203"/>
      <c r="I315" s="203"/>
      <c r="J315" s="203"/>
      <c r="K315" s="203"/>
      <c r="L315" s="203"/>
      <c r="M315" s="203"/>
      <c r="N315" s="203"/>
      <c r="O315" s="205"/>
      <c r="P315" s="291"/>
      <c r="Q315" s="265"/>
      <c r="R315" s="265"/>
      <c r="S315" s="265"/>
      <c r="T315" s="265"/>
    </row>
    <row r="316" spans="1:23" ht="30" customHeight="1">
      <c r="A316" s="204" t="str">
        <f>IF(ISBLANK(D316)," ",237-COUNTBLANK($D$5:D316))</f>
        <v xml:space="preserve"> </v>
      </c>
      <c r="B316" s="202"/>
      <c r="C316" s="202"/>
      <c r="D316" s="202"/>
      <c r="E316" s="300"/>
      <c r="F316" s="210"/>
      <c r="G316" s="210"/>
      <c r="H316" s="203"/>
      <c r="I316" s="203"/>
      <c r="J316" s="203"/>
      <c r="K316" s="203"/>
      <c r="L316" s="203"/>
      <c r="M316" s="203"/>
      <c r="N316" s="203"/>
      <c r="O316" s="205"/>
      <c r="P316" s="291"/>
      <c r="Q316" s="265"/>
      <c r="R316" s="265"/>
      <c r="S316" s="265"/>
      <c r="T316" s="265"/>
    </row>
    <row r="317" spans="1:23" ht="30" customHeight="1">
      <c r="A317" s="204" t="str">
        <f>IF(ISBLANK(D317)," ",238-COUNTBLANK($D$5:D317))</f>
        <v xml:space="preserve"> </v>
      </c>
      <c r="B317" s="202"/>
      <c r="C317" s="202"/>
      <c r="D317" s="202"/>
      <c r="E317" s="300"/>
      <c r="F317" s="210"/>
      <c r="G317" s="210"/>
      <c r="H317" s="203"/>
      <c r="I317" s="203"/>
      <c r="J317" s="203"/>
      <c r="K317" s="203"/>
      <c r="L317" s="203"/>
      <c r="M317" s="203"/>
      <c r="N317" s="203"/>
      <c r="O317" s="205"/>
      <c r="P317" s="291"/>
      <c r="Q317" s="265"/>
      <c r="R317" s="265"/>
      <c r="S317" s="265"/>
      <c r="T317" s="265"/>
    </row>
    <row r="318" spans="1:23" ht="30" customHeight="1">
      <c r="A318" s="204" t="str">
        <f>IF(ISBLANK(D318)," ",239-COUNTBLANK($D$5:D318))</f>
        <v xml:space="preserve"> </v>
      </c>
      <c r="B318" s="202"/>
      <c r="C318" s="202"/>
      <c r="D318" s="202"/>
      <c r="E318" s="300"/>
      <c r="F318" s="210"/>
      <c r="G318" s="210"/>
      <c r="H318" s="203"/>
      <c r="I318" s="203"/>
      <c r="J318" s="203"/>
      <c r="K318" s="203"/>
      <c r="L318" s="203"/>
      <c r="M318" s="203"/>
      <c r="N318" s="203"/>
      <c r="O318" s="205"/>
      <c r="P318" s="291"/>
      <c r="Q318" s="265"/>
      <c r="R318" s="265"/>
      <c r="S318" s="265"/>
      <c r="T318" s="265"/>
    </row>
    <row r="319" spans="1:23" ht="30" customHeight="1">
      <c r="A319" s="204" t="str">
        <f>IF(ISBLANK(D319)," ",240-COUNTBLANK($D$5:D319))</f>
        <v xml:space="preserve"> </v>
      </c>
      <c r="B319" s="202"/>
      <c r="C319" s="202"/>
      <c r="D319" s="202"/>
      <c r="E319" s="300"/>
      <c r="F319" s="210"/>
      <c r="G319" s="210"/>
      <c r="H319" s="203"/>
      <c r="I319" s="203"/>
      <c r="J319" s="203"/>
      <c r="K319" s="203"/>
      <c r="L319" s="203"/>
      <c r="M319" s="203"/>
      <c r="N319" s="203"/>
      <c r="O319" s="205"/>
      <c r="P319" s="291"/>
      <c r="Q319" s="265"/>
      <c r="R319" s="265"/>
      <c r="S319" s="265"/>
      <c r="T319" s="265"/>
    </row>
    <row r="320" spans="1:23" ht="30" customHeight="1">
      <c r="A320" s="204" t="str">
        <f>IF(ISBLANK(D320)," ",241-COUNTBLANK($D$5:D320))</f>
        <v xml:space="preserve"> </v>
      </c>
      <c r="B320" s="202"/>
      <c r="C320" s="202"/>
      <c r="D320" s="202"/>
      <c r="E320" s="300"/>
      <c r="F320" s="210"/>
      <c r="G320" s="210"/>
      <c r="H320" s="203"/>
      <c r="I320" s="203"/>
      <c r="J320" s="203"/>
      <c r="K320" s="203"/>
      <c r="L320" s="203"/>
      <c r="M320" s="203"/>
      <c r="N320" s="203"/>
      <c r="O320" s="205"/>
      <c r="P320" s="291"/>
      <c r="Q320" s="265"/>
      <c r="R320" s="265"/>
      <c r="S320" s="265"/>
      <c r="T320" s="265"/>
    </row>
    <row r="321" spans="1:23" ht="30" customHeight="1">
      <c r="A321" s="204" t="str">
        <f>IF(ISBLANK(D321)," ",242-COUNTBLANK($D$5:D321))</f>
        <v xml:space="preserve"> </v>
      </c>
      <c r="B321" s="202"/>
      <c r="C321" s="202"/>
      <c r="D321" s="202"/>
      <c r="E321" s="300"/>
      <c r="F321" s="210"/>
      <c r="G321" s="210"/>
      <c r="H321" s="203"/>
      <c r="I321" s="203"/>
      <c r="J321" s="203"/>
      <c r="K321" s="203"/>
      <c r="L321" s="203"/>
      <c r="M321" s="203"/>
      <c r="N321" s="203"/>
      <c r="O321" s="205"/>
      <c r="P321" s="291"/>
      <c r="Q321" s="265"/>
      <c r="R321" s="265"/>
      <c r="S321" s="265"/>
      <c r="T321" s="265"/>
    </row>
    <row r="322" spans="1:23" ht="30" customHeight="1">
      <c r="A322" s="204" t="str">
        <f>IF(ISBLANK(D322)," ",243-COUNTBLANK($D$5:D322))</f>
        <v xml:space="preserve"> </v>
      </c>
      <c r="B322" s="202"/>
      <c r="C322" s="202"/>
      <c r="D322" s="202"/>
      <c r="E322" s="300"/>
      <c r="F322" s="210"/>
      <c r="G322" s="210"/>
      <c r="H322" s="203"/>
      <c r="I322" s="203"/>
      <c r="J322" s="203"/>
      <c r="K322" s="203"/>
      <c r="L322" s="203"/>
      <c r="M322" s="203"/>
      <c r="N322" s="203"/>
      <c r="O322" s="205"/>
      <c r="P322" s="291"/>
      <c r="Q322" s="265"/>
      <c r="R322" s="265"/>
      <c r="S322" s="265"/>
      <c r="T322" s="265"/>
    </row>
    <row r="323" spans="1:23" ht="30" customHeight="1">
      <c r="A323" s="204" t="str">
        <f>IF(ISBLANK(D323)," ",244-COUNTBLANK($D$5:D323))</f>
        <v xml:space="preserve"> </v>
      </c>
      <c r="B323" s="202"/>
      <c r="C323" s="202"/>
      <c r="D323" s="202"/>
      <c r="E323" s="300"/>
      <c r="F323" s="210"/>
      <c r="G323" s="210"/>
      <c r="H323" s="203"/>
      <c r="I323" s="203"/>
      <c r="J323" s="203"/>
      <c r="K323" s="203"/>
      <c r="L323" s="203"/>
      <c r="M323" s="203"/>
      <c r="N323" s="203"/>
      <c r="O323" s="205"/>
      <c r="P323" s="291"/>
      <c r="Q323" s="265"/>
      <c r="R323" s="265"/>
      <c r="S323" s="265"/>
      <c r="T323" s="265"/>
    </row>
    <row r="324" spans="1:23" ht="30" customHeight="1">
      <c r="A324" s="204" t="str">
        <f>IF(ISBLANK(D324)," ",245-COUNTBLANK($D$5:D324))</f>
        <v xml:space="preserve"> </v>
      </c>
      <c r="B324" s="202"/>
      <c r="C324" s="202"/>
      <c r="D324" s="202"/>
      <c r="E324" s="300"/>
      <c r="F324" s="210"/>
      <c r="G324" s="210"/>
      <c r="H324" s="203"/>
      <c r="I324" s="203"/>
      <c r="J324" s="203"/>
      <c r="K324" s="203"/>
      <c r="L324" s="203"/>
      <c r="M324" s="203"/>
      <c r="N324" s="203"/>
      <c r="O324" s="205"/>
      <c r="P324" s="291"/>
      <c r="Q324" s="265"/>
      <c r="R324" s="265"/>
      <c r="S324" s="265"/>
      <c r="T324" s="265"/>
    </row>
    <row r="325" spans="1:23" ht="30" customHeight="1">
      <c r="A325" s="204" t="str">
        <f>IF(ISBLANK(D325)," ",246-COUNTBLANK($D$5:D325))</f>
        <v xml:space="preserve"> </v>
      </c>
      <c r="B325" s="202"/>
      <c r="C325" s="202"/>
      <c r="D325" s="202"/>
      <c r="E325" s="300"/>
      <c r="F325" s="210"/>
      <c r="G325" s="210"/>
      <c r="H325" s="203"/>
      <c r="I325" s="203"/>
      <c r="J325" s="203"/>
      <c r="K325" s="203"/>
      <c r="L325" s="203"/>
      <c r="M325" s="203"/>
      <c r="N325" s="203"/>
      <c r="O325" s="205"/>
      <c r="P325" s="291"/>
      <c r="Q325" s="265"/>
      <c r="R325" s="265"/>
      <c r="S325" s="265"/>
      <c r="T325" s="265"/>
    </row>
    <row r="326" spans="1:23" ht="30" customHeight="1">
      <c r="A326" s="204" t="str">
        <f>IF(ISBLANK(D326)," ",247-COUNTBLANK($D$5:D326))</f>
        <v xml:space="preserve"> </v>
      </c>
      <c r="B326" s="202"/>
      <c r="C326" s="202"/>
      <c r="D326" s="202"/>
      <c r="E326" s="300"/>
      <c r="F326" s="210"/>
      <c r="G326" s="210"/>
      <c r="H326" s="203"/>
      <c r="I326" s="203"/>
      <c r="J326" s="203"/>
      <c r="K326" s="203"/>
      <c r="L326" s="203"/>
      <c r="M326" s="203"/>
      <c r="N326" s="203"/>
      <c r="O326" s="205"/>
      <c r="P326" s="291"/>
      <c r="Q326" s="265"/>
      <c r="R326" s="265"/>
      <c r="S326" s="265"/>
      <c r="T326" s="265"/>
    </row>
    <row r="327" spans="1:23" ht="30" customHeight="1">
      <c r="A327" s="204" t="str">
        <f>IF(ISBLANK(D327)," ",248-COUNTBLANK($D$5:D327))</f>
        <v xml:space="preserve"> </v>
      </c>
      <c r="B327" s="202"/>
      <c r="C327" s="202"/>
      <c r="D327" s="202"/>
      <c r="E327" s="300"/>
      <c r="F327" s="210"/>
      <c r="G327" s="210"/>
      <c r="H327" s="203"/>
      <c r="I327" s="203"/>
      <c r="J327" s="203"/>
      <c r="K327" s="203"/>
      <c r="L327" s="203"/>
      <c r="M327" s="203"/>
      <c r="N327" s="203"/>
      <c r="O327" s="205"/>
      <c r="P327" s="291"/>
      <c r="Q327" s="265"/>
      <c r="R327" s="265"/>
      <c r="S327" s="265"/>
      <c r="T327" s="265"/>
    </row>
    <row r="328" spans="1:23" ht="30" customHeight="1">
      <c r="A328" s="204" t="str">
        <f>IF(ISBLANK(D328)," ",249-COUNTBLANK($D$5:D328))</f>
        <v xml:space="preserve"> </v>
      </c>
      <c r="B328" s="202"/>
      <c r="C328" s="202"/>
      <c r="D328" s="202"/>
      <c r="E328" s="300"/>
      <c r="F328" s="210"/>
      <c r="G328" s="210"/>
      <c r="H328" s="203"/>
      <c r="I328" s="203"/>
      <c r="J328" s="203"/>
      <c r="K328" s="203"/>
      <c r="L328" s="203"/>
      <c r="M328" s="203"/>
      <c r="N328" s="203"/>
      <c r="O328" s="205"/>
      <c r="P328" s="291"/>
      <c r="Q328" s="265"/>
      <c r="R328" s="265"/>
      <c r="S328" s="265"/>
      <c r="T328" s="267"/>
    </row>
    <row r="329" spans="1:23" ht="30" customHeight="1">
      <c r="A329" s="204" t="str">
        <f>IF(ISBLANK(D329)," ",250-COUNTBLANK($D$5:D329))</f>
        <v xml:space="preserve"> </v>
      </c>
      <c r="B329" s="202"/>
      <c r="C329" s="202"/>
      <c r="D329" s="202"/>
      <c r="E329" s="300"/>
      <c r="F329" s="210"/>
      <c r="G329" s="210"/>
      <c r="H329" s="203"/>
      <c r="I329" s="203"/>
      <c r="J329" s="203"/>
      <c r="K329" s="203"/>
      <c r="L329" s="203"/>
      <c r="M329" s="203"/>
      <c r="N329" s="203"/>
      <c r="O329" s="205"/>
      <c r="P329" s="291"/>
      <c r="Q329" s="265"/>
      <c r="R329" s="265"/>
      <c r="S329" s="265"/>
      <c r="T329" s="267"/>
    </row>
    <row r="330" spans="1:23" ht="30" customHeight="1">
      <c r="A330" s="204" t="str">
        <f>IF(ISBLANK(D330)," ",251-COUNTBLANK($D$5:D330))</f>
        <v xml:space="preserve"> </v>
      </c>
      <c r="B330" s="202"/>
      <c r="C330" s="202"/>
      <c r="D330" s="202"/>
      <c r="E330" s="300"/>
      <c r="F330" s="210"/>
      <c r="G330" s="210"/>
      <c r="H330" s="203"/>
      <c r="I330" s="203"/>
      <c r="J330" s="203"/>
      <c r="K330" s="203"/>
      <c r="L330" s="203"/>
      <c r="M330" s="203"/>
      <c r="N330" s="203"/>
      <c r="O330" s="205"/>
      <c r="P330" s="291"/>
      <c r="Q330" s="265"/>
      <c r="R330" s="265"/>
      <c r="S330" s="265"/>
      <c r="T330" s="267"/>
    </row>
    <row r="331" spans="1:23" ht="30" customHeight="1">
      <c r="A331" s="304" t="str">
        <f>IF(ISBLANK(D331)," ",253-COUNTBLANK($D$5:D331))</f>
        <v xml:space="preserve"> </v>
      </c>
      <c r="B331" s="296"/>
      <c r="C331" s="305"/>
      <c r="D331" s="306"/>
      <c r="E331" s="297"/>
      <c r="F331" s="298"/>
      <c r="G331" s="298"/>
      <c r="H331" s="282"/>
      <c r="I331" s="282"/>
      <c r="J331" s="282"/>
      <c r="K331" s="282"/>
      <c r="L331" s="282"/>
      <c r="M331" s="282"/>
      <c r="N331" s="282"/>
      <c r="O331" s="283"/>
      <c r="P331" s="303"/>
      <c r="Q331" s="265"/>
      <c r="R331" s="265"/>
      <c r="S331" s="265"/>
      <c r="T331" s="284"/>
      <c r="U331" s="265"/>
      <c r="V331" s="265"/>
      <c r="W331" s="265"/>
    </row>
    <row r="332" spans="1:23" ht="30" customHeight="1">
      <c r="A332" s="260" t="str">
        <f>IF(ISBLANK(D332)," ",254-COUNTBLANK($D$5:D332))</f>
        <v xml:space="preserve"> </v>
      </c>
      <c r="B332" s="200"/>
      <c r="C332" s="200"/>
      <c r="D332" s="200"/>
      <c r="E332" s="299"/>
      <c r="F332" s="209"/>
      <c r="G332" s="209"/>
      <c r="H332" s="201"/>
      <c r="I332" s="201"/>
      <c r="J332" s="201"/>
      <c r="K332" s="201"/>
      <c r="L332" s="201"/>
      <c r="M332" s="201"/>
      <c r="N332" s="201"/>
      <c r="O332" s="262"/>
      <c r="P332" s="291"/>
      <c r="Q332" s="265"/>
      <c r="R332" s="265"/>
      <c r="S332" s="265"/>
      <c r="T332" s="284"/>
      <c r="U332" s="265"/>
      <c r="V332" s="265"/>
      <c r="W332" s="265"/>
    </row>
    <row r="333" spans="1:23" ht="30" customHeight="1">
      <c r="A333" s="204" t="str">
        <f>IF(ISBLANK(D333)," ",255-COUNTBLANK($D$5:D333))</f>
        <v xml:space="preserve"> </v>
      </c>
      <c r="B333" s="202"/>
      <c r="C333" s="202"/>
      <c r="D333" s="202"/>
      <c r="E333" s="300"/>
      <c r="F333" s="210"/>
      <c r="G333" s="210"/>
      <c r="H333" s="203"/>
      <c r="I333" s="203"/>
      <c r="J333" s="203"/>
      <c r="K333" s="203"/>
      <c r="L333" s="203"/>
      <c r="M333" s="203"/>
      <c r="N333" s="203"/>
      <c r="O333" s="205"/>
      <c r="P333" s="291"/>
      <c r="Q333" s="265"/>
      <c r="R333" s="265"/>
      <c r="S333" s="265"/>
      <c r="T333" s="265"/>
    </row>
    <row r="334" spans="1:23" ht="30" customHeight="1">
      <c r="A334" s="204" t="str">
        <f>IF(ISBLANK(D334)," ",256-COUNTBLANK($D$5:D334))</f>
        <v xml:space="preserve"> </v>
      </c>
      <c r="B334" s="202"/>
      <c r="C334" s="202"/>
      <c r="D334" s="202"/>
      <c r="E334" s="300"/>
      <c r="F334" s="210"/>
      <c r="G334" s="210"/>
      <c r="H334" s="203"/>
      <c r="I334" s="203"/>
      <c r="J334" s="203"/>
      <c r="K334" s="203"/>
      <c r="L334" s="203"/>
      <c r="M334" s="203"/>
      <c r="N334" s="203"/>
      <c r="O334" s="205"/>
      <c r="P334" s="291"/>
      <c r="Q334" s="265"/>
      <c r="R334" s="265"/>
      <c r="S334" s="265"/>
      <c r="T334" s="265"/>
    </row>
    <row r="335" spans="1:23" ht="30" customHeight="1">
      <c r="A335" s="204" t="str">
        <f>IF(ISBLANK(D335)," ",257-COUNTBLANK($D$5:D335))</f>
        <v xml:space="preserve"> </v>
      </c>
      <c r="B335" s="202"/>
      <c r="C335" s="202"/>
      <c r="D335" s="202"/>
      <c r="E335" s="300"/>
      <c r="F335" s="210"/>
      <c r="G335" s="210"/>
      <c r="H335" s="203"/>
      <c r="I335" s="203"/>
      <c r="J335" s="203"/>
      <c r="K335" s="203"/>
      <c r="L335" s="203"/>
      <c r="M335" s="203"/>
      <c r="N335" s="203"/>
      <c r="O335" s="205"/>
      <c r="P335" s="291"/>
      <c r="Q335" s="265"/>
      <c r="R335" s="265"/>
      <c r="S335" s="265"/>
      <c r="T335" s="265"/>
    </row>
    <row r="336" spans="1:23" ht="30" customHeight="1">
      <c r="A336" s="204" t="str">
        <f>IF(ISBLANK(D336)," ",258-COUNTBLANK($D$5:D336))</f>
        <v xml:space="preserve"> </v>
      </c>
      <c r="B336" s="202"/>
      <c r="C336" s="202"/>
      <c r="D336" s="202"/>
      <c r="E336" s="300"/>
      <c r="F336" s="210"/>
      <c r="G336" s="210"/>
      <c r="H336" s="203"/>
      <c r="I336" s="203"/>
      <c r="J336" s="203"/>
      <c r="K336" s="203"/>
      <c r="L336" s="203"/>
      <c r="M336" s="203"/>
      <c r="N336" s="203"/>
      <c r="O336" s="205"/>
      <c r="P336" s="291"/>
      <c r="Q336" s="265"/>
      <c r="R336" s="265"/>
      <c r="S336" s="265"/>
      <c r="T336" s="265"/>
    </row>
    <row r="337" spans="1:23" ht="30" customHeight="1">
      <c r="A337" s="204" t="str">
        <f>IF(ISBLANK(D337)," ",259-COUNTBLANK($D$5:D337))</f>
        <v xml:space="preserve"> </v>
      </c>
      <c r="B337" s="202"/>
      <c r="C337" s="202"/>
      <c r="D337" s="202"/>
      <c r="E337" s="300"/>
      <c r="F337" s="210"/>
      <c r="G337" s="210"/>
      <c r="H337" s="203"/>
      <c r="I337" s="203"/>
      <c r="J337" s="203"/>
      <c r="K337" s="203"/>
      <c r="L337" s="203"/>
      <c r="M337" s="203"/>
      <c r="N337" s="203"/>
      <c r="O337" s="205"/>
      <c r="P337" s="291"/>
      <c r="Q337" s="265"/>
      <c r="R337" s="265"/>
      <c r="S337" s="265"/>
      <c r="T337" s="265"/>
    </row>
    <row r="338" spans="1:23" ht="30" customHeight="1">
      <c r="A338" s="204" t="str">
        <f>IF(ISBLANK(D338)," ",260-COUNTBLANK($D$5:D338))</f>
        <v xml:space="preserve"> </v>
      </c>
      <c r="B338" s="202"/>
      <c r="C338" s="202"/>
      <c r="D338" s="202"/>
      <c r="E338" s="300"/>
      <c r="F338" s="210"/>
      <c r="G338" s="210"/>
      <c r="H338" s="203"/>
      <c r="I338" s="203"/>
      <c r="J338" s="203"/>
      <c r="K338" s="203"/>
      <c r="L338" s="203"/>
      <c r="M338" s="203"/>
      <c r="N338" s="203"/>
      <c r="O338" s="205"/>
      <c r="P338" s="291"/>
      <c r="Q338" s="265"/>
      <c r="R338" s="265"/>
      <c r="S338" s="265"/>
      <c r="T338" s="265"/>
    </row>
    <row r="339" spans="1:23" ht="30" customHeight="1">
      <c r="A339" s="204" t="str">
        <f>IF(ISBLANK(D339)," ",261-COUNTBLANK($D$5:D339))</f>
        <v xml:space="preserve"> </v>
      </c>
      <c r="B339" s="202"/>
      <c r="C339" s="202"/>
      <c r="D339" s="202"/>
      <c r="E339" s="300"/>
      <c r="F339" s="210"/>
      <c r="G339" s="210"/>
      <c r="H339" s="203"/>
      <c r="I339" s="203"/>
      <c r="J339" s="203"/>
      <c r="K339" s="203"/>
      <c r="L339" s="203"/>
      <c r="M339" s="203"/>
      <c r="N339" s="203"/>
      <c r="O339" s="205"/>
      <c r="P339" s="291"/>
      <c r="Q339" s="265"/>
      <c r="R339" s="265"/>
      <c r="S339" s="265"/>
      <c r="T339" s="265"/>
    </row>
    <row r="340" spans="1:23" ht="30" customHeight="1">
      <c r="A340" s="204" t="str">
        <f>IF(ISBLANK(D340)," ",262-COUNTBLANK($D$5:D340))</f>
        <v xml:space="preserve"> </v>
      </c>
      <c r="B340" s="202"/>
      <c r="C340" s="202"/>
      <c r="D340" s="202"/>
      <c r="E340" s="300"/>
      <c r="F340" s="210"/>
      <c r="G340" s="210"/>
      <c r="H340" s="203"/>
      <c r="I340" s="203"/>
      <c r="J340" s="203"/>
      <c r="K340" s="203"/>
      <c r="L340" s="203"/>
      <c r="M340" s="203"/>
      <c r="N340" s="203"/>
      <c r="O340" s="205"/>
      <c r="P340" s="291"/>
      <c r="Q340" s="265"/>
      <c r="R340" s="265"/>
      <c r="S340" s="265"/>
      <c r="T340" s="265"/>
    </row>
    <row r="341" spans="1:23" ht="30" customHeight="1">
      <c r="A341" s="204" t="str">
        <f>IF(ISBLANK(D341)," ",263-COUNTBLANK($D$5:D341))</f>
        <v xml:space="preserve"> </v>
      </c>
      <c r="B341" s="202"/>
      <c r="C341" s="202"/>
      <c r="D341" s="202"/>
      <c r="E341" s="300"/>
      <c r="F341" s="210"/>
      <c r="G341" s="210"/>
      <c r="H341" s="203"/>
      <c r="I341" s="203"/>
      <c r="J341" s="203"/>
      <c r="K341" s="203"/>
      <c r="L341" s="203"/>
      <c r="M341" s="203"/>
      <c r="N341" s="203"/>
      <c r="O341" s="205"/>
      <c r="P341" s="291"/>
      <c r="Q341" s="265"/>
      <c r="R341" s="265"/>
      <c r="S341" s="265"/>
      <c r="T341" s="265"/>
    </row>
    <row r="342" spans="1:23" ht="30" customHeight="1">
      <c r="A342" s="204" t="str">
        <f>IF(ISBLANK(D342)," ",264-COUNTBLANK($D$5:D342))</f>
        <v xml:space="preserve"> </v>
      </c>
      <c r="B342" s="202"/>
      <c r="C342" s="202"/>
      <c r="D342" s="202"/>
      <c r="E342" s="300"/>
      <c r="F342" s="210"/>
      <c r="G342" s="210"/>
      <c r="H342" s="203"/>
      <c r="I342" s="203"/>
      <c r="J342" s="203"/>
      <c r="K342" s="203"/>
      <c r="L342" s="203"/>
      <c r="M342" s="203"/>
      <c r="N342" s="203"/>
      <c r="O342" s="205"/>
      <c r="P342" s="291"/>
      <c r="Q342" s="265"/>
      <c r="R342" s="265"/>
      <c r="S342" s="265"/>
      <c r="T342" s="265"/>
    </row>
    <row r="343" spans="1:23" ht="30" customHeight="1">
      <c r="A343" s="204" t="str">
        <f>IF(ISBLANK(D343)," ",265-COUNTBLANK($D$5:D343))</f>
        <v xml:space="preserve"> </v>
      </c>
      <c r="B343" s="202"/>
      <c r="C343" s="202"/>
      <c r="D343" s="202"/>
      <c r="E343" s="300"/>
      <c r="F343" s="210"/>
      <c r="G343" s="210"/>
      <c r="H343" s="203"/>
      <c r="I343" s="203"/>
      <c r="J343" s="203"/>
      <c r="K343" s="203"/>
      <c r="L343" s="203"/>
      <c r="M343" s="203"/>
      <c r="N343" s="203"/>
      <c r="O343" s="205"/>
      <c r="P343" s="291"/>
      <c r="Q343" s="265"/>
      <c r="R343" s="265"/>
      <c r="S343" s="265"/>
      <c r="T343" s="265"/>
    </row>
    <row r="344" spans="1:23" ht="30" customHeight="1">
      <c r="A344" s="204" t="str">
        <f>IF(ISBLANK(D344)," ",266-COUNTBLANK($D$5:D344))</f>
        <v xml:space="preserve"> </v>
      </c>
      <c r="B344" s="202"/>
      <c r="C344" s="202"/>
      <c r="D344" s="202"/>
      <c r="E344" s="300"/>
      <c r="F344" s="210"/>
      <c r="G344" s="210"/>
      <c r="H344" s="203"/>
      <c r="I344" s="203"/>
      <c r="J344" s="203"/>
      <c r="K344" s="203"/>
      <c r="L344" s="203"/>
      <c r="M344" s="203"/>
      <c r="N344" s="203"/>
      <c r="O344" s="205"/>
      <c r="P344" s="291"/>
      <c r="Q344" s="265"/>
      <c r="R344" s="265"/>
      <c r="S344" s="265"/>
      <c r="T344" s="265"/>
    </row>
    <row r="345" spans="1:23" ht="30" customHeight="1">
      <c r="A345" s="204" t="str">
        <f>IF(ISBLANK(D345)," ",267-COUNTBLANK($D$5:D345))</f>
        <v xml:space="preserve"> </v>
      </c>
      <c r="B345" s="202"/>
      <c r="C345" s="202"/>
      <c r="D345" s="202"/>
      <c r="E345" s="300"/>
      <c r="F345" s="210"/>
      <c r="G345" s="210"/>
      <c r="H345" s="203"/>
      <c r="I345" s="203"/>
      <c r="J345" s="203"/>
      <c r="K345" s="203"/>
      <c r="L345" s="203"/>
      <c r="M345" s="203"/>
      <c r="N345" s="203"/>
      <c r="O345" s="205"/>
      <c r="P345" s="291"/>
      <c r="Q345" s="265"/>
      <c r="R345" s="265"/>
      <c r="S345" s="265"/>
      <c r="T345" s="265"/>
    </row>
    <row r="346" spans="1:23" ht="30" customHeight="1">
      <c r="A346" s="204" t="str">
        <f>IF(ISBLANK(D346)," ",268-COUNTBLANK($D$5:D346))</f>
        <v xml:space="preserve"> </v>
      </c>
      <c r="B346" s="202"/>
      <c r="C346" s="202"/>
      <c r="D346" s="202"/>
      <c r="E346" s="300"/>
      <c r="F346" s="210"/>
      <c r="G346" s="210"/>
      <c r="H346" s="203"/>
      <c r="I346" s="203"/>
      <c r="J346" s="203"/>
      <c r="K346" s="203"/>
      <c r="L346" s="203"/>
      <c r="M346" s="203"/>
      <c r="N346" s="203"/>
      <c r="O346" s="205"/>
      <c r="P346" s="291"/>
      <c r="Q346" s="265"/>
      <c r="R346" s="265"/>
      <c r="S346" s="265"/>
      <c r="T346" s="265"/>
    </row>
    <row r="347" spans="1:23" ht="30" customHeight="1">
      <c r="A347" s="204" t="str">
        <f>IF(ISBLANK(D347)," ",269-COUNTBLANK($D$5:D347))</f>
        <v xml:space="preserve"> </v>
      </c>
      <c r="B347" s="202"/>
      <c r="C347" s="202"/>
      <c r="D347" s="202"/>
      <c r="E347" s="300"/>
      <c r="F347" s="210"/>
      <c r="G347" s="210"/>
      <c r="H347" s="203"/>
      <c r="I347" s="203"/>
      <c r="J347" s="203"/>
      <c r="K347" s="203"/>
      <c r="L347" s="203"/>
      <c r="M347" s="203"/>
      <c r="N347" s="203"/>
      <c r="O347" s="205"/>
      <c r="P347" s="291"/>
      <c r="Q347" s="265"/>
      <c r="R347" s="265"/>
      <c r="S347" s="265"/>
      <c r="T347" s="265"/>
    </row>
    <row r="348" spans="1:23" ht="30" customHeight="1">
      <c r="A348" s="204" t="str">
        <f>IF(ISBLANK(D348)," ",270-COUNTBLANK($D$5:D348))</f>
        <v xml:space="preserve"> </v>
      </c>
      <c r="B348" s="202"/>
      <c r="C348" s="202"/>
      <c r="D348" s="202"/>
      <c r="E348" s="300"/>
      <c r="F348" s="210"/>
      <c r="G348" s="210"/>
      <c r="H348" s="203"/>
      <c r="I348" s="203"/>
      <c r="J348" s="203"/>
      <c r="K348" s="203"/>
      <c r="L348" s="203"/>
      <c r="M348" s="203"/>
      <c r="N348" s="203"/>
      <c r="O348" s="205"/>
      <c r="P348" s="291"/>
      <c r="Q348" s="265"/>
      <c r="R348" s="265"/>
      <c r="S348" s="265"/>
      <c r="T348" s="267"/>
    </row>
    <row r="349" spans="1:23" ht="30" customHeight="1">
      <c r="A349" s="204" t="str">
        <f>IF(ISBLANK(D349)," ",271-COUNTBLANK($D$5:D349))</f>
        <v xml:space="preserve"> </v>
      </c>
      <c r="B349" s="202"/>
      <c r="C349" s="202"/>
      <c r="D349" s="202"/>
      <c r="E349" s="300"/>
      <c r="F349" s="210"/>
      <c r="G349" s="210"/>
      <c r="H349" s="203"/>
      <c r="I349" s="203"/>
      <c r="J349" s="203"/>
      <c r="K349" s="203"/>
      <c r="L349" s="203"/>
      <c r="M349" s="203"/>
      <c r="N349" s="203"/>
      <c r="O349" s="205"/>
      <c r="P349" s="291"/>
      <c r="Q349" s="265"/>
      <c r="R349" s="265"/>
      <c r="S349" s="265"/>
      <c r="T349" s="267"/>
    </row>
    <row r="350" spans="1:23" ht="30" customHeight="1">
      <c r="A350" s="204" t="str">
        <f>IF(ISBLANK(D350)," ",272-COUNTBLANK($D$5:D350))</f>
        <v xml:space="preserve"> </v>
      </c>
      <c r="B350" s="202"/>
      <c r="C350" s="202"/>
      <c r="D350" s="202"/>
      <c r="E350" s="300"/>
      <c r="F350" s="210"/>
      <c r="G350" s="210"/>
      <c r="H350" s="203"/>
      <c r="I350" s="203"/>
      <c r="J350" s="203"/>
      <c r="K350" s="203"/>
      <c r="L350" s="203"/>
      <c r="M350" s="203"/>
      <c r="N350" s="203"/>
      <c r="O350" s="205"/>
      <c r="P350" s="291"/>
      <c r="Q350" s="265"/>
      <c r="R350" s="265"/>
      <c r="S350" s="265"/>
      <c r="T350" s="267"/>
    </row>
    <row r="351" spans="1:23" ht="30" customHeight="1">
      <c r="A351" s="304" t="str">
        <f>IF(ISBLANK(D351)," ",274-COUNTBLANK($D$5:D351))</f>
        <v xml:space="preserve"> </v>
      </c>
      <c r="B351" s="296"/>
      <c r="C351" s="305"/>
      <c r="D351" s="306"/>
      <c r="E351" s="297"/>
      <c r="F351" s="298"/>
      <c r="G351" s="298"/>
      <c r="H351" s="282"/>
      <c r="I351" s="282"/>
      <c r="J351" s="282"/>
      <c r="K351" s="282"/>
      <c r="L351" s="282"/>
      <c r="M351" s="282"/>
      <c r="N351" s="282"/>
      <c r="O351" s="283"/>
      <c r="P351" s="303"/>
      <c r="Q351" s="265"/>
      <c r="R351" s="265"/>
      <c r="S351" s="265"/>
      <c r="T351" s="284"/>
      <c r="U351" s="265"/>
      <c r="V351" s="265"/>
      <c r="W351" s="265"/>
    </row>
    <row r="352" spans="1:23" ht="30" customHeight="1">
      <c r="A352" s="260" t="str">
        <f>IF(ISBLANK(D352)," ",275-COUNTBLANK($D$5:D352))</f>
        <v xml:space="preserve"> </v>
      </c>
      <c r="B352" s="200"/>
      <c r="C352" s="200"/>
      <c r="D352" s="200"/>
      <c r="E352" s="299"/>
      <c r="F352" s="209"/>
      <c r="G352" s="209"/>
      <c r="H352" s="201"/>
      <c r="I352" s="201"/>
      <c r="J352" s="201"/>
      <c r="K352" s="201"/>
      <c r="L352" s="201"/>
      <c r="M352" s="201"/>
      <c r="N352" s="201"/>
      <c r="O352" s="262"/>
      <c r="P352" s="291"/>
      <c r="Q352" s="265"/>
      <c r="R352" s="265"/>
      <c r="S352" s="265"/>
      <c r="T352" s="284"/>
      <c r="U352" s="265"/>
      <c r="V352" s="265"/>
      <c r="W352" s="265"/>
    </row>
    <row r="353" spans="1:20" ht="30" customHeight="1">
      <c r="A353" s="204" t="str">
        <f>IF(ISBLANK(D353)," ",276-COUNTBLANK($D$5:D353))</f>
        <v xml:space="preserve"> </v>
      </c>
      <c r="B353" s="202"/>
      <c r="C353" s="202"/>
      <c r="D353" s="202"/>
      <c r="E353" s="300"/>
      <c r="F353" s="210"/>
      <c r="G353" s="210"/>
      <c r="H353" s="203"/>
      <c r="I353" s="203"/>
      <c r="J353" s="203"/>
      <c r="K353" s="203"/>
      <c r="L353" s="203"/>
      <c r="M353" s="203"/>
      <c r="N353" s="203"/>
      <c r="O353" s="205"/>
      <c r="P353" s="291"/>
      <c r="Q353" s="265"/>
      <c r="R353" s="265"/>
      <c r="S353" s="265"/>
      <c r="T353" s="265"/>
    </row>
    <row r="354" spans="1:20" ht="30" customHeight="1">
      <c r="A354" s="204" t="str">
        <f>IF(ISBLANK(D354)," ",277-COUNTBLANK($D$5:D354))</f>
        <v xml:space="preserve"> </v>
      </c>
      <c r="B354" s="202"/>
      <c r="C354" s="202"/>
      <c r="D354" s="202"/>
      <c r="E354" s="300"/>
      <c r="F354" s="210"/>
      <c r="G354" s="210"/>
      <c r="H354" s="203"/>
      <c r="I354" s="203"/>
      <c r="J354" s="203"/>
      <c r="K354" s="203"/>
      <c r="L354" s="203"/>
      <c r="M354" s="203"/>
      <c r="N354" s="203"/>
      <c r="O354" s="205"/>
      <c r="P354" s="291"/>
      <c r="Q354" s="265"/>
      <c r="R354" s="265"/>
      <c r="S354" s="265"/>
      <c r="T354" s="265"/>
    </row>
    <row r="355" spans="1:20" ht="30" customHeight="1">
      <c r="A355" s="204" t="str">
        <f>IF(ISBLANK(D355)," ",278-COUNTBLANK($D$5:D355))</f>
        <v xml:space="preserve"> </v>
      </c>
      <c r="B355" s="202"/>
      <c r="C355" s="202"/>
      <c r="D355" s="202"/>
      <c r="E355" s="300"/>
      <c r="F355" s="210"/>
      <c r="G355" s="210"/>
      <c r="H355" s="203"/>
      <c r="I355" s="203"/>
      <c r="J355" s="203"/>
      <c r="K355" s="203"/>
      <c r="L355" s="203"/>
      <c r="M355" s="203"/>
      <c r="N355" s="203"/>
      <c r="O355" s="205"/>
      <c r="P355" s="291"/>
      <c r="Q355" s="265"/>
      <c r="R355" s="265"/>
      <c r="S355" s="265"/>
      <c r="T355" s="265"/>
    </row>
    <row r="356" spans="1:20" ht="30" customHeight="1">
      <c r="A356" s="204" t="str">
        <f>IF(ISBLANK(D356)," ",279-COUNTBLANK($D$5:D356))</f>
        <v xml:space="preserve"> </v>
      </c>
      <c r="B356" s="202"/>
      <c r="C356" s="202"/>
      <c r="D356" s="202"/>
      <c r="E356" s="300"/>
      <c r="F356" s="210"/>
      <c r="G356" s="210"/>
      <c r="H356" s="203"/>
      <c r="I356" s="203"/>
      <c r="J356" s="203"/>
      <c r="K356" s="203"/>
      <c r="L356" s="203"/>
      <c r="M356" s="203"/>
      <c r="N356" s="203"/>
      <c r="O356" s="205"/>
      <c r="P356" s="291"/>
      <c r="Q356" s="265"/>
      <c r="R356" s="265"/>
      <c r="S356" s="265"/>
      <c r="T356" s="265"/>
    </row>
    <row r="357" spans="1:20" ht="30" customHeight="1">
      <c r="A357" s="204" t="str">
        <f>IF(ISBLANK(D357)," ",280-COUNTBLANK($D$5:D357))</f>
        <v xml:space="preserve"> </v>
      </c>
      <c r="B357" s="202"/>
      <c r="C357" s="202"/>
      <c r="D357" s="202"/>
      <c r="E357" s="300"/>
      <c r="F357" s="210"/>
      <c r="G357" s="210"/>
      <c r="H357" s="203"/>
      <c r="I357" s="203"/>
      <c r="J357" s="203"/>
      <c r="K357" s="203"/>
      <c r="L357" s="203"/>
      <c r="M357" s="203"/>
      <c r="N357" s="203"/>
      <c r="O357" s="205"/>
      <c r="P357" s="291"/>
      <c r="Q357" s="265"/>
      <c r="R357" s="265"/>
      <c r="S357" s="265"/>
      <c r="T357" s="265"/>
    </row>
    <row r="358" spans="1:20" ht="30" customHeight="1">
      <c r="A358" s="204" t="str">
        <f>IF(ISBLANK(D358)," ",281-COUNTBLANK($D$5:D358))</f>
        <v xml:space="preserve"> </v>
      </c>
      <c r="B358" s="202"/>
      <c r="C358" s="202"/>
      <c r="D358" s="202"/>
      <c r="E358" s="300"/>
      <c r="F358" s="210"/>
      <c r="G358" s="210"/>
      <c r="H358" s="203"/>
      <c r="I358" s="203"/>
      <c r="J358" s="203"/>
      <c r="K358" s="203"/>
      <c r="L358" s="203"/>
      <c r="M358" s="203"/>
      <c r="N358" s="203"/>
      <c r="O358" s="205"/>
      <c r="P358" s="291"/>
      <c r="Q358" s="265"/>
      <c r="R358" s="265"/>
      <c r="S358" s="265"/>
      <c r="T358" s="265"/>
    </row>
    <row r="359" spans="1:20" ht="30" customHeight="1">
      <c r="A359" s="204" t="str">
        <f>IF(ISBLANK(D359)," ",282-COUNTBLANK($D$5:D359))</f>
        <v xml:space="preserve"> </v>
      </c>
      <c r="B359" s="202"/>
      <c r="C359" s="202"/>
      <c r="D359" s="202"/>
      <c r="E359" s="300"/>
      <c r="F359" s="210"/>
      <c r="G359" s="210"/>
      <c r="H359" s="203"/>
      <c r="I359" s="203"/>
      <c r="J359" s="203"/>
      <c r="K359" s="203"/>
      <c r="L359" s="203"/>
      <c r="M359" s="203"/>
      <c r="N359" s="203"/>
      <c r="O359" s="205"/>
      <c r="P359" s="291"/>
      <c r="Q359" s="265"/>
      <c r="R359" s="265"/>
      <c r="S359" s="265"/>
      <c r="T359" s="265"/>
    </row>
    <row r="360" spans="1:20" ht="30" customHeight="1">
      <c r="A360" s="204" t="str">
        <f>IF(ISBLANK(D360)," ",283-COUNTBLANK($D$5:D360))</f>
        <v xml:space="preserve"> </v>
      </c>
      <c r="B360" s="202"/>
      <c r="C360" s="202"/>
      <c r="D360" s="202"/>
      <c r="E360" s="300"/>
      <c r="F360" s="210"/>
      <c r="G360" s="210"/>
      <c r="H360" s="203"/>
      <c r="I360" s="203"/>
      <c r="J360" s="203"/>
      <c r="K360" s="203"/>
      <c r="L360" s="203"/>
      <c r="M360" s="203"/>
      <c r="N360" s="203"/>
      <c r="O360" s="205"/>
      <c r="P360" s="291"/>
      <c r="Q360" s="265"/>
      <c r="R360" s="265"/>
      <c r="S360" s="265"/>
      <c r="T360" s="265"/>
    </row>
    <row r="361" spans="1:20" ht="30" customHeight="1">
      <c r="A361" s="204" t="str">
        <f>IF(ISBLANK(D361)," ",284-COUNTBLANK($D$5:D361))</f>
        <v xml:space="preserve"> </v>
      </c>
      <c r="B361" s="202"/>
      <c r="C361" s="202"/>
      <c r="D361" s="202"/>
      <c r="E361" s="300"/>
      <c r="F361" s="210"/>
      <c r="G361" s="210"/>
      <c r="H361" s="203"/>
      <c r="I361" s="203"/>
      <c r="J361" s="203"/>
      <c r="K361" s="203"/>
      <c r="L361" s="203"/>
      <c r="M361" s="203"/>
      <c r="N361" s="203"/>
      <c r="O361" s="205"/>
      <c r="P361" s="291"/>
      <c r="Q361" s="265"/>
      <c r="R361" s="265"/>
      <c r="S361" s="265"/>
      <c r="T361" s="265"/>
    </row>
    <row r="362" spans="1:20" ht="30" customHeight="1">
      <c r="A362" s="204" t="str">
        <f>IF(ISBLANK(D362)," ",285-COUNTBLANK($D$5:D362))</f>
        <v xml:space="preserve"> </v>
      </c>
      <c r="B362" s="202"/>
      <c r="C362" s="202"/>
      <c r="D362" s="202"/>
      <c r="E362" s="300"/>
      <c r="F362" s="210"/>
      <c r="G362" s="210"/>
      <c r="H362" s="203"/>
      <c r="I362" s="203"/>
      <c r="J362" s="203"/>
      <c r="K362" s="203"/>
      <c r="L362" s="203"/>
      <c r="M362" s="203"/>
      <c r="N362" s="203"/>
      <c r="O362" s="205"/>
      <c r="P362" s="291"/>
      <c r="Q362" s="265"/>
      <c r="R362" s="265"/>
      <c r="S362" s="265"/>
      <c r="T362" s="265"/>
    </row>
    <row r="363" spans="1:20" ht="30" customHeight="1">
      <c r="A363" s="204" t="str">
        <f>IF(ISBLANK(D363)," ",286-COUNTBLANK($D$5:D363))</f>
        <v xml:space="preserve"> </v>
      </c>
      <c r="B363" s="202"/>
      <c r="C363" s="202"/>
      <c r="D363" s="202"/>
      <c r="E363" s="300"/>
      <c r="F363" s="210"/>
      <c r="G363" s="210"/>
      <c r="H363" s="203"/>
      <c r="I363" s="203"/>
      <c r="J363" s="203"/>
      <c r="K363" s="203"/>
      <c r="L363" s="203"/>
      <c r="M363" s="203"/>
      <c r="N363" s="203"/>
      <c r="O363" s="205"/>
      <c r="P363" s="291"/>
      <c r="Q363" s="265"/>
      <c r="R363" s="265"/>
      <c r="S363" s="265"/>
      <c r="T363" s="265"/>
    </row>
    <row r="364" spans="1:20" ht="30" customHeight="1">
      <c r="A364" s="204" t="str">
        <f>IF(ISBLANK(D364)," ",287-COUNTBLANK($D$5:D364))</f>
        <v xml:space="preserve"> </v>
      </c>
      <c r="B364" s="202"/>
      <c r="C364" s="202"/>
      <c r="D364" s="202"/>
      <c r="E364" s="300"/>
      <c r="F364" s="210"/>
      <c r="G364" s="210"/>
      <c r="H364" s="203"/>
      <c r="I364" s="203"/>
      <c r="J364" s="203"/>
      <c r="K364" s="203"/>
      <c r="L364" s="203"/>
      <c r="M364" s="203"/>
      <c r="N364" s="203"/>
      <c r="O364" s="205"/>
      <c r="P364" s="291"/>
      <c r="Q364" s="265"/>
      <c r="R364" s="265"/>
      <c r="S364" s="265"/>
      <c r="T364" s="265"/>
    </row>
    <row r="365" spans="1:20" ht="30" customHeight="1">
      <c r="A365" s="204" t="str">
        <f>IF(ISBLANK(D365)," ",288-COUNTBLANK($D$5:D365))</f>
        <v xml:space="preserve"> </v>
      </c>
      <c r="B365" s="202"/>
      <c r="C365" s="202"/>
      <c r="D365" s="202"/>
      <c r="E365" s="300"/>
      <c r="F365" s="210"/>
      <c r="G365" s="210"/>
      <c r="H365" s="203"/>
      <c r="I365" s="203"/>
      <c r="J365" s="203"/>
      <c r="K365" s="203"/>
      <c r="L365" s="203"/>
      <c r="M365" s="203"/>
      <c r="N365" s="203"/>
      <c r="O365" s="205"/>
      <c r="P365" s="291"/>
      <c r="Q365" s="265"/>
      <c r="R365" s="265"/>
      <c r="S365" s="265"/>
      <c r="T365" s="265"/>
    </row>
    <row r="366" spans="1:20" ht="30" customHeight="1">
      <c r="A366" s="204" t="str">
        <f>IF(ISBLANK(D366)," ",289-COUNTBLANK($D$5:D366))</f>
        <v xml:space="preserve"> </v>
      </c>
      <c r="B366" s="202"/>
      <c r="C366" s="202"/>
      <c r="D366" s="202"/>
      <c r="E366" s="300"/>
      <c r="F366" s="210"/>
      <c r="G366" s="210"/>
      <c r="H366" s="203"/>
      <c r="I366" s="203"/>
      <c r="J366" s="203"/>
      <c r="K366" s="203"/>
      <c r="L366" s="203"/>
      <c r="M366" s="203"/>
      <c r="N366" s="203"/>
      <c r="O366" s="205"/>
      <c r="P366" s="291"/>
      <c r="Q366" s="265"/>
      <c r="R366" s="265"/>
      <c r="S366" s="265"/>
      <c r="T366" s="265"/>
    </row>
    <row r="367" spans="1:20" ht="30" customHeight="1">
      <c r="A367" s="204" t="str">
        <f>IF(ISBLANK(D367)," ",290-COUNTBLANK($D$5:D367))</f>
        <v xml:space="preserve"> </v>
      </c>
      <c r="B367" s="202"/>
      <c r="C367" s="202"/>
      <c r="D367" s="202"/>
      <c r="E367" s="300"/>
      <c r="F367" s="210"/>
      <c r="G367" s="210"/>
      <c r="H367" s="203"/>
      <c r="I367" s="203"/>
      <c r="J367" s="203"/>
      <c r="K367" s="203"/>
      <c r="L367" s="203"/>
      <c r="M367" s="203"/>
      <c r="N367" s="203"/>
      <c r="O367" s="205"/>
      <c r="P367" s="291"/>
      <c r="Q367" s="265"/>
      <c r="R367" s="265"/>
      <c r="S367" s="265"/>
      <c r="T367" s="265"/>
    </row>
    <row r="368" spans="1:20" ht="30" customHeight="1">
      <c r="A368" s="204" t="str">
        <f>IF(ISBLANK(D368)," ",291-COUNTBLANK($D$5:D368))</f>
        <v xml:space="preserve"> </v>
      </c>
      <c r="B368" s="202"/>
      <c r="C368" s="202"/>
      <c r="D368" s="202"/>
      <c r="E368" s="300"/>
      <c r="F368" s="210"/>
      <c r="G368" s="210"/>
      <c r="H368" s="203"/>
      <c r="I368" s="203"/>
      <c r="J368" s="203"/>
      <c r="K368" s="203"/>
      <c r="L368" s="203"/>
      <c r="M368" s="203"/>
      <c r="N368" s="203"/>
      <c r="O368" s="205"/>
      <c r="P368" s="291"/>
      <c r="Q368" s="265"/>
      <c r="R368" s="265"/>
      <c r="S368" s="265"/>
      <c r="T368" s="267"/>
    </row>
    <row r="369" spans="1:23" ht="30" customHeight="1">
      <c r="A369" s="204" t="str">
        <f>IF(ISBLANK(D369)," ",292-COUNTBLANK($D$5:D369))</f>
        <v xml:space="preserve"> </v>
      </c>
      <c r="B369" s="202"/>
      <c r="C369" s="202"/>
      <c r="D369" s="202"/>
      <c r="E369" s="300"/>
      <c r="F369" s="210"/>
      <c r="G369" s="210"/>
      <c r="H369" s="203"/>
      <c r="I369" s="203"/>
      <c r="J369" s="203"/>
      <c r="K369" s="203"/>
      <c r="L369" s="203"/>
      <c r="M369" s="203"/>
      <c r="N369" s="203"/>
      <c r="O369" s="205"/>
      <c r="P369" s="291"/>
      <c r="Q369" s="265"/>
      <c r="R369" s="265"/>
      <c r="S369" s="265"/>
      <c r="T369" s="267"/>
    </row>
    <row r="370" spans="1:23" ht="30" customHeight="1">
      <c r="A370" s="204" t="str">
        <f>IF(ISBLANK(D370)," ",293-COUNTBLANK($D$5:D370))</f>
        <v xml:space="preserve"> </v>
      </c>
      <c r="B370" s="202"/>
      <c r="C370" s="202"/>
      <c r="D370" s="202"/>
      <c r="E370" s="300"/>
      <c r="F370" s="210"/>
      <c r="G370" s="210"/>
      <c r="H370" s="203"/>
      <c r="I370" s="203"/>
      <c r="J370" s="203"/>
      <c r="K370" s="203"/>
      <c r="L370" s="203"/>
      <c r="M370" s="203"/>
      <c r="N370" s="203"/>
      <c r="O370" s="205"/>
      <c r="P370" s="291"/>
      <c r="Q370" s="265"/>
      <c r="R370" s="265"/>
      <c r="S370" s="265"/>
      <c r="T370" s="267"/>
    </row>
    <row r="371" spans="1:23" ht="30" customHeight="1">
      <c r="A371" s="304" t="str">
        <f>IF(ISBLANK(D371)," ",295-COUNTBLANK($D$5:D371))</f>
        <v xml:space="preserve"> </v>
      </c>
      <c r="B371" s="296"/>
      <c r="C371" s="305"/>
      <c r="D371" s="306"/>
      <c r="E371" s="297"/>
      <c r="F371" s="298"/>
      <c r="G371" s="298"/>
      <c r="H371" s="282"/>
      <c r="I371" s="282"/>
      <c r="J371" s="282"/>
      <c r="K371" s="282"/>
      <c r="L371" s="282"/>
      <c r="M371" s="282"/>
      <c r="N371" s="282"/>
      <c r="O371" s="283"/>
      <c r="P371" s="303"/>
      <c r="Q371" s="265"/>
      <c r="R371" s="265"/>
      <c r="S371" s="265"/>
      <c r="T371" s="284"/>
      <c r="U371" s="265"/>
      <c r="V371" s="265"/>
      <c r="W371" s="265"/>
    </row>
    <row r="372" spans="1:23" ht="30" customHeight="1">
      <c r="A372" s="260" t="str">
        <f>IF(ISBLANK(D372)," ",296-COUNTBLANK($D$5:D372))</f>
        <v xml:space="preserve"> </v>
      </c>
      <c r="B372" s="200"/>
      <c r="C372" s="200"/>
      <c r="D372" s="200"/>
      <c r="E372" s="299"/>
      <c r="F372" s="209"/>
      <c r="G372" s="209"/>
      <c r="H372" s="201"/>
      <c r="I372" s="201"/>
      <c r="J372" s="201"/>
      <c r="K372" s="201"/>
      <c r="L372" s="201"/>
      <c r="M372" s="201"/>
      <c r="N372" s="201"/>
      <c r="O372" s="262"/>
      <c r="P372" s="291"/>
      <c r="Q372" s="265"/>
      <c r="R372" s="265"/>
      <c r="S372" s="265"/>
      <c r="T372" s="284"/>
      <c r="U372" s="265"/>
      <c r="V372" s="265"/>
      <c r="W372" s="265"/>
    </row>
    <row r="373" spans="1:23" ht="30" customHeight="1">
      <c r="A373" s="204" t="str">
        <f>IF(ISBLANK(D373)," ",297-COUNTBLANK($D$5:D373))</f>
        <v xml:space="preserve"> </v>
      </c>
      <c r="B373" s="202"/>
      <c r="C373" s="202"/>
      <c r="D373" s="202"/>
      <c r="E373" s="300"/>
      <c r="F373" s="210"/>
      <c r="G373" s="210"/>
      <c r="H373" s="203"/>
      <c r="I373" s="203"/>
      <c r="J373" s="203"/>
      <c r="K373" s="203"/>
      <c r="L373" s="203"/>
      <c r="M373" s="203"/>
      <c r="N373" s="203"/>
      <c r="O373" s="205"/>
      <c r="P373" s="291"/>
      <c r="Q373" s="265"/>
      <c r="R373" s="265"/>
      <c r="S373" s="265"/>
      <c r="T373" s="265"/>
    </row>
    <row r="374" spans="1:23" ht="30" customHeight="1">
      <c r="A374" s="204" t="str">
        <f>IF(ISBLANK(D374)," ",298-COUNTBLANK($D$5:D374))</f>
        <v xml:space="preserve"> </v>
      </c>
      <c r="B374" s="202"/>
      <c r="C374" s="202"/>
      <c r="D374" s="202"/>
      <c r="E374" s="300"/>
      <c r="F374" s="210"/>
      <c r="G374" s="210"/>
      <c r="H374" s="203"/>
      <c r="I374" s="203"/>
      <c r="J374" s="203"/>
      <c r="K374" s="203"/>
      <c r="L374" s="203"/>
      <c r="M374" s="203"/>
      <c r="N374" s="203"/>
      <c r="O374" s="205"/>
      <c r="P374" s="291"/>
      <c r="Q374" s="265"/>
      <c r="R374" s="265"/>
      <c r="S374" s="265"/>
      <c r="T374" s="265"/>
    </row>
    <row r="375" spans="1:23" ht="30" customHeight="1">
      <c r="A375" s="204" t="str">
        <f>IF(ISBLANK(D375)," ",299-COUNTBLANK($D$5:D375))</f>
        <v xml:space="preserve"> </v>
      </c>
      <c r="B375" s="202"/>
      <c r="C375" s="202"/>
      <c r="D375" s="202"/>
      <c r="E375" s="300"/>
      <c r="F375" s="210"/>
      <c r="G375" s="210"/>
      <c r="H375" s="203"/>
      <c r="I375" s="203"/>
      <c r="J375" s="203"/>
      <c r="K375" s="203"/>
      <c r="L375" s="203"/>
      <c r="M375" s="203"/>
      <c r="N375" s="203"/>
      <c r="O375" s="205"/>
      <c r="P375" s="291"/>
      <c r="Q375" s="265"/>
      <c r="R375" s="265"/>
      <c r="S375" s="265"/>
      <c r="T375" s="265"/>
    </row>
    <row r="376" spans="1:23" ht="30" customHeight="1">
      <c r="A376" s="204" t="str">
        <f>IF(ISBLANK(D376)," ",300-COUNTBLANK($D$5:D376))</f>
        <v xml:space="preserve"> </v>
      </c>
      <c r="B376" s="202"/>
      <c r="C376" s="202"/>
      <c r="D376" s="202"/>
      <c r="E376" s="300"/>
      <c r="F376" s="210"/>
      <c r="G376" s="210"/>
      <c r="H376" s="203"/>
      <c r="I376" s="203"/>
      <c r="J376" s="203"/>
      <c r="K376" s="203"/>
      <c r="L376" s="203"/>
      <c r="M376" s="203"/>
      <c r="N376" s="203"/>
      <c r="O376" s="205"/>
      <c r="P376" s="291"/>
      <c r="Q376" s="265"/>
      <c r="R376" s="265"/>
      <c r="S376" s="265"/>
      <c r="T376" s="265"/>
    </row>
    <row r="377" spans="1:23" ht="30" customHeight="1">
      <c r="A377" s="204" t="str">
        <f>IF(ISBLANK(D377)," ",301-COUNTBLANK($D$5:D377))</f>
        <v xml:space="preserve"> </v>
      </c>
      <c r="B377" s="202"/>
      <c r="C377" s="202"/>
      <c r="D377" s="202"/>
      <c r="E377" s="300"/>
      <c r="F377" s="210"/>
      <c r="G377" s="210"/>
      <c r="H377" s="203"/>
      <c r="I377" s="203"/>
      <c r="J377" s="203"/>
      <c r="K377" s="203"/>
      <c r="L377" s="203"/>
      <c r="M377" s="203"/>
      <c r="N377" s="203"/>
      <c r="O377" s="205"/>
      <c r="P377" s="291"/>
      <c r="Q377" s="265"/>
      <c r="R377" s="265"/>
      <c r="S377" s="265"/>
      <c r="T377" s="265"/>
    </row>
    <row r="378" spans="1:23" ht="30" customHeight="1">
      <c r="A378" s="204" t="str">
        <f>IF(ISBLANK(D378)," ",302-COUNTBLANK($D$5:D378))</f>
        <v xml:space="preserve"> </v>
      </c>
      <c r="B378" s="202"/>
      <c r="C378" s="202"/>
      <c r="D378" s="202"/>
      <c r="E378" s="300"/>
      <c r="F378" s="210"/>
      <c r="G378" s="210"/>
      <c r="H378" s="203"/>
      <c r="I378" s="203"/>
      <c r="J378" s="203"/>
      <c r="K378" s="203"/>
      <c r="L378" s="203"/>
      <c r="M378" s="203"/>
      <c r="N378" s="203"/>
      <c r="O378" s="205"/>
      <c r="P378" s="291"/>
      <c r="Q378" s="265"/>
      <c r="R378" s="265"/>
      <c r="S378" s="265"/>
      <c r="T378" s="265"/>
    </row>
    <row r="379" spans="1:23" ht="30" customHeight="1">
      <c r="A379" s="204" t="str">
        <f>IF(ISBLANK(D379)," ",303-COUNTBLANK($D$5:D379))</f>
        <v xml:space="preserve"> </v>
      </c>
      <c r="B379" s="202"/>
      <c r="C379" s="202"/>
      <c r="D379" s="202"/>
      <c r="E379" s="300"/>
      <c r="F379" s="210"/>
      <c r="G379" s="210"/>
      <c r="H379" s="203"/>
      <c r="I379" s="203"/>
      <c r="J379" s="203"/>
      <c r="K379" s="203"/>
      <c r="L379" s="203"/>
      <c r="M379" s="203"/>
      <c r="N379" s="203"/>
      <c r="O379" s="205"/>
      <c r="P379" s="291"/>
      <c r="Q379" s="265"/>
      <c r="R379" s="265"/>
      <c r="S379" s="265"/>
      <c r="T379" s="265"/>
    </row>
    <row r="380" spans="1:23" ht="30" customHeight="1">
      <c r="A380" s="204" t="str">
        <f>IF(ISBLANK(D380)," ",304-COUNTBLANK($D$5:D380))</f>
        <v xml:space="preserve"> </v>
      </c>
      <c r="B380" s="202"/>
      <c r="C380" s="202"/>
      <c r="D380" s="202"/>
      <c r="E380" s="300"/>
      <c r="F380" s="210"/>
      <c r="G380" s="210"/>
      <c r="H380" s="203"/>
      <c r="I380" s="203"/>
      <c r="J380" s="203"/>
      <c r="K380" s="203"/>
      <c r="L380" s="203"/>
      <c r="M380" s="203"/>
      <c r="N380" s="203"/>
      <c r="O380" s="205"/>
      <c r="P380" s="291"/>
      <c r="Q380" s="265"/>
      <c r="R380" s="265"/>
      <c r="S380" s="265"/>
      <c r="T380" s="265"/>
    </row>
    <row r="381" spans="1:23" ht="30" customHeight="1">
      <c r="A381" s="204" t="str">
        <f>IF(ISBLANK(D381)," ",305-COUNTBLANK($D$5:D381))</f>
        <v xml:space="preserve"> </v>
      </c>
      <c r="B381" s="202"/>
      <c r="C381" s="202"/>
      <c r="D381" s="202"/>
      <c r="E381" s="300"/>
      <c r="F381" s="210"/>
      <c r="G381" s="210"/>
      <c r="H381" s="203"/>
      <c r="I381" s="203"/>
      <c r="J381" s="203"/>
      <c r="K381" s="203"/>
      <c r="L381" s="203"/>
      <c r="M381" s="203"/>
      <c r="N381" s="203"/>
      <c r="O381" s="205"/>
      <c r="P381" s="291"/>
      <c r="Q381" s="265"/>
      <c r="R381" s="265"/>
      <c r="S381" s="265"/>
      <c r="T381" s="265"/>
    </row>
    <row r="382" spans="1:23" ht="30" customHeight="1">
      <c r="A382" s="204" t="str">
        <f>IF(ISBLANK(D382)," ",306-COUNTBLANK($D$5:D382))</f>
        <v xml:space="preserve"> </v>
      </c>
      <c r="B382" s="202"/>
      <c r="C382" s="202"/>
      <c r="D382" s="202"/>
      <c r="E382" s="300"/>
      <c r="F382" s="210"/>
      <c r="G382" s="210"/>
      <c r="H382" s="203"/>
      <c r="I382" s="203"/>
      <c r="J382" s="203"/>
      <c r="K382" s="203"/>
      <c r="L382" s="203"/>
      <c r="M382" s="203"/>
      <c r="N382" s="203"/>
      <c r="O382" s="205"/>
      <c r="P382" s="291"/>
      <c r="Q382" s="265"/>
      <c r="R382" s="265"/>
      <c r="S382" s="265"/>
      <c r="T382" s="265"/>
    </row>
    <row r="383" spans="1:23" ht="30" customHeight="1">
      <c r="A383" s="204" t="str">
        <f>IF(ISBLANK(D383)," ",307-COUNTBLANK($D$5:D383))</f>
        <v xml:space="preserve"> </v>
      </c>
      <c r="B383" s="202"/>
      <c r="C383" s="202"/>
      <c r="D383" s="202"/>
      <c r="E383" s="300"/>
      <c r="F383" s="210"/>
      <c r="G383" s="210"/>
      <c r="H383" s="203"/>
      <c r="I383" s="203"/>
      <c r="J383" s="203"/>
      <c r="K383" s="203"/>
      <c r="L383" s="203"/>
      <c r="M383" s="203"/>
      <c r="N383" s="203"/>
      <c r="O383" s="205"/>
      <c r="P383" s="291"/>
      <c r="Q383" s="265"/>
      <c r="R383" s="265"/>
      <c r="S383" s="265"/>
      <c r="T383" s="265"/>
    </row>
    <row r="384" spans="1:23" ht="30" customHeight="1">
      <c r="A384" s="204" t="str">
        <f>IF(ISBLANK(D384)," ",308-COUNTBLANK($D$5:D384))</f>
        <v xml:space="preserve"> </v>
      </c>
      <c r="B384" s="202"/>
      <c r="C384" s="202"/>
      <c r="D384" s="202"/>
      <c r="E384" s="300"/>
      <c r="F384" s="210"/>
      <c r="G384" s="210"/>
      <c r="H384" s="203"/>
      <c r="I384" s="203"/>
      <c r="J384" s="203"/>
      <c r="K384" s="203"/>
      <c r="L384" s="203"/>
      <c r="M384" s="203"/>
      <c r="N384" s="203"/>
      <c r="O384" s="205"/>
      <c r="P384" s="291"/>
      <c r="Q384" s="265"/>
      <c r="R384" s="265"/>
      <c r="S384" s="265"/>
      <c r="T384" s="265"/>
    </row>
    <row r="385" spans="1:23" ht="30" customHeight="1">
      <c r="A385" s="204" t="str">
        <f>IF(ISBLANK(D385)," ",309-COUNTBLANK($D$5:D385))</f>
        <v xml:space="preserve"> </v>
      </c>
      <c r="B385" s="202"/>
      <c r="C385" s="202"/>
      <c r="D385" s="202"/>
      <c r="E385" s="300"/>
      <c r="F385" s="210"/>
      <c r="G385" s="210"/>
      <c r="H385" s="203"/>
      <c r="I385" s="203"/>
      <c r="J385" s="203"/>
      <c r="K385" s="203"/>
      <c r="L385" s="203"/>
      <c r="M385" s="203"/>
      <c r="N385" s="203"/>
      <c r="O385" s="205"/>
      <c r="P385" s="291"/>
      <c r="Q385" s="265"/>
      <c r="R385" s="265"/>
      <c r="S385" s="265"/>
      <c r="T385" s="265"/>
    </row>
    <row r="386" spans="1:23" ht="30" customHeight="1">
      <c r="A386" s="204" t="str">
        <f>IF(ISBLANK(D386)," ",310-COUNTBLANK($D$5:D386))</f>
        <v xml:space="preserve"> </v>
      </c>
      <c r="B386" s="202"/>
      <c r="C386" s="202"/>
      <c r="D386" s="202"/>
      <c r="E386" s="300"/>
      <c r="F386" s="210"/>
      <c r="G386" s="210"/>
      <c r="H386" s="203"/>
      <c r="I386" s="203"/>
      <c r="J386" s="203"/>
      <c r="K386" s="203"/>
      <c r="L386" s="203"/>
      <c r="M386" s="203"/>
      <c r="N386" s="203"/>
      <c r="O386" s="205"/>
      <c r="P386" s="291"/>
      <c r="Q386" s="265"/>
      <c r="R386" s="265"/>
      <c r="S386" s="265"/>
      <c r="T386" s="265"/>
    </row>
    <row r="387" spans="1:23" ht="30" customHeight="1">
      <c r="A387" s="204" t="str">
        <f>IF(ISBLANK(D387)," ",311-COUNTBLANK($D$5:D387))</f>
        <v xml:space="preserve"> </v>
      </c>
      <c r="B387" s="202"/>
      <c r="C387" s="202"/>
      <c r="D387" s="202"/>
      <c r="E387" s="300"/>
      <c r="F387" s="210"/>
      <c r="G387" s="210"/>
      <c r="H387" s="203"/>
      <c r="I387" s="203"/>
      <c r="J387" s="203"/>
      <c r="K387" s="203"/>
      <c r="L387" s="203"/>
      <c r="M387" s="203"/>
      <c r="N387" s="203"/>
      <c r="O387" s="205"/>
      <c r="P387" s="291"/>
      <c r="Q387" s="265"/>
      <c r="R387" s="265"/>
      <c r="S387" s="265"/>
      <c r="T387" s="265"/>
    </row>
    <row r="388" spans="1:23" ht="30" customHeight="1">
      <c r="A388" s="204" t="str">
        <f>IF(ISBLANK(D388)," ",312-COUNTBLANK($D$5:D388))</f>
        <v xml:space="preserve"> </v>
      </c>
      <c r="B388" s="202"/>
      <c r="C388" s="202"/>
      <c r="D388" s="202"/>
      <c r="E388" s="300"/>
      <c r="F388" s="210"/>
      <c r="G388" s="210"/>
      <c r="H388" s="203"/>
      <c r="I388" s="203"/>
      <c r="J388" s="203"/>
      <c r="K388" s="203"/>
      <c r="L388" s="203"/>
      <c r="M388" s="203"/>
      <c r="N388" s="203"/>
      <c r="O388" s="205"/>
      <c r="P388" s="291"/>
      <c r="Q388" s="265"/>
      <c r="R388" s="265"/>
      <c r="S388" s="265"/>
      <c r="T388" s="267"/>
    </row>
    <row r="389" spans="1:23" ht="30" customHeight="1">
      <c r="A389" s="204" t="str">
        <f>IF(ISBLANK(D389)," ",313-COUNTBLANK($D$5:D389))</f>
        <v xml:space="preserve"> </v>
      </c>
      <c r="B389" s="202"/>
      <c r="C389" s="202"/>
      <c r="D389" s="202"/>
      <c r="E389" s="300"/>
      <c r="F389" s="210"/>
      <c r="G389" s="210"/>
      <c r="H389" s="203"/>
      <c r="I389" s="203"/>
      <c r="J389" s="203"/>
      <c r="K389" s="203"/>
      <c r="L389" s="203"/>
      <c r="M389" s="203"/>
      <c r="N389" s="203"/>
      <c r="O389" s="205"/>
      <c r="P389" s="291"/>
      <c r="Q389" s="265"/>
      <c r="R389" s="265"/>
      <c r="S389" s="265"/>
      <c r="T389" s="267"/>
    </row>
    <row r="390" spans="1:23" ht="30" customHeight="1">
      <c r="A390" s="204" t="str">
        <f>IF(ISBLANK(D390)," ",314-COUNTBLANK($D$5:D390))</f>
        <v xml:space="preserve"> </v>
      </c>
      <c r="B390" s="202"/>
      <c r="C390" s="202"/>
      <c r="D390" s="202"/>
      <c r="E390" s="300"/>
      <c r="F390" s="210"/>
      <c r="G390" s="210"/>
      <c r="H390" s="203"/>
      <c r="I390" s="203"/>
      <c r="J390" s="203"/>
      <c r="K390" s="203"/>
      <c r="L390" s="203"/>
      <c r="M390" s="203"/>
      <c r="N390" s="203"/>
      <c r="O390" s="205"/>
      <c r="P390" s="291"/>
      <c r="Q390" s="265"/>
      <c r="R390" s="265"/>
      <c r="S390" s="265"/>
      <c r="T390" s="267"/>
    </row>
    <row r="391" spans="1:23" ht="30" customHeight="1">
      <c r="A391" s="304" t="str">
        <f>IF(ISBLANK(D391)," ",316-COUNTBLANK($D$5:D391))</f>
        <v xml:space="preserve"> </v>
      </c>
      <c r="B391" s="296"/>
      <c r="C391" s="305"/>
      <c r="D391" s="306"/>
      <c r="E391" s="297"/>
      <c r="F391" s="298"/>
      <c r="G391" s="298"/>
      <c r="H391" s="282"/>
      <c r="I391" s="282"/>
      <c r="J391" s="282"/>
      <c r="K391" s="282"/>
      <c r="L391" s="282"/>
      <c r="M391" s="282"/>
      <c r="N391" s="282"/>
      <c r="O391" s="283"/>
      <c r="P391" s="303"/>
      <c r="Q391" s="265"/>
      <c r="R391" s="265"/>
      <c r="S391" s="265"/>
      <c r="T391" s="284"/>
      <c r="U391" s="265"/>
      <c r="V391" s="265"/>
      <c r="W391" s="265"/>
    </row>
    <row r="392" spans="1:23" ht="30" customHeight="1">
      <c r="A392" s="260" t="str">
        <f>IF(ISBLANK(D392)," ",317-COUNTBLANK($D$5:D392))</f>
        <v xml:space="preserve"> </v>
      </c>
      <c r="B392" s="200"/>
      <c r="C392" s="200"/>
      <c r="D392" s="200"/>
      <c r="E392" s="299"/>
      <c r="F392" s="209"/>
      <c r="G392" s="209"/>
      <c r="H392" s="201"/>
      <c r="I392" s="201"/>
      <c r="J392" s="201"/>
      <c r="K392" s="201"/>
      <c r="L392" s="201"/>
      <c r="M392" s="201"/>
      <c r="N392" s="201"/>
      <c r="O392" s="262"/>
      <c r="P392" s="291"/>
      <c r="Q392" s="265"/>
      <c r="R392" s="265"/>
      <c r="S392" s="265"/>
      <c r="T392" s="284"/>
      <c r="U392" s="265"/>
      <c r="V392" s="265"/>
      <c r="W392" s="265"/>
    </row>
    <row r="393" spans="1:23" ht="30" customHeight="1">
      <c r="A393" s="204" t="str">
        <f>IF(ISBLANK(D393)," ",318-COUNTBLANK($D$5:D393))</f>
        <v xml:space="preserve"> </v>
      </c>
      <c r="B393" s="202"/>
      <c r="C393" s="202"/>
      <c r="D393" s="202"/>
      <c r="E393" s="300"/>
      <c r="F393" s="210"/>
      <c r="G393" s="210"/>
      <c r="H393" s="203"/>
      <c r="I393" s="203"/>
      <c r="J393" s="203"/>
      <c r="K393" s="203"/>
      <c r="L393" s="203"/>
      <c r="M393" s="203"/>
      <c r="N393" s="203"/>
      <c r="O393" s="205"/>
      <c r="P393" s="291"/>
      <c r="Q393" s="265"/>
      <c r="R393" s="265"/>
      <c r="S393" s="265"/>
      <c r="T393" s="265"/>
    </row>
    <row r="394" spans="1:23" ht="30" customHeight="1">
      <c r="A394" s="204" t="str">
        <f>IF(ISBLANK(D394)," ",319-COUNTBLANK($D$5:D394))</f>
        <v xml:space="preserve"> </v>
      </c>
      <c r="B394" s="202"/>
      <c r="C394" s="202"/>
      <c r="D394" s="202"/>
      <c r="E394" s="300"/>
      <c r="F394" s="210"/>
      <c r="G394" s="210"/>
      <c r="H394" s="203"/>
      <c r="I394" s="203"/>
      <c r="J394" s="203"/>
      <c r="K394" s="203"/>
      <c r="L394" s="203"/>
      <c r="M394" s="203"/>
      <c r="N394" s="203"/>
      <c r="O394" s="205"/>
      <c r="P394" s="291"/>
      <c r="Q394" s="265"/>
      <c r="R394" s="265"/>
      <c r="S394" s="265"/>
      <c r="T394" s="265"/>
    </row>
    <row r="395" spans="1:23" ht="30" customHeight="1">
      <c r="A395" s="204" t="str">
        <f>IF(ISBLANK(D395)," ",320-COUNTBLANK($D$5:D395))</f>
        <v xml:space="preserve"> </v>
      </c>
      <c r="B395" s="202"/>
      <c r="C395" s="202"/>
      <c r="D395" s="202"/>
      <c r="E395" s="300"/>
      <c r="F395" s="210"/>
      <c r="G395" s="210"/>
      <c r="H395" s="203"/>
      <c r="I395" s="203"/>
      <c r="J395" s="203"/>
      <c r="K395" s="203"/>
      <c r="L395" s="203"/>
      <c r="M395" s="203"/>
      <c r="N395" s="203"/>
      <c r="O395" s="205"/>
      <c r="P395" s="291"/>
      <c r="Q395" s="265"/>
      <c r="R395" s="265"/>
      <c r="S395" s="265"/>
      <c r="T395" s="265"/>
    </row>
    <row r="396" spans="1:23" ht="30" customHeight="1">
      <c r="A396" s="204" t="str">
        <f>IF(ISBLANK(D396)," ",321-COUNTBLANK($D$5:D396))</f>
        <v xml:space="preserve"> </v>
      </c>
      <c r="B396" s="202"/>
      <c r="C396" s="202"/>
      <c r="D396" s="202"/>
      <c r="E396" s="300"/>
      <c r="F396" s="210"/>
      <c r="G396" s="210"/>
      <c r="H396" s="203"/>
      <c r="I396" s="203"/>
      <c r="J396" s="203"/>
      <c r="K396" s="203"/>
      <c r="L396" s="203"/>
      <c r="M396" s="203"/>
      <c r="N396" s="203"/>
      <c r="O396" s="205"/>
      <c r="P396" s="291"/>
      <c r="Q396" s="265"/>
      <c r="R396" s="265"/>
      <c r="S396" s="265"/>
      <c r="T396" s="265"/>
    </row>
    <row r="397" spans="1:23" ht="30" customHeight="1">
      <c r="A397" s="204" t="str">
        <f>IF(ISBLANK(D397)," ",322-COUNTBLANK($D$5:D397))</f>
        <v xml:space="preserve"> </v>
      </c>
      <c r="B397" s="202"/>
      <c r="C397" s="202"/>
      <c r="D397" s="202"/>
      <c r="E397" s="300"/>
      <c r="F397" s="210"/>
      <c r="G397" s="210"/>
      <c r="H397" s="203"/>
      <c r="I397" s="203"/>
      <c r="J397" s="203"/>
      <c r="K397" s="203"/>
      <c r="L397" s="203"/>
      <c r="M397" s="203"/>
      <c r="N397" s="203"/>
      <c r="O397" s="205"/>
      <c r="P397" s="291"/>
      <c r="Q397" s="265"/>
      <c r="R397" s="265"/>
      <c r="S397" s="265"/>
      <c r="T397" s="265"/>
    </row>
    <row r="398" spans="1:23" ht="30" customHeight="1">
      <c r="A398" s="204" t="str">
        <f>IF(ISBLANK(D398)," ",323-COUNTBLANK($D$5:D398))</f>
        <v xml:space="preserve"> </v>
      </c>
      <c r="B398" s="202"/>
      <c r="C398" s="202"/>
      <c r="D398" s="202"/>
      <c r="E398" s="300"/>
      <c r="F398" s="210"/>
      <c r="G398" s="210"/>
      <c r="H398" s="203"/>
      <c r="I398" s="203"/>
      <c r="J398" s="203"/>
      <c r="K398" s="203"/>
      <c r="L398" s="203"/>
      <c r="M398" s="203"/>
      <c r="N398" s="203"/>
      <c r="O398" s="205"/>
      <c r="P398" s="291"/>
      <c r="Q398" s="265"/>
      <c r="R398" s="265"/>
      <c r="S398" s="265"/>
      <c r="T398" s="265"/>
    </row>
    <row r="399" spans="1:23" ht="30" customHeight="1">
      <c r="A399" s="204" t="str">
        <f>IF(ISBLANK(D399)," ",324-COUNTBLANK($D$5:D399))</f>
        <v xml:space="preserve"> </v>
      </c>
      <c r="B399" s="202"/>
      <c r="C399" s="202"/>
      <c r="D399" s="202"/>
      <c r="E399" s="300"/>
      <c r="F399" s="210"/>
      <c r="G399" s="210"/>
      <c r="H399" s="203"/>
      <c r="I399" s="203"/>
      <c r="J399" s="203"/>
      <c r="K399" s="203"/>
      <c r="L399" s="203"/>
      <c r="M399" s="203"/>
      <c r="N399" s="203"/>
      <c r="O399" s="205"/>
      <c r="P399" s="291"/>
      <c r="Q399" s="265"/>
      <c r="R399" s="265"/>
      <c r="S399" s="265"/>
      <c r="T399" s="265"/>
    </row>
    <row r="400" spans="1:23" ht="30" customHeight="1">
      <c r="A400" s="204" t="str">
        <f>IF(ISBLANK(D400)," ",325-COUNTBLANK($D$5:D400))</f>
        <v xml:space="preserve"> </v>
      </c>
      <c r="B400" s="202"/>
      <c r="C400" s="202"/>
      <c r="D400" s="202"/>
      <c r="E400" s="300"/>
      <c r="F400" s="210"/>
      <c r="G400" s="210"/>
      <c r="H400" s="203"/>
      <c r="I400" s="203"/>
      <c r="J400" s="203"/>
      <c r="K400" s="203"/>
      <c r="L400" s="203"/>
      <c r="M400" s="203"/>
      <c r="N400" s="203"/>
      <c r="O400" s="205"/>
      <c r="P400" s="291"/>
      <c r="Q400" s="265"/>
      <c r="R400" s="265"/>
      <c r="S400" s="265"/>
      <c r="T400" s="265"/>
    </row>
    <row r="401" spans="1:23" ht="30" customHeight="1">
      <c r="A401" s="204" t="str">
        <f>IF(ISBLANK(D401)," ",326-COUNTBLANK($D$5:D401))</f>
        <v xml:space="preserve"> </v>
      </c>
      <c r="B401" s="202"/>
      <c r="C401" s="202"/>
      <c r="D401" s="202"/>
      <c r="E401" s="300"/>
      <c r="F401" s="210"/>
      <c r="G401" s="210"/>
      <c r="H401" s="203"/>
      <c r="I401" s="203"/>
      <c r="J401" s="203"/>
      <c r="K401" s="203"/>
      <c r="L401" s="203"/>
      <c r="M401" s="203"/>
      <c r="N401" s="203"/>
      <c r="O401" s="205"/>
      <c r="P401" s="291"/>
      <c r="Q401" s="265"/>
      <c r="R401" s="265"/>
      <c r="S401" s="265"/>
      <c r="T401" s="265"/>
    </row>
    <row r="402" spans="1:23" ht="30" customHeight="1">
      <c r="A402" s="204" t="str">
        <f>IF(ISBLANK(D402)," ",327-COUNTBLANK($D$5:D402))</f>
        <v xml:space="preserve"> </v>
      </c>
      <c r="B402" s="202"/>
      <c r="C402" s="202"/>
      <c r="D402" s="202"/>
      <c r="E402" s="300"/>
      <c r="F402" s="210"/>
      <c r="G402" s="210"/>
      <c r="H402" s="203"/>
      <c r="I402" s="203"/>
      <c r="J402" s="203"/>
      <c r="K402" s="203"/>
      <c r="L402" s="203"/>
      <c r="M402" s="203"/>
      <c r="N402" s="203"/>
      <c r="O402" s="205"/>
      <c r="P402" s="291"/>
      <c r="Q402" s="265"/>
      <c r="R402" s="265"/>
      <c r="S402" s="265"/>
      <c r="T402" s="265"/>
    </row>
    <row r="403" spans="1:23" ht="30" customHeight="1">
      <c r="A403" s="204" t="str">
        <f>IF(ISBLANK(D403)," ",328-COUNTBLANK($D$5:D403))</f>
        <v xml:space="preserve"> </v>
      </c>
      <c r="B403" s="202"/>
      <c r="C403" s="202"/>
      <c r="D403" s="202"/>
      <c r="E403" s="300"/>
      <c r="F403" s="210"/>
      <c r="G403" s="210"/>
      <c r="H403" s="203"/>
      <c r="I403" s="203"/>
      <c r="J403" s="203"/>
      <c r="K403" s="203"/>
      <c r="L403" s="203"/>
      <c r="M403" s="203"/>
      <c r="N403" s="203"/>
      <c r="O403" s="205"/>
      <c r="P403" s="291"/>
      <c r="Q403" s="265"/>
      <c r="R403" s="265"/>
      <c r="S403" s="265"/>
      <c r="T403" s="265"/>
    </row>
    <row r="404" spans="1:23" ht="30" customHeight="1">
      <c r="A404" s="204" t="str">
        <f>IF(ISBLANK(D404)," ",329-COUNTBLANK($D$5:D404))</f>
        <v xml:space="preserve"> </v>
      </c>
      <c r="B404" s="202"/>
      <c r="C404" s="202"/>
      <c r="D404" s="202"/>
      <c r="E404" s="300"/>
      <c r="F404" s="210"/>
      <c r="G404" s="210"/>
      <c r="H404" s="203"/>
      <c r="I404" s="203"/>
      <c r="J404" s="203"/>
      <c r="K404" s="203"/>
      <c r="L404" s="203"/>
      <c r="M404" s="203"/>
      <c r="N404" s="203"/>
      <c r="O404" s="205"/>
      <c r="P404" s="291"/>
      <c r="Q404" s="265"/>
      <c r="R404" s="265"/>
      <c r="S404" s="265"/>
      <c r="T404" s="265"/>
    </row>
    <row r="405" spans="1:23" ht="30" customHeight="1">
      <c r="A405" s="204" t="str">
        <f>IF(ISBLANK(D405)," ",330-COUNTBLANK($D$5:D405))</f>
        <v xml:space="preserve"> </v>
      </c>
      <c r="B405" s="202"/>
      <c r="C405" s="202"/>
      <c r="D405" s="202"/>
      <c r="E405" s="300"/>
      <c r="F405" s="210"/>
      <c r="G405" s="210"/>
      <c r="H405" s="203"/>
      <c r="I405" s="203"/>
      <c r="J405" s="203"/>
      <c r="K405" s="203"/>
      <c r="L405" s="203"/>
      <c r="M405" s="203"/>
      <c r="N405" s="203"/>
      <c r="O405" s="205"/>
      <c r="P405" s="291"/>
      <c r="Q405" s="265"/>
      <c r="R405" s="265"/>
      <c r="S405" s="265"/>
      <c r="T405" s="265"/>
    </row>
    <row r="406" spans="1:23" ht="30" customHeight="1">
      <c r="A406" s="204" t="str">
        <f>IF(ISBLANK(D406)," ",331-COUNTBLANK($D$5:D406))</f>
        <v xml:space="preserve"> </v>
      </c>
      <c r="B406" s="202"/>
      <c r="C406" s="202"/>
      <c r="D406" s="202"/>
      <c r="E406" s="300"/>
      <c r="F406" s="210"/>
      <c r="G406" s="210"/>
      <c r="H406" s="203"/>
      <c r="I406" s="203"/>
      <c r="J406" s="203"/>
      <c r="K406" s="203"/>
      <c r="L406" s="203"/>
      <c r="M406" s="203"/>
      <c r="N406" s="203"/>
      <c r="O406" s="205"/>
      <c r="P406" s="291"/>
      <c r="Q406" s="265"/>
      <c r="R406" s="265"/>
      <c r="S406" s="265"/>
      <c r="T406" s="265"/>
    </row>
    <row r="407" spans="1:23" ht="27.75" customHeight="1">
      <c r="A407" s="204" t="str">
        <f>IF(ISBLANK(D407)," ",332-COUNTBLANK($D$5:D407))</f>
        <v xml:space="preserve"> </v>
      </c>
      <c r="B407" s="202"/>
      <c r="C407" s="202"/>
      <c r="D407" s="202"/>
      <c r="E407" s="300"/>
      <c r="F407" s="210"/>
      <c r="G407" s="210"/>
      <c r="H407" s="203"/>
      <c r="I407" s="203"/>
      <c r="J407" s="203"/>
      <c r="K407" s="203"/>
      <c r="L407" s="203"/>
      <c r="M407" s="203"/>
      <c r="N407" s="203"/>
      <c r="O407" s="205"/>
      <c r="P407" s="291"/>
      <c r="Q407" s="265"/>
      <c r="R407" s="265"/>
      <c r="S407" s="265"/>
      <c r="T407" s="265"/>
    </row>
    <row r="408" spans="1:23" ht="27.75" customHeight="1">
      <c r="A408" s="204" t="str">
        <f>IF(ISBLANK(D408)," ",333-COUNTBLANK($D$5:D408))</f>
        <v xml:space="preserve"> </v>
      </c>
      <c r="B408" s="202"/>
      <c r="C408" s="202"/>
      <c r="D408" s="202"/>
      <c r="E408" s="300"/>
      <c r="F408" s="210"/>
      <c r="G408" s="210"/>
      <c r="H408" s="203"/>
      <c r="I408" s="203"/>
      <c r="J408" s="203"/>
      <c r="K408" s="203"/>
      <c r="L408" s="203"/>
      <c r="M408" s="203"/>
      <c r="N408" s="203"/>
      <c r="O408" s="205"/>
      <c r="P408" s="291"/>
      <c r="Q408" s="265"/>
      <c r="R408" s="265"/>
      <c r="S408" s="265"/>
      <c r="T408" s="267"/>
    </row>
    <row r="409" spans="1:23" ht="27.75" customHeight="1">
      <c r="A409" s="204" t="str">
        <f>IF(ISBLANK(D409)," ",334-COUNTBLANK($D$5:D409))</f>
        <v xml:space="preserve"> </v>
      </c>
      <c r="B409" s="202"/>
      <c r="C409" s="202"/>
      <c r="D409" s="202"/>
      <c r="E409" s="300"/>
      <c r="F409" s="210"/>
      <c r="G409" s="210"/>
      <c r="H409" s="203"/>
      <c r="I409" s="203"/>
      <c r="J409" s="203"/>
      <c r="K409" s="203"/>
      <c r="L409" s="203"/>
      <c r="M409" s="203"/>
      <c r="N409" s="203"/>
      <c r="O409" s="205"/>
      <c r="P409" s="291"/>
      <c r="Q409" s="265"/>
      <c r="R409" s="265"/>
      <c r="S409" s="265"/>
      <c r="T409" s="267"/>
    </row>
    <row r="410" spans="1:23" ht="27.75" customHeight="1">
      <c r="A410" s="204" t="str">
        <f>IF(ISBLANK(D410)," ",335-COUNTBLANK($D$5:D410))</f>
        <v xml:space="preserve"> </v>
      </c>
      <c r="B410" s="202"/>
      <c r="C410" s="202"/>
      <c r="D410" s="202"/>
      <c r="E410" s="300"/>
      <c r="F410" s="210"/>
      <c r="G410" s="210"/>
      <c r="H410" s="203"/>
      <c r="I410" s="203"/>
      <c r="J410" s="203"/>
      <c r="K410" s="203"/>
      <c r="L410" s="203"/>
      <c r="M410" s="203"/>
      <c r="N410" s="203"/>
      <c r="O410" s="205"/>
      <c r="P410" s="291"/>
      <c r="Q410" s="265"/>
      <c r="R410" s="265"/>
      <c r="S410" s="265"/>
      <c r="T410" s="267"/>
    </row>
    <row r="411" spans="1:23" ht="27.75" customHeight="1">
      <c r="A411" s="304" t="str">
        <f>IF(ISBLANK(D411)," ",337-COUNTBLANK($D$5:D411))</f>
        <v xml:space="preserve"> </v>
      </c>
      <c r="B411" s="296"/>
      <c r="C411" s="305"/>
      <c r="D411" s="306"/>
      <c r="E411" s="297"/>
      <c r="F411" s="298"/>
      <c r="G411" s="298"/>
      <c r="H411" s="282"/>
      <c r="I411" s="282"/>
      <c r="J411" s="282"/>
      <c r="K411" s="282"/>
      <c r="L411" s="282"/>
      <c r="M411" s="282"/>
      <c r="N411" s="282"/>
      <c r="O411" s="283"/>
      <c r="P411" s="303"/>
      <c r="Q411" s="265"/>
      <c r="R411" s="265"/>
      <c r="S411" s="265"/>
      <c r="T411" s="284"/>
      <c r="U411" s="265"/>
      <c r="V411" s="265"/>
      <c r="W411" s="265"/>
    </row>
    <row r="412" spans="1:23" ht="27.75" customHeight="1">
      <c r="A412" s="260" t="str">
        <f>IF(ISBLANK(D412)," ",338-COUNTBLANK($D$5:D412))</f>
        <v xml:space="preserve"> </v>
      </c>
      <c r="B412" s="200"/>
      <c r="C412" s="200"/>
      <c r="D412" s="200"/>
      <c r="E412" s="299"/>
      <c r="F412" s="209"/>
      <c r="G412" s="209"/>
      <c r="H412" s="201"/>
      <c r="I412" s="201"/>
      <c r="J412" s="201"/>
      <c r="K412" s="201"/>
      <c r="L412" s="201"/>
      <c r="M412" s="201"/>
      <c r="N412" s="201"/>
      <c r="O412" s="262"/>
      <c r="P412" s="291"/>
      <c r="Q412" s="265"/>
      <c r="R412" s="265"/>
      <c r="S412" s="265"/>
      <c r="T412" s="284"/>
      <c r="U412" s="265"/>
      <c r="V412" s="265"/>
      <c r="W412" s="265"/>
    </row>
    <row r="413" spans="1:23" ht="27.75" customHeight="1">
      <c r="A413" s="204" t="str">
        <f>IF(ISBLANK(D413)," ",339-COUNTBLANK($D$5:D413))</f>
        <v xml:space="preserve"> </v>
      </c>
      <c r="B413" s="202"/>
      <c r="C413" s="202"/>
      <c r="D413" s="202"/>
      <c r="E413" s="300"/>
      <c r="F413" s="210"/>
      <c r="G413" s="210"/>
      <c r="H413" s="203"/>
      <c r="I413" s="203"/>
      <c r="J413" s="203"/>
      <c r="K413" s="203"/>
      <c r="L413" s="203"/>
      <c r="M413" s="203"/>
      <c r="N413" s="203"/>
      <c r="O413" s="205"/>
      <c r="P413" s="291"/>
      <c r="Q413" s="265"/>
      <c r="R413" s="265"/>
      <c r="S413" s="265"/>
      <c r="T413" s="265"/>
    </row>
    <row r="414" spans="1:23" ht="27.75" customHeight="1">
      <c r="A414" s="204" t="str">
        <f>IF(ISBLANK(D414)," ",340-COUNTBLANK($D$5:D414))</f>
        <v xml:space="preserve"> </v>
      </c>
      <c r="B414" s="202"/>
      <c r="C414" s="202"/>
      <c r="D414" s="202"/>
      <c r="E414" s="300"/>
      <c r="F414" s="210"/>
      <c r="G414" s="210"/>
      <c r="H414" s="203"/>
      <c r="I414" s="203"/>
      <c r="J414" s="203"/>
      <c r="K414" s="203"/>
      <c r="L414" s="203"/>
      <c r="M414" s="203"/>
      <c r="N414" s="203"/>
      <c r="O414" s="205"/>
      <c r="P414" s="291"/>
      <c r="Q414" s="265"/>
      <c r="R414" s="265"/>
      <c r="S414" s="265"/>
      <c r="T414" s="265"/>
    </row>
    <row r="415" spans="1:23" ht="27.75" customHeight="1">
      <c r="A415" s="204" t="str">
        <f>IF(ISBLANK(D415)," ",341-COUNTBLANK($D$5:D415))</f>
        <v xml:space="preserve"> </v>
      </c>
      <c r="B415" s="202"/>
      <c r="C415" s="202"/>
      <c r="D415" s="202"/>
      <c r="E415" s="300"/>
      <c r="F415" s="210"/>
      <c r="G415" s="210"/>
      <c r="H415" s="203"/>
      <c r="I415" s="203"/>
      <c r="J415" s="203"/>
      <c r="K415" s="203"/>
      <c r="L415" s="203"/>
      <c r="M415" s="203"/>
      <c r="N415" s="203"/>
      <c r="O415" s="205"/>
      <c r="P415" s="291"/>
      <c r="Q415" s="265"/>
      <c r="R415" s="265"/>
      <c r="S415" s="265"/>
      <c r="T415" s="265"/>
    </row>
    <row r="416" spans="1:23" ht="27.75" customHeight="1">
      <c r="A416" s="204" t="str">
        <f>IF(ISBLANK(D416)," ",342-COUNTBLANK($D$5:D416))</f>
        <v xml:space="preserve"> </v>
      </c>
      <c r="B416" s="202"/>
      <c r="C416" s="202"/>
      <c r="D416" s="202"/>
      <c r="E416" s="300"/>
      <c r="F416" s="210"/>
      <c r="G416" s="210"/>
      <c r="H416" s="203"/>
      <c r="I416" s="203"/>
      <c r="J416" s="203"/>
      <c r="K416" s="203"/>
      <c r="L416" s="203"/>
      <c r="M416" s="203"/>
      <c r="N416" s="203"/>
      <c r="O416" s="205"/>
      <c r="P416" s="291"/>
      <c r="Q416" s="265"/>
      <c r="R416" s="265"/>
      <c r="S416" s="265"/>
      <c r="T416" s="265"/>
    </row>
    <row r="417" spans="1:23" ht="27.75" customHeight="1">
      <c r="A417" s="204" t="str">
        <f>IF(ISBLANK(D417)," ",343-COUNTBLANK($D$5:D417))</f>
        <v xml:space="preserve"> </v>
      </c>
      <c r="B417" s="202"/>
      <c r="C417" s="202"/>
      <c r="D417" s="202"/>
      <c r="E417" s="300"/>
      <c r="F417" s="210"/>
      <c r="G417" s="210"/>
      <c r="H417" s="203"/>
      <c r="I417" s="203"/>
      <c r="J417" s="203"/>
      <c r="K417" s="203"/>
      <c r="L417" s="203"/>
      <c r="M417" s="203"/>
      <c r="N417" s="203"/>
      <c r="O417" s="205"/>
      <c r="P417" s="291"/>
      <c r="Q417" s="265"/>
      <c r="R417" s="265"/>
      <c r="S417" s="265"/>
      <c r="T417" s="265"/>
    </row>
    <row r="418" spans="1:23" ht="27.75" customHeight="1">
      <c r="A418" s="204" t="str">
        <f>IF(ISBLANK(D418)," ",344-COUNTBLANK($D$5:D418))</f>
        <v xml:space="preserve"> </v>
      </c>
      <c r="B418" s="202"/>
      <c r="C418" s="202"/>
      <c r="D418" s="202"/>
      <c r="E418" s="300"/>
      <c r="F418" s="210"/>
      <c r="G418" s="210"/>
      <c r="H418" s="203"/>
      <c r="I418" s="203"/>
      <c r="J418" s="203"/>
      <c r="K418" s="203"/>
      <c r="L418" s="203"/>
      <c r="M418" s="203"/>
      <c r="N418" s="203"/>
      <c r="O418" s="205"/>
      <c r="P418" s="291"/>
      <c r="Q418" s="265"/>
      <c r="R418" s="265"/>
      <c r="S418" s="265"/>
      <c r="T418" s="265"/>
    </row>
    <row r="419" spans="1:23" ht="27.75" customHeight="1">
      <c r="A419" s="204" t="str">
        <f>IF(ISBLANK(D419)," ",345-COUNTBLANK($D$5:D419))</f>
        <v xml:space="preserve"> </v>
      </c>
      <c r="B419" s="202"/>
      <c r="C419" s="202"/>
      <c r="D419" s="202"/>
      <c r="E419" s="300"/>
      <c r="F419" s="210"/>
      <c r="G419" s="210"/>
      <c r="H419" s="203"/>
      <c r="I419" s="203"/>
      <c r="J419" s="203"/>
      <c r="K419" s="203"/>
      <c r="L419" s="203"/>
      <c r="M419" s="203"/>
      <c r="N419" s="203"/>
      <c r="O419" s="205"/>
      <c r="P419" s="291"/>
      <c r="Q419" s="265"/>
      <c r="R419" s="265"/>
      <c r="S419" s="265"/>
      <c r="T419" s="265"/>
    </row>
    <row r="420" spans="1:23" ht="27.75" customHeight="1">
      <c r="A420" s="204" t="str">
        <f>IF(ISBLANK(D420)," ",346-COUNTBLANK($D$5:D420))</f>
        <v xml:space="preserve"> </v>
      </c>
      <c r="B420" s="202"/>
      <c r="C420" s="202"/>
      <c r="D420" s="202"/>
      <c r="E420" s="300"/>
      <c r="F420" s="210"/>
      <c r="G420" s="210"/>
      <c r="H420" s="203"/>
      <c r="I420" s="203"/>
      <c r="J420" s="203"/>
      <c r="K420" s="203"/>
      <c r="L420" s="203"/>
      <c r="M420" s="203"/>
      <c r="N420" s="203"/>
      <c r="O420" s="205"/>
      <c r="P420" s="291"/>
      <c r="Q420" s="265"/>
      <c r="R420" s="265"/>
      <c r="S420" s="265"/>
      <c r="T420" s="265"/>
    </row>
    <row r="421" spans="1:23" ht="27.75" customHeight="1">
      <c r="A421" s="204" t="str">
        <f>IF(ISBLANK(D421)," ",347-COUNTBLANK($D$5:D421))</f>
        <v xml:space="preserve"> </v>
      </c>
      <c r="B421" s="202"/>
      <c r="C421" s="202"/>
      <c r="D421" s="202"/>
      <c r="E421" s="300"/>
      <c r="F421" s="210"/>
      <c r="G421" s="210"/>
      <c r="H421" s="203"/>
      <c r="I421" s="203"/>
      <c r="J421" s="203"/>
      <c r="K421" s="203"/>
      <c r="L421" s="203"/>
      <c r="M421" s="203"/>
      <c r="N421" s="203"/>
      <c r="O421" s="205"/>
      <c r="P421" s="291"/>
      <c r="Q421" s="265"/>
      <c r="R421" s="265"/>
      <c r="S421" s="265"/>
      <c r="T421" s="265"/>
    </row>
    <row r="422" spans="1:23" ht="27.75" customHeight="1">
      <c r="A422" s="204" t="str">
        <f>IF(ISBLANK(D422)," ",348-COUNTBLANK($D$5:D422))</f>
        <v xml:space="preserve"> </v>
      </c>
      <c r="B422" s="202"/>
      <c r="C422" s="202"/>
      <c r="D422" s="202"/>
      <c r="E422" s="300"/>
      <c r="F422" s="210"/>
      <c r="G422" s="210"/>
      <c r="H422" s="203"/>
      <c r="I422" s="203"/>
      <c r="J422" s="203"/>
      <c r="K422" s="203"/>
      <c r="L422" s="203"/>
      <c r="M422" s="203"/>
      <c r="N422" s="203"/>
      <c r="O422" s="205"/>
      <c r="P422" s="291"/>
      <c r="Q422" s="265"/>
      <c r="R422" s="265"/>
      <c r="S422" s="265"/>
      <c r="T422" s="265"/>
    </row>
    <row r="423" spans="1:23" ht="27.75" customHeight="1">
      <c r="A423" s="204" t="str">
        <f>IF(ISBLANK(D423)," ",349-COUNTBLANK($D$5:D423))</f>
        <v xml:space="preserve"> </v>
      </c>
      <c r="B423" s="202"/>
      <c r="C423" s="202"/>
      <c r="D423" s="202"/>
      <c r="E423" s="300"/>
      <c r="F423" s="210"/>
      <c r="G423" s="210"/>
      <c r="H423" s="203"/>
      <c r="I423" s="203"/>
      <c r="J423" s="203"/>
      <c r="K423" s="203"/>
      <c r="L423" s="203"/>
      <c r="M423" s="203"/>
      <c r="N423" s="203"/>
      <c r="O423" s="205"/>
      <c r="P423" s="291"/>
      <c r="Q423" s="265"/>
      <c r="R423" s="265"/>
      <c r="S423" s="265"/>
      <c r="T423" s="265"/>
    </row>
    <row r="424" spans="1:23" ht="27.75" customHeight="1">
      <c r="A424" s="204" t="str">
        <f>IF(ISBLANK(D424)," ",350-COUNTBLANK($D$5:D424))</f>
        <v xml:space="preserve"> </v>
      </c>
      <c r="B424" s="202"/>
      <c r="C424" s="202"/>
      <c r="D424" s="202"/>
      <c r="E424" s="300"/>
      <c r="F424" s="210"/>
      <c r="G424" s="210"/>
      <c r="H424" s="203"/>
      <c r="I424" s="203"/>
      <c r="J424" s="203"/>
      <c r="K424" s="203"/>
      <c r="L424" s="203"/>
      <c r="M424" s="203"/>
      <c r="N424" s="203"/>
      <c r="O424" s="205"/>
      <c r="P424" s="291"/>
      <c r="Q424" s="265"/>
      <c r="R424" s="265"/>
      <c r="S424" s="265"/>
      <c r="T424" s="265"/>
    </row>
    <row r="425" spans="1:23" ht="27.75" customHeight="1">
      <c r="A425" s="204" t="str">
        <f>IF(ISBLANK(D425)," ",351-COUNTBLANK($D$5:D425))</f>
        <v xml:space="preserve"> </v>
      </c>
      <c r="B425" s="202"/>
      <c r="C425" s="202"/>
      <c r="D425" s="202"/>
      <c r="E425" s="300"/>
      <c r="F425" s="210"/>
      <c r="G425" s="210"/>
      <c r="H425" s="203"/>
      <c r="I425" s="203"/>
      <c r="J425" s="203"/>
      <c r="K425" s="203"/>
      <c r="L425" s="203"/>
      <c r="M425" s="203"/>
      <c r="N425" s="203"/>
      <c r="O425" s="205"/>
      <c r="P425" s="291"/>
      <c r="Q425" s="265"/>
      <c r="R425" s="265"/>
      <c r="S425" s="265"/>
      <c r="T425" s="265"/>
    </row>
    <row r="426" spans="1:23" ht="27.75" customHeight="1">
      <c r="A426" s="204" t="str">
        <f>IF(ISBLANK(D426)," ",352-COUNTBLANK($D$5:D426))</f>
        <v xml:space="preserve"> </v>
      </c>
      <c r="B426" s="202"/>
      <c r="C426" s="202"/>
      <c r="D426" s="202"/>
      <c r="E426" s="300"/>
      <c r="F426" s="210"/>
      <c r="G426" s="210"/>
      <c r="H426" s="203"/>
      <c r="I426" s="203"/>
      <c r="J426" s="203"/>
      <c r="K426" s="203"/>
      <c r="L426" s="203"/>
      <c r="M426" s="203"/>
      <c r="N426" s="203"/>
      <c r="O426" s="205"/>
      <c r="P426" s="291"/>
      <c r="Q426" s="265"/>
      <c r="R426" s="265"/>
      <c r="S426" s="265"/>
      <c r="T426" s="265"/>
    </row>
    <row r="427" spans="1:23" ht="27.75" customHeight="1">
      <c r="A427" s="204" t="str">
        <f>IF(ISBLANK(D427)," ",353-COUNTBLANK($D$5:D427))</f>
        <v xml:space="preserve"> </v>
      </c>
      <c r="B427" s="202"/>
      <c r="C427" s="202"/>
      <c r="D427" s="202"/>
      <c r="E427" s="300"/>
      <c r="F427" s="210"/>
      <c r="G427" s="210"/>
      <c r="H427" s="203"/>
      <c r="I427" s="203"/>
      <c r="J427" s="203"/>
      <c r="K427" s="203"/>
      <c r="L427" s="203"/>
      <c r="M427" s="203"/>
      <c r="N427" s="203"/>
      <c r="O427" s="205"/>
      <c r="P427" s="291"/>
      <c r="Q427" s="265"/>
      <c r="R427" s="265"/>
      <c r="S427" s="265"/>
      <c r="T427" s="265"/>
    </row>
    <row r="428" spans="1:23" ht="27.75" customHeight="1">
      <c r="A428" s="204" t="str">
        <f>IF(ISBLANK(D428)," ",354-COUNTBLANK($D$5:D428))</f>
        <v xml:space="preserve"> </v>
      </c>
      <c r="B428" s="202"/>
      <c r="C428" s="202"/>
      <c r="D428" s="202"/>
      <c r="E428" s="300"/>
      <c r="F428" s="210"/>
      <c r="G428" s="210"/>
      <c r="H428" s="203"/>
      <c r="I428" s="203"/>
      <c r="J428" s="203"/>
      <c r="K428" s="203"/>
      <c r="L428" s="203"/>
      <c r="M428" s="203"/>
      <c r="N428" s="203"/>
      <c r="O428" s="205"/>
      <c r="P428" s="291"/>
      <c r="Q428" s="265"/>
      <c r="R428" s="265"/>
      <c r="S428" s="265"/>
      <c r="T428" s="267"/>
    </row>
    <row r="429" spans="1:23" ht="27.75" customHeight="1">
      <c r="A429" s="204" t="str">
        <f>IF(ISBLANK(D429)," ",355-COUNTBLANK($D$5:D429))</f>
        <v xml:space="preserve"> </v>
      </c>
      <c r="B429" s="202"/>
      <c r="C429" s="202"/>
      <c r="D429" s="202"/>
      <c r="E429" s="300"/>
      <c r="F429" s="210"/>
      <c r="G429" s="210"/>
      <c r="H429" s="203"/>
      <c r="I429" s="203"/>
      <c r="J429" s="203"/>
      <c r="K429" s="203"/>
      <c r="L429" s="203"/>
      <c r="M429" s="203"/>
      <c r="N429" s="203"/>
      <c r="O429" s="205"/>
      <c r="P429" s="291"/>
      <c r="Q429" s="265"/>
      <c r="R429" s="265"/>
      <c r="S429" s="265"/>
      <c r="T429" s="267"/>
    </row>
    <row r="430" spans="1:23" ht="27.75" customHeight="1">
      <c r="A430" s="204" t="str">
        <f>IF(ISBLANK(D430)," ",356-COUNTBLANK($D$5:D430))</f>
        <v xml:space="preserve"> </v>
      </c>
      <c r="B430" s="202"/>
      <c r="C430" s="202"/>
      <c r="D430" s="202"/>
      <c r="E430" s="300"/>
      <c r="F430" s="210"/>
      <c r="G430" s="210"/>
      <c r="H430" s="203"/>
      <c r="I430" s="203"/>
      <c r="J430" s="203"/>
      <c r="K430" s="203"/>
      <c r="L430" s="203"/>
      <c r="M430" s="203"/>
      <c r="N430" s="203"/>
      <c r="O430" s="205"/>
      <c r="P430" s="291"/>
      <c r="Q430" s="265"/>
      <c r="R430" s="265"/>
      <c r="S430" s="265"/>
      <c r="T430" s="267"/>
    </row>
    <row r="431" spans="1:23" ht="27.75" customHeight="1">
      <c r="A431" s="304" t="str">
        <f>IF(ISBLANK(D431)," ",358-COUNTBLANK($D$5:D431))</f>
        <v xml:space="preserve"> </v>
      </c>
      <c r="B431" s="296"/>
      <c r="C431" s="305"/>
      <c r="D431" s="306"/>
      <c r="E431" s="297"/>
      <c r="F431" s="298"/>
      <c r="G431" s="298"/>
      <c r="H431" s="282"/>
      <c r="I431" s="282"/>
      <c r="J431" s="282"/>
      <c r="K431" s="282"/>
      <c r="L431" s="282"/>
      <c r="M431" s="282"/>
      <c r="N431" s="282"/>
      <c r="O431" s="283"/>
      <c r="P431" s="303"/>
      <c r="Q431" s="265"/>
      <c r="R431" s="265"/>
      <c r="S431" s="265"/>
      <c r="T431" s="284"/>
      <c r="U431" s="265"/>
      <c r="V431" s="265"/>
      <c r="W431" s="265"/>
    </row>
    <row r="432" spans="1:23" ht="27.75" customHeight="1">
      <c r="A432" s="260" t="str">
        <f>IF(ISBLANK(D432)," ",359-COUNTBLANK($D$5:D432))</f>
        <v xml:space="preserve"> </v>
      </c>
      <c r="B432" s="200"/>
      <c r="C432" s="200"/>
      <c r="D432" s="200"/>
      <c r="E432" s="299"/>
      <c r="F432" s="209"/>
      <c r="G432" s="209"/>
      <c r="H432" s="201"/>
      <c r="I432" s="201"/>
      <c r="J432" s="201"/>
      <c r="K432" s="201"/>
      <c r="L432" s="201"/>
      <c r="M432" s="201"/>
      <c r="N432" s="201"/>
      <c r="O432" s="262"/>
      <c r="P432" s="291"/>
      <c r="Q432" s="265"/>
      <c r="R432" s="265"/>
      <c r="S432" s="265"/>
      <c r="T432" s="284"/>
      <c r="U432" s="265"/>
      <c r="V432" s="265"/>
      <c r="W432" s="265"/>
    </row>
    <row r="433" spans="1:20" ht="27.75" customHeight="1">
      <c r="A433" s="204" t="str">
        <f>IF(ISBLANK(D433)," ",360-COUNTBLANK($D$5:D433))</f>
        <v xml:space="preserve"> </v>
      </c>
      <c r="B433" s="202"/>
      <c r="C433" s="202"/>
      <c r="D433" s="202"/>
      <c r="E433" s="300"/>
      <c r="F433" s="210"/>
      <c r="G433" s="210"/>
      <c r="H433" s="203"/>
      <c r="I433" s="203"/>
      <c r="J433" s="203"/>
      <c r="K433" s="203"/>
      <c r="L433" s="203"/>
      <c r="M433" s="203"/>
      <c r="N433" s="203"/>
      <c r="O433" s="205"/>
      <c r="P433" s="291"/>
      <c r="Q433" s="265"/>
      <c r="R433" s="265"/>
      <c r="S433" s="265"/>
      <c r="T433" s="265"/>
    </row>
    <row r="434" spans="1:20" ht="27.75" customHeight="1">
      <c r="A434" s="204" t="str">
        <f>IF(ISBLANK(D434)," ",361-COUNTBLANK($D$5:D434))</f>
        <v xml:space="preserve"> </v>
      </c>
      <c r="B434" s="202"/>
      <c r="C434" s="202"/>
      <c r="D434" s="202"/>
      <c r="E434" s="300"/>
      <c r="F434" s="210"/>
      <c r="G434" s="210"/>
      <c r="H434" s="203"/>
      <c r="I434" s="203"/>
      <c r="J434" s="203"/>
      <c r="K434" s="203"/>
      <c r="L434" s="203"/>
      <c r="M434" s="203"/>
      <c r="N434" s="203"/>
      <c r="O434" s="205"/>
      <c r="P434" s="291"/>
      <c r="Q434" s="265"/>
      <c r="R434" s="265"/>
      <c r="S434" s="265"/>
      <c r="T434" s="265"/>
    </row>
    <row r="435" spans="1:20" ht="27.75" customHeight="1">
      <c r="A435" s="204" t="str">
        <f>IF(ISBLANK(D435)," ",362-COUNTBLANK($D$5:D435))</f>
        <v xml:space="preserve"> </v>
      </c>
      <c r="B435" s="202"/>
      <c r="C435" s="202"/>
      <c r="D435" s="202"/>
      <c r="E435" s="300"/>
      <c r="F435" s="210"/>
      <c r="G435" s="210"/>
      <c r="H435" s="203"/>
      <c r="I435" s="203"/>
      <c r="J435" s="203"/>
      <c r="K435" s="203"/>
      <c r="L435" s="203"/>
      <c r="M435" s="203"/>
      <c r="N435" s="203"/>
      <c r="O435" s="205"/>
      <c r="P435" s="291"/>
      <c r="Q435" s="265"/>
      <c r="R435" s="265"/>
      <c r="S435" s="265"/>
      <c r="T435" s="265"/>
    </row>
    <row r="436" spans="1:20" ht="27.75" customHeight="1">
      <c r="A436" s="204" t="str">
        <f>IF(ISBLANK(D436)," ",363-COUNTBLANK($D$5:D436))</f>
        <v xml:space="preserve"> </v>
      </c>
      <c r="B436" s="202"/>
      <c r="C436" s="202"/>
      <c r="D436" s="202"/>
      <c r="E436" s="300"/>
      <c r="F436" s="210"/>
      <c r="G436" s="210"/>
      <c r="H436" s="203"/>
      <c r="I436" s="203"/>
      <c r="J436" s="203"/>
      <c r="K436" s="203"/>
      <c r="L436" s="203"/>
      <c r="M436" s="203"/>
      <c r="N436" s="203"/>
      <c r="O436" s="205"/>
      <c r="P436" s="291"/>
      <c r="Q436" s="265"/>
      <c r="R436" s="265"/>
      <c r="S436" s="265"/>
      <c r="T436" s="265"/>
    </row>
    <row r="437" spans="1:20" ht="27.75" customHeight="1">
      <c r="A437" s="204" t="str">
        <f>IF(ISBLANK(D437)," ",364-COUNTBLANK($D$5:D437))</f>
        <v xml:space="preserve"> </v>
      </c>
      <c r="B437" s="202"/>
      <c r="C437" s="202"/>
      <c r="D437" s="202"/>
      <c r="E437" s="300"/>
      <c r="F437" s="210"/>
      <c r="G437" s="210"/>
      <c r="H437" s="203"/>
      <c r="I437" s="203"/>
      <c r="J437" s="203"/>
      <c r="K437" s="203"/>
      <c r="L437" s="203"/>
      <c r="M437" s="203"/>
      <c r="N437" s="203"/>
      <c r="O437" s="205"/>
      <c r="P437" s="291"/>
      <c r="Q437" s="265"/>
      <c r="R437" s="265"/>
      <c r="S437" s="265"/>
      <c r="T437" s="265"/>
    </row>
    <row r="438" spans="1:20" ht="27.75" customHeight="1">
      <c r="A438" s="204" t="str">
        <f>IF(ISBLANK(D438)," ",365-COUNTBLANK($D$5:D438))</f>
        <v xml:space="preserve"> </v>
      </c>
      <c r="B438" s="202"/>
      <c r="C438" s="202"/>
      <c r="D438" s="202"/>
      <c r="E438" s="300"/>
      <c r="F438" s="210"/>
      <c r="G438" s="210"/>
      <c r="H438" s="203"/>
      <c r="I438" s="203"/>
      <c r="J438" s="203"/>
      <c r="K438" s="203"/>
      <c r="L438" s="203"/>
      <c r="M438" s="203"/>
      <c r="N438" s="203"/>
      <c r="O438" s="205"/>
      <c r="P438" s="291"/>
      <c r="Q438" s="265"/>
      <c r="R438" s="265"/>
      <c r="S438" s="265"/>
      <c r="T438" s="265"/>
    </row>
    <row r="439" spans="1:20" ht="27.75" customHeight="1">
      <c r="A439" s="204" t="str">
        <f>IF(ISBLANK(D439)," ",366-COUNTBLANK($D$5:D439))</f>
        <v xml:space="preserve"> </v>
      </c>
      <c r="B439" s="202"/>
      <c r="C439" s="202"/>
      <c r="D439" s="202"/>
      <c r="E439" s="300"/>
      <c r="F439" s="210"/>
      <c r="G439" s="210"/>
      <c r="H439" s="203"/>
      <c r="I439" s="203"/>
      <c r="J439" s="203"/>
      <c r="K439" s="203"/>
      <c r="L439" s="203"/>
      <c r="M439" s="203"/>
      <c r="N439" s="203"/>
      <c r="O439" s="205"/>
      <c r="P439" s="291"/>
      <c r="Q439" s="265"/>
      <c r="R439" s="265"/>
      <c r="S439" s="265"/>
      <c r="T439" s="265"/>
    </row>
    <row r="440" spans="1:20" ht="27.75" customHeight="1">
      <c r="A440" s="204" t="str">
        <f>IF(ISBLANK(D440)," ",367-COUNTBLANK($D$5:D440))</f>
        <v xml:space="preserve"> </v>
      </c>
      <c r="B440" s="202"/>
      <c r="C440" s="202"/>
      <c r="D440" s="202"/>
      <c r="E440" s="300"/>
      <c r="F440" s="210"/>
      <c r="G440" s="210"/>
      <c r="H440" s="203"/>
      <c r="I440" s="203"/>
      <c r="J440" s="203"/>
      <c r="K440" s="203"/>
      <c r="L440" s="203"/>
      <c r="M440" s="203"/>
      <c r="N440" s="203"/>
      <c r="O440" s="205"/>
      <c r="P440" s="291"/>
      <c r="Q440" s="265"/>
      <c r="R440" s="265"/>
      <c r="S440" s="265"/>
      <c r="T440" s="265"/>
    </row>
    <row r="441" spans="1:20" ht="27.75" customHeight="1">
      <c r="A441" s="204" t="str">
        <f>IF(ISBLANK(D441)," ",368-COUNTBLANK($D$5:D441))</f>
        <v xml:space="preserve"> </v>
      </c>
      <c r="B441" s="202"/>
      <c r="C441" s="202"/>
      <c r="D441" s="202"/>
      <c r="E441" s="300"/>
      <c r="F441" s="210"/>
      <c r="G441" s="210"/>
      <c r="H441" s="203"/>
      <c r="I441" s="203"/>
      <c r="J441" s="203"/>
      <c r="K441" s="203"/>
      <c r="L441" s="203"/>
      <c r="M441" s="203"/>
      <c r="N441" s="203"/>
      <c r="O441" s="205"/>
      <c r="P441" s="291"/>
      <c r="Q441" s="265"/>
      <c r="R441" s="265"/>
      <c r="S441" s="265"/>
      <c r="T441" s="265"/>
    </row>
    <row r="442" spans="1:20" ht="27.75" customHeight="1">
      <c r="A442" s="204" t="str">
        <f>IF(ISBLANK(D442)," ",369-COUNTBLANK($D$5:D442))</f>
        <v xml:space="preserve"> </v>
      </c>
      <c r="B442" s="202"/>
      <c r="C442" s="202"/>
      <c r="D442" s="202"/>
      <c r="E442" s="300"/>
      <c r="F442" s="210"/>
      <c r="G442" s="210"/>
      <c r="H442" s="203"/>
      <c r="I442" s="203"/>
      <c r="J442" s="203"/>
      <c r="K442" s="203"/>
      <c r="L442" s="203"/>
      <c r="M442" s="203"/>
      <c r="N442" s="203"/>
      <c r="O442" s="205"/>
      <c r="P442" s="291"/>
      <c r="Q442" s="265"/>
      <c r="R442" s="265"/>
      <c r="S442" s="265"/>
      <c r="T442" s="265"/>
    </row>
    <row r="443" spans="1:20" ht="27.75" customHeight="1">
      <c r="A443" s="204" t="str">
        <f>IF(ISBLANK(D443)," ",370-COUNTBLANK($D$5:D443))</f>
        <v xml:space="preserve"> </v>
      </c>
      <c r="B443" s="202"/>
      <c r="C443" s="202"/>
      <c r="D443" s="202"/>
      <c r="E443" s="300"/>
      <c r="F443" s="210"/>
      <c r="G443" s="210"/>
      <c r="H443" s="203"/>
      <c r="I443" s="203"/>
      <c r="J443" s="203"/>
      <c r="K443" s="203"/>
      <c r="L443" s="203"/>
      <c r="M443" s="203"/>
      <c r="N443" s="203"/>
      <c r="O443" s="205"/>
      <c r="P443" s="291"/>
      <c r="Q443" s="265"/>
      <c r="R443" s="265"/>
      <c r="S443" s="265"/>
      <c r="T443" s="265"/>
    </row>
    <row r="444" spans="1:20" ht="27.75" customHeight="1">
      <c r="A444" s="204" t="str">
        <f>IF(ISBLANK(D444)," ",371-COUNTBLANK($D$5:D444))</f>
        <v xml:space="preserve"> </v>
      </c>
      <c r="B444" s="202"/>
      <c r="C444" s="202"/>
      <c r="D444" s="202"/>
      <c r="E444" s="300"/>
      <c r="F444" s="210"/>
      <c r="G444" s="210"/>
      <c r="H444" s="203"/>
      <c r="I444" s="203"/>
      <c r="J444" s="203"/>
      <c r="K444" s="203"/>
      <c r="L444" s="203"/>
      <c r="M444" s="203"/>
      <c r="N444" s="203"/>
      <c r="O444" s="205"/>
      <c r="P444" s="291"/>
      <c r="Q444" s="265"/>
      <c r="R444" s="265"/>
      <c r="S444" s="265"/>
      <c r="T444" s="265"/>
    </row>
    <row r="445" spans="1:20" ht="27.75" customHeight="1">
      <c r="A445" s="204" t="str">
        <f>IF(ISBLANK(D445)," ",372-COUNTBLANK($D$5:D445))</f>
        <v xml:space="preserve"> </v>
      </c>
      <c r="B445" s="202"/>
      <c r="C445" s="202"/>
      <c r="D445" s="202"/>
      <c r="E445" s="300"/>
      <c r="F445" s="210"/>
      <c r="G445" s="210"/>
      <c r="H445" s="203"/>
      <c r="I445" s="203"/>
      <c r="J445" s="203"/>
      <c r="K445" s="203"/>
      <c r="L445" s="203"/>
      <c r="M445" s="203"/>
      <c r="N445" s="203"/>
      <c r="O445" s="205"/>
      <c r="P445" s="291"/>
      <c r="Q445" s="265"/>
      <c r="R445" s="265"/>
      <c r="S445" s="265"/>
      <c r="T445" s="265"/>
    </row>
    <row r="446" spans="1:20" ht="27.75" customHeight="1">
      <c r="A446" s="204" t="str">
        <f>IF(ISBLANK(D446)," ",373-COUNTBLANK($D$5:D446))</f>
        <v xml:space="preserve"> </v>
      </c>
      <c r="B446" s="202"/>
      <c r="C446" s="202"/>
      <c r="D446" s="202"/>
      <c r="E446" s="300"/>
      <c r="F446" s="210"/>
      <c r="G446" s="210"/>
      <c r="H446" s="203"/>
      <c r="I446" s="203"/>
      <c r="J446" s="203"/>
      <c r="K446" s="203"/>
      <c r="L446" s="203"/>
      <c r="M446" s="203"/>
      <c r="N446" s="203"/>
      <c r="O446" s="205"/>
      <c r="P446" s="291"/>
      <c r="Q446" s="265"/>
      <c r="R446" s="265"/>
      <c r="S446" s="265"/>
      <c r="T446" s="265"/>
    </row>
    <row r="447" spans="1:20" ht="27.75" customHeight="1">
      <c r="A447" s="204" t="str">
        <f>IF(ISBLANK(D447)," ",374-COUNTBLANK($D$5:D447))</f>
        <v xml:space="preserve"> </v>
      </c>
      <c r="B447" s="202"/>
      <c r="C447" s="202"/>
      <c r="D447" s="202"/>
      <c r="E447" s="300"/>
      <c r="F447" s="210"/>
      <c r="G447" s="210"/>
      <c r="H447" s="203"/>
      <c r="I447" s="203"/>
      <c r="J447" s="203"/>
      <c r="K447" s="203"/>
      <c r="L447" s="203"/>
      <c r="M447" s="203"/>
      <c r="N447" s="203"/>
      <c r="O447" s="205"/>
      <c r="P447" s="291"/>
      <c r="Q447" s="265"/>
      <c r="R447" s="265"/>
      <c r="S447" s="265"/>
      <c r="T447" s="265"/>
    </row>
    <row r="448" spans="1:20" ht="27.75" customHeight="1">
      <c r="A448" s="204" t="str">
        <f>IF(ISBLANK(D448)," ",375-COUNTBLANK($D$5:D448))</f>
        <v xml:space="preserve"> </v>
      </c>
      <c r="B448" s="202"/>
      <c r="C448" s="202"/>
      <c r="D448" s="202"/>
      <c r="E448" s="300"/>
      <c r="F448" s="210"/>
      <c r="G448" s="210"/>
      <c r="H448" s="203"/>
      <c r="I448" s="203"/>
      <c r="J448" s="203"/>
      <c r="K448" s="203"/>
      <c r="L448" s="203"/>
      <c r="M448" s="203"/>
      <c r="N448" s="203"/>
      <c r="O448" s="205"/>
      <c r="P448" s="291"/>
      <c r="Q448" s="265"/>
      <c r="R448" s="265"/>
      <c r="S448" s="265"/>
      <c r="T448" s="267"/>
    </row>
    <row r="449" spans="1:23" ht="27.75" customHeight="1">
      <c r="A449" s="204" t="str">
        <f>IF(ISBLANK(D449)," ",376-COUNTBLANK($D$5:D449))</f>
        <v xml:space="preserve"> </v>
      </c>
      <c r="B449" s="202"/>
      <c r="C449" s="202"/>
      <c r="D449" s="202"/>
      <c r="E449" s="300"/>
      <c r="F449" s="210"/>
      <c r="G449" s="210"/>
      <c r="H449" s="203"/>
      <c r="I449" s="203"/>
      <c r="J449" s="203"/>
      <c r="K449" s="203"/>
      <c r="L449" s="203"/>
      <c r="M449" s="203"/>
      <c r="N449" s="203"/>
      <c r="O449" s="205"/>
      <c r="P449" s="291"/>
      <c r="Q449" s="265"/>
      <c r="R449" s="265"/>
      <c r="S449" s="265"/>
      <c r="T449" s="267"/>
    </row>
    <row r="450" spans="1:23" ht="27.75" customHeight="1">
      <c r="A450" s="204" t="str">
        <f>IF(ISBLANK(D450)," ",377-COUNTBLANK($D$5:D450))</f>
        <v xml:space="preserve"> </v>
      </c>
      <c r="B450" s="202"/>
      <c r="C450" s="202"/>
      <c r="D450" s="202"/>
      <c r="E450" s="300"/>
      <c r="F450" s="210"/>
      <c r="G450" s="210"/>
      <c r="H450" s="203"/>
      <c r="I450" s="203"/>
      <c r="J450" s="203"/>
      <c r="K450" s="203"/>
      <c r="L450" s="203"/>
      <c r="M450" s="203"/>
      <c r="N450" s="203"/>
      <c r="O450" s="205"/>
      <c r="P450" s="291"/>
      <c r="Q450" s="265"/>
      <c r="R450" s="265"/>
      <c r="S450" s="265"/>
      <c r="T450" s="267"/>
    </row>
    <row r="451" spans="1:23" ht="27.75" customHeight="1">
      <c r="A451" s="304" t="str">
        <f>IF(ISBLANK(D451)," ",379-COUNTBLANK($D$5:D451))</f>
        <v xml:space="preserve"> </v>
      </c>
      <c r="B451" s="296"/>
      <c r="C451" s="305"/>
      <c r="D451" s="306"/>
      <c r="E451" s="297"/>
      <c r="F451" s="298"/>
      <c r="G451" s="298"/>
      <c r="H451" s="282"/>
      <c r="I451" s="282"/>
      <c r="J451" s="282"/>
      <c r="K451" s="282"/>
      <c r="L451" s="282"/>
      <c r="M451" s="282"/>
      <c r="N451" s="282"/>
      <c r="O451" s="283"/>
      <c r="P451" s="303"/>
      <c r="Q451" s="265"/>
      <c r="R451" s="265"/>
      <c r="S451" s="265"/>
      <c r="T451" s="284"/>
      <c r="U451" s="265"/>
      <c r="V451" s="265"/>
      <c r="W451" s="265"/>
    </row>
    <row r="452" spans="1:23" ht="27.75" customHeight="1">
      <c r="A452" s="260" t="str">
        <f>IF(ISBLANK(D452)," ",380-COUNTBLANK($D$5:D452))</f>
        <v xml:space="preserve"> </v>
      </c>
      <c r="B452" s="200"/>
      <c r="C452" s="200"/>
      <c r="D452" s="200"/>
      <c r="E452" s="299"/>
      <c r="F452" s="209"/>
      <c r="G452" s="209"/>
      <c r="H452" s="201"/>
      <c r="I452" s="201"/>
      <c r="J452" s="201"/>
      <c r="K452" s="201"/>
      <c r="L452" s="201"/>
      <c r="M452" s="201"/>
      <c r="N452" s="201"/>
      <c r="O452" s="262"/>
      <c r="P452" s="291"/>
      <c r="Q452" s="265"/>
      <c r="R452" s="265"/>
      <c r="S452" s="265"/>
      <c r="T452" s="284"/>
      <c r="U452" s="265"/>
      <c r="V452" s="265"/>
      <c r="W452" s="265"/>
    </row>
    <row r="453" spans="1:23" ht="27.75" customHeight="1">
      <c r="A453" s="204" t="str">
        <f>IF(ISBLANK(D453)," ",381-COUNTBLANK($D$5:D453))</f>
        <v xml:space="preserve"> </v>
      </c>
      <c r="B453" s="202"/>
      <c r="C453" s="202"/>
      <c r="D453" s="202"/>
      <c r="E453" s="300"/>
      <c r="F453" s="210"/>
      <c r="G453" s="210"/>
      <c r="H453" s="203"/>
      <c r="I453" s="203"/>
      <c r="J453" s="203"/>
      <c r="K453" s="203"/>
      <c r="L453" s="203"/>
      <c r="M453" s="203"/>
      <c r="N453" s="203"/>
      <c r="O453" s="205"/>
      <c r="P453" s="291"/>
      <c r="Q453" s="265"/>
      <c r="R453" s="265"/>
      <c r="S453" s="265"/>
      <c r="T453" s="265"/>
    </row>
    <row r="454" spans="1:23" ht="27.75" customHeight="1">
      <c r="A454" s="204" t="str">
        <f>IF(ISBLANK(D454)," ",382-COUNTBLANK($D$5:D454))</f>
        <v xml:space="preserve"> </v>
      </c>
      <c r="B454" s="202"/>
      <c r="C454" s="202"/>
      <c r="D454" s="202"/>
      <c r="E454" s="300"/>
      <c r="F454" s="210"/>
      <c r="G454" s="210"/>
      <c r="H454" s="203"/>
      <c r="I454" s="203"/>
      <c r="J454" s="203"/>
      <c r="K454" s="203"/>
      <c r="L454" s="203"/>
      <c r="M454" s="203"/>
      <c r="N454" s="203"/>
      <c r="O454" s="205"/>
      <c r="P454" s="291"/>
      <c r="Q454" s="265"/>
      <c r="R454" s="265"/>
      <c r="S454" s="265"/>
      <c r="T454" s="265"/>
    </row>
    <row r="455" spans="1:23" ht="27.75" customHeight="1">
      <c r="A455" s="204" t="str">
        <f>IF(ISBLANK(D455)," ",383-COUNTBLANK($D$5:D455))</f>
        <v xml:space="preserve"> </v>
      </c>
      <c r="B455" s="202"/>
      <c r="C455" s="202"/>
      <c r="D455" s="202"/>
      <c r="E455" s="300"/>
      <c r="F455" s="210"/>
      <c r="G455" s="210"/>
      <c r="H455" s="203"/>
      <c r="I455" s="203"/>
      <c r="J455" s="203"/>
      <c r="K455" s="203"/>
      <c r="L455" s="203"/>
      <c r="M455" s="203"/>
      <c r="N455" s="203"/>
      <c r="O455" s="205"/>
      <c r="P455" s="291"/>
      <c r="Q455" s="265"/>
      <c r="R455" s="265"/>
      <c r="S455" s="265"/>
      <c r="T455" s="265"/>
    </row>
    <row r="456" spans="1:23" ht="27.75" customHeight="1">
      <c r="A456" s="204" t="str">
        <f>IF(ISBLANK(D456)," ",384-COUNTBLANK($D$5:D456))</f>
        <v xml:space="preserve"> </v>
      </c>
      <c r="B456" s="202"/>
      <c r="C456" s="202"/>
      <c r="D456" s="202"/>
      <c r="E456" s="300"/>
      <c r="F456" s="210"/>
      <c r="G456" s="210"/>
      <c r="H456" s="203"/>
      <c r="I456" s="203"/>
      <c r="J456" s="203"/>
      <c r="K456" s="203"/>
      <c r="L456" s="203"/>
      <c r="M456" s="203"/>
      <c r="N456" s="203"/>
      <c r="O456" s="205"/>
      <c r="P456" s="291"/>
      <c r="Q456" s="265"/>
      <c r="R456" s="265"/>
      <c r="S456" s="265"/>
      <c r="T456" s="265"/>
    </row>
    <row r="457" spans="1:23" ht="27.75" customHeight="1">
      <c r="A457" s="204" t="str">
        <f>IF(ISBLANK(D457)," ",385-COUNTBLANK($D$5:D457))</f>
        <v xml:space="preserve"> </v>
      </c>
      <c r="B457" s="202"/>
      <c r="C457" s="202"/>
      <c r="D457" s="202"/>
      <c r="E457" s="300"/>
      <c r="F457" s="210"/>
      <c r="G457" s="210"/>
      <c r="H457" s="203"/>
      <c r="I457" s="203"/>
      <c r="J457" s="203"/>
      <c r="K457" s="203"/>
      <c r="L457" s="203"/>
      <c r="M457" s="203"/>
      <c r="N457" s="203"/>
      <c r="O457" s="205"/>
      <c r="P457" s="291"/>
      <c r="Q457" s="265"/>
      <c r="R457" s="265"/>
      <c r="S457" s="265"/>
      <c r="T457" s="265"/>
    </row>
    <row r="458" spans="1:23" ht="27.75" customHeight="1">
      <c r="A458" s="204" t="str">
        <f>IF(ISBLANK(D458)," ",386-COUNTBLANK($D$5:D458))</f>
        <v xml:space="preserve"> </v>
      </c>
      <c r="B458" s="202"/>
      <c r="C458" s="202"/>
      <c r="D458" s="202"/>
      <c r="E458" s="300"/>
      <c r="F458" s="210"/>
      <c r="G458" s="210"/>
      <c r="H458" s="203"/>
      <c r="I458" s="203"/>
      <c r="J458" s="203"/>
      <c r="K458" s="203"/>
      <c r="L458" s="203"/>
      <c r="M458" s="203"/>
      <c r="N458" s="203"/>
      <c r="O458" s="205"/>
      <c r="P458" s="291"/>
      <c r="Q458" s="265"/>
      <c r="R458" s="265"/>
      <c r="S458" s="265"/>
      <c r="T458" s="265"/>
    </row>
    <row r="459" spans="1:23" ht="27.75" customHeight="1">
      <c r="A459" s="204" t="str">
        <f>IF(ISBLANK(D459)," ",387-COUNTBLANK($D$5:D459))</f>
        <v xml:space="preserve"> </v>
      </c>
      <c r="B459" s="202"/>
      <c r="C459" s="202"/>
      <c r="D459" s="202"/>
      <c r="E459" s="300"/>
      <c r="F459" s="210"/>
      <c r="G459" s="210"/>
      <c r="H459" s="203"/>
      <c r="I459" s="203"/>
      <c r="J459" s="203"/>
      <c r="K459" s="203"/>
      <c r="L459" s="203"/>
      <c r="M459" s="203"/>
      <c r="N459" s="203"/>
      <c r="O459" s="205"/>
      <c r="P459" s="291"/>
      <c r="Q459" s="265"/>
      <c r="R459" s="265"/>
      <c r="S459" s="265"/>
      <c r="T459" s="265"/>
    </row>
    <row r="460" spans="1:23" ht="27.75" customHeight="1">
      <c r="A460" s="204" t="str">
        <f>IF(ISBLANK(D460)," ",388-COUNTBLANK($D$5:D460))</f>
        <v xml:space="preserve"> </v>
      </c>
      <c r="B460" s="202"/>
      <c r="C460" s="202"/>
      <c r="D460" s="202"/>
      <c r="E460" s="300"/>
      <c r="F460" s="210"/>
      <c r="G460" s="210"/>
      <c r="H460" s="203"/>
      <c r="I460" s="203"/>
      <c r="J460" s="203"/>
      <c r="K460" s="203"/>
      <c r="L460" s="203"/>
      <c r="M460" s="203"/>
      <c r="N460" s="203"/>
      <c r="O460" s="205"/>
      <c r="P460" s="291"/>
      <c r="Q460" s="265"/>
      <c r="R460" s="265"/>
      <c r="S460" s="265"/>
      <c r="T460" s="265"/>
    </row>
    <row r="461" spans="1:23" ht="27.75" customHeight="1">
      <c r="A461" s="204" t="str">
        <f>IF(ISBLANK(D461)," ",389-COUNTBLANK($D$5:D461))</f>
        <v xml:space="preserve"> </v>
      </c>
      <c r="B461" s="202"/>
      <c r="C461" s="202"/>
      <c r="D461" s="202"/>
      <c r="E461" s="300"/>
      <c r="F461" s="210"/>
      <c r="G461" s="210"/>
      <c r="H461" s="203"/>
      <c r="I461" s="203"/>
      <c r="J461" s="203"/>
      <c r="K461" s="203"/>
      <c r="L461" s="203"/>
      <c r="M461" s="203"/>
      <c r="N461" s="203"/>
      <c r="O461" s="205"/>
      <c r="P461" s="291"/>
      <c r="Q461" s="265"/>
      <c r="R461" s="265"/>
      <c r="S461" s="265"/>
      <c r="T461" s="265"/>
    </row>
    <row r="462" spans="1:23" ht="27.75" customHeight="1">
      <c r="A462" s="204" t="str">
        <f>IF(ISBLANK(D462)," ",390-COUNTBLANK($D$5:D462))</f>
        <v xml:space="preserve"> </v>
      </c>
      <c r="B462" s="202"/>
      <c r="C462" s="202"/>
      <c r="D462" s="202"/>
      <c r="E462" s="300"/>
      <c r="F462" s="210"/>
      <c r="G462" s="210"/>
      <c r="H462" s="203"/>
      <c r="I462" s="203"/>
      <c r="J462" s="203"/>
      <c r="K462" s="203"/>
      <c r="L462" s="203"/>
      <c r="M462" s="203"/>
      <c r="N462" s="203"/>
      <c r="O462" s="205"/>
      <c r="P462" s="291"/>
      <c r="Q462" s="265"/>
      <c r="R462" s="265"/>
      <c r="S462" s="265"/>
      <c r="T462" s="265"/>
    </row>
    <row r="463" spans="1:23" ht="27.75" customHeight="1">
      <c r="A463" s="204" t="str">
        <f>IF(ISBLANK(D463)," ",391-COUNTBLANK($D$5:D463))</f>
        <v xml:space="preserve"> </v>
      </c>
      <c r="B463" s="202"/>
      <c r="C463" s="202"/>
      <c r="D463" s="202"/>
      <c r="E463" s="300"/>
      <c r="F463" s="210"/>
      <c r="G463" s="210"/>
      <c r="H463" s="203"/>
      <c r="I463" s="203"/>
      <c r="J463" s="203"/>
      <c r="K463" s="203"/>
      <c r="L463" s="203"/>
      <c r="M463" s="203"/>
      <c r="N463" s="203"/>
      <c r="O463" s="205"/>
      <c r="P463" s="291"/>
      <c r="Q463" s="265"/>
      <c r="R463" s="265"/>
      <c r="S463" s="265"/>
      <c r="T463" s="265"/>
    </row>
    <row r="464" spans="1:23" ht="27.75" customHeight="1">
      <c r="A464" s="204" t="str">
        <f>IF(ISBLANK(D464)," ",392-COUNTBLANK($D$5:D464))</f>
        <v xml:space="preserve"> </v>
      </c>
      <c r="B464" s="202"/>
      <c r="C464" s="202"/>
      <c r="D464" s="202"/>
      <c r="E464" s="300"/>
      <c r="F464" s="210"/>
      <c r="G464" s="210"/>
      <c r="H464" s="203"/>
      <c r="I464" s="203"/>
      <c r="J464" s="203"/>
      <c r="K464" s="203"/>
      <c r="L464" s="203"/>
      <c r="M464" s="203"/>
      <c r="N464" s="203"/>
      <c r="O464" s="205"/>
      <c r="P464" s="291"/>
      <c r="Q464" s="265"/>
      <c r="R464" s="265"/>
      <c r="S464" s="265"/>
      <c r="T464" s="265"/>
    </row>
    <row r="465" spans="1:23" ht="27.75" customHeight="1">
      <c r="A465" s="204" t="str">
        <f>IF(ISBLANK(D465)," ",393-COUNTBLANK($D$5:D465))</f>
        <v xml:space="preserve"> </v>
      </c>
      <c r="B465" s="202"/>
      <c r="C465" s="202"/>
      <c r="D465" s="202"/>
      <c r="E465" s="300"/>
      <c r="F465" s="210"/>
      <c r="G465" s="210"/>
      <c r="H465" s="203"/>
      <c r="I465" s="203"/>
      <c r="J465" s="203"/>
      <c r="K465" s="203"/>
      <c r="L465" s="203"/>
      <c r="M465" s="203"/>
      <c r="N465" s="203"/>
      <c r="O465" s="205"/>
      <c r="P465" s="291"/>
      <c r="Q465" s="265"/>
      <c r="R465" s="265"/>
      <c r="S465" s="265"/>
      <c r="T465" s="265"/>
    </row>
    <row r="466" spans="1:23" ht="27.75" customHeight="1">
      <c r="A466" s="204" t="str">
        <f>IF(ISBLANK(D466)," ",394-COUNTBLANK($D$5:D466))</f>
        <v xml:space="preserve"> </v>
      </c>
      <c r="B466" s="202"/>
      <c r="C466" s="202"/>
      <c r="D466" s="202"/>
      <c r="E466" s="300"/>
      <c r="F466" s="210"/>
      <c r="G466" s="210"/>
      <c r="H466" s="203"/>
      <c r="I466" s="203"/>
      <c r="J466" s="203"/>
      <c r="K466" s="203"/>
      <c r="L466" s="203"/>
      <c r="M466" s="203"/>
      <c r="N466" s="203"/>
      <c r="O466" s="205"/>
      <c r="P466" s="291"/>
      <c r="Q466" s="265"/>
      <c r="R466" s="265"/>
      <c r="S466" s="265"/>
      <c r="T466" s="265"/>
    </row>
    <row r="467" spans="1:23" ht="27.75" customHeight="1">
      <c r="A467" s="204" t="str">
        <f>IF(ISBLANK(D467)," ",395-COUNTBLANK($D$5:D467))</f>
        <v xml:space="preserve"> </v>
      </c>
      <c r="B467" s="202"/>
      <c r="C467" s="202"/>
      <c r="D467" s="202"/>
      <c r="E467" s="300"/>
      <c r="F467" s="210"/>
      <c r="G467" s="210"/>
      <c r="H467" s="203"/>
      <c r="I467" s="203"/>
      <c r="J467" s="203"/>
      <c r="K467" s="203"/>
      <c r="L467" s="203"/>
      <c r="M467" s="203"/>
      <c r="N467" s="203"/>
      <c r="O467" s="205"/>
      <c r="P467" s="291"/>
      <c r="Q467" s="265"/>
      <c r="R467" s="265"/>
      <c r="S467" s="265"/>
      <c r="T467" s="265"/>
    </row>
    <row r="468" spans="1:23" ht="27.75" customHeight="1">
      <c r="A468" s="204" t="str">
        <f>IF(ISBLANK(D468)," ",396-COUNTBLANK($D$5:D468))</f>
        <v xml:space="preserve"> </v>
      </c>
      <c r="B468" s="202"/>
      <c r="C468" s="202"/>
      <c r="D468" s="202"/>
      <c r="E468" s="300"/>
      <c r="F468" s="210"/>
      <c r="G468" s="210"/>
      <c r="H468" s="203"/>
      <c r="I468" s="203"/>
      <c r="J468" s="203"/>
      <c r="K468" s="203"/>
      <c r="L468" s="203"/>
      <c r="M468" s="203"/>
      <c r="N468" s="203"/>
      <c r="O468" s="205"/>
      <c r="P468" s="291"/>
      <c r="Q468" s="265"/>
      <c r="R468" s="265"/>
      <c r="S468" s="265"/>
      <c r="T468" s="267"/>
    </row>
    <row r="469" spans="1:23" ht="27.75" customHeight="1">
      <c r="A469" s="204" t="str">
        <f>IF(ISBLANK(D469)," ",397-COUNTBLANK($D$5:D469))</f>
        <v xml:space="preserve"> </v>
      </c>
      <c r="B469" s="202"/>
      <c r="C469" s="202"/>
      <c r="D469" s="202"/>
      <c r="E469" s="300"/>
      <c r="F469" s="210"/>
      <c r="G469" s="210"/>
      <c r="H469" s="203"/>
      <c r="I469" s="203"/>
      <c r="J469" s="203"/>
      <c r="K469" s="203"/>
      <c r="L469" s="203"/>
      <c r="M469" s="203"/>
      <c r="N469" s="203"/>
      <c r="O469" s="205"/>
      <c r="P469" s="291"/>
      <c r="Q469" s="265"/>
      <c r="R469" s="265"/>
      <c r="S469" s="265"/>
      <c r="T469" s="267"/>
    </row>
    <row r="470" spans="1:23" ht="27.75" customHeight="1">
      <c r="A470" s="204" t="str">
        <f>IF(ISBLANK(D470)," ",398-COUNTBLANK($D$5:D470))</f>
        <v xml:space="preserve"> </v>
      </c>
      <c r="B470" s="202"/>
      <c r="C470" s="202"/>
      <c r="D470" s="202"/>
      <c r="E470" s="300"/>
      <c r="F470" s="210"/>
      <c r="G470" s="210"/>
      <c r="H470" s="203"/>
      <c r="I470" s="203"/>
      <c r="J470" s="203"/>
      <c r="K470" s="203"/>
      <c r="L470" s="203"/>
      <c r="M470" s="203"/>
      <c r="N470" s="203"/>
      <c r="O470" s="205"/>
      <c r="P470" s="291"/>
      <c r="Q470" s="265"/>
      <c r="R470" s="265"/>
      <c r="S470" s="265"/>
      <c r="T470" s="267"/>
    </row>
    <row r="471" spans="1:23" ht="27.75" customHeight="1">
      <c r="A471" s="304" t="str">
        <f>IF(ISBLANK(D471)," ",400-COUNTBLANK($D$5:D471))</f>
        <v xml:space="preserve"> </v>
      </c>
      <c r="B471" s="296"/>
      <c r="C471" s="305"/>
      <c r="D471" s="306"/>
      <c r="E471" s="297"/>
      <c r="F471" s="298"/>
      <c r="G471" s="298"/>
      <c r="H471" s="282"/>
      <c r="I471" s="282"/>
      <c r="J471" s="282"/>
      <c r="K471" s="282"/>
      <c r="L471" s="282"/>
      <c r="M471" s="282"/>
      <c r="N471" s="282"/>
      <c r="O471" s="283"/>
      <c r="P471" s="303"/>
      <c r="Q471" s="265"/>
      <c r="R471" s="265"/>
      <c r="S471" s="265"/>
      <c r="T471" s="284"/>
      <c r="U471" s="265"/>
      <c r="V471" s="265"/>
      <c r="W471" s="265"/>
    </row>
    <row r="472" spans="1:23" ht="27.75" customHeight="1">
      <c r="A472" s="260" t="str">
        <f>IF(ISBLANK(D472)," ",401-COUNTBLANK($D$5:D472))</f>
        <v xml:space="preserve"> </v>
      </c>
      <c r="B472" s="200"/>
      <c r="C472" s="200"/>
      <c r="D472" s="200"/>
      <c r="E472" s="299"/>
      <c r="F472" s="209"/>
      <c r="G472" s="209"/>
      <c r="H472" s="201"/>
      <c r="I472" s="201"/>
      <c r="J472" s="201"/>
      <c r="K472" s="201"/>
      <c r="L472" s="201"/>
      <c r="M472" s="201"/>
      <c r="N472" s="201"/>
      <c r="O472" s="262"/>
      <c r="P472" s="291"/>
      <c r="Q472" s="265"/>
      <c r="R472" s="265"/>
      <c r="S472" s="265"/>
      <c r="T472" s="284"/>
      <c r="U472" s="265"/>
      <c r="V472" s="265"/>
      <c r="W472" s="265"/>
    </row>
    <row r="473" spans="1:23" ht="27.75" customHeight="1">
      <c r="A473" s="204" t="str">
        <f>IF(ISBLANK(D473)," ",402-COUNTBLANK($D$5:D473))</f>
        <v xml:space="preserve"> </v>
      </c>
      <c r="B473" s="202"/>
      <c r="C473" s="202"/>
      <c r="D473" s="202"/>
      <c r="E473" s="300"/>
      <c r="F473" s="210"/>
      <c r="G473" s="210"/>
      <c r="H473" s="203"/>
      <c r="I473" s="203"/>
      <c r="J473" s="203"/>
      <c r="K473" s="203"/>
      <c r="L473" s="203"/>
      <c r="M473" s="203"/>
      <c r="N473" s="203"/>
      <c r="O473" s="205"/>
      <c r="P473" s="291"/>
      <c r="Q473" s="265"/>
      <c r="R473" s="265"/>
      <c r="S473" s="265"/>
      <c r="T473" s="265"/>
    </row>
    <row r="474" spans="1:23" ht="27.75" customHeight="1">
      <c r="A474" s="204" t="str">
        <f>IF(ISBLANK(D474)," ",403-COUNTBLANK($D$5:D474))</f>
        <v xml:space="preserve"> </v>
      </c>
      <c r="B474" s="202"/>
      <c r="C474" s="202"/>
      <c r="D474" s="202"/>
      <c r="E474" s="300"/>
      <c r="F474" s="210"/>
      <c r="G474" s="210"/>
      <c r="H474" s="203"/>
      <c r="I474" s="203"/>
      <c r="J474" s="203"/>
      <c r="K474" s="203"/>
      <c r="L474" s="203"/>
      <c r="M474" s="203"/>
      <c r="N474" s="203"/>
      <c r="O474" s="205"/>
      <c r="P474" s="291"/>
      <c r="Q474" s="265"/>
      <c r="R474" s="265"/>
      <c r="S474" s="265"/>
      <c r="T474" s="265"/>
    </row>
    <row r="475" spans="1:23" ht="27.75" customHeight="1">
      <c r="A475" s="204" t="str">
        <f>IF(ISBLANK(D475)," ",404-COUNTBLANK($D$5:D475))</f>
        <v xml:space="preserve"> </v>
      </c>
      <c r="B475" s="202"/>
      <c r="C475" s="202"/>
      <c r="D475" s="202"/>
      <c r="E475" s="300"/>
      <c r="F475" s="210"/>
      <c r="G475" s="210"/>
      <c r="H475" s="203"/>
      <c r="I475" s="203"/>
      <c r="J475" s="203"/>
      <c r="K475" s="203"/>
      <c r="L475" s="203"/>
      <c r="M475" s="203"/>
      <c r="N475" s="203"/>
      <c r="O475" s="205"/>
      <c r="P475" s="291"/>
      <c r="Q475" s="265"/>
      <c r="R475" s="265"/>
      <c r="S475" s="265"/>
      <c r="T475" s="265"/>
    </row>
    <row r="476" spans="1:23" ht="27.75" customHeight="1">
      <c r="A476" s="204" t="str">
        <f>IF(ISBLANK(D476)," ",405-COUNTBLANK($D$5:D476))</f>
        <v xml:space="preserve"> </v>
      </c>
      <c r="B476" s="202"/>
      <c r="C476" s="202"/>
      <c r="D476" s="202"/>
      <c r="E476" s="300"/>
      <c r="F476" s="210"/>
      <c r="G476" s="210"/>
      <c r="H476" s="203"/>
      <c r="I476" s="203"/>
      <c r="J476" s="203"/>
      <c r="K476" s="203"/>
      <c r="L476" s="203"/>
      <c r="M476" s="203"/>
      <c r="N476" s="203"/>
      <c r="O476" s="205"/>
      <c r="P476" s="291"/>
      <c r="Q476" s="265"/>
      <c r="R476" s="265"/>
      <c r="S476" s="265"/>
      <c r="T476" s="265"/>
    </row>
    <row r="477" spans="1:23" ht="27.75" customHeight="1">
      <c r="A477" s="204" t="str">
        <f>IF(ISBLANK(D477)," ",406-COUNTBLANK($D$5:D477))</f>
        <v xml:space="preserve"> </v>
      </c>
      <c r="B477" s="202"/>
      <c r="C477" s="202"/>
      <c r="D477" s="202"/>
      <c r="E477" s="300"/>
      <c r="F477" s="210"/>
      <c r="G477" s="210"/>
      <c r="H477" s="203"/>
      <c r="I477" s="203"/>
      <c r="J477" s="203"/>
      <c r="K477" s="203"/>
      <c r="L477" s="203"/>
      <c r="M477" s="203"/>
      <c r="N477" s="203"/>
      <c r="O477" s="205"/>
      <c r="P477" s="291"/>
      <c r="Q477" s="265"/>
      <c r="R477" s="265"/>
      <c r="S477" s="265"/>
      <c r="T477" s="265"/>
    </row>
    <row r="478" spans="1:23" ht="27.75" customHeight="1">
      <c r="A478" s="204" t="str">
        <f>IF(ISBLANK(D478)," ",407-COUNTBLANK($D$5:D478))</f>
        <v xml:space="preserve"> </v>
      </c>
      <c r="B478" s="202"/>
      <c r="C478" s="202"/>
      <c r="D478" s="202"/>
      <c r="E478" s="300"/>
      <c r="F478" s="210"/>
      <c r="G478" s="210"/>
      <c r="H478" s="203"/>
      <c r="I478" s="203"/>
      <c r="J478" s="203"/>
      <c r="K478" s="203"/>
      <c r="L478" s="203"/>
      <c r="M478" s="203"/>
      <c r="N478" s="203"/>
      <c r="O478" s="205"/>
      <c r="P478" s="291"/>
      <c r="Q478" s="265"/>
      <c r="R478" s="265"/>
      <c r="S478" s="265"/>
      <c r="T478" s="265"/>
    </row>
    <row r="479" spans="1:23" ht="27.75" customHeight="1">
      <c r="A479" s="204" t="str">
        <f>IF(ISBLANK(D479)," ",408-COUNTBLANK($D$5:D479))</f>
        <v xml:space="preserve"> </v>
      </c>
      <c r="B479" s="202"/>
      <c r="C479" s="202"/>
      <c r="D479" s="202"/>
      <c r="E479" s="300"/>
      <c r="F479" s="210"/>
      <c r="G479" s="210"/>
      <c r="H479" s="203"/>
      <c r="I479" s="203"/>
      <c r="J479" s="203"/>
      <c r="K479" s="203"/>
      <c r="L479" s="203"/>
      <c r="M479" s="203"/>
      <c r="N479" s="203"/>
      <c r="O479" s="205"/>
      <c r="P479" s="291"/>
      <c r="Q479" s="265"/>
      <c r="R479" s="265"/>
      <c r="S479" s="265"/>
      <c r="T479" s="265"/>
    </row>
    <row r="480" spans="1:23" ht="27.75" customHeight="1">
      <c r="A480" s="204" t="str">
        <f>IF(ISBLANK(D480)," ",409-COUNTBLANK($D$5:D480))</f>
        <v xml:space="preserve"> </v>
      </c>
      <c r="B480" s="202"/>
      <c r="C480" s="202"/>
      <c r="D480" s="202"/>
      <c r="E480" s="300"/>
      <c r="F480" s="210"/>
      <c r="G480" s="210"/>
      <c r="H480" s="203"/>
      <c r="I480" s="203"/>
      <c r="J480" s="203"/>
      <c r="K480" s="203"/>
      <c r="L480" s="203"/>
      <c r="M480" s="203"/>
      <c r="N480" s="203"/>
      <c r="O480" s="205"/>
      <c r="P480" s="291"/>
      <c r="Q480" s="265"/>
      <c r="R480" s="265"/>
      <c r="S480" s="265"/>
      <c r="T480" s="265"/>
    </row>
    <row r="481" spans="1:23" ht="27.75" customHeight="1">
      <c r="A481" s="204" t="str">
        <f>IF(ISBLANK(D481)," ",410-COUNTBLANK($D$5:D481))</f>
        <v xml:space="preserve"> </v>
      </c>
      <c r="B481" s="202"/>
      <c r="C481" s="202"/>
      <c r="D481" s="202"/>
      <c r="E481" s="300"/>
      <c r="F481" s="210"/>
      <c r="G481" s="210"/>
      <c r="H481" s="203"/>
      <c r="I481" s="203"/>
      <c r="J481" s="203"/>
      <c r="K481" s="203"/>
      <c r="L481" s="203"/>
      <c r="M481" s="203"/>
      <c r="N481" s="203"/>
      <c r="O481" s="205"/>
      <c r="P481" s="291"/>
      <c r="Q481" s="265"/>
      <c r="R481" s="265"/>
      <c r="S481" s="265"/>
      <c r="T481" s="265"/>
    </row>
    <row r="482" spans="1:23" ht="27.75" customHeight="1">
      <c r="A482" s="204" t="str">
        <f>IF(ISBLANK(D482)," ",411-COUNTBLANK($D$5:D482))</f>
        <v xml:space="preserve"> </v>
      </c>
      <c r="B482" s="202"/>
      <c r="C482" s="202"/>
      <c r="D482" s="202"/>
      <c r="E482" s="300"/>
      <c r="F482" s="210"/>
      <c r="G482" s="210"/>
      <c r="H482" s="203"/>
      <c r="I482" s="203"/>
      <c r="J482" s="203"/>
      <c r="K482" s="203"/>
      <c r="L482" s="203"/>
      <c r="M482" s="203"/>
      <c r="N482" s="203"/>
      <c r="O482" s="205"/>
      <c r="P482" s="291"/>
      <c r="Q482" s="265"/>
      <c r="R482" s="265"/>
      <c r="S482" s="265"/>
      <c r="T482" s="265"/>
    </row>
    <row r="483" spans="1:23" ht="27.75" customHeight="1">
      <c r="A483" s="204" t="str">
        <f>IF(ISBLANK(D483)," ",412-COUNTBLANK($D$5:D483))</f>
        <v xml:space="preserve"> </v>
      </c>
      <c r="B483" s="202"/>
      <c r="C483" s="202"/>
      <c r="D483" s="202"/>
      <c r="E483" s="300"/>
      <c r="F483" s="210"/>
      <c r="G483" s="210"/>
      <c r="H483" s="203"/>
      <c r="I483" s="203"/>
      <c r="J483" s="203"/>
      <c r="K483" s="203"/>
      <c r="L483" s="203"/>
      <c r="M483" s="203"/>
      <c r="N483" s="203"/>
      <c r="O483" s="205"/>
      <c r="P483" s="291"/>
      <c r="Q483" s="265"/>
      <c r="R483" s="265"/>
      <c r="S483" s="265"/>
      <c r="T483" s="265"/>
    </row>
    <row r="484" spans="1:23" ht="27.75" customHeight="1">
      <c r="A484" s="204" t="str">
        <f>IF(ISBLANK(D484)," ",413-COUNTBLANK($D$5:D484))</f>
        <v xml:space="preserve"> </v>
      </c>
      <c r="B484" s="202"/>
      <c r="C484" s="202"/>
      <c r="D484" s="202"/>
      <c r="E484" s="300"/>
      <c r="F484" s="210"/>
      <c r="G484" s="210"/>
      <c r="H484" s="203"/>
      <c r="I484" s="203"/>
      <c r="J484" s="203"/>
      <c r="K484" s="203"/>
      <c r="L484" s="203"/>
      <c r="M484" s="203"/>
      <c r="N484" s="203"/>
      <c r="O484" s="205"/>
      <c r="P484" s="291"/>
      <c r="Q484" s="265"/>
      <c r="R484" s="265"/>
      <c r="S484" s="265"/>
      <c r="T484" s="265"/>
    </row>
    <row r="485" spans="1:23" ht="27.75" customHeight="1">
      <c r="A485" s="204" t="str">
        <f>IF(ISBLANK(D485)," ",414-COUNTBLANK($D$5:D485))</f>
        <v xml:space="preserve"> </v>
      </c>
      <c r="B485" s="202"/>
      <c r="C485" s="202"/>
      <c r="D485" s="202"/>
      <c r="E485" s="300"/>
      <c r="F485" s="210"/>
      <c r="G485" s="210"/>
      <c r="H485" s="203"/>
      <c r="I485" s="203"/>
      <c r="J485" s="203"/>
      <c r="K485" s="203"/>
      <c r="L485" s="203"/>
      <c r="M485" s="203"/>
      <c r="N485" s="203"/>
      <c r="O485" s="205"/>
      <c r="P485" s="291"/>
      <c r="Q485" s="265"/>
      <c r="R485" s="265"/>
      <c r="S485" s="265"/>
      <c r="T485" s="265"/>
    </row>
    <row r="486" spans="1:23" ht="27.75" customHeight="1">
      <c r="A486" s="204" t="str">
        <f>IF(ISBLANK(D486)," ",415-COUNTBLANK($D$5:D486))</f>
        <v xml:space="preserve"> </v>
      </c>
      <c r="B486" s="202"/>
      <c r="C486" s="202"/>
      <c r="D486" s="202"/>
      <c r="E486" s="300"/>
      <c r="F486" s="210"/>
      <c r="G486" s="210"/>
      <c r="H486" s="203"/>
      <c r="I486" s="203"/>
      <c r="J486" s="203"/>
      <c r="K486" s="203"/>
      <c r="L486" s="203"/>
      <c r="M486" s="203"/>
      <c r="N486" s="203"/>
      <c r="O486" s="205"/>
      <c r="P486" s="291"/>
      <c r="Q486" s="265"/>
      <c r="R486" s="265"/>
      <c r="S486" s="265"/>
      <c r="T486" s="265"/>
    </row>
    <row r="487" spans="1:23" ht="27.75" customHeight="1">
      <c r="A487" s="204" t="str">
        <f>IF(ISBLANK(D487)," ",416-COUNTBLANK($D$5:D487))</f>
        <v xml:space="preserve"> </v>
      </c>
      <c r="B487" s="202"/>
      <c r="C487" s="202"/>
      <c r="D487" s="202"/>
      <c r="E487" s="300"/>
      <c r="F487" s="210"/>
      <c r="G487" s="210"/>
      <c r="H487" s="203"/>
      <c r="I487" s="203"/>
      <c r="J487" s="203"/>
      <c r="K487" s="203"/>
      <c r="L487" s="203"/>
      <c r="M487" s="203"/>
      <c r="N487" s="203"/>
      <c r="O487" s="205"/>
      <c r="P487" s="291"/>
      <c r="Q487" s="265"/>
      <c r="R487" s="265"/>
      <c r="S487" s="265"/>
      <c r="T487" s="265"/>
    </row>
    <row r="488" spans="1:23" ht="27.75" customHeight="1">
      <c r="A488" s="204" t="str">
        <f>IF(ISBLANK(D488)," ",417-COUNTBLANK($D$5:D488))</f>
        <v xml:space="preserve"> </v>
      </c>
      <c r="B488" s="202"/>
      <c r="C488" s="202"/>
      <c r="D488" s="202"/>
      <c r="E488" s="300"/>
      <c r="F488" s="210"/>
      <c r="G488" s="210"/>
      <c r="H488" s="203"/>
      <c r="I488" s="203"/>
      <c r="J488" s="203"/>
      <c r="K488" s="203"/>
      <c r="L488" s="203"/>
      <c r="M488" s="203"/>
      <c r="N488" s="203"/>
      <c r="O488" s="205"/>
      <c r="P488" s="291"/>
      <c r="Q488" s="265"/>
      <c r="R488" s="265"/>
      <c r="S488" s="265"/>
      <c r="T488" s="267"/>
    </row>
    <row r="489" spans="1:23" ht="27.75" customHeight="1">
      <c r="A489" s="204" t="str">
        <f>IF(ISBLANK(D489)," ",418-COUNTBLANK($D$5:D489))</f>
        <v xml:space="preserve"> </v>
      </c>
      <c r="B489" s="202"/>
      <c r="C489" s="202"/>
      <c r="D489" s="202"/>
      <c r="E489" s="300"/>
      <c r="F489" s="210"/>
      <c r="G489" s="210"/>
      <c r="H489" s="203"/>
      <c r="I489" s="203"/>
      <c r="J489" s="203"/>
      <c r="K489" s="203"/>
      <c r="L489" s="203"/>
      <c r="M489" s="203"/>
      <c r="N489" s="203"/>
      <c r="O489" s="205"/>
      <c r="P489" s="291"/>
      <c r="Q489" s="265"/>
      <c r="R489" s="265"/>
      <c r="S489" s="265"/>
      <c r="T489" s="267"/>
    </row>
    <row r="490" spans="1:23" ht="27.75" customHeight="1">
      <c r="A490" s="204" t="str">
        <f>IF(ISBLANK(D490)," ",419-COUNTBLANK($D$5:D490))</f>
        <v xml:space="preserve"> </v>
      </c>
      <c r="B490" s="202"/>
      <c r="C490" s="202"/>
      <c r="D490" s="202"/>
      <c r="E490" s="300"/>
      <c r="F490" s="210"/>
      <c r="G490" s="210"/>
      <c r="H490" s="203"/>
      <c r="I490" s="203"/>
      <c r="J490" s="203"/>
      <c r="K490" s="203"/>
      <c r="L490" s="203"/>
      <c r="M490" s="203"/>
      <c r="N490" s="203"/>
      <c r="O490" s="205"/>
      <c r="P490" s="291"/>
      <c r="Q490" s="265"/>
      <c r="R490" s="265"/>
      <c r="S490" s="265"/>
      <c r="T490" s="267"/>
    </row>
    <row r="491" spans="1:23" ht="27.75" customHeight="1">
      <c r="A491" s="304" t="str">
        <f>IF(ISBLANK(D491)," ",421-COUNTBLANK($D$5:D491))</f>
        <v xml:space="preserve"> </v>
      </c>
      <c r="B491" s="296"/>
      <c r="C491" s="305"/>
      <c r="D491" s="306"/>
      <c r="E491" s="297"/>
      <c r="F491" s="298"/>
      <c r="G491" s="298"/>
      <c r="H491" s="282"/>
      <c r="I491" s="282"/>
      <c r="J491" s="282"/>
      <c r="K491" s="282"/>
      <c r="L491" s="282"/>
      <c r="M491" s="282"/>
      <c r="N491" s="282"/>
      <c r="O491" s="283"/>
      <c r="P491" s="303"/>
      <c r="Q491" s="265"/>
      <c r="R491" s="265"/>
      <c r="S491" s="265"/>
      <c r="T491" s="284"/>
      <c r="U491" s="265"/>
      <c r="V491" s="265"/>
      <c r="W491" s="265"/>
    </row>
    <row r="492" spans="1:23" ht="27.75" customHeight="1">
      <c r="A492" s="240" t="str">
        <f>IF(ISBLANK(D492)," ",422-COUNTBLANK($D$5:D492))</f>
        <v xml:space="preserve"> </v>
      </c>
      <c r="Q492" s="265"/>
      <c r="R492" s="265"/>
      <c r="S492" s="265"/>
      <c r="T492" s="284"/>
      <c r="U492" s="265"/>
      <c r="V492" s="265"/>
      <c r="W492" s="265"/>
    </row>
    <row r="493" spans="1:23" ht="27.75" customHeight="1">
      <c r="A493" s="240" t="str">
        <f>IF(ISBLANK(D493)," ",423-COUNTBLANK($D$5:D493))</f>
        <v xml:space="preserve"> </v>
      </c>
      <c r="Q493" s="265"/>
      <c r="R493" s="265"/>
      <c r="S493" s="265"/>
      <c r="T493" s="265"/>
    </row>
    <row r="494" spans="1:23" ht="27.75" customHeight="1">
      <c r="A494" s="240" t="str">
        <f>IF(ISBLANK(D494)," ",424-COUNTBLANK($D$5:D494))</f>
        <v xml:space="preserve"> </v>
      </c>
      <c r="Q494" s="265"/>
      <c r="R494" s="265"/>
      <c r="S494" s="265"/>
      <c r="T494" s="265"/>
    </row>
    <row r="495" spans="1:23" ht="27.75" customHeight="1">
      <c r="A495" s="240" t="str">
        <f>IF(ISBLANK(D495)," ",425-COUNTBLANK($D$5:D495))</f>
        <v xml:space="preserve"> </v>
      </c>
      <c r="Q495" s="265"/>
      <c r="R495" s="265"/>
      <c r="S495" s="265"/>
      <c r="T495" s="265"/>
    </row>
    <row r="496" spans="1:23" ht="27.75" customHeight="1">
      <c r="A496" s="240" t="str">
        <f>IF(ISBLANK(D496)," ",426-COUNTBLANK($D$5:D496))</f>
        <v xml:space="preserve"> </v>
      </c>
      <c r="Q496" s="265"/>
      <c r="R496" s="265"/>
      <c r="S496" s="265"/>
      <c r="T496" s="265"/>
    </row>
    <row r="497" spans="1:23" ht="27.75" customHeight="1">
      <c r="A497" s="240" t="str">
        <f>IF(ISBLANK(D497)," ",427-COUNTBLANK($D$5:D497))</f>
        <v xml:space="preserve"> </v>
      </c>
      <c r="Q497" s="265"/>
      <c r="R497" s="265"/>
      <c r="S497" s="265"/>
      <c r="T497" s="265"/>
    </row>
    <row r="498" spans="1:23" ht="27.75" customHeight="1">
      <c r="A498" s="240" t="str">
        <f>IF(ISBLANK(D498)," ",428-COUNTBLANK($D$5:D498))</f>
        <v xml:space="preserve"> </v>
      </c>
      <c r="Q498" s="265"/>
      <c r="R498" s="265"/>
      <c r="S498" s="265"/>
      <c r="T498" s="265"/>
    </row>
    <row r="499" spans="1:23" ht="27.75" customHeight="1">
      <c r="A499" s="240" t="str">
        <f>IF(ISBLANK(D499)," ",429-COUNTBLANK($D$5:D499))</f>
        <v xml:space="preserve"> </v>
      </c>
      <c r="Q499" s="265"/>
      <c r="R499" s="265"/>
      <c r="S499" s="265"/>
      <c r="T499" s="265"/>
    </row>
    <row r="500" spans="1:23" ht="27.75" customHeight="1">
      <c r="A500" s="240" t="str">
        <f>IF(ISBLANK(D500)," ",430-COUNTBLANK($D$5:D500))</f>
        <v xml:space="preserve"> </v>
      </c>
      <c r="Q500" s="265"/>
      <c r="R500" s="265"/>
      <c r="S500" s="265"/>
      <c r="T500" s="265"/>
    </row>
    <row r="501" spans="1:23" ht="27.75" customHeight="1">
      <c r="A501" s="240" t="str">
        <f>IF(ISBLANK(D501)," ",431-COUNTBLANK($D$5:D501))</f>
        <v xml:space="preserve"> </v>
      </c>
      <c r="Q501" s="265"/>
      <c r="R501" s="265"/>
      <c r="S501" s="265"/>
      <c r="T501" s="265"/>
    </row>
    <row r="502" spans="1:23" ht="27.75" customHeight="1">
      <c r="A502" s="240" t="str">
        <f>IF(ISBLANK(D502)," ",432-COUNTBLANK($D$5:D502))</f>
        <v xml:space="preserve"> </v>
      </c>
      <c r="Q502" s="265"/>
      <c r="R502" s="265"/>
      <c r="S502" s="265"/>
      <c r="T502" s="265"/>
    </row>
    <row r="503" spans="1:23" ht="27.75" customHeight="1">
      <c r="A503" s="240" t="str">
        <f>IF(ISBLANK(D503)," ",433-COUNTBLANK($D$5:D503))</f>
        <v xml:space="preserve"> </v>
      </c>
      <c r="Q503" s="265"/>
      <c r="R503" s="265"/>
      <c r="S503" s="265"/>
      <c r="T503" s="265"/>
    </row>
    <row r="504" spans="1:23" ht="27.75" customHeight="1">
      <c r="A504" s="240" t="str">
        <f>IF(ISBLANK(D504)," ",434-COUNTBLANK($D$5:D504))</f>
        <v xml:space="preserve"> </v>
      </c>
      <c r="Q504" s="265"/>
      <c r="R504" s="265"/>
      <c r="S504" s="265"/>
      <c r="T504" s="265"/>
    </row>
    <row r="505" spans="1:23" ht="27.75" customHeight="1">
      <c r="A505" s="240" t="str">
        <f>IF(ISBLANK(D505)," ",435-COUNTBLANK($D$5:D505))</f>
        <v xml:space="preserve"> </v>
      </c>
      <c r="Q505" s="265"/>
      <c r="R505" s="265"/>
      <c r="S505" s="265"/>
      <c r="T505" s="265"/>
    </row>
    <row r="506" spans="1:23" ht="27.75" customHeight="1">
      <c r="A506" s="240" t="str">
        <f>IF(ISBLANK(D506)," ",436-COUNTBLANK($D$5:D506))</f>
        <v xml:space="preserve"> </v>
      </c>
      <c r="Q506" s="265"/>
      <c r="R506" s="265"/>
      <c r="S506" s="265"/>
      <c r="T506" s="265"/>
    </row>
    <row r="507" spans="1:23" ht="27.75" customHeight="1">
      <c r="A507" s="240" t="str">
        <f>IF(ISBLANK(D507)," ",437-COUNTBLANK($D$5:D507))</f>
        <v xml:space="preserve"> </v>
      </c>
      <c r="Q507" s="265"/>
      <c r="R507" s="265"/>
      <c r="S507" s="265"/>
      <c r="T507" s="265"/>
    </row>
    <row r="508" spans="1:23" ht="27.75" customHeight="1">
      <c r="A508" s="240" t="str">
        <f>IF(ISBLANK(D508)," ",438-COUNTBLANK($D$5:D508))</f>
        <v xml:space="preserve"> </v>
      </c>
      <c r="Q508" s="265"/>
      <c r="R508" s="265"/>
      <c r="S508" s="265"/>
      <c r="T508" s="267"/>
    </row>
    <row r="509" spans="1:23" ht="27.75" customHeight="1">
      <c r="A509" s="240" t="str">
        <f>IF(ISBLANK(D509)," ",439-COUNTBLANK($D$5:D509))</f>
        <v xml:space="preserve"> </v>
      </c>
      <c r="Q509" s="265"/>
      <c r="R509" s="265"/>
      <c r="S509" s="265"/>
      <c r="T509" s="267"/>
    </row>
    <row r="510" spans="1:23" ht="27.75" customHeight="1">
      <c r="A510" s="240" t="str">
        <f>IF(ISBLANK(D510)," ",440-COUNTBLANK($D$5:D510))</f>
        <v xml:space="preserve"> </v>
      </c>
      <c r="Q510" s="265"/>
      <c r="R510" s="265"/>
      <c r="S510" s="265"/>
      <c r="T510" s="267"/>
    </row>
    <row r="511" spans="1:23" ht="27.75" customHeight="1">
      <c r="A511" s="240" t="str">
        <f>IF(ISBLANK(D511)," ",442-COUNTBLANK($D$5:D511))</f>
        <v xml:space="preserve"> </v>
      </c>
      <c r="Q511" s="265"/>
      <c r="R511" s="265"/>
      <c r="S511" s="265"/>
      <c r="T511" s="284"/>
      <c r="U511" s="265"/>
      <c r="V511" s="265"/>
      <c r="W511" s="265"/>
    </row>
    <row r="512" spans="1:23" ht="27.75" customHeight="1">
      <c r="A512" s="240" t="str">
        <f>IF(ISBLANK(D512)," ",443-COUNTBLANK($D$5:D512))</f>
        <v xml:space="preserve"> </v>
      </c>
      <c r="Q512" s="265"/>
      <c r="R512" s="265"/>
      <c r="S512" s="265"/>
      <c r="T512" s="284"/>
      <c r="U512" s="265"/>
      <c r="V512" s="265"/>
      <c r="W512" s="265"/>
    </row>
    <row r="513" spans="1:20" ht="27.75" customHeight="1">
      <c r="A513" s="240" t="str">
        <f>IF(ISBLANK(D513)," ",444-COUNTBLANK($D$5:D513))</f>
        <v xml:space="preserve"> </v>
      </c>
      <c r="Q513" s="265"/>
      <c r="R513" s="265"/>
      <c r="S513" s="265"/>
      <c r="T513" s="265"/>
    </row>
    <row r="514" spans="1:20" ht="27.75" customHeight="1">
      <c r="A514" s="240" t="str">
        <f>IF(ISBLANK(D514)," ",445-COUNTBLANK($D$5:D514))</f>
        <v xml:space="preserve"> </v>
      </c>
      <c r="Q514" s="265"/>
      <c r="R514" s="265"/>
      <c r="S514" s="265"/>
      <c r="T514" s="265"/>
    </row>
    <row r="515" spans="1:20" ht="27.75" customHeight="1">
      <c r="A515" s="240" t="str">
        <f>IF(ISBLANK(D515)," ",446-COUNTBLANK($D$5:D515))</f>
        <v xml:space="preserve"> </v>
      </c>
      <c r="Q515" s="265"/>
      <c r="R515" s="265"/>
      <c r="S515" s="265"/>
      <c r="T515" s="265"/>
    </row>
    <row r="516" spans="1:20" ht="27.75" customHeight="1">
      <c r="A516" s="240" t="str">
        <f>IF(ISBLANK(D516)," ",447-COUNTBLANK($D$5:D516))</f>
        <v xml:space="preserve"> </v>
      </c>
      <c r="Q516" s="265"/>
      <c r="R516" s="265"/>
      <c r="S516" s="265"/>
      <c r="T516" s="265"/>
    </row>
    <row r="517" spans="1:20" ht="27.75" customHeight="1">
      <c r="A517" s="240" t="str">
        <f>IF(ISBLANK(D517)," ",448-COUNTBLANK($D$5:D517))</f>
        <v xml:space="preserve"> </v>
      </c>
      <c r="Q517" s="265"/>
      <c r="R517" s="265"/>
      <c r="S517" s="265"/>
      <c r="T517" s="265"/>
    </row>
    <row r="518" spans="1:20" ht="27.75" customHeight="1">
      <c r="A518" s="240" t="str">
        <f>IF(ISBLANK(D518)," ",449-COUNTBLANK($D$5:D518))</f>
        <v xml:space="preserve"> </v>
      </c>
      <c r="Q518" s="265"/>
      <c r="R518" s="265"/>
      <c r="S518" s="265"/>
      <c r="T518" s="265"/>
    </row>
    <row r="519" spans="1:20" ht="27.75" customHeight="1">
      <c r="A519" s="240" t="str">
        <f>IF(ISBLANK(D519)," ",450-COUNTBLANK($D$5:D519))</f>
        <v xml:space="preserve"> </v>
      </c>
      <c r="Q519" s="265"/>
      <c r="R519" s="265"/>
      <c r="S519" s="265"/>
      <c r="T519" s="265"/>
    </row>
    <row r="520" spans="1:20" ht="27.75" customHeight="1">
      <c r="A520" s="240" t="str">
        <f>IF(ISBLANK(D520)," ",451-COUNTBLANK($D$5:D520))</f>
        <v xml:space="preserve"> </v>
      </c>
      <c r="Q520" s="265"/>
      <c r="R520" s="265"/>
      <c r="S520" s="265"/>
      <c r="T520" s="265"/>
    </row>
    <row r="521" spans="1:20" ht="27.75" customHeight="1">
      <c r="A521" s="240" t="str">
        <f>IF(ISBLANK(D521)," ",452-COUNTBLANK($D$5:D521))</f>
        <v xml:space="preserve"> </v>
      </c>
      <c r="Q521" s="265"/>
      <c r="R521" s="265"/>
      <c r="S521" s="265"/>
      <c r="T521" s="265"/>
    </row>
    <row r="522" spans="1:20" ht="27.75" customHeight="1">
      <c r="A522" s="240" t="str">
        <f>IF(ISBLANK(D522)," ",453-COUNTBLANK($D$5:D522))</f>
        <v xml:space="preserve"> </v>
      </c>
      <c r="Q522" s="265"/>
      <c r="R522" s="265"/>
      <c r="S522" s="265"/>
      <c r="T522" s="265"/>
    </row>
    <row r="523" spans="1:20" ht="27.75" customHeight="1">
      <c r="A523" s="240" t="str">
        <f>IF(ISBLANK(D523)," ",454-COUNTBLANK($D$5:D523))</f>
        <v xml:space="preserve"> </v>
      </c>
      <c r="Q523" s="265"/>
      <c r="R523" s="265"/>
      <c r="S523" s="265"/>
      <c r="T523" s="265"/>
    </row>
    <row r="524" spans="1:20" ht="27.75" customHeight="1">
      <c r="A524" s="240" t="str">
        <f>IF(ISBLANK(D524)," ",455-COUNTBLANK($D$5:D524))</f>
        <v xml:space="preserve"> </v>
      </c>
      <c r="Q524" s="265"/>
      <c r="R524" s="265"/>
      <c r="S524" s="265"/>
      <c r="T524" s="265"/>
    </row>
    <row r="525" spans="1:20" ht="27.75" customHeight="1">
      <c r="A525" s="240" t="str">
        <f>IF(ISBLANK(D525)," ",456-COUNTBLANK($D$5:D525))</f>
        <v xml:space="preserve"> </v>
      </c>
      <c r="Q525" s="265"/>
      <c r="R525" s="265"/>
      <c r="S525" s="265"/>
      <c r="T525" s="265"/>
    </row>
    <row r="526" spans="1:20" ht="27.75" customHeight="1">
      <c r="A526" s="240" t="str">
        <f>IF(ISBLANK(D526)," ",457-COUNTBLANK($D$5:D526))</f>
        <v xml:space="preserve"> </v>
      </c>
      <c r="Q526" s="265"/>
      <c r="R526" s="265"/>
      <c r="S526" s="265"/>
      <c r="T526" s="265"/>
    </row>
    <row r="527" spans="1:20" ht="27.75" customHeight="1">
      <c r="A527" s="240" t="str">
        <f>IF(ISBLANK(D527)," ",458-COUNTBLANK($D$5:D527))</f>
        <v xml:space="preserve"> </v>
      </c>
      <c r="Q527" s="265"/>
      <c r="R527" s="265"/>
      <c r="S527" s="265"/>
      <c r="T527" s="265"/>
    </row>
    <row r="528" spans="1:20" ht="27.75" customHeight="1">
      <c r="A528" s="240" t="str">
        <f>IF(ISBLANK(D528)," ",459-COUNTBLANK($D$5:D528))</f>
        <v xml:space="preserve"> </v>
      </c>
      <c r="Q528" s="265"/>
      <c r="R528" s="265"/>
      <c r="S528" s="265"/>
      <c r="T528" s="267"/>
    </row>
    <row r="529" spans="1:23" ht="27.75" customHeight="1">
      <c r="A529" s="240" t="str">
        <f>IF(ISBLANK(D529)," ",460-COUNTBLANK($D$5:D529))</f>
        <v xml:space="preserve"> </v>
      </c>
      <c r="Q529" s="265"/>
      <c r="R529" s="265"/>
      <c r="S529" s="265"/>
      <c r="T529" s="267"/>
    </row>
    <row r="530" spans="1:23" ht="27.75" customHeight="1">
      <c r="A530" s="240" t="str">
        <f>IF(ISBLANK(D530)," ",461-COUNTBLANK($D$5:D530))</f>
        <v xml:space="preserve"> </v>
      </c>
      <c r="Q530" s="265"/>
      <c r="R530" s="265"/>
      <c r="S530" s="265"/>
      <c r="T530" s="267"/>
    </row>
    <row r="531" spans="1:23" ht="27.75" customHeight="1">
      <c r="A531" s="240" t="str">
        <f>IF(ISBLANK(D531)," ",463-COUNTBLANK($D$5:D531))</f>
        <v xml:space="preserve"> </v>
      </c>
      <c r="Q531" s="265"/>
      <c r="R531" s="265"/>
      <c r="S531" s="265"/>
      <c r="T531" s="284"/>
      <c r="U531" s="265"/>
      <c r="V531" s="265"/>
      <c r="W531" s="265"/>
    </row>
    <row r="532" spans="1:23" ht="27.75" customHeight="1">
      <c r="A532" s="240" t="str">
        <f>IF(ISBLANK(D532)," ",464-COUNTBLANK($D$5:D532))</f>
        <v xml:space="preserve"> </v>
      </c>
      <c r="Q532" s="265"/>
      <c r="R532" s="265"/>
      <c r="S532" s="265"/>
      <c r="T532" s="284"/>
      <c r="U532" s="265"/>
      <c r="V532" s="265"/>
      <c r="W532" s="265"/>
    </row>
    <row r="533" spans="1:23" ht="27.75" customHeight="1">
      <c r="A533" s="240" t="str">
        <f>IF(ISBLANK(D533)," ",465-COUNTBLANK($D$5:D533))</f>
        <v xml:space="preserve"> </v>
      </c>
      <c r="Q533" s="265"/>
      <c r="R533" s="265"/>
      <c r="S533" s="265"/>
      <c r="T533" s="265"/>
    </row>
    <row r="534" spans="1:23" ht="27.75" customHeight="1">
      <c r="A534" s="240" t="str">
        <f>IF(ISBLANK(D534)," ",466-COUNTBLANK($D$5:D534))</f>
        <v xml:space="preserve"> </v>
      </c>
      <c r="Q534" s="265"/>
      <c r="R534" s="265"/>
      <c r="S534" s="265"/>
      <c r="T534" s="265"/>
    </row>
    <row r="535" spans="1:23" ht="27.75" customHeight="1">
      <c r="A535" s="240" t="str">
        <f>IF(ISBLANK(D535)," ",467-COUNTBLANK($D$5:D535))</f>
        <v xml:space="preserve"> </v>
      </c>
      <c r="Q535" s="265"/>
      <c r="R535" s="265"/>
      <c r="S535" s="265"/>
      <c r="T535" s="265"/>
    </row>
    <row r="536" spans="1:23" ht="27.75" customHeight="1">
      <c r="A536" s="240" t="str">
        <f>IF(ISBLANK(D536)," ",468-COUNTBLANK($D$5:D536))</f>
        <v xml:space="preserve"> </v>
      </c>
      <c r="Q536" s="265"/>
      <c r="R536" s="265"/>
      <c r="S536" s="265"/>
      <c r="T536" s="265"/>
    </row>
    <row r="537" spans="1:23" ht="27.75" customHeight="1">
      <c r="A537" s="240" t="str">
        <f>IF(ISBLANK(D537)," ",469-COUNTBLANK($D$5:D537))</f>
        <v xml:space="preserve"> </v>
      </c>
      <c r="Q537" s="265"/>
      <c r="R537" s="265"/>
      <c r="S537" s="265"/>
      <c r="T537" s="265"/>
    </row>
    <row r="538" spans="1:23" ht="27.75" customHeight="1">
      <c r="A538" s="240" t="str">
        <f>IF(ISBLANK(D538)," ",470-COUNTBLANK($D$5:D538))</f>
        <v xml:space="preserve"> </v>
      </c>
      <c r="Q538" s="265"/>
      <c r="R538" s="265"/>
      <c r="S538" s="265"/>
      <c r="T538" s="265"/>
    </row>
    <row r="539" spans="1:23" ht="27.75" customHeight="1">
      <c r="A539" s="240" t="str">
        <f>IF(ISBLANK(D539)," ",471-COUNTBLANK($D$5:D539))</f>
        <v xml:space="preserve"> </v>
      </c>
      <c r="Q539" s="265"/>
      <c r="R539" s="265"/>
      <c r="S539" s="265"/>
      <c r="T539" s="265"/>
    </row>
    <row r="540" spans="1:23" ht="27.75" customHeight="1">
      <c r="A540" s="240" t="str">
        <f>IF(ISBLANK(D540)," ",472-COUNTBLANK($D$5:D540))</f>
        <v xml:space="preserve"> </v>
      </c>
      <c r="Q540" s="265"/>
      <c r="R540" s="265"/>
      <c r="S540" s="265"/>
      <c r="T540" s="265"/>
    </row>
    <row r="541" spans="1:23" ht="27.75" customHeight="1">
      <c r="A541" s="240" t="str">
        <f>IF(ISBLANK(D541)," ",473-COUNTBLANK($D$5:D541))</f>
        <v xml:space="preserve"> </v>
      </c>
      <c r="Q541" s="265"/>
      <c r="R541" s="265"/>
      <c r="S541" s="265"/>
      <c r="T541" s="265"/>
    </row>
    <row r="542" spans="1:23" ht="27.75" customHeight="1">
      <c r="A542" s="240" t="str">
        <f>IF(ISBLANK(D542)," ",474-COUNTBLANK($D$5:D542))</f>
        <v xml:space="preserve"> </v>
      </c>
      <c r="Q542" s="265"/>
      <c r="R542" s="265"/>
      <c r="S542" s="265"/>
      <c r="T542" s="265"/>
    </row>
    <row r="543" spans="1:23" ht="27.75" customHeight="1">
      <c r="A543" s="240" t="str">
        <f>IF(ISBLANK(D543)," ",475-COUNTBLANK($D$5:D543))</f>
        <v xml:space="preserve"> </v>
      </c>
      <c r="Q543" s="265"/>
      <c r="R543" s="265"/>
      <c r="S543" s="265"/>
      <c r="T543" s="265"/>
    </row>
    <row r="544" spans="1:23" ht="27.75" customHeight="1">
      <c r="A544" s="240" t="str">
        <f>IF(ISBLANK(D544)," ",476-COUNTBLANK($D$5:D544))</f>
        <v xml:space="preserve"> </v>
      </c>
      <c r="Q544" s="265"/>
      <c r="R544" s="265"/>
      <c r="S544" s="265"/>
      <c r="T544" s="265"/>
    </row>
    <row r="545" spans="1:23" ht="27.75" customHeight="1">
      <c r="A545" s="240" t="str">
        <f>IF(ISBLANK(D545)," ",477-COUNTBLANK($D$5:D545))</f>
        <v xml:space="preserve"> </v>
      </c>
      <c r="Q545" s="265"/>
      <c r="R545" s="265"/>
      <c r="S545" s="265"/>
      <c r="T545" s="265"/>
    </row>
    <row r="546" spans="1:23" ht="27.75" customHeight="1">
      <c r="A546" s="240" t="str">
        <f>IF(ISBLANK(D546)," ",478-COUNTBLANK($D$5:D546))</f>
        <v xml:space="preserve"> </v>
      </c>
      <c r="Q546" s="265"/>
      <c r="R546" s="265"/>
      <c r="S546" s="265"/>
      <c r="T546" s="265"/>
    </row>
    <row r="547" spans="1:23" ht="27.75" customHeight="1">
      <c r="A547" s="240" t="str">
        <f>IF(ISBLANK(D547)," ",479-COUNTBLANK($D$5:D547))</f>
        <v xml:space="preserve"> </v>
      </c>
      <c r="Q547" s="265"/>
      <c r="R547" s="265"/>
      <c r="S547" s="265"/>
      <c r="T547" s="265"/>
    </row>
    <row r="548" spans="1:23" ht="27.75" customHeight="1">
      <c r="A548" s="240" t="str">
        <f>IF(ISBLANK(D548)," ",480-COUNTBLANK($D$5:D548))</f>
        <v xml:space="preserve"> </v>
      </c>
      <c r="Q548" s="265"/>
      <c r="R548" s="265"/>
      <c r="S548" s="265"/>
      <c r="T548" s="267"/>
    </row>
    <row r="549" spans="1:23" ht="27.75" customHeight="1">
      <c r="A549" s="240" t="str">
        <f>IF(ISBLANK(D549)," ",481-COUNTBLANK($D$5:D549))</f>
        <v xml:space="preserve"> </v>
      </c>
      <c r="Q549" s="265"/>
      <c r="R549" s="265"/>
      <c r="S549" s="265"/>
      <c r="T549" s="267"/>
    </row>
    <row r="550" spans="1:23" ht="27.75" customHeight="1">
      <c r="A550" s="240" t="str">
        <f>IF(ISBLANK(D550)," ",482-COUNTBLANK($D$5:D550))</f>
        <v xml:space="preserve"> </v>
      </c>
      <c r="Q550" s="265"/>
      <c r="R550" s="265"/>
      <c r="S550" s="265"/>
      <c r="T550" s="267"/>
    </row>
    <row r="551" spans="1:23" ht="27.75" customHeight="1">
      <c r="A551" s="240" t="str">
        <f>IF(ISBLANK(D551)," ",484-COUNTBLANK($D$5:D551))</f>
        <v xml:space="preserve"> </v>
      </c>
      <c r="Q551" s="265"/>
      <c r="R551" s="265"/>
      <c r="S551" s="265"/>
      <c r="T551" s="284"/>
      <c r="U551" s="265"/>
      <c r="V551" s="265"/>
      <c r="W551" s="265"/>
    </row>
    <row r="552" spans="1:23" ht="27.75" customHeight="1">
      <c r="A552" s="240" t="str">
        <f>IF(ISBLANK(D552)," ",485-COUNTBLANK($D$5:D552))</f>
        <v xml:space="preserve"> </v>
      </c>
      <c r="Q552" s="265"/>
      <c r="R552" s="265"/>
      <c r="S552" s="265"/>
      <c r="T552" s="284"/>
      <c r="U552" s="265"/>
      <c r="V552" s="265"/>
      <c r="W552" s="265"/>
    </row>
    <row r="553" spans="1:23" ht="27.75" customHeight="1">
      <c r="A553" s="240" t="str">
        <f>IF(ISBLANK(D553)," ",486-COUNTBLANK($D$5:D553))</f>
        <v xml:space="preserve"> </v>
      </c>
      <c r="Q553" s="265"/>
      <c r="R553" s="265"/>
      <c r="S553" s="265"/>
      <c r="T553" s="265"/>
    </row>
    <row r="554" spans="1:23" ht="27.75" customHeight="1">
      <c r="A554" s="240" t="str">
        <f>IF(ISBLANK(D554)," ",487-COUNTBLANK($D$5:D554))</f>
        <v xml:space="preserve"> </v>
      </c>
      <c r="Q554" s="265"/>
      <c r="R554" s="265"/>
      <c r="S554" s="265"/>
      <c r="T554" s="265"/>
    </row>
    <row r="555" spans="1:23" ht="27.75" customHeight="1">
      <c r="A555" s="240" t="str">
        <f>IF(ISBLANK(D555)," ",488-COUNTBLANK($D$5:D555))</f>
        <v xml:space="preserve"> </v>
      </c>
      <c r="Q555" s="265"/>
      <c r="R555" s="265"/>
      <c r="S555" s="265"/>
      <c r="T555" s="265"/>
    </row>
    <row r="556" spans="1:23" ht="27.75" customHeight="1">
      <c r="A556" s="240" t="str">
        <f>IF(ISBLANK(D556)," ",489-COUNTBLANK($D$5:D556))</f>
        <v xml:space="preserve"> </v>
      </c>
      <c r="Q556" s="265"/>
      <c r="R556" s="265"/>
      <c r="S556" s="265"/>
      <c r="T556" s="265"/>
    </row>
    <row r="557" spans="1:23" ht="27.75" customHeight="1">
      <c r="A557" s="240" t="str">
        <f>IF(ISBLANK(D557)," ",490-COUNTBLANK($D$5:D557))</f>
        <v xml:space="preserve"> </v>
      </c>
      <c r="Q557" s="265"/>
      <c r="R557" s="265"/>
      <c r="S557" s="265"/>
      <c r="T557" s="265"/>
    </row>
    <row r="558" spans="1:23" ht="27.75" customHeight="1">
      <c r="A558" s="240" t="str">
        <f>IF(ISBLANK(D558)," ",491-COUNTBLANK($D$5:D558))</f>
        <v xml:space="preserve"> </v>
      </c>
      <c r="Q558" s="265"/>
      <c r="R558" s="265"/>
      <c r="S558" s="265"/>
      <c r="T558" s="265"/>
    </row>
    <row r="559" spans="1:23" ht="27.75" customHeight="1">
      <c r="A559" s="240" t="str">
        <f>IF(ISBLANK(D559)," ",492-COUNTBLANK($D$5:D559))</f>
        <v xml:space="preserve"> </v>
      </c>
      <c r="Q559" s="265"/>
      <c r="R559" s="265"/>
      <c r="S559" s="265"/>
      <c r="T559" s="265"/>
    </row>
    <row r="560" spans="1:23" ht="27.75" customHeight="1">
      <c r="A560" s="240" t="str">
        <f>IF(ISBLANK(D560)," ",493-COUNTBLANK($D$5:D560))</f>
        <v xml:space="preserve"> </v>
      </c>
      <c r="Q560" s="265"/>
      <c r="R560" s="265"/>
      <c r="S560" s="265"/>
      <c r="T560" s="265"/>
    </row>
    <row r="561" spans="1:23" ht="27.75" customHeight="1">
      <c r="A561" s="240" t="str">
        <f>IF(ISBLANK(D561)," ",494-COUNTBLANK($D$5:D561))</f>
        <v xml:space="preserve"> </v>
      </c>
      <c r="Q561" s="265"/>
      <c r="R561" s="265"/>
      <c r="S561" s="265"/>
      <c r="T561" s="265"/>
    </row>
    <row r="562" spans="1:23" ht="27.75" customHeight="1">
      <c r="A562" s="240" t="str">
        <f>IF(ISBLANK(D562)," ",495-COUNTBLANK($D$5:D562))</f>
        <v xml:space="preserve"> </v>
      </c>
      <c r="Q562" s="265"/>
      <c r="R562" s="265"/>
      <c r="S562" s="265"/>
      <c r="T562" s="265"/>
    </row>
    <row r="563" spans="1:23" ht="27.75" customHeight="1">
      <c r="A563" s="240" t="str">
        <f>IF(ISBLANK(D563)," ",496-COUNTBLANK($D$5:D563))</f>
        <v xml:space="preserve"> </v>
      </c>
      <c r="Q563" s="265"/>
      <c r="R563" s="265"/>
      <c r="S563" s="265"/>
      <c r="T563" s="265"/>
    </row>
    <row r="564" spans="1:23" ht="27.75" customHeight="1">
      <c r="A564" s="240" t="str">
        <f>IF(ISBLANK(D564)," ",497-COUNTBLANK($D$5:D564))</f>
        <v xml:space="preserve"> </v>
      </c>
      <c r="Q564" s="265"/>
      <c r="R564" s="265"/>
      <c r="S564" s="265"/>
      <c r="T564" s="265"/>
    </row>
    <row r="565" spans="1:23" ht="27.75" customHeight="1">
      <c r="A565" s="240" t="str">
        <f>IF(ISBLANK(D565)," ",498-COUNTBLANK($D$5:D565))</f>
        <v xml:space="preserve"> </v>
      </c>
      <c r="Q565" s="265"/>
      <c r="R565" s="265"/>
      <c r="S565" s="265"/>
      <c r="T565" s="265"/>
    </row>
    <row r="566" spans="1:23" ht="27.75" customHeight="1">
      <c r="A566" s="240" t="str">
        <f>IF(ISBLANK(D566)," ",499-COUNTBLANK($D$5:D566))</f>
        <v xml:space="preserve"> </v>
      </c>
      <c r="Q566" s="265"/>
      <c r="R566" s="265"/>
      <c r="S566" s="265"/>
      <c r="T566" s="265"/>
    </row>
    <row r="567" spans="1:23" ht="27.75" customHeight="1">
      <c r="A567" s="240" t="str">
        <f>IF(ISBLANK(D567)," ",500-COUNTBLANK($D$5:D567))</f>
        <v xml:space="preserve"> </v>
      </c>
      <c r="Q567" s="265"/>
      <c r="R567" s="265"/>
      <c r="S567" s="265"/>
      <c r="T567" s="265"/>
    </row>
    <row r="568" spans="1:23" ht="27.75" customHeight="1">
      <c r="A568" s="240" t="str">
        <f>IF(ISBLANK(D568)," ",501-COUNTBLANK($D$5:D568))</f>
        <v xml:space="preserve"> </v>
      </c>
      <c r="Q568" s="265"/>
      <c r="R568" s="265"/>
      <c r="S568" s="265"/>
      <c r="T568" s="267"/>
    </row>
    <row r="569" spans="1:23" ht="27.75" customHeight="1">
      <c r="A569" s="240" t="str">
        <f>IF(ISBLANK(D569)," ",502-COUNTBLANK($D$5:D569))</f>
        <v xml:space="preserve"> </v>
      </c>
      <c r="Q569" s="265"/>
      <c r="R569" s="265"/>
      <c r="S569" s="265"/>
      <c r="T569" s="267"/>
    </row>
    <row r="570" spans="1:23" ht="27.75" customHeight="1">
      <c r="A570" s="240" t="str">
        <f>IF(ISBLANK(D570)," ",503-COUNTBLANK($D$5:D570))</f>
        <v xml:space="preserve"> </v>
      </c>
      <c r="Q570" s="265"/>
      <c r="R570" s="265"/>
      <c r="S570" s="265"/>
      <c r="T570" s="267"/>
    </row>
    <row r="571" spans="1:23" ht="27.75" customHeight="1">
      <c r="A571" s="240" t="str">
        <f>IF(ISBLANK(D571)," ",505-COUNTBLANK($D$5:D571))</f>
        <v xml:space="preserve"> </v>
      </c>
      <c r="Q571" s="265"/>
      <c r="R571" s="265"/>
      <c r="S571" s="265"/>
      <c r="T571" s="284"/>
      <c r="U571" s="265"/>
      <c r="V571" s="265"/>
      <c r="W571" s="265"/>
    </row>
    <row r="572" spans="1:23" ht="27.75" customHeight="1">
      <c r="A572" s="240" t="str">
        <f>IF(ISBLANK(D572)," ",506-COUNTBLANK($D$5:D572))</f>
        <v xml:space="preserve"> </v>
      </c>
      <c r="Q572" s="265"/>
      <c r="R572" s="265"/>
      <c r="S572" s="265"/>
      <c r="T572" s="284"/>
      <c r="U572" s="265"/>
      <c r="V572" s="265"/>
      <c r="W572" s="265"/>
    </row>
    <row r="573" spans="1:23">
      <c r="A573" s="240" t="str">
        <f>IF(ISBLANK(D573)," ",507-COUNTBLANK($D$5:D573))</f>
        <v xml:space="preserve"> </v>
      </c>
      <c r="Q573" s="311"/>
      <c r="R573" s="311"/>
      <c r="S573" s="311"/>
      <c r="T573" s="311"/>
    </row>
    <row r="574" spans="1:23">
      <c r="A574" s="240" t="str">
        <f>IF(ISBLANK(D574)," ",508-COUNTBLANK($D$5:D574))</f>
        <v xml:space="preserve"> </v>
      </c>
      <c r="Q574" s="311"/>
      <c r="R574" s="311"/>
      <c r="S574" s="311"/>
      <c r="T574" s="311"/>
    </row>
    <row r="575" spans="1:23">
      <c r="A575" s="240" t="str">
        <f>IF(ISBLANK(D575)," ",509-COUNTBLANK($D$5:D575))</f>
        <v xml:space="preserve"> </v>
      </c>
    </row>
    <row r="576" spans="1:23">
      <c r="A576" s="240" t="str">
        <f>IF(ISBLANK(D576)," ",510-COUNTBLANK($D$5:D576))</f>
        <v xml:space="preserve"> </v>
      </c>
    </row>
    <row r="577" spans="1:1">
      <c r="A577" s="240" t="str">
        <f>IF(ISBLANK(D577)," ",511-COUNTBLANK($D$5:D577))</f>
        <v xml:space="preserve"> </v>
      </c>
    </row>
    <row r="578" spans="1:1">
      <c r="A578" s="240" t="str">
        <f>IF(ISBLANK(D578)," ",512-COUNTBLANK($D$5:D578))</f>
        <v xml:space="preserve"> </v>
      </c>
    </row>
    <row r="579" spans="1:1">
      <c r="A579" s="240" t="str">
        <f>IF(ISBLANK(D579)," ",513-COUNTBLANK($D$5:D579))</f>
        <v xml:space="preserve"> </v>
      </c>
    </row>
    <row r="580" spans="1:1">
      <c r="A580" s="240" t="str">
        <f>IF(ISBLANK(D580)," ",514-COUNTBLANK($D$5:D580))</f>
        <v xml:space="preserve"> </v>
      </c>
    </row>
    <row r="581" spans="1:1">
      <c r="A581" s="240" t="str">
        <f>IF(ISBLANK(D581)," ",515-COUNTBLANK($D$5:D581))</f>
        <v xml:space="preserve"> </v>
      </c>
    </row>
    <row r="582" spans="1:1">
      <c r="A582" s="240" t="str">
        <f>IF(ISBLANK(D582)," ",516-COUNTBLANK($D$5:D582))</f>
        <v xml:space="preserve"> </v>
      </c>
    </row>
    <row r="583" spans="1:1">
      <c r="A583" s="240" t="str">
        <f>IF(ISBLANK(D583)," ",517-COUNTBLANK($D$5:D583))</f>
        <v xml:space="preserve"> </v>
      </c>
    </row>
    <row r="584" spans="1:1">
      <c r="A584" s="240" t="str">
        <f>IF(ISBLANK(D584)," ",518-COUNTBLANK($D$5:D584))</f>
        <v xml:space="preserve"> </v>
      </c>
    </row>
    <row r="585" spans="1:1">
      <c r="A585" s="240" t="str">
        <f>IF(ISBLANK(D585)," ",519-COUNTBLANK($D$5:D585))</f>
        <v xml:space="preserve"> </v>
      </c>
    </row>
    <row r="586" spans="1:1">
      <c r="A586" s="240" t="str">
        <f>IF(ISBLANK(D586)," ",520-COUNTBLANK($D$5:D586))</f>
        <v xml:space="preserve"> </v>
      </c>
    </row>
    <row r="587" spans="1:1">
      <c r="A587" s="240" t="str">
        <f>IF(ISBLANK(D587)," ",521-COUNTBLANK($D$5:D587))</f>
        <v xml:space="preserve"> </v>
      </c>
    </row>
    <row r="588" spans="1:1">
      <c r="A588" s="240" t="str">
        <f>IF(ISBLANK(D588)," ",522-COUNTBLANK($D$5:D588))</f>
        <v xml:space="preserve"> </v>
      </c>
    </row>
    <row r="589" spans="1:1">
      <c r="A589" s="240" t="str">
        <f>IF(ISBLANK(D589)," ",523-COUNTBLANK($D$5:D589))</f>
        <v xml:space="preserve"> </v>
      </c>
    </row>
    <row r="590" spans="1:1">
      <c r="A590" s="240" t="str">
        <f>IF(ISBLANK(D590)," ",524-COUNTBLANK($D$5:D590))</f>
        <v xml:space="preserve"> </v>
      </c>
    </row>
  </sheetData>
  <mergeCells count="6">
    <mergeCell ref="B3:C3"/>
    <mergeCell ref="F3:H3"/>
    <mergeCell ref="D3:D4"/>
    <mergeCell ref="I3:J3"/>
    <mergeCell ref="P3:P4"/>
    <mergeCell ref="K3:L3"/>
  </mergeCells>
  <phoneticPr fontId="12" type="noConversion"/>
  <printOptions horizontalCentered="1"/>
  <pageMargins left="0.19685039370078741" right="0.19685039370078741" top="0.39370078740157483" bottom="0.59055118110236227" header="0" footer="0.19685039370078741"/>
  <pageSetup paperSize="9" scale="90" orientation="landscape" horizontalDpi="4294967293" r:id="rId1"/>
  <headerFooter alignWithMargins="0"/>
  <ignoredErrors>
    <ignoredError sqref="B121 B114 B107:B108 B86 B55 B3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7"/>
  <sheetViews>
    <sheetView showGridLines="0" showZeros="0" view="pageBreakPreview" zoomScaleNormal="40" zoomScaleSheetLayoutView="100" workbookViewId="0">
      <selection activeCell="V39" sqref="V39"/>
    </sheetView>
  </sheetViews>
  <sheetFormatPr defaultRowHeight="11.25"/>
  <cols>
    <col min="1" max="1" width="4.33203125" style="240" customWidth="1"/>
    <col min="2" max="3" width="6.33203125" style="307" customWidth="1"/>
    <col min="4" max="4" width="3.77734375" style="240" customWidth="1"/>
    <col min="5" max="5" width="7.77734375" style="308" customWidth="1"/>
    <col min="6" max="6" width="7.77734375" style="309" customWidth="1"/>
    <col min="7" max="7" width="8.33203125" style="310" customWidth="1"/>
    <col min="8" max="8" width="17.44140625" style="240" customWidth="1"/>
    <col min="9" max="9" width="6.77734375" style="240" customWidth="1"/>
    <col min="10" max="10" width="20.77734375" style="311" customWidth="1"/>
    <col min="11" max="11" width="9.77734375" style="313" customWidth="1"/>
    <col min="12" max="17" width="9.77734375" style="240" customWidth="1"/>
    <col min="18" max="18" width="10.77734375" style="240" customWidth="1"/>
    <col min="19" max="16384" width="8.88671875" style="240"/>
  </cols>
  <sheetData>
    <row r="1" spans="1:18" ht="30" customHeight="1">
      <c r="A1" s="231" t="s">
        <v>58</v>
      </c>
      <c r="B1" s="232"/>
      <c r="C1" s="232"/>
      <c r="D1" s="233"/>
      <c r="E1" s="234"/>
      <c r="F1" s="235"/>
      <c r="G1" s="233"/>
      <c r="H1" s="233"/>
      <c r="I1" s="236"/>
      <c r="J1" s="237"/>
      <c r="K1" s="238"/>
      <c r="L1" s="239"/>
      <c r="M1" s="239"/>
      <c r="N1" s="239"/>
      <c r="O1" s="239"/>
      <c r="P1" s="239"/>
      <c r="Q1" s="239"/>
      <c r="R1" s="239"/>
    </row>
    <row r="2" spans="1:18" ht="19.899999999999999" customHeight="1">
      <c r="A2" s="241"/>
      <c r="B2" s="242"/>
      <c r="C2" s="242"/>
      <c r="D2" s="239"/>
      <c r="E2" s="243"/>
      <c r="F2" s="244"/>
      <c r="G2" s="245"/>
      <c r="H2" s="246"/>
      <c r="I2" s="249"/>
      <c r="J2" s="245"/>
      <c r="K2" s="238"/>
      <c r="L2" s="239"/>
      <c r="M2" s="239"/>
      <c r="N2" s="239"/>
      <c r="O2" s="239"/>
      <c r="P2" s="239"/>
      <c r="Q2" s="239"/>
      <c r="R2" s="239"/>
    </row>
    <row r="3" spans="1:18" ht="10.15" customHeight="1">
      <c r="A3" s="250"/>
      <c r="B3" s="251"/>
      <c r="C3" s="251"/>
      <c r="D3" s="252"/>
      <c r="E3" s="253"/>
      <c r="F3" s="254"/>
      <c r="G3" s="255"/>
      <c r="H3" s="252"/>
      <c r="I3" s="256"/>
      <c r="J3" s="257"/>
      <c r="K3" s="238"/>
      <c r="L3" s="239"/>
      <c r="M3" s="239"/>
      <c r="N3" s="239"/>
      <c r="O3" s="239"/>
      <c r="P3" s="239"/>
      <c r="Q3" s="239"/>
      <c r="R3" s="239"/>
    </row>
    <row r="4" spans="1:18" ht="18" customHeight="1">
      <c r="A4" s="107" t="s">
        <v>39</v>
      </c>
      <c r="B4" s="499" t="s">
        <v>40</v>
      </c>
      <c r="C4" s="500"/>
      <c r="D4" s="501" t="s">
        <v>41</v>
      </c>
      <c r="E4" s="206" t="s">
        <v>42</v>
      </c>
      <c r="F4" s="337" t="s">
        <v>43</v>
      </c>
      <c r="G4" s="499" t="s">
        <v>131</v>
      </c>
      <c r="H4" s="500"/>
      <c r="I4" s="503" t="s">
        <v>31</v>
      </c>
      <c r="J4" s="495" t="s">
        <v>31</v>
      </c>
      <c r="K4" s="497" t="s">
        <v>71</v>
      </c>
      <c r="L4" s="239"/>
      <c r="M4" s="258"/>
      <c r="N4" s="258"/>
      <c r="O4" s="258"/>
      <c r="P4" s="258"/>
      <c r="Q4" s="258"/>
      <c r="R4" s="258"/>
    </row>
    <row r="5" spans="1:18" ht="18" customHeight="1">
      <c r="A5" s="62" t="s">
        <v>47</v>
      </c>
      <c r="B5" s="65" t="s">
        <v>136</v>
      </c>
      <c r="C5" s="65" t="s">
        <v>137</v>
      </c>
      <c r="D5" s="502"/>
      <c r="E5" s="208" t="s">
        <v>59</v>
      </c>
      <c r="F5" s="65" t="s">
        <v>129</v>
      </c>
      <c r="G5" s="65" t="s">
        <v>49</v>
      </c>
      <c r="H5" s="338" t="s">
        <v>50</v>
      </c>
      <c r="I5" s="504"/>
      <c r="J5" s="496"/>
      <c r="K5" s="498"/>
      <c r="L5" s="258"/>
      <c r="M5" s="259"/>
      <c r="N5" s="259"/>
      <c r="O5" s="259"/>
      <c r="P5" s="259"/>
      <c r="Q5" s="259"/>
      <c r="R5" s="239"/>
    </row>
    <row r="6" spans="1:18" ht="18" customHeight="1">
      <c r="A6" s="260">
        <v>1</v>
      </c>
      <c r="B6" s="200" t="s">
        <v>1122</v>
      </c>
      <c r="C6" s="200"/>
      <c r="D6" s="200" t="s">
        <v>459</v>
      </c>
      <c r="E6" s="261">
        <v>80</v>
      </c>
      <c r="F6" s="261">
        <v>80</v>
      </c>
      <c r="G6" s="201" t="s">
        <v>451</v>
      </c>
      <c r="H6" s="201" t="s">
        <v>452</v>
      </c>
      <c r="I6" s="262"/>
      <c r="J6" s="263" t="str">
        <f t="shared" ref="J6:J37" si="0">CONCATENATE(D6,G6)</f>
        <v>대공</v>
      </c>
      <c r="K6" s="264">
        <v>11900</v>
      </c>
      <c r="L6" s="265"/>
      <c r="M6" s="265"/>
      <c r="N6" s="265"/>
      <c r="O6" s="265"/>
      <c r="P6" s="265"/>
      <c r="Q6" s="265"/>
      <c r="R6" s="265"/>
    </row>
    <row r="7" spans="1:18" ht="18" customHeight="1">
      <c r="A7" s="278">
        <v>2</v>
      </c>
      <c r="B7" s="202" t="s">
        <v>1123</v>
      </c>
      <c r="C7" s="202"/>
      <c r="D7" s="202" t="s">
        <v>459</v>
      </c>
      <c r="E7" s="207">
        <v>164</v>
      </c>
      <c r="F7" s="207">
        <v>165</v>
      </c>
      <c r="G7" s="203" t="s">
        <v>451</v>
      </c>
      <c r="H7" s="203" t="s">
        <v>452</v>
      </c>
      <c r="I7" s="205"/>
      <c r="J7" s="263" t="str">
        <f t="shared" si="0"/>
        <v>대공</v>
      </c>
      <c r="K7" s="264">
        <v>5350</v>
      </c>
      <c r="L7" s="265"/>
      <c r="M7" s="265"/>
      <c r="N7" s="265"/>
      <c r="O7" s="265"/>
      <c r="P7" s="265"/>
      <c r="Q7" s="265"/>
      <c r="R7" s="265"/>
    </row>
    <row r="8" spans="1:18" ht="18" customHeight="1">
      <c r="A8" s="278">
        <v>3</v>
      </c>
      <c r="B8" s="202" t="s">
        <v>1124</v>
      </c>
      <c r="C8" s="202"/>
      <c r="D8" s="202" t="s">
        <v>8</v>
      </c>
      <c r="E8" s="207">
        <v>91</v>
      </c>
      <c r="F8" s="207">
        <v>91</v>
      </c>
      <c r="G8" s="203" t="s">
        <v>451</v>
      </c>
      <c r="H8" s="203" t="s">
        <v>452</v>
      </c>
      <c r="I8" s="205"/>
      <c r="J8" s="263" t="str">
        <f t="shared" si="0"/>
        <v>답공</v>
      </c>
      <c r="K8" s="264">
        <v>7440</v>
      </c>
      <c r="L8" s="265"/>
      <c r="M8" s="265"/>
      <c r="N8" s="265"/>
      <c r="O8" s="265"/>
      <c r="P8" s="265"/>
      <c r="Q8" s="265"/>
      <c r="R8" s="265"/>
    </row>
    <row r="9" spans="1:18" ht="18" customHeight="1">
      <c r="A9" s="278">
        <v>4</v>
      </c>
      <c r="B9" s="202" t="s">
        <v>1125</v>
      </c>
      <c r="C9" s="202"/>
      <c r="D9" s="202" t="s">
        <v>93</v>
      </c>
      <c r="E9" s="207">
        <v>197</v>
      </c>
      <c r="F9" s="207">
        <v>197</v>
      </c>
      <c r="G9" s="203" t="s">
        <v>451</v>
      </c>
      <c r="H9" s="203" t="s">
        <v>452</v>
      </c>
      <c r="I9" s="205"/>
      <c r="J9" s="263" t="str">
        <f t="shared" si="0"/>
        <v>임공</v>
      </c>
      <c r="K9" s="264">
        <v>5350</v>
      </c>
      <c r="L9" s="265"/>
      <c r="M9" s="265"/>
      <c r="N9" s="265"/>
      <c r="O9" s="265"/>
      <c r="P9" s="265"/>
      <c r="Q9" s="265"/>
      <c r="R9" s="265"/>
    </row>
    <row r="10" spans="1:18" ht="18" customHeight="1">
      <c r="A10" s="278">
        <v>5</v>
      </c>
      <c r="B10" s="202" t="s">
        <v>1126</v>
      </c>
      <c r="C10" s="202"/>
      <c r="D10" s="202" t="s">
        <v>93</v>
      </c>
      <c r="E10" s="207">
        <v>1827</v>
      </c>
      <c r="F10" s="207">
        <v>1827</v>
      </c>
      <c r="G10" s="203" t="s">
        <v>451</v>
      </c>
      <c r="H10" s="203" t="s">
        <v>452</v>
      </c>
      <c r="I10" s="205"/>
      <c r="J10" s="263" t="str">
        <f t="shared" si="0"/>
        <v>임공</v>
      </c>
      <c r="K10" s="264">
        <v>5100</v>
      </c>
      <c r="L10" s="265"/>
      <c r="M10" s="265"/>
      <c r="N10" s="265"/>
      <c r="O10" s="265"/>
      <c r="P10" s="265"/>
      <c r="Q10" s="265"/>
      <c r="R10" s="265"/>
    </row>
    <row r="11" spans="1:18" ht="18" customHeight="1">
      <c r="A11" s="278">
        <v>6</v>
      </c>
      <c r="B11" s="202" t="s">
        <v>1127</v>
      </c>
      <c r="C11" s="202"/>
      <c r="D11" s="202" t="s">
        <v>7</v>
      </c>
      <c r="E11" s="207">
        <v>1105</v>
      </c>
      <c r="F11" s="207">
        <v>1105</v>
      </c>
      <c r="G11" s="203" t="s">
        <v>451</v>
      </c>
      <c r="H11" s="203" t="s">
        <v>452</v>
      </c>
      <c r="I11" s="205"/>
      <c r="J11" s="263" t="str">
        <f t="shared" si="0"/>
        <v>전공</v>
      </c>
      <c r="K11" s="266">
        <v>5350</v>
      </c>
      <c r="L11" s="265"/>
      <c r="M11" s="265"/>
      <c r="N11" s="265"/>
      <c r="O11" s="265"/>
      <c r="P11" s="265"/>
      <c r="Q11" s="265"/>
      <c r="R11" s="267"/>
    </row>
    <row r="12" spans="1:18" ht="18" customHeight="1">
      <c r="A12" s="278">
        <v>7</v>
      </c>
      <c r="B12" s="202" t="s">
        <v>1128</v>
      </c>
      <c r="C12" s="202"/>
      <c r="D12" s="202" t="s">
        <v>93</v>
      </c>
      <c r="E12" s="207">
        <v>1808</v>
      </c>
      <c r="F12" s="207">
        <v>1808</v>
      </c>
      <c r="G12" s="203" t="s">
        <v>451</v>
      </c>
      <c r="H12" s="203" t="s">
        <v>452</v>
      </c>
      <c r="I12" s="205"/>
      <c r="J12" s="263" t="str">
        <f t="shared" si="0"/>
        <v>임공</v>
      </c>
      <c r="K12" s="266">
        <v>5510</v>
      </c>
      <c r="L12" s="265"/>
      <c r="M12" s="265"/>
      <c r="N12" s="265"/>
      <c r="O12" s="265"/>
      <c r="P12" s="265"/>
      <c r="Q12" s="265"/>
      <c r="R12" s="267"/>
    </row>
    <row r="13" spans="1:18" ht="18" customHeight="1">
      <c r="A13" s="278">
        <v>8</v>
      </c>
      <c r="B13" s="202" t="s">
        <v>1129</v>
      </c>
      <c r="C13" s="202"/>
      <c r="D13" s="202" t="s">
        <v>93</v>
      </c>
      <c r="E13" s="207">
        <v>6172</v>
      </c>
      <c r="F13" s="207">
        <v>6172</v>
      </c>
      <c r="G13" s="203" t="s">
        <v>451</v>
      </c>
      <c r="H13" s="203" t="s">
        <v>452</v>
      </c>
      <c r="I13" s="205"/>
      <c r="J13" s="263" t="str">
        <f t="shared" si="0"/>
        <v>임공</v>
      </c>
      <c r="K13" s="266">
        <v>5200</v>
      </c>
      <c r="L13" s="265"/>
      <c r="M13" s="265"/>
      <c r="N13" s="265"/>
      <c r="O13" s="265"/>
      <c r="P13" s="265"/>
      <c r="Q13" s="265"/>
      <c r="R13" s="267"/>
    </row>
    <row r="14" spans="1:18" ht="18" customHeight="1">
      <c r="A14" s="278">
        <v>9</v>
      </c>
      <c r="B14" s="202" t="s">
        <v>1130</v>
      </c>
      <c r="C14" s="202"/>
      <c r="D14" s="202" t="s">
        <v>93</v>
      </c>
      <c r="E14" s="207">
        <v>663</v>
      </c>
      <c r="F14" s="207">
        <v>663</v>
      </c>
      <c r="G14" s="203" t="s">
        <v>451</v>
      </c>
      <c r="H14" s="203" t="s">
        <v>452</v>
      </c>
      <c r="I14" s="205"/>
      <c r="J14" s="263" t="str">
        <f t="shared" si="0"/>
        <v>임공</v>
      </c>
      <c r="K14" s="266">
        <v>5510</v>
      </c>
      <c r="L14" s="265"/>
      <c r="M14" s="265"/>
      <c r="N14" s="265"/>
      <c r="O14" s="265"/>
      <c r="P14" s="265"/>
      <c r="Q14" s="265"/>
      <c r="R14" s="267"/>
    </row>
    <row r="15" spans="1:18" ht="18" customHeight="1">
      <c r="A15" s="278">
        <v>10</v>
      </c>
      <c r="B15" s="202" t="s">
        <v>1131</v>
      </c>
      <c r="C15" s="202"/>
      <c r="D15" s="202" t="s">
        <v>93</v>
      </c>
      <c r="E15" s="207">
        <v>153</v>
      </c>
      <c r="F15" s="207">
        <v>153</v>
      </c>
      <c r="G15" s="203" t="s">
        <v>451</v>
      </c>
      <c r="H15" s="203" t="s">
        <v>452</v>
      </c>
      <c r="I15" s="205"/>
      <c r="J15" s="263" t="str">
        <f t="shared" si="0"/>
        <v>임공</v>
      </c>
      <c r="K15" s="266">
        <v>5200</v>
      </c>
      <c r="L15" s="265"/>
      <c r="M15" s="265"/>
      <c r="N15" s="265"/>
      <c r="O15" s="265"/>
      <c r="P15" s="265"/>
      <c r="Q15" s="265"/>
      <c r="R15" s="267"/>
    </row>
    <row r="16" spans="1:18" ht="18" customHeight="1">
      <c r="A16" s="278">
        <v>11</v>
      </c>
      <c r="B16" s="202" t="s">
        <v>1132</v>
      </c>
      <c r="C16" s="202"/>
      <c r="D16" s="202" t="s">
        <v>93</v>
      </c>
      <c r="E16" s="207">
        <v>22</v>
      </c>
      <c r="F16" s="207">
        <v>22</v>
      </c>
      <c r="G16" s="203" t="s">
        <v>451</v>
      </c>
      <c r="H16" s="203" t="s">
        <v>452</v>
      </c>
      <c r="I16" s="205"/>
      <c r="J16" s="263" t="str">
        <f t="shared" si="0"/>
        <v>임공</v>
      </c>
      <c r="K16" s="266">
        <v>6420</v>
      </c>
      <c r="L16" s="265"/>
      <c r="M16" s="265"/>
      <c r="N16" s="265"/>
      <c r="O16" s="265"/>
      <c r="P16" s="265"/>
      <c r="Q16" s="265"/>
      <c r="R16" s="267"/>
    </row>
    <row r="17" spans="1:18" ht="18" customHeight="1">
      <c r="A17" s="278">
        <v>12</v>
      </c>
      <c r="B17" s="202" t="s">
        <v>1133</v>
      </c>
      <c r="C17" s="202"/>
      <c r="D17" s="202" t="s">
        <v>93</v>
      </c>
      <c r="E17" s="207">
        <v>244</v>
      </c>
      <c r="F17" s="207">
        <v>244</v>
      </c>
      <c r="G17" s="203" t="s">
        <v>451</v>
      </c>
      <c r="H17" s="203" t="s">
        <v>452</v>
      </c>
      <c r="I17" s="205"/>
      <c r="J17" s="263" t="str">
        <f t="shared" si="0"/>
        <v>임공</v>
      </c>
      <c r="K17" s="266">
        <v>9130</v>
      </c>
      <c r="L17" s="265"/>
      <c r="M17" s="265"/>
      <c r="N17" s="265"/>
      <c r="O17" s="265"/>
      <c r="P17" s="265"/>
      <c r="Q17" s="265"/>
      <c r="R17" s="267"/>
    </row>
    <row r="18" spans="1:18" ht="18" customHeight="1">
      <c r="A18" s="278">
        <v>13</v>
      </c>
      <c r="B18" s="202" t="s">
        <v>1134</v>
      </c>
      <c r="C18" s="202"/>
      <c r="D18" s="202" t="s">
        <v>93</v>
      </c>
      <c r="E18" s="207">
        <v>394</v>
      </c>
      <c r="F18" s="207">
        <v>394</v>
      </c>
      <c r="G18" s="203" t="s">
        <v>451</v>
      </c>
      <c r="H18" s="203" t="s">
        <v>452</v>
      </c>
      <c r="I18" s="205"/>
      <c r="J18" s="263" t="str">
        <f t="shared" si="0"/>
        <v>임공</v>
      </c>
      <c r="K18" s="266">
        <v>5100</v>
      </c>
      <c r="L18" s="265"/>
      <c r="M18" s="265"/>
      <c r="N18" s="265"/>
      <c r="O18" s="265"/>
      <c r="P18" s="265"/>
      <c r="Q18" s="265"/>
      <c r="R18" s="267"/>
    </row>
    <row r="19" spans="1:18" ht="18" customHeight="1">
      <c r="A19" s="278">
        <v>14</v>
      </c>
      <c r="B19" s="202" t="s">
        <v>1135</v>
      </c>
      <c r="C19" s="202"/>
      <c r="D19" s="202" t="s">
        <v>93</v>
      </c>
      <c r="E19" s="207">
        <v>532</v>
      </c>
      <c r="F19" s="207">
        <v>532</v>
      </c>
      <c r="G19" s="203" t="s">
        <v>451</v>
      </c>
      <c r="H19" s="203" t="s">
        <v>452</v>
      </c>
      <c r="I19" s="205"/>
      <c r="J19" s="263" t="str">
        <f t="shared" si="0"/>
        <v>임공</v>
      </c>
      <c r="K19" s="266">
        <v>7720</v>
      </c>
      <c r="L19" s="265"/>
      <c r="M19" s="265"/>
      <c r="N19" s="265"/>
      <c r="O19" s="265"/>
      <c r="P19" s="265"/>
      <c r="Q19" s="265"/>
      <c r="R19" s="267"/>
    </row>
    <row r="20" spans="1:18" ht="18" customHeight="1">
      <c r="A20" s="278">
        <v>15</v>
      </c>
      <c r="B20" s="202" t="s">
        <v>1136</v>
      </c>
      <c r="C20" s="202"/>
      <c r="D20" s="202" t="s">
        <v>93</v>
      </c>
      <c r="E20" s="207">
        <v>150</v>
      </c>
      <c r="F20" s="207">
        <v>150</v>
      </c>
      <c r="G20" s="203" t="s">
        <v>451</v>
      </c>
      <c r="H20" s="203" t="s">
        <v>452</v>
      </c>
      <c r="I20" s="205"/>
      <c r="J20" s="263" t="str">
        <f t="shared" si="0"/>
        <v>임공</v>
      </c>
      <c r="K20" s="266">
        <v>5250</v>
      </c>
      <c r="L20" s="265"/>
      <c r="M20" s="265"/>
      <c r="N20" s="265"/>
      <c r="O20" s="265"/>
      <c r="P20" s="265"/>
      <c r="Q20" s="265"/>
      <c r="R20" s="267"/>
    </row>
    <row r="21" spans="1:18" ht="18" customHeight="1">
      <c r="A21" s="278">
        <v>16</v>
      </c>
      <c r="B21" s="202" t="s">
        <v>1137</v>
      </c>
      <c r="C21" s="202"/>
      <c r="D21" s="202" t="s">
        <v>93</v>
      </c>
      <c r="E21" s="207">
        <v>4079</v>
      </c>
      <c r="F21" s="207">
        <v>4079</v>
      </c>
      <c r="G21" s="203" t="s">
        <v>451</v>
      </c>
      <c r="H21" s="203" t="s">
        <v>452</v>
      </c>
      <c r="I21" s="205"/>
      <c r="J21" s="263" t="str">
        <f t="shared" si="0"/>
        <v>임공</v>
      </c>
      <c r="K21" s="266">
        <v>5200</v>
      </c>
      <c r="L21" s="265"/>
      <c r="M21" s="265"/>
      <c r="N21" s="265"/>
      <c r="O21" s="265"/>
      <c r="P21" s="265"/>
      <c r="Q21" s="265"/>
      <c r="R21" s="267"/>
    </row>
    <row r="22" spans="1:18" ht="18" customHeight="1">
      <c r="A22" s="278">
        <v>17</v>
      </c>
      <c r="B22" s="202" t="s">
        <v>1138</v>
      </c>
      <c r="C22" s="202"/>
      <c r="D22" s="202" t="s">
        <v>8</v>
      </c>
      <c r="E22" s="207">
        <v>10</v>
      </c>
      <c r="F22" s="207">
        <v>10</v>
      </c>
      <c r="G22" s="203" t="s">
        <v>451</v>
      </c>
      <c r="H22" s="203" t="s">
        <v>452</v>
      </c>
      <c r="I22" s="269"/>
      <c r="J22" s="263" t="str">
        <f t="shared" si="0"/>
        <v>답공</v>
      </c>
      <c r="K22" s="266">
        <v>5200</v>
      </c>
      <c r="L22" s="265"/>
      <c r="M22" s="265"/>
      <c r="N22" s="265"/>
      <c r="O22" s="265"/>
      <c r="P22" s="265"/>
      <c r="Q22" s="265"/>
      <c r="R22" s="267"/>
    </row>
    <row r="23" spans="1:18" ht="18" customHeight="1">
      <c r="A23" s="278">
        <v>18</v>
      </c>
      <c r="B23" s="202" t="s">
        <v>1139</v>
      </c>
      <c r="C23" s="202"/>
      <c r="D23" s="202" t="s">
        <v>93</v>
      </c>
      <c r="E23" s="207">
        <v>7876</v>
      </c>
      <c r="F23" s="207">
        <v>7876</v>
      </c>
      <c r="G23" s="203" t="s">
        <v>451</v>
      </c>
      <c r="H23" s="203" t="s">
        <v>452</v>
      </c>
      <c r="I23" s="205"/>
      <c r="J23" s="263" t="str">
        <f t="shared" si="0"/>
        <v>임공</v>
      </c>
      <c r="K23" s="266">
        <v>5100</v>
      </c>
      <c r="L23" s="265"/>
      <c r="M23" s="265"/>
      <c r="N23" s="265"/>
      <c r="O23" s="265"/>
      <c r="P23" s="265"/>
      <c r="Q23" s="265"/>
      <c r="R23" s="267"/>
    </row>
    <row r="24" spans="1:18" ht="18" customHeight="1">
      <c r="A24" s="278">
        <v>19</v>
      </c>
      <c r="B24" s="202" t="s">
        <v>1140</v>
      </c>
      <c r="C24" s="202"/>
      <c r="D24" s="202" t="s">
        <v>93</v>
      </c>
      <c r="E24" s="207">
        <v>132</v>
      </c>
      <c r="F24" s="207">
        <v>132</v>
      </c>
      <c r="G24" s="203" t="s">
        <v>451</v>
      </c>
      <c r="H24" s="203" t="s">
        <v>452</v>
      </c>
      <c r="I24" s="205"/>
      <c r="J24" s="263" t="str">
        <f t="shared" si="0"/>
        <v>임공</v>
      </c>
      <c r="K24" s="266">
        <v>5200</v>
      </c>
      <c r="L24" s="265"/>
      <c r="M24" s="265"/>
      <c r="N24" s="265"/>
      <c r="O24" s="265"/>
      <c r="P24" s="265"/>
      <c r="Q24" s="265"/>
      <c r="R24" s="267"/>
    </row>
    <row r="25" spans="1:18" ht="18" customHeight="1">
      <c r="A25" s="204">
        <v>20</v>
      </c>
      <c r="B25" s="202" t="s">
        <v>1141</v>
      </c>
      <c r="C25" s="202"/>
      <c r="D25" s="202" t="s">
        <v>93</v>
      </c>
      <c r="E25" s="207">
        <v>2635</v>
      </c>
      <c r="F25" s="207">
        <v>2635</v>
      </c>
      <c r="G25" s="203" t="s">
        <v>451</v>
      </c>
      <c r="H25" s="203" t="s">
        <v>452</v>
      </c>
      <c r="I25" s="205"/>
      <c r="J25" s="263" t="str">
        <f t="shared" si="0"/>
        <v>임공</v>
      </c>
      <c r="K25" s="266">
        <v>5200</v>
      </c>
      <c r="L25" s="265"/>
      <c r="M25" s="265"/>
      <c r="N25" s="265"/>
      <c r="O25" s="265"/>
      <c r="P25" s="265"/>
      <c r="Q25" s="265"/>
      <c r="R25" s="267"/>
    </row>
    <row r="26" spans="1:18" ht="18" customHeight="1">
      <c r="A26" s="204">
        <v>21</v>
      </c>
      <c r="B26" s="202" t="s">
        <v>1142</v>
      </c>
      <c r="C26" s="202"/>
      <c r="D26" s="202" t="s">
        <v>93</v>
      </c>
      <c r="E26" s="207">
        <v>4039</v>
      </c>
      <c r="F26" s="207">
        <v>4039</v>
      </c>
      <c r="G26" s="203" t="s">
        <v>451</v>
      </c>
      <c r="H26" s="203" t="s">
        <v>452</v>
      </c>
      <c r="I26" s="205"/>
      <c r="J26" s="263" t="str">
        <f t="shared" si="0"/>
        <v>임공</v>
      </c>
      <c r="K26" s="266">
        <v>5200</v>
      </c>
      <c r="L26" s="265"/>
      <c r="M26" s="265"/>
      <c r="N26" s="265"/>
      <c r="O26" s="265"/>
      <c r="P26" s="265"/>
      <c r="Q26" s="265"/>
      <c r="R26" s="267"/>
    </row>
    <row r="27" spans="1:18" ht="18" customHeight="1">
      <c r="A27" s="278">
        <v>22</v>
      </c>
      <c r="B27" s="202" t="s">
        <v>1143</v>
      </c>
      <c r="C27" s="202"/>
      <c r="D27" s="202" t="s">
        <v>93</v>
      </c>
      <c r="E27" s="207">
        <v>368</v>
      </c>
      <c r="F27" s="207">
        <v>368</v>
      </c>
      <c r="G27" s="203" t="s">
        <v>451</v>
      </c>
      <c r="H27" s="203" t="s">
        <v>452</v>
      </c>
      <c r="I27" s="205"/>
      <c r="J27" s="263" t="str">
        <f t="shared" si="0"/>
        <v>임공</v>
      </c>
      <c r="K27" s="266">
        <v>6600</v>
      </c>
      <c r="L27" s="265"/>
      <c r="M27" s="265"/>
      <c r="N27" s="265"/>
      <c r="O27" s="265"/>
      <c r="P27" s="265"/>
      <c r="Q27" s="265"/>
      <c r="R27" s="267"/>
    </row>
    <row r="28" spans="1:18" s="333" customFormat="1" ht="18" customHeight="1">
      <c r="A28" s="278">
        <v>23</v>
      </c>
      <c r="B28" s="202" t="s">
        <v>1144</v>
      </c>
      <c r="C28" s="202"/>
      <c r="D28" s="202" t="s">
        <v>93</v>
      </c>
      <c r="E28" s="207">
        <v>1251</v>
      </c>
      <c r="F28" s="207">
        <v>1251</v>
      </c>
      <c r="G28" s="203" t="s">
        <v>451</v>
      </c>
      <c r="H28" s="203" t="s">
        <v>452</v>
      </c>
      <c r="I28" s="205"/>
      <c r="J28" s="263" t="str">
        <f t="shared" si="0"/>
        <v>임공</v>
      </c>
      <c r="K28" s="330">
        <v>4980</v>
      </c>
      <c r="L28" s="331"/>
      <c r="M28" s="331"/>
      <c r="N28" s="331"/>
      <c r="O28" s="331"/>
      <c r="P28" s="331"/>
      <c r="Q28" s="331"/>
      <c r="R28" s="332"/>
    </row>
    <row r="29" spans="1:18" ht="18" customHeight="1">
      <c r="A29" s="278">
        <v>24</v>
      </c>
      <c r="B29" s="202" t="s">
        <v>1145</v>
      </c>
      <c r="C29" s="202"/>
      <c r="D29" s="202" t="s">
        <v>93</v>
      </c>
      <c r="E29" s="207">
        <v>219</v>
      </c>
      <c r="F29" s="207">
        <v>219</v>
      </c>
      <c r="G29" s="203" t="s">
        <v>1269</v>
      </c>
      <c r="H29" s="203" t="s">
        <v>1270</v>
      </c>
      <c r="I29" s="205"/>
      <c r="J29" s="263" t="str">
        <f t="shared" si="0"/>
        <v>임손영자
 외1인</v>
      </c>
      <c r="K29" s="266">
        <v>7130</v>
      </c>
      <c r="L29" s="265"/>
      <c r="M29" s="265"/>
      <c r="N29" s="265"/>
      <c r="O29" s="265"/>
      <c r="P29" s="265"/>
      <c r="Q29" s="265"/>
      <c r="R29" s="267"/>
    </row>
    <row r="30" spans="1:18" ht="18" customHeight="1">
      <c r="A30" s="278">
        <v>25</v>
      </c>
      <c r="B30" s="202" t="s">
        <v>1146</v>
      </c>
      <c r="C30" s="202"/>
      <c r="D30" s="202" t="s">
        <v>7</v>
      </c>
      <c r="E30" s="207">
        <v>62</v>
      </c>
      <c r="F30" s="207">
        <v>62</v>
      </c>
      <c r="G30" s="203" t="s">
        <v>451</v>
      </c>
      <c r="H30" s="203" t="s">
        <v>452</v>
      </c>
      <c r="I30" s="205"/>
      <c r="J30" s="263" t="str">
        <f t="shared" si="0"/>
        <v>전공</v>
      </c>
      <c r="K30" s="266">
        <v>8200</v>
      </c>
      <c r="L30" s="265"/>
      <c r="M30" s="265"/>
      <c r="N30" s="265"/>
      <c r="O30" s="265"/>
      <c r="P30" s="265"/>
      <c r="Q30" s="265"/>
      <c r="R30" s="267"/>
    </row>
    <row r="31" spans="1:18" ht="18" customHeight="1">
      <c r="A31" s="278">
        <v>26</v>
      </c>
      <c r="B31" s="202" t="s">
        <v>1147</v>
      </c>
      <c r="C31" s="202"/>
      <c r="D31" s="202" t="s">
        <v>93</v>
      </c>
      <c r="E31" s="207">
        <v>4119</v>
      </c>
      <c r="F31" s="207">
        <v>2505</v>
      </c>
      <c r="G31" s="203" t="s">
        <v>1271</v>
      </c>
      <c r="H31" s="203" t="s">
        <v>1270</v>
      </c>
      <c r="I31" s="205"/>
      <c r="J31" s="263" t="str">
        <f t="shared" si="0"/>
        <v>임손영자 
외1인</v>
      </c>
      <c r="K31" s="266">
        <v>7600</v>
      </c>
      <c r="L31" s="265"/>
      <c r="M31" s="265"/>
      <c r="N31" s="265"/>
      <c r="O31" s="265"/>
      <c r="P31" s="265"/>
      <c r="Q31" s="265"/>
      <c r="R31" s="267"/>
    </row>
    <row r="32" spans="1:18" ht="18" customHeight="1">
      <c r="A32" s="278">
        <v>27</v>
      </c>
      <c r="B32" s="202" t="s">
        <v>1148</v>
      </c>
      <c r="C32" s="202"/>
      <c r="D32" s="202" t="s">
        <v>8</v>
      </c>
      <c r="E32" s="207">
        <v>92</v>
      </c>
      <c r="F32" s="207">
        <v>92</v>
      </c>
      <c r="G32" s="203" t="s">
        <v>451</v>
      </c>
      <c r="H32" s="203" t="s">
        <v>452</v>
      </c>
      <c r="I32" s="205"/>
      <c r="J32" s="263" t="str">
        <f t="shared" si="0"/>
        <v>답공</v>
      </c>
      <c r="K32" s="266">
        <v>7600</v>
      </c>
      <c r="L32" s="265"/>
      <c r="M32" s="265"/>
      <c r="N32" s="265"/>
      <c r="O32" s="265"/>
      <c r="P32" s="265"/>
      <c r="Q32" s="265"/>
      <c r="R32" s="267"/>
    </row>
    <row r="33" spans="1:18" ht="18" customHeight="1">
      <c r="A33" s="278">
        <v>28</v>
      </c>
      <c r="B33" s="202" t="s">
        <v>1149</v>
      </c>
      <c r="C33" s="202"/>
      <c r="D33" s="202" t="s">
        <v>8</v>
      </c>
      <c r="E33" s="207">
        <v>83</v>
      </c>
      <c r="F33" s="207">
        <v>83</v>
      </c>
      <c r="G33" s="203" t="s">
        <v>451</v>
      </c>
      <c r="H33" s="203" t="s">
        <v>452</v>
      </c>
      <c r="I33" s="205"/>
      <c r="J33" s="263" t="str">
        <f t="shared" si="0"/>
        <v>답공</v>
      </c>
      <c r="K33" s="266">
        <v>8010</v>
      </c>
      <c r="L33" s="265"/>
      <c r="M33" s="265"/>
      <c r="N33" s="265"/>
      <c r="O33" s="265"/>
      <c r="P33" s="265"/>
      <c r="Q33" s="265"/>
      <c r="R33" s="267"/>
    </row>
    <row r="34" spans="1:18" ht="18" customHeight="1">
      <c r="A34" s="278">
        <v>29</v>
      </c>
      <c r="B34" s="202" t="s">
        <v>1150</v>
      </c>
      <c r="C34" s="202"/>
      <c r="D34" s="202" t="s">
        <v>8</v>
      </c>
      <c r="E34" s="207">
        <v>67</v>
      </c>
      <c r="F34" s="207">
        <v>67</v>
      </c>
      <c r="G34" s="203" t="s">
        <v>451</v>
      </c>
      <c r="H34" s="203" t="s">
        <v>452</v>
      </c>
      <c r="I34" s="205"/>
      <c r="J34" s="263" t="str">
        <f t="shared" si="0"/>
        <v>답공</v>
      </c>
      <c r="K34" s="266">
        <v>7600</v>
      </c>
      <c r="L34" s="265"/>
      <c r="M34" s="265"/>
      <c r="N34" s="265"/>
      <c r="O34" s="265"/>
      <c r="P34" s="265"/>
      <c r="Q34" s="265"/>
      <c r="R34" s="267"/>
    </row>
    <row r="35" spans="1:18" ht="18" customHeight="1">
      <c r="A35" s="278">
        <v>30</v>
      </c>
      <c r="B35" s="202" t="s">
        <v>1151</v>
      </c>
      <c r="C35" s="202"/>
      <c r="D35" s="202" t="s">
        <v>8</v>
      </c>
      <c r="E35" s="207">
        <v>175</v>
      </c>
      <c r="F35" s="207">
        <v>175</v>
      </c>
      <c r="G35" s="203" t="s">
        <v>451</v>
      </c>
      <c r="H35" s="203" t="s">
        <v>452</v>
      </c>
      <c r="I35" s="205"/>
      <c r="J35" s="263" t="str">
        <f t="shared" si="0"/>
        <v>답공</v>
      </c>
      <c r="K35" s="266">
        <v>7600</v>
      </c>
      <c r="L35" s="265"/>
      <c r="M35" s="265"/>
      <c r="N35" s="265"/>
      <c r="O35" s="265"/>
      <c r="P35" s="265"/>
      <c r="Q35" s="265"/>
      <c r="R35" s="267"/>
    </row>
    <row r="36" spans="1:18" ht="18" customHeight="1">
      <c r="A36" s="278">
        <v>31</v>
      </c>
      <c r="B36" s="202" t="s">
        <v>1152</v>
      </c>
      <c r="C36" s="202"/>
      <c r="D36" s="202" t="s">
        <v>8</v>
      </c>
      <c r="E36" s="207">
        <v>1088</v>
      </c>
      <c r="F36" s="207">
        <v>1088</v>
      </c>
      <c r="G36" s="203" t="s">
        <v>451</v>
      </c>
      <c r="H36" s="203" t="s">
        <v>452</v>
      </c>
      <c r="I36" s="205"/>
      <c r="J36" s="263" t="str">
        <f t="shared" si="0"/>
        <v>답공</v>
      </c>
      <c r="K36" s="266">
        <v>9060</v>
      </c>
      <c r="L36" s="265"/>
      <c r="M36" s="265"/>
      <c r="N36" s="265"/>
      <c r="O36" s="265"/>
      <c r="P36" s="265"/>
      <c r="Q36" s="265"/>
      <c r="R36" s="267"/>
    </row>
    <row r="37" spans="1:18" ht="18" customHeight="1">
      <c r="A37" s="278">
        <v>33</v>
      </c>
      <c r="B37" s="202" t="s">
        <v>1153</v>
      </c>
      <c r="C37" s="202"/>
      <c r="D37" s="202" t="s">
        <v>8</v>
      </c>
      <c r="E37" s="207">
        <v>618</v>
      </c>
      <c r="F37" s="207">
        <v>618</v>
      </c>
      <c r="G37" s="203" t="s">
        <v>451</v>
      </c>
      <c r="H37" s="203" t="s">
        <v>452</v>
      </c>
      <c r="I37" s="205"/>
      <c r="J37" s="263" t="str">
        <f t="shared" si="0"/>
        <v>답공</v>
      </c>
      <c r="K37" s="266">
        <v>7150</v>
      </c>
      <c r="L37" s="265"/>
      <c r="M37" s="265"/>
      <c r="N37" s="265"/>
      <c r="O37" s="265"/>
      <c r="P37" s="265"/>
      <c r="Q37" s="265"/>
      <c r="R37" s="267"/>
    </row>
    <row r="38" spans="1:18" ht="18" customHeight="1">
      <c r="A38" s="278">
        <v>34</v>
      </c>
      <c r="B38" s="202" t="s">
        <v>1154</v>
      </c>
      <c r="C38" s="202"/>
      <c r="D38" s="202" t="s">
        <v>8</v>
      </c>
      <c r="E38" s="207">
        <v>130</v>
      </c>
      <c r="F38" s="207">
        <v>130</v>
      </c>
      <c r="G38" s="203" t="s">
        <v>451</v>
      </c>
      <c r="H38" s="203" t="s">
        <v>452</v>
      </c>
      <c r="I38" s="205"/>
      <c r="J38" s="263" t="str">
        <f t="shared" ref="J38:J69" si="1">CONCATENATE(D38,G38)</f>
        <v>답공</v>
      </c>
      <c r="K38" s="266">
        <v>6630</v>
      </c>
      <c r="L38" s="265"/>
      <c r="M38" s="265"/>
      <c r="N38" s="265"/>
      <c r="O38" s="265"/>
      <c r="P38" s="265"/>
      <c r="Q38" s="265"/>
      <c r="R38" s="267"/>
    </row>
    <row r="39" spans="1:18" ht="18" customHeight="1">
      <c r="A39" s="278">
        <v>35</v>
      </c>
      <c r="B39" s="202" t="s">
        <v>1155</v>
      </c>
      <c r="C39" s="202"/>
      <c r="D39" s="202" t="s">
        <v>7</v>
      </c>
      <c r="E39" s="207">
        <v>379</v>
      </c>
      <c r="F39" s="207">
        <v>379</v>
      </c>
      <c r="G39" s="203" t="s">
        <v>451</v>
      </c>
      <c r="H39" s="203" t="s">
        <v>452</v>
      </c>
      <c r="I39" s="205"/>
      <c r="J39" s="263" t="str">
        <f t="shared" si="1"/>
        <v>전공</v>
      </c>
      <c r="K39" s="266">
        <v>9190</v>
      </c>
      <c r="L39" s="265"/>
      <c r="M39" s="265"/>
      <c r="N39" s="265"/>
      <c r="O39" s="265"/>
      <c r="P39" s="265"/>
      <c r="Q39" s="265"/>
      <c r="R39" s="267"/>
    </row>
    <row r="40" spans="1:18" ht="18" customHeight="1">
      <c r="A40" s="278">
        <v>36</v>
      </c>
      <c r="B40" s="202" t="s">
        <v>1156</v>
      </c>
      <c r="C40" s="202"/>
      <c r="D40" s="202" t="s">
        <v>93</v>
      </c>
      <c r="E40" s="207">
        <v>50</v>
      </c>
      <c r="F40" s="207">
        <v>50</v>
      </c>
      <c r="G40" s="203" t="s">
        <v>451</v>
      </c>
      <c r="H40" s="203" t="s">
        <v>452</v>
      </c>
      <c r="I40" s="205"/>
      <c r="J40" s="263" t="str">
        <f t="shared" si="1"/>
        <v>임공</v>
      </c>
      <c r="K40" s="266">
        <v>6630</v>
      </c>
      <c r="L40" s="265"/>
      <c r="M40" s="265"/>
      <c r="N40" s="265"/>
      <c r="O40" s="265"/>
      <c r="P40" s="265"/>
      <c r="Q40" s="265"/>
      <c r="R40" s="267"/>
    </row>
    <row r="41" spans="1:18" ht="18" customHeight="1">
      <c r="A41" s="278">
        <v>37</v>
      </c>
      <c r="B41" s="202" t="s">
        <v>1157</v>
      </c>
      <c r="C41" s="202"/>
      <c r="D41" s="202" t="s">
        <v>93</v>
      </c>
      <c r="E41" s="207">
        <v>1468</v>
      </c>
      <c r="F41" s="207">
        <v>1468</v>
      </c>
      <c r="G41" s="203" t="s">
        <v>511</v>
      </c>
      <c r="H41" s="203" t="s">
        <v>1272</v>
      </c>
      <c r="I41" s="205"/>
      <c r="J41" s="263" t="str">
        <f t="shared" si="1"/>
        <v>임국</v>
      </c>
      <c r="K41" s="266">
        <v>6630</v>
      </c>
      <c r="L41" s="265"/>
      <c r="M41" s="265"/>
      <c r="N41" s="265"/>
      <c r="O41" s="265"/>
      <c r="P41" s="265"/>
      <c r="Q41" s="265"/>
      <c r="R41" s="267"/>
    </row>
    <row r="42" spans="1:18" ht="18" customHeight="1">
      <c r="A42" s="278">
        <v>38</v>
      </c>
      <c r="B42" s="202" t="s">
        <v>1158</v>
      </c>
      <c r="C42" s="202"/>
      <c r="D42" s="202" t="s">
        <v>7</v>
      </c>
      <c r="E42" s="207">
        <v>604</v>
      </c>
      <c r="F42" s="207">
        <v>604</v>
      </c>
      <c r="G42" s="203" t="s">
        <v>451</v>
      </c>
      <c r="H42" s="203" t="s">
        <v>452</v>
      </c>
      <c r="I42" s="205"/>
      <c r="J42" s="263" t="str">
        <f t="shared" si="1"/>
        <v>전공</v>
      </c>
      <c r="K42" s="266">
        <v>6100</v>
      </c>
      <c r="L42" s="265"/>
      <c r="M42" s="265"/>
      <c r="N42" s="265"/>
      <c r="O42" s="265"/>
      <c r="P42" s="265"/>
      <c r="Q42" s="265"/>
      <c r="R42" s="267"/>
    </row>
    <row r="43" spans="1:18" ht="18" customHeight="1">
      <c r="A43" s="278">
        <v>40</v>
      </c>
      <c r="B43" s="202" t="s">
        <v>1159</v>
      </c>
      <c r="C43" s="202"/>
      <c r="D43" s="202" t="s">
        <v>93</v>
      </c>
      <c r="E43" s="207">
        <v>17</v>
      </c>
      <c r="F43" s="275">
        <v>17</v>
      </c>
      <c r="G43" s="203" t="s">
        <v>511</v>
      </c>
      <c r="H43" s="203" t="s">
        <v>1272</v>
      </c>
      <c r="I43" s="205"/>
      <c r="J43" s="263" t="str">
        <f t="shared" si="1"/>
        <v>임국</v>
      </c>
      <c r="K43" s="266">
        <v>8200</v>
      </c>
      <c r="L43" s="265"/>
      <c r="M43" s="265"/>
      <c r="N43" s="265"/>
      <c r="O43" s="265"/>
      <c r="P43" s="265"/>
      <c r="Q43" s="265"/>
      <c r="R43" s="267"/>
    </row>
    <row r="44" spans="1:18" ht="18" customHeight="1">
      <c r="A44" s="278">
        <v>41</v>
      </c>
      <c r="B44" s="202" t="s">
        <v>1160</v>
      </c>
      <c r="C44" s="202"/>
      <c r="D44" s="202" t="s">
        <v>93</v>
      </c>
      <c r="E44" s="207">
        <v>843</v>
      </c>
      <c r="F44" s="207">
        <v>843</v>
      </c>
      <c r="G44" s="203" t="s">
        <v>451</v>
      </c>
      <c r="H44" s="203" t="s">
        <v>452</v>
      </c>
      <c r="I44" s="205"/>
      <c r="J44" s="263" t="str">
        <f t="shared" si="1"/>
        <v>임공</v>
      </c>
      <c r="K44" s="266">
        <v>7830</v>
      </c>
      <c r="L44" s="265"/>
      <c r="M44" s="265"/>
      <c r="N44" s="265"/>
      <c r="O44" s="265"/>
      <c r="P44" s="265"/>
      <c r="Q44" s="265"/>
      <c r="R44" s="267"/>
    </row>
    <row r="45" spans="1:18" ht="18" customHeight="1">
      <c r="A45" s="204">
        <v>42</v>
      </c>
      <c r="B45" s="202" t="s">
        <v>1161</v>
      </c>
      <c r="C45" s="202"/>
      <c r="D45" s="202" t="s">
        <v>93</v>
      </c>
      <c r="E45" s="207">
        <v>171</v>
      </c>
      <c r="F45" s="207">
        <v>171</v>
      </c>
      <c r="G45" s="203" t="s">
        <v>451</v>
      </c>
      <c r="H45" s="203" t="s">
        <v>452</v>
      </c>
      <c r="I45" s="205"/>
      <c r="J45" s="263" t="str">
        <f t="shared" si="1"/>
        <v>임공</v>
      </c>
      <c r="K45" s="266">
        <v>7410</v>
      </c>
      <c r="L45" s="265"/>
      <c r="M45" s="265"/>
      <c r="N45" s="265"/>
      <c r="O45" s="265"/>
      <c r="P45" s="265"/>
      <c r="Q45" s="265"/>
      <c r="R45" s="267"/>
    </row>
    <row r="46" spans="1:18" ht="18" customHeight="1">
      <c r="A46" s="204">
        <v>43</v>
      </c>
      <c r="B46" s="202" t="s">
        <v>1162</v>
      </c>
      <c r="C46" s="202"/>
      <c r="D46" s="202" t="s">
        <v>8</v>
      </c>
      <c r="E46" s="207">
        <v>1083</v>
      </c>
      <c r="F46" s="207">
        <v>1083</v>
      </c>
      <c r="G46" s="203" t="s">
        <v>451</v>
      </c>
      <c r="H46" s="203" t="s">
        <v>452</v>
      </c>
      <c r="I46" s="205"/>
      <c r="J46" s="263" t="str">
        <f t="shared" si="1"/>
        <v>답공</v>
      </c>
      <c r="K46" s="266">
        <v>7410</v>
      </c>
      <c r="L46" s="265"/>
      <c r="M46" s="265"/>
      <c r="N46" s="265"/>
      <c r="O46" s="265"/>
      <c r="P46" s="265"/>
      <c r="Q46" s="265"/>
      <c r="R46" s="267"/>
    </row>
    <row r="47" spans="1:18" ht="18" customHeight="1">
      <c r="A47" s="278">
        <v>44</v>
      </c>
      <c r="B47" s="202" t="s">
        <v>1163</v>
      </c>
      <c r="C47" s="202"/>
      <c r="D47" s="202" t="s">
        <v>8</v>
      </c>
      <c r="E47" s="207">
        <v>1460</v>
      </c>
      <c r="F47" s="207">
        <v>1460</v>
      </c>
      <c r="G47" s="203" t="s">
        <v>451</v>
      </c>
      <c r="H47" s="203" t="s">
        <v>452</v>
      </c>
      <c r="I47" s="205"/>
      <c r="J47" s="263" t="str">
        <f t="shared" si="1"/>
        <v>답공</v>
      </c>
      <c r="K47" s="266">
        <v>7830</v>
      </c>
      <c r="L47" s="265"/>
      <c r="M47" s="265"/>
      <c r="N47" s="265"/>
      <c r="O47" s="265"/>
      <c r="P47" s="265"/>
      <c r="Q47" s="265"/>
      <c r="R47" s="267"/>
    </row>
    <row r="48" spans="1:18" ht="18" customHeight="1">
      <c r="A48" s="278">
        <v>46</v>
      </c>
      <c r="B48" s="202" t="s">
        <v>1164</v>
      </c>
      <c r="C48" s="202"/>
      <c r="D48" s="202" t="s">
        <v>8</v>
      </c>
      <c r="E48" s="207">
        <v>44</v>
      </c>
      <c r="F48" s="207">
        <v>44</v>
      </c>
      <c r="G48" s="203" t="s">
        <v>451</v>
      </c>
      <c r="H48" s="203" t="s">
        <v>452</v>
      </c>
      <c r="I48" s="205"/>
      <c r="J48" s="263" t="str">
        <f t="shared" si="1"/>
        <v>답공</v>
      </c>
      <c r="K48" s="266"/>
      <c r="L48" s="265"/>
      <c r="M48" s="265"/>
      <c r="N48" s="265"/>
      <c r="O48" s="265"/>
      <c r="P48" s="265"/>
      <c r="Q48" s="265"/>
      <c r="R48" s="267"/>
    </row>
    <row r="49" spans="1:18" ht="18" customHeight="1">
      <c r="A49" s="278">
        <v>47</v>
      </c>
      <c r="B49" s="202" t="s">
        <v>1165</v>
      </c>
      <c r="C49" s="202"/>
      <c r="D49" s="202" t="s">
        <v>8</v>
      </c>
      <c r="E49" s="207">
        <v>183</v>
      </c>
      <c r="F49" s="207">
        <v>183</v>
      </c>
      <c r="G49" s="203" t="s">
        <v>451</v>
      </c>
      <c r="H49" s="203" t="s">
        <v>452</v>
      </c>
      <c r="I49" s="205"/>
      <c r="J49" s="263" t="str">
        <f t="shared" si="1"/>
        <v>답공</v>
      </c>
      <c r="K49" s="266">
        <v>8960</v>
      </c>
      <c r="L49" s="265"/>
      <c r="M49" s="265"/>
      <c r="N49" s="265"/>
      <c r="O49" s="265"/>
      <c r="P49" s="265"/>
      <c r="Q49" s="265"/>
      <c r="R49" s="267"/>
    </row>
    <row r="50" spans="1:18" ht="18" customHeight="1">
      <c r="A50" s="278">
        <v>48</v>
      </c>
      <c r="B50" s="202" t="s">
        <v>1166</v>
      </c>
      <c r="C50" s="202"/>
      <c r="D50" s="202" t="s">
        <v>8</v>
      </c>
      <c r="E50" s="207">
        <v>1701</v>
      </c>
      <c r="F50" s="207">
        <v>1701</v>
      </c>
      <c r="G50" s="203" t="s">
        <v>451</v>
      </c>
      <c r="H50" s="203" t="s">
        <v>452</v>
      </c>
      <c r="I50" s="276"/>
      <c r="J50" s="263" t="str">
        <f t="shared" si="1"/>
        <v>답공</v>
      </c>
      <c r="K50" s="266">
        <v>4930</v>
      </c>
      <c r="L50" s="265"/>
      <c r="M50" s="265"/>
      <c r="N50" s="265"/>
      <c r="O50" s="265"/>
      <c r="P50" s="265"/>
      <c r="Q50" s="265"/>
      <c r="R50" s="267"/>
    </row>
    <row r="51" spans="1:18" ht="18" customHeight="1">
      <c r="A51" s="278">
        <v>49</v>
      </c>
      <c r="B51" s="202" t="s">
        <v>1167</v>
      </c>
      <c r="C51" s="202"/>
      <c r="D51" s="202" t="s">
        <v>564</v>
      </c>
      <c r="E51" s="207">
        <v>546</v>
      </c>
      <c r="F51" s="207">
        <v>546</v>
      </c>
      <c r="G51" s="203" t="s">
        <v>511</v>
      </c>
      <c r="H51" s="203" t="s">
        <v>514</v>
      </c>
      <c r="I51" s="276"/>
      <c r="J51" s="263" t="str">
        <f t="shared" si="1"/>
        <v>제국</v>
      </c>
      <c r="K51" s="266">
        <v>5350</v>
      </c>
      <c r="L51" s="265"/>
      <c r="M51" s="265"/>
      <c r="N51" s="265"/>
      <c r="O51" s="265"/>
      <c r="P51" s="265"/>
      <c r="Q51" s="265"/>
      <c r="R51" s="267"/>
    </row>
    <row r="52" spans="1:18" ht="18" customHeight="1">
      <c r="A52" s="278">
        <v>50</v>
      </c>
      <c r="B52" s="202" t="s">
        <v>1168</v>
      </c>
      <c r="C52" s="202"/>
      <c r="D52" s="202" t="s">
        <v>571</v>
      </c>
      <c r="E52" s="207">
        <v>2433</v>
      </c>
      <c r="F52" s="207">
        <v>2433</v>
      </c>
      <c r="G52" s="203" t="s">
        <v>451</v>
      </c>
      <c r="H52" s="203" t="s">
        <v>452</v>
      </c>
      <c r="I52" s="276"/>
      <c r="J52" s="263" t="str">
        <f t="shared" si="1"/>
        <v>잡공</v>
      </c>
      <c r="K52" s="266">
        <v>4940</v>
      </c>
      <c r="L52" s="265"/>
      <c r="M52" s="265"/>
      <c r="N52" s="265"/>
      <c r="O52" s="265"/>
      <c r="P52" s="265"/>
      <c r="Q52" s="265"/>
      <c r="R52" s="267"/>
    </row>
    <row r="53" spans="1:18" ht="18" customHeight="1">
      <c r="A53" s="278">
        <v>51</v>
      </c>
      <c r="B53" s="202" t="s">
        <v>1169</v>
      </c>
      <c r="C53" s="202"/>
      <c r="D53" s="202" t="s">
        <v>93</v>
      </c>
      <c r="E53" s="207">
        <v>517</v>
      </c>
      <c r="F53" s="207">
        <v>517</v>
      </c>
      <c r="G53" s="203" t="s">
        <v>451</v>
      </c>
      <c r="H53" s="203" t="s">
        <v>537</v>
      </c>
      <c r="I53" s="276"/>
      <c r="J53" s="263" t="str">
        <f t="shared" si="1"/>
        <v>임공</v>
      </c>
      <c r="K53" s="266">
        <v>4940</v>
      </c>
      <c r="L53" s="265"/>
      <c r="M53" s="265"/>
      <c r="N53" s="265"/>
      <c r="O53" s="265"/>
      <c r="P53" s="265"/>
      <c r="Q53" s="265"/>
      <c r="R53" s="267"/>
    </row>
    <row r="54" spans="1:18" ht="18" customHeight="1">
      <c r="A54" s="278">
        <v>52</v>
      </c>
      <c r="B54" s="202" t="s">
        <v>1170</v>
      </c>
      <c r="C54" s="202"/>
      <c r="D54" s="202" t="s">
        <v>93</v>
      </c>
      <c r="E54" s="207">
        <v>63</v>
      </c>
      <c r="F54" s="207">
        <v>63</v>
      </c>
      <c r="G54" s="203" t="s">
        <v>451</v>
      </c>
      <c r="H54" s="203" t="s">
        <v>452</v>
      </c>
      <c r="I54" s="276"/>
      <c r="J54" s="263" t="str">
        <f t="shared" si="1"/>
        <v>임공</v>
      </c>
      <c r="K54" s="266">
        <v>7600</v>
      </c>
      <c r="L54" s="265"/>
      <c r="M54" s="265"/>
      <c r="N54" s="265"/>
      <c r="O54" s="265"/>
      <c r="P54" s="265"/>
      <c r="Q54" s="265"/>
      <c r="R54" s="267"/>
    </row>
    <row r="55" spans="1:18" ht="18" customHeight="1">
      <c r="A55" s="278">
        <v>53</v>
      </c>
      <c r="B55" s="202" t="s">
        <v>1171</v>
      </c>
      <c r="C55" s="202"/>
      <c r="D55" s="202" t="s">
        <v>93</v>
      </c>
      <c r="E55" s="207">
        <v>1710</v>
      </c>
      <c r="F55" s="207">
        <v>1710</v>
      </c>
      <c r="G55" s="203" t="s">
        <v>511</v>
      </c>
      <c r="H55" s="203" t="s">
        <v>1272</v>
      </c>
      <c r="I55" s="276"/>
      <c r="J55" s="263" t="str">
        <f t="shared" si="1"/>
        <v>임국</v>
      </c>
      <c r="K55" s="266">
        <v>7600</v>
      </c>
      <c r="L55" s="265"/>
      <c r="M55" s="265"/>
      <c r="N55" s="265"/>
      <c r="O55" s="265"/>
      <c r="P55" s="265"/>
      <c r="Q55" s="265"/>
      <c r="R55" s="267"/>
    </row>
    <row r="56" spans="1:18" ht="18" customHeight="1">
      <c r="A56" s="278">
        <v>54</v>
      </c>
      <c r="B56" s="202" t="s">
        <v>1172</v>
      </c>
      <c r="C56" s="202"/>
      <c r="D56" s="202" t="s">
        <v>93</v>
      </c>
      <c r="E56" s="207">
        <v>602</v>
      </c>
      <c r="F56" s="207">
        <v>602</v>
      </c>
      <c r="G56" s="203" t="s">
        <v>451</v>
      </c>
      <c r="H56" s="203" t="s">
        <v>452</v>
      </c>
      <c r="I56" s="276"/>
      <c r="J56" s="263" t="str">
        <f t="shared" si="1"/>
        <v>임공</v>
      </c>
      <c r="K56" s="266">
        <v>8170</v>
      </c>
      <c r="L56" s="265"/>
      <c r="M56" s="265"/>
      <c r="N56" s="265"/>
      <c r="O56" s="265"/>
      <c r="P56" s="265"/>
      <c r="Q56" s="265"/>
      <c r="R56" s="267"/>
    </row>
    <row r="57" spans="1:18" ht="18" customHeight="1">
      <c r="A57" s="278">
        <v>55</v>
      </c>
      <c r="B57" s="202" t="s">
        <v>1173</v>
      </c>
      <c r="C57" s="202"/>
      <c r="D57" s="202" t="s">
        <v>7</v>
      </c>
      <c r="E57" s="207">
        <v>130</v>
      </c>
      <c r="F57" s="207">
        <v>130</v>
      </c>
      <c r="G57" s="203" t="s">
        <v>451</v>
      </c>
      <c r="H57" s="203" t="s">
        <v>452</v>
      </c>
      <c r="I57" s="276"/>
      <c r="J57" s="263" t="str">
        <f t="shared" si="1"/>
        <v>전공</v>
      </c>
      <c r="K57" s="266">
        <v>8010</v>
      </c>
      <c r="L57" s="265"/>
      <c r="M57" s="265"/>
      <c r="N57" s="265"/>
      <c r="O57" s="265"/>
      <c r="P57" s="265"/>
      <c r="Q57" s="265"/>
      <c r="R57" s="267"/>
    </row>
    <row r="58" spans="1:18" ht="18" customHeight="1">
      <c r="A58" s="278">
        <v>56</v>
      </c>
      <c r="B58" s="202" t="s">
        <v>1174</v>
      </c>
      <c r="C58" s="202"/>
      <c r="D58" s="202" t="s">
        <v>8</v>
      </c>
      <c r="E58" s="207">
        <v>1775</v>
      </c>
      <c r="F58" s="207">
        <v>1775</v>
      </c>
      <c r="G58" s="203" t="s">
        <v>451</v>
      </c>
      <c r="H58" s="203" t="s">
        <v>452</v>
      </c>
      <c r="I58" s="276"/>
      <c r="J58" s="263" t="str">
        <f t="shared" si="1"/>
        <v>답공</v>
      </c>
      <c r="K58" s="266">
        <v>8170</v>
      </c>
      <c r="L58" s="265"/>
      <c r="M58" s="265"/>
      <c r="N58" s="265"/>
      <c r="O58" s="265"/>
      <c r="P58" s="265"/>
      <c r="Q58" s="265"/>
      <c r="R58" s="267"/>
    </row>
    <row r="59" spans="1:18" ht="18" customHeight="1">
      <c r="A59" s="278">
        <v>57</v>
      </c>
      <c r="B59" s="202" t="s">
        <v>1175</v>
      </c>
      <c r="C59" s="202"/>
      <c r="D59" s="202" t="s">
        <v>8</v>
      </c>
      <c r="E59" s="207">
        <v>2266</v>
      </c>
      <c r="F59" s="207">
        <v>2266</v>
      </c>
      <c r="G59" s="203" t="s">
        <v>451</v>
      </c>
      <c r="H59" s="203" t="s">
        <v>452</v>
      </c>
      <c r="I59" s="276"/>
      <c r="J59" s="263" t="str">
        <f t="shared" si="1"/>
        <v>답공</v>
      </c>
      <c r="K59" s="266"/>
      <c r="L59" s="265"/>
      <c r="M59" s="265"/>
      <c r="N59" s="265"/>
      <c r="O59" s="265"/>
      <c r="P59" s="265"/>
      <c r="Q59" s="265"/>
      <c r="R59" s="267"/>
    </row>
    <row r="60" spans="1:18" ht="18" customHeight="1">
      <c r="A60" s="278">
        <v>58</v>
      </c>
      <c r="B60" s="202" t="s">
        <v>1176</v>
      </c>
      <c r="C60" s="202"/>
      <c r="D60" s="202" t="s">
        <v>8</v>
      </c>
      <c r="E60" s="207">
        <v>17</v>
      </c>
      <c r="F60" s="207">
        <v>17</v>
      </c>
      <c r="G60" s="203" t="s">
        <v>451</v>
      </c>
      <c r="H60" s="203" t="s">
        <v>452</v>
      </c>
      <c r="I60" s="276"/>
      <c r="J60" s="263" t="str">
        <f t="shared" si="1"/>
        <v>답공</v>
      </c>
      <c r="K60" s="266">
        <v>8810</v>
      </c>
      <c r="L60" s="265"/>
      <c r="M60" s="265"/>
      <c r="N60" s="265"/>
      <c r="O60" s="265"/>
      <c r="P60" s="265"/>
      <c r="Q60" s="265"/>
      <c r="R60" s="267"/>
    </row>
    <row r="61" spans="1:18" ht="18" customHeight="1">
      <c r="A61" s="278">
        <v>59</v>
      </c>
      <c r="B61" s="202" t="s">
        <v>1177</v>
      </c>
      <c r="C61" s="202"/>
      <c r="D61" s="202" t="s">
        <v>8</v>
      </c>
      <c r="E61" s="207">
        <v>65</v>
      </c>
      <c r="F61" s="207">
        <v>65</v>
      </c>
      <c r="G61" s="203" t="s">
        <v>451</v>
      </c>
      <c r="H61" s="203" t="s">
        <v>452</v>
      </c>
      <c r="I61" s="276"/>
      <c r="J61" s="263" t="str">
        <f t="shared" si="1"/>
        <v>답공</v>
      </c>
      <c r="K61" s="266">
        <v>8960</v>
      </c>
      <c r="L61" s="265"/>
      <c r="M61" s="265"/>
      <c r="N61" s="265"/>
      <c r="O61" s="265"/>
      <c r="P61" s="265"/>
      <c r="Q61" s="265"/>
      <c r="R61" s="267"/>
    </row>
    <row r="62" spans="1:18" ht="18" customHeight="1">
      <c r="A62" s="278">
        <v>60</v>
      </c>
      <c r="B62" s="202" t="s">
        <v>1178</v>
      </c>
      <c r="C62" s="202"/>
      <c r="D62" s="202" t="s">
        <v>455</v>
      </c>
      <c r="E62" s="207">
        <v>189</v>
      </c>
      <c r="F62" s="207">
        <v>189</v>
      </c>
      <c r="G62" s="203" t="s">
        <v>511</v>
      </c>
      <c r="H62" s="203" t="s">
        <v>514</v>
      </c>
      <c r="I62" s="276"/>
      <c r="J62" s="263" t="str">
        <f t="shared" si="1"/>
        <v>도국</v>
      </c>
      <c r="K62" s="266">
        <v>8960</v>
      </c>
      <c r="L62" s="265"/>
      <c r="M62" s="265"/>
      <c r="N62" s="265"/>
      <c r="O62" s="265"/>
      <c r="P62" s="265"/>
      <c r="Q62" s="265"/>
      <c r="R62" s="267"/>
    </row>
    <row r="63" spans="1:18" ht="18" customHeight="1">
      <c r="A63" s="278">
        <v>61</v>
      </c>
      <c r="B63" s="202" t="s">
        <v>1179</v>
      </c>
      <c r="C63" s="202"/>
      <c r="D63" s="202" t="s">
        <v>571</v>
      </c>
      <c r="E63" s="207">
        <v>139</v>
      </c>
      <c r="F63" s="207">
        <v>139</v>
      </c>
      <c r="G63" s="203" t="s">
        <v>451</v>
      </c>
      <c r="H63" s="203" t="s">
        <v>452</v>
      </c>
      <c r="I63" s="276"/>
      <c r="J63" s="263" t="str">
        <f t="shared" si="1"/>
        <v>잡공</v>
      </c>
      <c r="K63" s="266">
        <v>8960</v>
      </c>
      <c r="L63" s="265"/>
      <c r="M63" s="265"/>
      <c r="N63" s="265"/>
      <c r="O63" s="265"/>
      <c r="P63" s="265"/>
      <c r="Q63" s="265"/>
      <c r="R63" s="267"/>
    </row>
    <row r="64" spans="1:18" ht="18" customHeight="1">
      <c r="A64" s="278">
        <v>63</v>
      </c>
      <c r="B64" s="202" t="s">
        <v>1180</v>
      </c>
      <c r="C64" s="202"/>
      <c r="D64" s="202" t="s">
        <v>571</v>
      </c>
      <c r="E64" s="207">
        <v>76</v>
      </c>
      <c r="F64" s="207">
        <v>76</v>
      </c>
      <c r="G64" s="203" t="s">
        <v>451</v>
      </c>
      <c r="H64" s="203" t="s">
        <v>452</v>
      </c>
      <c r="I64" s="276"/>
      <c r="J64" s="263" t="str">
        <f t="shared" si="1"/>
        <v>잡공</v>
      </c>
      <c r="K64" s="266">
        <v>6840</v>
      </c>
      <c r="L64" s="265"/>
      <c r="M64" s="265"/>
      <c r="N64" s="265"/>
      <c r="O64" s="265"/>
      <c r="P64" s="265"/>
      <c r="Q64" s="265"/>
      <c r="R64" s="267"/>
    </row>
    <row r="65" spans="1:18" ht="18" customHeight="1">
      <c r="A65" s="278">
        <v>64</v>
      </c>
      <c r="B65" s="202" t="s">
        <v>1181</v>
      </c>
      <c r="C65" s="202"/>
      <c r="D65" s="202" t="s">
        <v>571</v>
      </c>
      <c r="E65" s="207">
        <v>29</v>
      </c>
      <c r="F65" s="207">
        <v>29</v>
      </c>
      <c r="G65" s="203" t="s">
        <v>451</v>
      </c>
      <c r="H65" s="203" t="s">
        <v>452</v>
      </c>
      <c r="I65" s="276"/>
      <c r="J65" s="263" t="str">
        <f t="shared" si="1"/>
        <v>잡공</v>
      </c>
      <c r="K65" s="266">
        <v>5100</v>
      </c>
      <c r="L65" s="265"/>
      <c r="M65" s="265"/>
      <c r="N65" s="265"/>
      <c r="O65" s="265"/>
      <c r="P65" s="265"/>
      <c r="Q65" s="265"/>
      <c r="R65" s="267"/>
    </row>
    <row r="66" spans="1:18" ht="18" customHeight="1">
      <c r="A66" s="278">
        <v>65</v>
      </c>
      <c r="B66" s="202" t="s">
        <v>1182</v>
      </c>
      <c r="C66" s="202"/>
      <c r="D66" s="202" t="s">
        <v>571</v>
      </c>
      <c r="E66" s="207">
        <v>2315</v>
      </c>
      <c r="F66" s="207">
        <v>2315</v>
      </c>
      <c r="G66" s="203" t="s">
        <v>451</v>
      </c>
      <c r="H66" s="203" t="s">
        <v>452</v>
      </c>
      <c r="I66" s="276"/>
      <c r="J66" s="263" t="str">
        <f t="shared" si="1"/>
        <v>잡공</v>
      </c>
      <c r="K66" s="266">
        <v>6970</v>
      </c>
      <c r="L66" s="265"/>
      <c r="M66" s="265"/>
      <c r="N66" s="265"/>
      <c r="O66" s="265"/>
      <c r="P66" s="265"/>
      <c r="Q66" s="265"/>
      <c r="R66" s="267"/>
    </row>
    <row r="67" spans="1:18" ht="18" customHeight="1">
      <c r="A67" s="278">
        <v>67</v>
      </c>
      <c r="B67" s="202" t="s">
        <v>1183</v>
      </c>
      <c r="C67" s="202"/>
      <c r="D67" s="202" t="s">
        <v>93</v>
      </c>
      <c r="E67" s="207">
        <v>6617</v>
      </c>
      <c r="F67" s="207">
        <v>6617</v>
      </c>
      <c r="G67" s="203" t="s">
        <v>451</v>
      </c>
      <c r="H67" s="203" t="s">
        <v>452</v>
      </c>
      <c r="I67" s="276"/>
      <c r="J67" s="263" t="str">
        <f t="shared" si="1"/>
        <v>임공</v>
      </c>
      <c r="K67" s="266">
        <v>6970</v>
      </c>
      <c r="L67" s="265"/>
      <c r="M67" s="265"/>
      <c r="N67" s="265"/>
      <c r="O67" s="265"/>
      <c r="P67" s="265"/>
      <c r="Q67" s="265"/>
      <c r="R67" s="267"/>
    </row>
    <row r="68" spans="1:18" ht="18" customHeight="1">
      <c r="A68" s="278">
        <v>68</v>
      </c>
      <c r="B68" s="202" t="s">
        <v>1184</v>
      </c>
      <c r="C68" s="202"/>
      <c r="D68" s="202" t="s">
        <v>93</v>
      </c>
      <c r="E68" s="207">
        <v>18</v>
      </c>
      <c r="F68" s="207">
        <v>18</v>
      </c>
      <c r="G68" s="203" t="s">
        <v>451</v>
      </c>
      <c r="H68" s="203" t="s">
        <v>452</v>
      </c>
      <c r="I68" s="276"/>
      <c r="J68" s="263" t="str">
        <f t="shared" si="1"/>
        <v>임공</v>
      </c>
      <c r="K68" s="266">
        <v>9590</v>
      </c>
      <c r="L68" s="265"/>
      <c r="M68" s="265"/>
      <c r="N68" s="265"/>
      <c r="O68" s="265"/>
      <c r="P68" s="265"/>
      <c r="Q68" s="265"/>
      <c r="R68" s="267"/>
    </row>
    <row r="69" spans="1:18" ht="18" customHeight="1">
      <c r="A69" s="278">
        <v>69</v>
      </c>
      <c r="B69" s="202" t="s">
        <v>1185</v>
      </c>
      <c r="C69" s="202"/>
      <c r="D69" s="202" t="s">
        <v>93</v>
      </c>
      <c r="E69" s="207">
        <v>601</v>
      </c>
      <c r="F69" s="207">
        <v>601</v>
      </c>
      <c r="G69" s="203" t="s">
        <v>451</v>
      </c>
      <c r="H69" s="203" t="s">
        <v>452</v>
      </c>
      <c r="I69" s="276"/>
      <c r="J69" s="263" t="str">
        <f t="shared" si="1"/>
        <v>임공</v>
      </c>
      <c r="K69" s="266">
        <v>9570</v>
      </c>
      <c r="L69" s="265"/>
      <c r="M69" s="265"/>
      <c r="N69" s="265"/>
      <c r="O69" s="265"/>
      <c r="P69" s="265"/>
      <c r="Q69" s="265"/>
      <c r="R69" s="267"/>
    </row>
    <row r="70" spans="1:18" ht="18" customHeight="1">
      <c r="A70" s="278">
        <v>70</v>
      </c>
      <c r="B70" s="202" t="s">
        <v>1186</v>
      </c>
      <c r="C70" s="202"/>
      <c r="D70" s="202" t="s">
        <v>93</v>
      </c>
      <c r="E70" s="207">
        <v>3228</v>
      </c>
      <c r="F70" s="207">
        <v>3228</v>
      </c>
      <c r="G70" s="203" t="s">
        <v>451</v>
      </c>
      <c r="H70" s="203" t="s">
        <v>452</v>
      </c>
      <c r="I70" s="276"/>
      <c r="J70" s="263" t="str">
        <f t="shared" ref="J70:J101" si="2">CONCATENATE(D70,G70)</f>
        <v>임공</v>
      </c>
      <c r="K70" s="266">
        <v>2470</v>
      </c>
      <c r="L70" s="265"/>
      <c r="M70" s="265"/>
      <c r="N70" s="265"/>
      <c r="O70" s="265"/>
      <c r="P70" s="265"/>
      <c r="Q70" s="265"/>
      <c r="R70" s="267"/>
    </row>
    <row r="71" spans="1:18" ht="18" customHeight="1">
      <c r="A71" s="278">
        <v>71</v>
      </c>
      <c r="B71" s="202" t="s">
        <v>1187</v>
      </c>
      <c r="C71" s="202"/>
      <c r="D71" s="202" t="s">
        <v>93</v>
      </c>
      <c r="E71" s="207">
        <v>6580</v>
      </c>
      <c r="F71" s="207">
        <v>6580</v>
      </c>
      <c r="G71" s="203" t="s">
        <v>451</v>
      </c>
      <c r="H71" s="203" t="s">
        <v>452</v>
      </c>
      <c r="I71" s="276"/>
      <c r="J71" s="263" t="str">
        <f t="shared" si="2"/>
        <v>임공</v>
      </c>
      <c r="K71" s="266">
        <v>2470</v>
      </c>
      <c r="L71" s="265"/>
      <c r="M71" s="265"/>
      <c r="N71" s="265"/>
      <c r="O71" s="265"/>
      <c r="P71" s="265"/>
      <c r="Q71" s="265"/>
      <c r="R71" s="267"/>
    </row>
    <row r="72" spans="1:18" ht="18" customHeight="1">
      <c r="A72" s="278">
        <v>72</v>
      </c>
      <c r="B72" s="202" t="s">
        <v>1188</v>
      </c>
      <c r="C72" s="202"/>
      <c r="D72" s="202" t="s">
        <v>8</v>
      </c>
      <c r="E72" s="207">
        <v>65</v>
      </c>
      <c r="F72" s="207">
        <v>65</v>
      </c>
      <c r="G72" s="203" t="s">
        <v>451</v>
      </c>
      <c r="H72" s="203" t="s">
        <v>452</v>
      </c>
      <c r="I72" s="276"/>
      <c r="J72" s="263" t="str">
        <f t="shared" si="2"/>
        <v>답공</v>
      </c>
      <c r="K72" s="266">
        <v>9640</v>
      </c>
      <c r="L72" s="265"/>
      <c r="M72" s="265"/>
      <c r="N72" s="265"/>
      <c r="O72" s="265"/>
      <c r="P72" s="265"/>
      <c r="Q72" s="265"/>
      <c r="R72" s="267"/>
    </row>
    <row r="73" spans="1:18" ht="18" customHeight="1">
      <c r="A73" s="278">
        <v>73</v>
      </c>
      <c r="B73" s="202" t="s">
        <v>1189</v>
      </c>
      <c r="C73" s="202"/>
      <c r="D73" s="202" t="s">
        <v>455</v>
      </c>
      <c r="E73" s="207">
        <v>71</v>
      </c>
      <c r="F73" s="207">
        <v>71</v>
      </c>
      <c r="G73" s="203" t="s">
        <v>451</v>
      </c>
      <c r="H73" s="203" t="s">
        <v>452</v>
      </c>
      <c r="I73" s="276"/>
      <c r="J73" s="263" t="str">
        <f t="shared" si="2"/>
        <v>도공</v>
      </c>
      <c r="K73" s="266">
        <v>2730</v>
      </c>
      <c r="L73" s="265"/>
      <c r="M73" s="265"/>
      <c r="N73" s="265"/>
      <c r="O73" s="265"/>
      <c r="P73" s="265"/>
      <c r="Q73" s="265"/>
      <c r="R73" s="267"/>
    </row>
    <row r="74" spans="1:18" ht="18" customHeight="1">
      <c r="A74" s="278">
        <v>74</v>
      </c>
      <c r="B74" s="202" t="s">
        <v>1190</v>
      </c>
      <c r="C74" s="202"/>
      <c r="D74" s="202" t="s">
        <v>455</v>
      </c>
      <c r="E74" s="207">
        <v>57</v>
      </c>
      <c r="F74" s="207">
        <v>57</v>
      </c>
      <c r="G74" s="203" t="s">
        <v>451</v>
      </c>
      <c r="H74" s="203" t="s">
        <v>452</v>
      </c>
      <c r="I74" s="276"/>
      <c r="J74" s="263" t="str">
        <f t="shared" si="2"/>
        <v>도공</v>
      </c>
      <c r="K74" s="266"/>
      <c r="L74" s="265"/>
      <c r="M74" s="265"/>
      <c r="N74" s="265"/>
      <c r="O74" s="265"/>
      <c r="P74" s="265"/>
      <c r="Q74" s="265"/>
      <c r="R74" s="267"/>
    </row>
    <row r="75" spans="1:18" ht="18" customHeight="1">
      <c r="A75" s="278">
        <v>75</v>
      </c>
      <c r="B75" s="202" t="s">
        <v>1191</v>
      </c>
      <c r="C75" s="202"/>
      <c r="D75" s="202" t="s">
        <v>93</v>
      </c>
      <c r="E75" s="207">
        <v>994</v>
      </c>
      <c r="F75" s="207">
        <v>994</v>
      </c>
      <c r="G75" s="203" t="s">
        <v>451</v>
      </c>
      <c r="H75" s="203" t="s">
        <v>452</v>
      </c>
      <c r="I75" s="276"/>
      <c r="J75" s="263" t="str">
        <f t="shared" si="2"/>
        <v>임공</v>
      </c>
      <c r="K75" s="266"/>
      <c r="L75" s="265"/>
      <c r="M75" s="265"/>
      <c r="N75" s="265"/>
      <c r="O75" s="265"/>
      <c r="P75" s="265"/>
      <c r="Q75" s="265"/>
      <c r="R75" s="267"/>
    </row>
    <row r="76" spans="1:18" ht="18" customHeight="1">
      <c r="A76" s="278">
        <v>77</v>
      </c>
      <c r="B76" s="202" t="s">
        <v>1192</v>
      </c>
      <c r="C76" s="202"/>
      <c r="D76" s="202" t="s">
        <v>8</v>
      </c>
      <c r="E76" s="207">
        <v>78</v>
      </c>
      <c r="F76" s="207">
        <v>78</v>
      </c>
      <c r="G76" s="203" t="s">
        <v>451</v>
      </c>
      <c r="H76" s="203" t="s">
        <v>452</v>
      </c>
      <c r="I76" s="276"/>
      <c r="J76" s="263" t="str">
        <f t="shared" si="2"/>
        <v>답공</v>
      </c>
      <c r="K76" s="266"/>
      <c r="L76" s="265"/>
      <c r="M76" s="265"/>
      <c r="N76" s="265"/>
      <c r="O76" s="265"/>
      <c r="P76" s="265"/>
      <c r="Q76" s="265"/>
      <c r="R76" s="267"/>
    </row>
    <row r="77" spans="1:18" ht="18" customHeight="1">
      <c r="A77" s="278">
        <v>78</v>
      </c>
      <c r="B77" s="202" t="s">
        <v>1193</v>
      </c>
      <c r="C77" s="202"/>
      <c r="D77" s="202" t="s">
        <v>455</v>
      </c>
      <c r="E77" s="207">
        <v>479</v>
      </c>
      <c r="F77" s="207">
        <v>63</v>
      </c>
      <c r="G77" s="203" t="s">
        <v>451</v>
      </c>
      <c r="H77" s="203" t="s">
        <v>452</v>
      </c>
      <c r="I77" s="276"/>
      <c r="J77" s="263" t="str">
        <f t="shared" si="2"/>
        <v>도공</v>
      </c>
      <c r="K77" s="266"/>
      <c r="L77" s="265"/>
      <c r="M77" s="265"/>
      <c r="N77" s="265"/>
      <c r="O77" s="265"/>
      <c r="P77" s="265"/>
      <c r="Q77" s="265"/>
      <c r="R77" s="267"/>
    </row>
    <row r="78" spans="1:18" ht="18" customHeight="1">
      <c r="A78" s="278">
        <v>79</v>
      </c>
      <c r="B78" s="202" t="s">
        <v>1194</v>
      </c>
      <c r="C78" s="202"/>
      <c r="D78" s="202" t="s">
        <v>455</v>
      </c>
      <c r="E78" s="207">
        <v>13</v>
      </c>
      <c r="F78" s="207">
        <v>3</v>
      </c>
      <c r="G78" s="203" t="s">
        <v>451</v>
      </c>
      <c r="H78" s="203" t="s">
        <v>452</v>
      </c>
      <c r="I78" s="276"/>
      <c r="J78" s="263" t="str">
        <f t="shared" si="2"/>
        <v>도공</v>
      </c>
      <c r="K78" s="266">
        <v>10400</v>
      </c>
      <c r="L78" s="265"/>
      <c r="M78" s="265"/>
      <c r="N78" s="265"/>
      <c r="O78" s="265"/>
      <c r="P78" s="265"/>
      <c r="Q78" s="265"/>
      <c r="R78" s="267"/>
    </row>
    <row r="79" spans="1:18" ht="18" customHeight="1">
      <c r="A79" s="278">
        <v>80</v>
      </c>
      <c r="B79" s="202" t="s">
        <v>1058</v>
      </c>
      <c r="C79" s="202"/>
      <c r="D79" s="202" t="s">
        <v>455</v>
      </c>
      <c r="E79" s="207">
        <v>112</v>
      </c>
      <c r="F79" s="207">
        <v>3</v>
      </c>
      <c r="G79" s="203" t="s">
        <v>451</v>
      </c>
      <c r="H79" s="203" t="s">
        <v>452</v>
      </c>
      <c r="I79" s="276"/>
      <c r="J79" s="263" t="str">
        <f t="shared" si="2"/>
        <v>도공</v>
      </c>
      <c r="K79" s="266">
        <v>10400</v>
      </c>
      <c r="L79" s="265"/>
      <c r="M79" s="265"/>
      <c r="N79" s="265"/>
      <c r="O79" s="265"/>
      <c r="P79" s="265"/>
      <c r="Q79" s="265"/>
      <c r="R79" s="267"/>
    </row>
    <row r="80" spans="1:18" ht="18" customHeight="1">
      <c r="A80" s="278">
        <v>81</v>
      </c>
      <c r="B80" s="202" t="s">
        <v>1195</v>
      </c>
      <c r="C80" s="202"/>
      <c r="D80" s="202" t="s">
        <v>455</v>
      </c>
      <c r="E80" s="207">
        <v>15</v>
      </c>
      <c r="F80" s="207">
        <v>15</v>
      </c>
      <c r="G80" s="203" t="s">
        <v>451</v>
      </c>
      <c r="H80" s="203" t="s">
        <v>452</v>
      </c>
      <c r="I80" s="276"/>
      <c r="J80" s="263" t="str">
        <f t="shared" si="2"/>
        <v>도공</v>
      </c>
      <c r="K80" s="266">
        <v>10400</v>
      </c>
      <c r="L80" s="265"/>
      <c r="M80" s="265"/>
      <c r="N80" s="265"/>
      <c r="O80" s="265"/>
      <c r="P80" s="265"/>
      <c r="Q80" s="265"/>
      <c r="R80" s="267"/>
    </row>
    <row r="81" spans="1:18" ht="18" customHeight="1">
      <c r="A81" s="278">
        <v>82</v>
      </c>
      <c r="B81" s="202" t="s">
        <v>1196</v>
      </c>
      <c r="C81" s="202"/>
      <c r="D81" s="202" t="s">
        <v>93</v>
      </c>
      <c r="E81" s="281">
        <v>99</v>
      </c>
      <c r="F81" s="275">
        <v>99</v>
      </c>
      <c r="G81" s="203" t="s">
        <v>451</v>
      </c>
      <c r="H81" s="203" t="s">
        <v>452</v>
      </c>
      <c r="I81" s="276"/>
      <c r="J81" s="263" t="str">
        <f t="shared" si="2"/>
        <v>임공</v>
      </c>
      <c r="K81" s="266"/>
      <c r="L81" s="265"/>
      <c r="M81" s="265"/>
      <c r="N81" s="265"/>
      <c r="O81" s="265"/>
      <c r="P81" s="265"/>
      <c r="Q81" s="265"/>
      <c r="R81" s="267"/>
    </row>
    <row r="82" spans="1:18" ht="18" customHeight="1">
      <c r="A82" s="278">
        <v>83</v>
      </c>
      <c r="B82" s="202" t="s">
        <v>1197</v>
      </c>
      <c r="C82" s="202"/>
      <c r="D82" s="202" t="s">
        <v>7</v>
      </c>
      <c r="E82" s="281">
        <v>213</v>
      </c>
      <c r="F82" s="275">
        <v>213</v>
      </c>
      <c r="G82" s="203" t="s">
        <v>451</v>
      </c>
      <c r="H82" s="203" t="s">
        <v>452</v>
      </c>
      <c r="I82" s="276"/>
      <c r="J82" s="263" t="str">
        <f t="shared" si="2"/>
        <v>전공</v>
      </c>
      <c r="K82" s="266">
        <v>10400</v>
      </c>
      <c r="L82" s="265"/>
      <c r="M82" s="265"/>
      <c r="N82" s="265"/>
      <c r="O82" s="265"/>
      <c r="P82" s="265"/>
      <c r="Q82" s="265"/>
      <c r="R82" s="267"/>
    </row>
    <row r="83" spans="1:18" ht="18" customHeight="1">
      <c r="A83" s="278">
        <v>84</v>
      </c>
      <c r="B83" s="202" t="s">
        <v>965</v>
      </c>
      <c r="C83" s="202"/>
      <c r="D83" s="202" t="s">
        <v>7</v>
      </c>
      <c r="E83" s="207">
        <v>223</v>
      </c>
      <c r="F83" s="207">
        <v>223</v>
      </c>
      <c r="G83" s="203" t="s">
        <v>451</v>
      </c>
      <c r="H83" s="203" t="s">
        <v>452</v>
      </c>
      <c r="I83" s="276"/>
      <c r="J83" s="263" t="str">
        <f t="shared" si="2"/>
        <v>전공</v>
      </c>
      <c r="K83" s="266"/>
      <c r="L83" s="265"/>
      <c r="M83" s="265"/>
      <c r="N83" s="265"/>
      <c r="O83" s="265"/>
      <c r="P83" s="265"/>
      <c r="Q83" s="265"/>
      <c r="R83" s="267"/>
    </row>
    <row r="84" spans="1:18" ht="18" customHeight="1">
      <c r="A84" s="278">
        <v>85</v>
      </c>
      <c r="B84" s="202" t="s">
        <v>1198</v>
      </c>
      <c r="C84" s="202"/>
      <c r="D84" s="202" t="s">
        <v>455</v>
      </c>
      <c r="E84" s="207">
        <v>368</v>
      </c>
      <c r="F84" s="207">
        <v>368</v>
      </c>
      <c r="G84" s="203" t="s">
        <v>451</v>
      </c>
      <c r="H84" s="203" t="s">
        <v>452</v>
      </c>
      <c r="I84" s="276"/>
      <c r="J84" s="263" t="str">
        <f t="shared" si="2"/>
        <v>도공</v>
      </c>
      <c r="K84" s="266"/>
      <c r="L84" s="265"/>
      <c r="M84" s="265"/>
      <c r="N84" s="265"/>
      <c r="O84" s="265"/>
      <c r="P84" s="265"/>
      <c r="Q84" s="265"/>
      <c r="R84" s="267"/>
    </row>
    <row r="85" spans="1:18" ht="18" customHeight="1">
      <c r="A85" s="278">
        <v>86</v>
      </c>
      <c r="B85" s="202" t="s">
        <v>1199</v>
      </c>
      <c r="C85" s="202"/>
      <c r="D85" s="202" t="s">
        <v>7</v>
      </c>
      <c r="E85" s="207">
        <v>26</v>
      </c>
      <c r="F85" s="207">
        <v>26</v>
      </c>
      <c r="G85" s="203" t="s">
        <v>451</v>
      </c>
      <c r="H85" s="203" t="s">
        <v>452</v>
      </c>
      <c r="I85" s="277"/>
      <c r="J85" s="263" t="str">
        <f t="shared" si="2"/>
        <v>전공</v>
      </c>
      <c r="K85" s="266">
        <v>13600</v>
      </c>
      <c r="L85" s="265"/>
      <c r="M85" s="265"/>
      <c r="N85" s="265"/>
      <c r="O85" s="265"/>
      <c r="P85" s="265"/>
      <c r="Q85" s="265"/>
      <c r="R85" s="267"/>
    </row>
    <row r="86" spans="1:18" ht="18" customHeight="1">
      <c r="A86" s="278">
        <v>87</v>
      </c>
      <c r="B86" s="202" t="s">
        <v>1200</v>
      </c>
      <c r="C86" s="202"/>
      <c r="D86" s="202" t="s">
        <v>455</v>
      </c>
      <c r="E86" s="207">
        <v>351</v>
      </c>
      <c r="F86" s="207">
        <v>351</v>
      </c>
      <c r="G86" s="203" t="s">
        <v>451</v>
      </c>
      <c r="H86" s="203" t="s">
        <v>452</v>
      </c>
      <c r="I86" s="280"/>
      <c r="J86" s="263" t="str">
        <f t="shared" si="2"/>
        <v>도공</v>
      </c>
      <c r="K86" s="266"/>
      <c r="L86" s="265"/>
      <c r="M86" s="265"/>
      <c r="N86" s="265"/>
      <c r="O86" s="265"/>
      <c r="P86" s="265"/>
      <c r="Q86" s="265"/>
      <c r="R86" s="267"/>
    </row>
    <row r="87" spans="1:18" ht="18" customHeight="1">
      <c r="A87" s="278">
        <v>88</v>
      </c>
      <c r="B87" s="202" t="s">
        <v>1201</v>
      </c>
      <c r="C87" s="202"/>
      <c r="D87" s="202" t="s">
        <v>455</v>
      </c>
      <c r="E87" s="207">
        <v>400</v>
      </c>
      <c r="F87" s="207">
        <v>231</v>
      </c>
      <c r="G87" s="203" t="s">
        <v>511</v>
      </c>
      <c r="H87" s="203" t="s">
        <v>514</v>
      </c>
      <c r="I87" s="276"/>
      <c r="J87" s="263" t="str">
        <f t="shared" si="2"/>
        <v>도국</v>
      </c>
      <c r="K87" s="266">
        <v>67900</v>
      </c>
      <c r="L87" s="265"/>
      <c r="M87" s="265"/>
      <c r="N87" s="265"/>
      <c r="O87" s="265"/>
      <c r="P87" s="265"/>
      <c r="Q87" s="265"/>
      <c r="R87" s="267"/>
    </row>
    <row r="88" spans="1:18" ht="18" customHeight="1">
      <c r="A88" s="278">
        <v>89</v>
      </c>
      <c r="B88" s="202" t="s">
        <v>1202</v>
      </c>
      <c r="C88" s="202"/>
      <c r="D88" s="202" t="s">
        <v>459</v>
      </c>
      <c r="E88" s="207">
        <v>158</v>
      </c>
      <c r="F88" s="207">
        <v>158</v>
      </c>
      <c r="G88" s="203" t="s">
        <v>451</v>
      </c>
      <c r="H88" s="203" t="s">
        <v>452</v>
      </c>
      <c r="I88" s="276"/>
      <c r="J88" s="263" t="str">
        <f t="shared" si="2"/>
        <v>대공</v>
      </c>
      <c r="K88" s="266"/>
      <c r="L88" s="265"/>
      <c r="M88" s="265"/>
      <c r="N88" s="265"/>
      <c r="O88" s="265"/>
      <c r="P88" s="265"/>
      <c r="Q88" s="265"/>
      <c r="R88" s="267"/>
    </row>
    <row r="89" spans="1:18" ht="18" customHeight="1">
      <c r="A89" s="278">
        <v>90</v>
      </c>
      <c r="B89" s="202" t="s">
        <v>1203</v>
      </c>
      <c r="C89" s="202"/>
      <c r="D89" s="202" t="s">
        <v>455</v>
      </c>
      <c r="E89" s="207">
        <v>36</v>
      </c>
      <c r="F89" s="207">
        <v>36</v>
      </c>
      <c r="G89" s="203" t="s">
        <v>511</v>
      </c>
      <c r="H89" s="203" t="s">
        <v>514</v>
      </c>
      <c r="I89" s="276"/>
      <c r="J89" s="263" t="str">
        <f t="shared" si="2"/>
        <v>도국</v>
      </c>
      <c r="K89" s="266">
        <v>67900</v>
      </c>
      <c r="L89" s="265"/>
      <c r="M89" s="265"/>
      <c r="N89" s="265"/>
      <c r="O89" s="265"/>
      <c r="P89" s="265"/>
      <c r="Q89" s="265"/>
      <c r="R89" s="267"/>
    </row>
    <row r="90" spans="1:18" ht="18" customHeight="1">
      <c r="A90" s="278">
        <v>91</v>
      </c>
      <c r="B90" s="202" t="s">
        <v>1204</v>
      </c>
      <c r="C90" s="202"/>
      <c r="D90" s="202" t="s">
        <v>7</v>
      </c>
      <c r="E90" s="207">
        <v>682</v>
      </c>
      <c r="F90" s="207">
        <v>225</v>
      </c>
      <c r="G90" s="203" t="s">
        <v>451</v>
      </c>
      <c r="H90" s="203" t="s">
        <v>452</v>
      </c>
      <c r="I90" s="276"/>
      <c r="J90" s="263" t="str">
        <f t="shared" si="2"/>
        <v>전공</v>
      </c>
      <c r="K90" s="266">
        <v>8960</v>
      </c>
      <c r="L90" s="265"/>
      <c r="M90" s="265"/>
      <c r="N90" s="265"/>
      <c r="O90" s="265"/>
      <c r="P90" s="265"/>
      <c r="Q90" s="265"/>
      <c r="R90" s="267"/>
    </row>
    <row r="91" spans="1:18" ht="18" customHeight="1">
      <c r="A91" s="278">
        <v>92</v>
      </c>
      <c r="B91" s="202" t="s">
        <v>1205</v>
      </c>
      <c r="C91" s="202"/>
      <c r="D91" s="202" t="s">
        <v>455</v>
      </c>
      <c r="E91" s="207">
        <v>33</v>
      </c>
      <c r="F91" s="207">
        <v>33</v>
      </c>
      <c r="G91" s="203" t="s">
        <v>511</v>
      </c>
      <c r="H91" s="203" t="s">
        <v>514</v>
      </c>
      <c r="I91" s="276"/>
      <c r="J91" s="263" t="str">
        <f t="shared" si="2"/>
        <v>도국</v>
      </c>
      <c r="K91" s="266">
        <v>8960</v>
      </c>
      <c r="L91" s="265"/>
      <c r="M91" s="265"/>
      <c r="N91" s="265"/>
      <c r="O91" s="265"/>
      <c r="P91" s="265"/>
      <c r="Q91" s="265"/>
      <c r="R91" s="267"/>
    </row>
    <row r="92" spans="1:18" ht="18" customHeight="1">
      <c r="A92" s="278">
        <v>93</v>
      </c>
      <c r="B92" s="202" t="s">
        <v>1206</v>
      </c>
      <c r="C92" s="202"/>
      <c r="D92" s="202" t="s">
        <v>7</v>
      </c>
      <c r="E92" s="207">
        <v>17</v>
      </c>
      <c r="F92" s="207">
        <v>17</v>
      </c>
      <c r="G92" s="203" t="s">
        <v>451</v>
      </c>
      <c r="H92" s="203" t="s">
        <v>452</v>
      </c>
      <c r="I92" s="276"/>
      <c r="J92" s="263" t="str">
        <f t="shared" si="2"/>
        <v>전공</v>
      </c>
      <c r="K92" s="266">
        <v>7900</v>
      </c>
      <c r="L92" s="265"/>
      <c r="M92" s="265"/>
      <c r="N92" s="265"/>
      <c r="O92" s="265"/>
      <c r="P92" s="265"/>
      <c r="Q92" s="265"/>
      <c r="R92" s="267"/>
    </row>
    <row r="93" spans="1:18" ht="18" customHeight="1">
      <c r="A93" s="278">
        <v>94</v>
      </c>
      <c r="B93" s="202" t="s">
        <v>1207</v>
      </c>
      <c r="C93" s="202"/>
      <c r="D93" s="202" t="s">
        <v>571</v>
      </c>
      <c r="E93" s="207">
        <v>292</v>
      </c>
      <c r="F93" s="207">
        <v>292</v>
      </c>
      <c r="G93" s="203" t="s">
        <v>451</v>
      </c>
      <c r="H93" s="203" t="s">
        <v>452</v>
      </c>
      <c r="I93" s="276"/>
      <c r="J93" s="263" t="str">
        <f t="shared" si="2"/>
        <v>잡공</v>
      </c>
      <c r="K93" s="266">
        <v>7500</v>
      </c>
      <c r="L93" s="265"/>
      <c r="M93" s="265"/>
      <c r="N93" s="265"/>
      <c r="O93" s="265"/>
      <c r="P93" s="265"/>
      <c r="Q93" s="265"/>
      <c r="R93" s="267"/>
    </row>
    <row r="94" spans="1:18" ht="18" customHeight="1">
      <c r="A94" s="278">
        <v>95</v>
      </c>
      <c r="B94" s="202" t="s">
        <v>1208</v>
      </c>
      <c r="C94" s="202"/>
      <c r="D94" s="202" t="s">
        <v>571</v>
      </c>
      <c r="E94" s="207">
        <v>23</v>
      </c>
      <c r="F94" s="207">
        <v>23</v>
      </c>
      <c r="G94" s="203" t="s">
        <v>451</v>
      </c>
      <c r="H94" s="203" t="s">
        <v>452</v>
      </c>
      <c r="I94" s="276"/>
      <c r="J94" s="263" t="str">
        <f t="shared" si="2"/>
        <v>잡공</v>
      </c>
      <c r="K94" s="266">
        <v>7650</v>
      </c>
      <c r="L94" s="265"/>
      <c r="M94" s="265"/>
      <c r="N94" s="265"/>
      <c r="O94" s="265"/>
      <c r="P94" s="265"/>
      <c r="Q94" s="265"/>
      <c r="R94" s="267"/>
    </row>
    <row r="95" spans="1:18" ht="18" customHeight="1">
      <c r="A95" s="278">
        <v>96</v>
      </c>
      <c r="B95" s="202" t="s">
        <v>1209</v>
      </c>
      <c r="C95" s="202"/>
      <c r="D95" s="202" t="s">
        <v>7</v>
      </c>
      <c r="E95" s="207">
        <v>387</v>
      </c>
      <c r="F95" s="207">
        <v>387</v>
      </c>
      <c r="G95" s="203" t="s">
        <v>451</v>
      </c>
      <c r="H95" s="203" t="s">
        <v>452</v>
      </c>
      <c r="I95" s="276"/>
      <c r="J95" s="263" t="str">
        <f t="shared" si="2"/>
        <v>전공</v>
      </c>
      <c r="K95" s="266">
        <v>7500</v>
      </c>
      <c r="L95" s="265"/>
      <c r="M95" s="265"/>
      <c r="N95" s="265"/>
      <c r="O95" s="265"/>
      <c r="P95" s="265"/>
      <c r="Q95" s="265"/>
      <c r="R95" s="267"/>
    </row>
    <row r="96" spans="1:18" ht="18" customHeight="1">
      <c r="A96" s="278">
        <v>97</v>
      </c>
      <c r="B96" s="202" t="s">
        <v>1210</v>
      </c>
      <c r="C96" s="202"/>
      <c r="D96" s="202" t="s">
        <v>7</v>
      </c>
      <c r="E96" s="207">
        <v>33</v>
      </c>
      <c r="F96" s="207">
        <v>33</v>
      </c>
      <c r="G96" s="203" t="s">
        <v>451</v>
      </c>
      <c r="H96" s="203" t="s">
        <v>452</v>
      </c>
      <c r="I96" s="276"/>
      <c r="J96" s="263" t="str">
        <f t="shared" si="2"/>
        <v>전공</v>
      </c>
      <c r="K96" s="266">
        <v>7500</v>
      </c>
      <c r="L96" s="265"/>
      <c r="M96" s="265"/>
      <c r="N96" s="265"/>
      <c r="O96" s="265"/>
      <c r="P96" s="265"/>
      <c r="Q96" s="265"/>
      <c r="R96" s="267"/>
    </row>
    <row r="97" spans="1:18" ht="18" customHeight="1">
      <c r="A97" s="278">
        <v>98</v>
      </c>
      <c r="B97" s="202" t="s">
        <v>1211</v>
      </c>
      <c r="C97" s="202"/>
      <c r="D97" s="202" t="s">
        <v>7</v>
      </c>
      <c r="E97" s="207">
        <v>330</v>
      </c>
      <c r="F97" s="207">
        <v>330</v>
      </c>
      <c r="G97" s="203" t="s">
        <v>451</v>
      </c>
      <c r="H97" s="203" t="s">
        <v>452</v>
      </c>
      <c r="I97" s="276"/>
      <c r="J97" s="263" t="str">
        <f t="shared" si="2"/>
        <v>전공</v>
      </c>
      <c r="K97" s="266">
        <v>7930</v>
      </c>
      <c r="L97" s="265"/>
      <c r="M97" s="265"/>
      <c r="N97" s="265"/>
      <c r="O97" s="265"/>
      <c r="P97" s="265"/>
      <c r="Q97" s="265"/>
      <c r="R97" s="267"/>
    </row>
    <row r="98" spans="1:18" ht="18" customHeight="1">
      <c r="A98" s="278">
        <v>99</v>
      </c>
      <c r="B98" s="202" t="s">
        <v>1212</v>
      </c>
      <c r="C98" s="202"/>
      <c r="D98" s="202" t="s">
        <v>7</v>
      </c>
      <c r="E98" s="207">
        <v>15</v>
      </c>
      <c r="F98" s="207">
        <v>15</v>
      </c>
      <c r="G98" s="203" t="s">
        <v>451</v>
      </c>
      <c r="H98" s="203" t="s">
        <v>452</v>
      </c>
      <c r="I98" s="276"/>
      <c r="J98" s="263" t="str">
        <f t="shared" si="2"/>
        <v>전공</v>
      </c>
      <c r="K98" s="266">
        <v>2470</v>
      </c>
      <c r="L98" s="265"/>
      <c r="M98" s="265"/>
      <c r="N98" s="265"/>
      <c r="O98" s="265"/>
      <c r="P98" s="265"/>
      <c r="Q98" s="265"/>
      <c r="R98" s="267"/>
    </row>
    <row r="99" spans="1:18" ht="18" customHeight="1">
      <c r="A99" s="278">
        <v>100</v>
      </c>
      <c r="B99" s="202" t="s">
        <v>1213</v>
      </c>
      <c r="C99" s="202"/>
      <c r="D99" s="202" t="s">
        <v>7</v>
      </c>
      <c r="E99" s="207">
        <v>140</v>
      </c>
      <c r="F99" s="207">
        <v>140</v>
      </c>
      <c r="G99" s="203" t="s">
        <v>451</v>
      </c>
      <c r="H99" s="203" t="s">
        <v>452</v>
      </c>
      <c r="I99" s="276"/>
      <c r="J99" s="263" t="str">
        <f t="shared" si="2"/>
        <v>전공</v>
      </c>
      <c r="K99" s="266">
        <v>7930</v>
      </c>
      <c r="L99" s="265"/>
      <c r="M99" s="265"/>
      <c r="N99" s="265"/>
      <c r="O99" s="265"/>
      <c r="P99" s="265"/>
      <c r="Q99" s="265"/>
      <c r="R99" s="267"/>
    </row>
    <row r="100" spans="1:18" ht="18" customHeight="1">
      <c r="A100" s="278">
        <v>101</v>
      </c>
      <c r="B100" s="202" t="s">
        <v>1214</v>
      </c>
      <c r="C100" s="202"/>
      <c r="D100" s="202" t="s">
        <v>93</v>
      </c>
      <c r="E100" s="207">
        <v>43</v>
      </c>
      <c r="F100" s="207">
        <v>43</v>
      </c>
      <c r="G100" s="203" t="s">
        <v>451</v>
      </c>
      <c r="H100" s="203" t="s">
        <v>452</v>
      </c>
      <c r="I100" s="276"/>
      <c r="J100" s="263" t="str">
        <f t="shared" si="2"/>
        <v>임공</v>
      </c>
      <c r="K100" s="266">
        <v>8880</v>
      </c>
      <c r="L100" s="265"/>
      <c r="M100" s="265"/>
      <c r="N100" s="265"/>
      <c r="O100" s="265"/>
      <c r="P100" s="265"/>
      <c r="Q100" s="265"/>
      <c r="R100" s="267"/>
    </row>
    <row r="101" spans="1:18" ht="18" customHeight="1">
      <c r="A101" s="278">
        <v>102</v>
      </c>
      <c r="B101" s="202" t="s">
        <v>1215</v>
      </c>
      <c r="C101" s="202"/>
      <c r="D101" s="202" t="s">
        <v>455</v>
      </c>
      <c r="E101" s="207">
        <v>110</v>
      </c>
      <c r="F101" s="207">
        <v>110</v>
      </c>
      <c r="G101" s="203" t="s">
        <v>451</v>
      </c>
      <c r="H101" s="203" t="s">
        <v>452</v>
      </c>
      <c r="I101" s="276"/>
      <c r="J101" s="263" t="str">
        <f t="shared" si="2"/>
        <v>도공</v>
      </c>
      <c r="K101" s="266">
        <v>8160</v>
      </c>
      <c r="L101" s="265"/>
      <c r="M101" s="265"/>
      <c r="N101" s="265"/>
      <c r="O101" s="265"/>
      <c r="P101" s="265"/>
      <c r="Q101" s="265"/>
      <c r="R101" s="267"/>
    </row>
    <row r="102" spans="1:18" ht="18" customHeight="1">
      <c r="A102" s="278">
        <v>103</v>
      </c>
      <c r="B102" s="202" t="s">
        <v>1216</v>
      </c>
      <c r="C102" s="202"/>
      <c r="D102" s="202" t="s">
        <v>93</v>
      </c>
      <c r="E102" s="207">
        <v>28</v>
      </c>
      <c r="F102" s="207">
        <v>28</v>
      </c>
      <c r="G102" s="203" t="s">
        <v>451</v>
      </c>
      <c r="H102" s="203" t="s">
        <v>452</v>
      </c>
      <c r="I102" s="276"/>
      <c r="J102" s="263" t="str">
        <f t="shared" ref="J102:J133" si="3">CONCATENATE(D102,G102)</f>
        <v>임공</v>
      </c>
      <c r="K102" s="266">
        <v>2470</v>
      </c>
      <c r="L102" s="265"/>
      <c r="M102" s="265"/>
      <c r="N102" s="265"/>
      <c r="O102" s="265"/>
      <c r="P102" s="265"/>
      <c r="Q102" s="265"/>
      <c r="R102" s="267"/>
    </row>
    <row r="103" spans="1:18" ht="18" customHeight="1">
      <c r="A103" s="278">
        <v>104</v>
      </c>
      <c r="B103" s="202" t="s">
        <v>1217</v>
      </c>
      <c r="C103" s="202"/>
      <c r="D103" s="202" t="s">
        <v>7</v>
      </c>
      <c r="E103" s="207">
        <v>214</v>
      </c>
      <c r="F103" s="207">
        <v>214</v>
      </c>
      <c r="G103" s="203" t="s">
        <v>451</v>
      </c>
      <c r="H103" s="203" t="s">
        <v>452</v>
      </c>
      <c r="I103" s="276"/>
      <c r="J103" s="263" t="str">
        <f t="shared" si="3"/>
        <v>전공</v>
      </c>
      <c r="K103" s="266">
        <v>14200</v>
      </c>
      <c r="L103" s="265"/>
      <c r="M103" s="265"/>
      <c r="N103" s="265"/>
      <c r="O103" s="265"/>
      <c r="P103" s="265"/>
      <c r="Q103" s="265"/>
      <c r="R103" s="267"/>
    </row>
    <row r="104" spans="1:18" ht="18" customHeight="1">
      <c r="A104" s="278">
        <v>105</v>
      </c>
      <c r="B104" s="202" t="s">
        <v>1218</v>
      </c>
      <c r="C104" s="202"/>
      <c r="D104" s="202" t="s">
        <v>93</v>
      </c>
      <c r="E104" s="207">
        <v>265</v>
      </c>
      <c r="F104" s="207">
        <v>265</v>
      </c>
      <c r="G104" s="203" t="s">
        <v>451</v>
      </c>
      <c r="H104" s="203" t="s">
        <v>452</v>
      </c>
      <c r="I104" s="205"/>
      <c r="J104" s="263" t="str">
        <f t="shared" si="3"/>
        <v>임공</v>
      </c>
      <c r="K104" s="266"/>
      <c r="L104" s="265"/>
      <c r="M104" s="265"/>
      <c r="N104" s="265"/>
      <c r="O104" s="265"/>
      <c r="P104" s="265"/>
      <c r="Q104" s="265"/>
      <c r="R104" s="267"/>
    </row>
    <row r="105" spans="1:18" ht="18" customHeight="1">
      <c r="A105" s="278">
        <v>106</v>
      </c>
      <c r="B105" s="202" t="s">
        <v>1219</v>
      </c>
      <c r="C105" s="202"/>
      <c r="D105" s="202" t="s">
        <v>455</v>
      </c>
      <c r="E105" s="207">
        <v>370</v>
      </c>
      <c r="F105" s="207">
        <v>370</v>
      </c>
      <c r="G105" s="203" t="s">
        <v>451</v>
      </c>
      <c r="H105" s="203" t="s">
        <v>452</v>
      </c>
      <c r="I105" s="205"/>
      <c r="J105" s="263" t="str">
        <f t="shared" si="3"/>
        <v>도공</v>
      </c>
      <c r="K105" s="266">
        <v>74300</v>
      </c>
      <c r="L105" s="265"/>
      <c r="M105" s="265"/>
      <c r="N105" s="265"/>
      <c r="O105" s="265"/>
      <c r="P105" s="265"/>
      <c r="Q105" s="265"/>
      <c r="R105" s="267"/>
    </row>
    <row r="106" spans="1:18" ht="18" customHeight="1">
      <c r="A106" s="278">
        <v>107</v>
      </c>
      <c r="B106" s="202" t="s">
        <v>1220</v>
      </c>
      <c r="C106" s="202"/>
      <c r="D106" s="202" t="s">
        <v>7</v>
      </c>
      <c r="E106" s="207">
        <v>2422</v>
      </c>
      <c r="F106" s="207">
        <v>2422</v>
      </c>
      <c r="G106" s="203" t="s">
        <v>451</v>
      </c>
      <c r="H106" s="203" t="s">
        <v>452</v>
      </c>
      <c r="I106" s="205"/>
      <c r="J106" s="263" t="str">
        <f t="shared" si="3"/>
        <v>전공</v>
      </c>
      <c r="K106" s="264"/>
      <c r="L106" s="265"/>
      <c r="M106" s="265"/>
      <c r="N106" s="265"/>
      <c r="O106" s="265"/>
      <c r="P106" s="265"/>
      <c r="Q106" s="265"/>
      <c r="R106" s="265"/>
    </row>
    <row r="107" spans="1:18" ht="18" customHeight="1">
      <c r="A107" s="278">
        <v>108</v>
      </c>
      <c r="B107" s="202" t="s">
        <v>1221</v>
      </c>
      <c r="C107" s="202"/>
      <c r="D107" s="202" t="s">
        <v>455</v>
      </c>
      <c r="E107" s="207">
        <v>770</v>
      </c>
      <c r="F107" s="207">
        <v>489</v>
      </c>
      <c r="G107" s="203" t="s">
        <v>451</v>
      </c>
      <c r="H107" s="203" t="s">
        <v>452</v>
      </c>
      <c r="I107" s="205"/>
      <c r="J107" s="263" t="str">
        <f t="shared" si="3"/>
        <v>도공</v>
      </c>
      <c r="K107" s="264"/>
      <c r="L107" s="265"/>
      <c r="M107" s="265"/>
      <c r="N107" s="265"/>
      <c r="O107" s="265"/>
      <c r="P107" s="265"/>
      <c r="Q107" s="265"/>
      <c r="R107" s="265"/>
    </row>
    <row r="108" spans="1:18" ht="18" customHeight="1">
      <c r="A108" s="278">
        <v>109</v>
      </c>
      <c r="B108" s="202" t="s">
        <v>1222</v>
      </c>
      <c r="C108" s="202"/>
      <c r="D108" s="202" t="s">
        <v>459</v>
      </c>
      <c r="E108" s="207">
        <v>285</v>
      </c>
      <c r="F108" s="207">
        <v>285</v>
      </c>
      <c r="G108" s="203" t="s">
        <v>451</v>
      </c>
      <c r="H108" s="203" t="s">
        <v>452</v>
      </c>
      <c r="I108" s="205"/>
      <c r="J108" s="263" t="str">
        <f t="shared" si="3"/>
        <v>대공</v>
      </c>
      <c r="K108" s="264"/>
      <c r="L108" s="265"/>
      <c r="M108" s="265"/>
      <c r="N108" s="265"/>
      <c r="O108" s="265"/>
      <c r="P108" s="265"/>
      <c r="Q108" s="265"/>
      <c r="R108" s="265"/>
    </row>
    <row r="109" spans="1:18" ht="18" customHeight="1">
      <c r="A109" s="278">
        <v>110</v>
      </c>
      <c r="B109" s="202" t="s">
        <v>1223</v>
      </c>
      <c r="C109" s="202"/>
      <c r="D109" s="202" t="s">
        <v>455</v>
      </c>
      <c r="E109" s="207">
        <v>196</v>
      </c>
      <c r="F109" s="207">
        <v>196</v>
      </c>
      <c r="G109" s="203" t="s">
        <v>451</v>
      </c>
      <c r="H109" s="203" t="s">
        <v>452</v>
      </c>
      <c r="I109" s="205"/>
      <c r="J109" s="263" t="str">
        <f t="shared" si="3"/>
        <v>도공</v>
      </c>
      <c r="K109" s="264">
        <v>74300</v>
      </c>
      <c r="L109" s="265"/>
      <c r="M109" s="265"/>
      <c r="N109" s="265"/>
      <c r="O109" s="265"/>
      <c r="P109" s="265"/>
      <c r="Q109" s="265"/>
      <c r="R109" s="265"/>
    </row>
    <row r="110" spans="1:18" ht="18" customHeight="1">
      <c r="A110" s="278">
        <v>111</v>
      </c>
      <c r="B110" s="202" t="s">
        <v>1057</v>
      </c>
      <c r="C110" s="202"/>
      <c r="D110" s="202" t="s">
        <v>455</v>
      </c>
      <c r="E110" s="207">
        <v>592</v>
      </c>
      <c r="F110" s="207">
        <v>592</v>
      </c>
      <c r="G110" s="203" t="s">
        <v>451</v>
      </c>
      <c r="H110" s="203" t="s">
        <v>452</v>
      </c>
      <c r="I110" s="205"/>
      <c r="J110" s="263" t="str">
        <f t="shared" si="3"/>
        <v>도공</v>
      </c>
      <c r="K110" s="264">
        <v>92300</v>
      </c>
      <c r="L110" s="265"/>
      <c r="M110" s="265"/>
      <c r="N110" s="265"/>
      <c r="O110" s="265"/>
      <c r="P110" s="265"/>
      <c r="Q110" s="265"/>
      <c r="R110" s="265"/>
    </row>
    <row r="111" spans="1:18" ht="18" customHeight="1">
      <c r="A111" s="278">
        <v>112</v>
      </c>
      <c r="B111" s="202" t="s">
        <v>1224</v>
      </c>
      <c r="C111" s="202"/>
      <c r="D111" s="202" t="s">
        <v>455</v>
      </c>
      <c r="E111" s="207">
        <v>1602</v>
      </c>
      <c r="F111" s="207">
        <v>68</v>
      </c>
      <c r="G111" s="203" t="s">
        <v>451</v>
      </c>
      <c r="H111" s="203" t="s">
        <v>452</v>
      </c>
      <c r="I111" s="205"/>
      <c r="J111" s="263" t="str">
        <f t="shared" si="3"/>
        <v>도공</v>
      </c>
      <c r="K111" s="264"/>
      <c r="L111" s="265"/>
      <c r="M111" s="265"/>
      <c r="N111" s="265"/>
      <c r="O111" s="265"/>
      <c r="P111" s="265"/>
      <c r="Q111" s="265"/>
      <c r="R111" s="265"/>
    </row>
    <row r="112" spans="1:18" ht="18" customHeight="1">
      <c r="A112" s="278">
        <v>113</v>
      </c>
      <c r="B112" s="202" t="s">
        <v>1225</v>
      </c>
      <c r="C112" s="202"/>
      <c r="D112" s="202" t="s">
        <v>459</v>
      </c>
      <c r="E112" s="207">
        <v>31</v>
      </c>
      <c r="F112" s="207">
        <v>31</v>
      </c>
      <c r="G112" s="203" t="s">
        <v>451</v>
      </c>
      <c r="H112" s="203" t="s">
        <v>452</v>
      </c>
      <c r="I112" s="205"/>
      <c r="J112" s="263" t="str">
        <f t="shared" si="3"/>
        <v>대공</v>
      </c>
      <c r="K112" s="264"/>
      <c r="L112" s="265"/>
      <c r="M112" s="265"/>
      <c r="N112" s="265"/>
      <c r="O112" s="265"/>
      <c r="P112" s="265"/>
      <c r="Q112" s="265"/>
      <c r="R112" s="265"/>
    </row>
    <row r="113" spans="1:21" ht="18" customHeight="1">
      <c r="A113" s="278">
        <v>114</v>
      </c>
      <c r="B113" s="202" t="s">
        <v>1226</v>
      </c>
      <c r="C113" s="202"/>
      <c r="D113" s="202" t="s">
        <v>571</v>
      </c>
      <c r="E113" s="207">
        <v>32</v>
      </c>
      <c r="F113" s="207">
        <v>32</v>
      </c>
      <c r="G113" s="203" t="s">
        <v>451</v>
      </c>
      <c r="H113" s="203" t="s">
        <v>452</v>
      </c>
      <c r="I113" s="205"/>
      <c r="J113" s="263" t="str">
        <f t="shared" si="3"/>
        <v>잡공</v>
      </c>
      <c r="K113" s="264"/>
      <c r="L113" s="265"/>
      <c r="M113" s="265"/>
      <c r="N113" s="265"/>
      <c r="O113" s="265"/>
      <c r="P113" s="265"/>
      <c r="Q113" s="265"/>
      <c r="R113" s="265"/>
    </row>
    <row r="114" spans="1:21" ht="18" customHeight="1">
      <c r="A114" s="278">
        <v>115</v>
      </c>
      <c r="B114" s="202" t="s">
        <v>1227</v>
      </c>
      <c r="C114" s="202"/>
      <c r="D114" s="202" t="s">
        <v>93</v>
      </c>
      <c r="E114" s="207">
        <v>2344</v>
      </c>
      <c r="F114" s="207">
        <v>63</v>
      </c>
      <c r="G114" s="203" t="s">
        <v>451</v>
      </c>
      <c r="H114" s="203" t="s">
        <v>452</v>
      </c>
      <c r="I114" s="205"/>
      <c r="J114" s="263" t="str">
        <f t="shared" si="3"/>
        <v>임공</v>
      </c>
      <c r="K114" s="264"/>
      <c r="L114" s="265"/>
      <c r="M114" s="265"/>
      <c r="N114" s="265"/>
      <c r="O114" s="265"/>
      <c r="P114" s="265"/>
      <c r="Q114" s="265"/>
      <c r="R114" s="265"/>
    </row>
    <row r="115" spans="1:21" ht="18" customHeight="1">
      <c r="A115" s="278">
        <v>116</v>
      </c>
      <c r="B115" s="202" t="s">
        <v>1228</v>
      </c>
      <c r="C115" s="202"/>
      <c r="D115" s="202" t="s">
        <v>455</v>
      </c>
      <c r="E115" s="207">
        <v>606</v>
      </c>
      <c r="F115" s="207">
        <v>53</v>
      </c>
      <c r="G115" s="203" t="s">
        <v>511</v>
      </c>
      <c r="H115" s="203" t="s">
        <v>514</v>
      </c>
      <c r="I115" s="205"/>
      <c r="J115" s="263" t="str">
        <f t="shared" si="3"/>
        <v>도국</v>
      </c>
      <c r="K115" s="264"/>
      <c r="L115" s="265"/>
      <c r="M115" s="265"/>
      <c r="N115" s="265"/>
      <c r="O115" s="265"/>
      <c r="P115" s="265"/>
      <c r="Q115" s="265"/>
      <c r="R115" s="265"/>
    </row>
    <row r="116" spans="1:21" ht="18" customHeight="1">
      <c r="A116" s="278">
        <v>117</v>
      </c>
      <c r="B116" s="202" t="s">
        <v>1229</v>
      </c>
      <c r="C116" s="202"/>
      <c r="D116" s="202" t="s">
        <v>455</v>
      </c>
      <c r="E116" s="207">
        <v>401</v>
      </c>
      <c r="F116" s="207">
        <v>24</v>
      </c>
      <c r="G116" s="203" t="s">
        <v>511</v>
      </c>
      <c r="H116" s="203" t="s">
        <v>514</v>
      </c>
      <c r="I116" s="205"/>
      <c r="J116" s="263" t="str">
        <f t="shared" si="3"/>
        <v>도국</v>
      </c>
      <c r="K116" s="264"/>
      <c r="L116" s="265"/>
      <c r="M116" s="265"/>
      <c r="N116" s="265"/>
      <c r="O116" s="265"/>
      <c r="P116" s="265"/>
      <c r="Q116" s="265"/>
      <c r="R116" s="265"/>
    </row>
    <row r="117" spans="1:21" ht="18" customHeight="1">
      <c r="A117" s="278">
        <v>118</v>
      </c>
      <c r="B117" s="202" t="s">
        <v>1230</v>
      </c>
      <c r="C117" s="202"/>
      <c r="D117" s="202" t="s">
        <v>455</v>
      </c>
      <c r="E117" s="207">
        <v>394</v>
      </c>
      <c r="F117" s="207">
        <v>394</v>
      </c>
      <c r="G117" s="203" t="s">
        <v>511</v>
      </c>
      <c r="H117" s="203" t="s">
        <v>514</v>
      </c>
      <c r="I117" s="205"/>
      <c r="J117" s="263" t="str">
        <f t="shared" si="3"/>
        <v>도국</v>
      </c>
      <c r="K117" s="264"/>
      <c r="L117" s="265"/>
      <c r="M117" s="265"/>
      <c r="N117" s="265"/>
      <c r="O117" s="265"/>
      <c r="P117" s="265"/>
      <c r="Q117" s="265"/>
      <c r="R117" s="265"/>
    </row>
    <row r="118" spans="1:21" ht="18" customHeight="1">
      <c r="A118" s="278">
        <v>119</v>
      </c>
      <c r="B118" s="202" t="s">
        <v>1231</v>
      </c>
      <c r="C118" s="202"/>
      <c r="D118" s="202" t="s">
        <v>93</v>
      </c>
      <c r="E118" s="207">
        <v>2099</v>
      </c>
      <c r="F118" s="207">
        <v>1136</v>
      </c>
      <c r="G118" s="203" t="s">
        <v>451</v>
      </c>
      <c r="H118" s="203" t="s">
        <v>452</v>
      </c>
      <c r="I118" s="205"/>
      <c r="J118" s="263" t="str">
        <f t="shared" si="3"/>
        <v>임공</v>
      </c>
      <c r="K118" s="264"/>
      <c r="L118" s="265"/>
      <c r="M118" s="265"/>
      <c r="N118" s="265"/>
      <c r="O118" s="265"/>
      <c r="P118" s="265"/>
      <c r="Q118" s="265"/>
      <c r="R118" s="265"/>
    </row>
    <row r="119" spans="1:21" ht="18" customHeight="1">
      <c r="A119" s="278">
        <v>120</v>
      </c>
      <c r="B119" s="202" t="s">
        <v>1232</v>
      </c>
      <c r="C119" s="202"/>
      <c r="D119" s="202" t="s">
        <v>93</v>
      </c>
      <c r="E119" s="207">
        <v>85</v>
      </c>
      <c r="F119" s="207">
        <v>85</v>
      </c>
      <c r="G119" s="203" t="s">
        <v>451</v>
      </c>
      <c r="H119" s="203" t="s">
        <v>452</v>
      </c>
      <c r="I119" s="205"/>
      <c r="J119" s="263" t="str">
        <f t="shared" si="3"/>
        <v>임공</v>
      </c>
      <c r="K119" s="264"/>
      <c r="L119" s="265"/>
      <c r="M119" s="265"/>
      <c r="N119" s="265"/>
      <c r="O119" s="265"/>
      <c r="P119" s="265"/>
      <c r="Q119" s="265"/>
      <c r="R119" s="265"/>
    </row>
    <row r="120" spans="1:21" ht="18" customHeight="1">
      <c r="A120" s="278">
        <v>121</v>
      </c>
      <c r="B120" s="202" t="s">
        <v>1233</v>
      </c>
      <c r="C120" s="202"/>
      <c r="D120" s="202" t="s">
        <v>93</v>
      </c>
      <c r="E120" s="207">
        <v>601</v>
      </c>
      <c r="F120" s="207">
        <v>601</v>
      </c>
      <c r="G120" s="203" t="s">
        <v>451</v>
      </c>
      <c r="H120" s="203" t="s">
        <v>452</v>
      </c>
      <c r="I120" s="205"/>
      <c r="J120" s="263" t="str">
        <f t="shared" si="3"/>
        <v>임공</v>
      </c>
      <c r="K120" s="264"/>
      <c r="L120" s="265"/>
      <c r="M120" s="265"/>
      <c r="N120" s="265"/>
      <c r="O120" s="265"/>
      <c r="P120" s="265"/>
      <c r="Q120" s="265"/>
      <c r="R120" s="265"/>
    </row>
    <row r="121" spans="1:21" ht="18" customHeight="1">
      <c r="A121" s="278">
        <v>122</v>
      </c>
      <c r="B121" s="202" t="s">
        <v>1234</v>
      </c>
      <c r="C121" s="202"/>
      <c r="D121" s="202" t="s">
        <v>455</v>
      </c>
      <c r="E121" s="207">
        <v>172</v>
      </c>
      <c r="F121" s="207">
        <v>172</v>
      </c>
      <c r="G121" s="203" t="s">
        <v>451</v>
      </c>
      <c r="H121" s="203" t="s">
        <v>452</v>
      </c>
      <c r="I121" s="205"/>
      <c r="J121" s="263" t="str">
        <f t="shared" si="3"/>
        <v>도공</v>
      </c>
      <c r="K121" s="266"/>
      <c r="L121" s="265"/>
      <c r="M121" s="265"/>
      <c r="N121" s="265"/>
      <c r="O121" s="265"/>
      <c r="P121" s="265"/>
      <c r="Q121" s="265"/>
      <c r="R121" s="267"/>
    </row>
    <row r="122" spans="1:21" ht="18" customHeight="1">
      <c r="A122" s="278">
        <v>123</v>
      </c>
      <c r="B122" s="202" t="s">
        <v>1235</v>
      </c>
      <c r="C122" s="202"/>
      <c r="D122" s="202" t="s">
        <v>459</v>
      </c>
      <c r="E122" s="207">
        <v>104</v>
      </c>
      <c r="F122" s="207">
        <v>104</v>
      </c>
      <c r="G122" s="203" t="s">
        <v>451</v>
      </c>
      <c r="H122" s="203" t="s">
        <v>452</v>
      </c>
      <c r="I122" s="205"/>
      <c r="J122" s="263" t="str">
        <f t="shared" si="3"/>
        <v>대공</v>
      </c>
      <c r="K122" s="266"/>
      <c r="L122" s="265"/>
      <c r="M122" s="265"/>
      <c r="N122" s="265"/>
      <c r="O122" s="265"/>
      <c r="P122" s="265"/>
      <c r="Q122" s="265"/>
      <c r="R122" s="267"/>
    </row>
    <row r="123" spans="1:21" ht="18" customHeight="1">
      <c r="A123" s="278">
        <v>124</v>
      </c>
      <c r="B123" s="202" t="s">
        <v>1236</v>
      </c>
      <c r="C123" s="202"/>
      <c r="D123" s="202" t="s">
        <v>459</v>
      </c>
      <c r="E123" s="207">
        <v>83</v>
      </c>
      <c r="F123" s="207">
        <v>83</v>
      </c>
      <c r="G123" s="203" t="s">
        <v>451</v>
      </c>
      <c r="H123" s="203" t="s">
        <v>452</v>
      </c>
      <c r="I123" s="205"/>
      <c r="J123" s="263" t="str">
        <f t="shared" si="3"/>
        <v>대공</v>
      </c>
      <c r="K123" s="266"/>
      <c r="L123" s="265"/>
      <c r="M123" s="265"/>
      <c r="N123" s="265"/>
      <c r="O123" s="265"/>
      <c r="P123" s="265"/>
      <c r="Q123" s="265"/>
      <c r="R123" s="267"/>
    </row>
    <row r="124" spans="1:21" ht="18" customHeight="1">
      <c r="A124" s="278">
        <v>125</v>
      </c>
      <c r="B124" s="202" t="s">
        <v>1237</v>
      </c>
      <c r="C124" s="202"/>
      <c r="D124" s="202" t="s">
        <v>455</v>
      </c>
      <c r="E124" s="207">
        <v>122</v>
      </c>
      <c r="F124" s="207">
        <v>122</v>
      </c>
      <c r="G124" s="203" t="s">
        <v>451</v>
      </c>
      <c r="H124" s="203" t="s">
        <v>452</v>
      </c>
      <c r="I124" s="205"/>
      <c r="J124" s="263" t="str">
        <f t="shared" si="3"/>
        <v>도공</v>
      </c>
      <c r="K124" s="266"/>
      <c r="L124" s="265"/>
      <c r="M124" s="265"/>
      <c r="N124" s="265"/>
      <c r="O124" s="265"/>
      <c r="P124" s="265"/>
      <c r="Q124" s="265"/>
      <c r="R124" s="267"/>
    </row>
    <row r="125" spans="1:21" ht="18" customHeight="1">
      <c r="A125" s="278">
        <v>126</v>
      </c>
      <c r="B125" s="202" t="s">
        <v>1238</v>
      </c>
      <c r="C125" s="202"/>
      <c r="D125" s="202" t="s">
        <v>455</v>
      </c>
      <c r="E125" s="207">
        <v>15</v>
      </c>
      <c r="F125" s="207">
        <v>15</v>
      </c>
      <c r="G125" s="203" t="s">
        <v>511</v>
      </c>
      <c r="H125" s="203" t="s">
        <v>514</v>
      </c>
      <c r="I125" s="205"/>
      <c r="J125" s="263" t="str">
        <f t="shared" si="3"/>
        <v>도국</v>
      </c>
      <c r="K125" s="264"/>
      <c r="L125" s="265"/>
      <c r="M125" s="265"/>
      <c r="N125" s="265"/>
      <c r="O125" s="265"/>
      <c r="P125" s="265"/>
      <c r="Q125" s="265"/>
      <c r="R125" s="284"/>
      <c r="S125" s="265"/>
      <c r="T125" s="265"/>
      <c r="U125" s="265"/>
    </row>
    <row r="126" spans="1:21" ht="18" customHeight="1">
      <c r="A126" s="278">
        <v>127</v>
      </c>
      <c r="B126" s="202" t="s">
        <v>1239</v>
      </c>
      <c r="C126" s="202"/>
      <c r="D126" s="202" t="s">
        <v>455</v>
      </c>
      <c r="E126" s="207">
        <v>813</v>
      </c>
      <c r="F126" s="207">
        <v>813</v>
      </c>
      <c r="G126" s="203" t="s">
        <v>451</v>
      </c>
      <c r="H126" s="203" t="s">
        <v>452</v>
      </c>
      <c r="I126" s="205"/>
      <c r="J126" s="263" t="str">
        <f t="shared" si="3"/>
        <v>도공</v>
      </c>
      <c r="K126" s="264"/>
      <c r="L126" s="265"/>
      <c r="M126" s="265"/>
      <c r="N126" s="265"/>
      <c r="O126" s="265"/>
      <c r="P126" s="265"/>
      <c r="Q126" s="265"/>
      <c r="R126" s="265"/>
    </row>
    <row r="127" spans="1:21" ht="18" customHeight="1">
      <c r="A127" s="278">
        <v>128</v>
      </c>
      <c r="B127" s="202" t="s">
        <v>1240</v>
      </c>
      <c r="C127" s="202"/>
      <c r="D127" s="202" t="s">
        <v>7</v>
      </c>
      <c r="E127" s="207">
        <v>264</v>
      </c>
      <c r="F127" s="207">
        <v>264</v>
      </c>
      <c r="G127" s="203" t="s">
        <v>451</v>
      </c>
      <c r="H127" s="203" t="s">
        <v>452</v>
      </c>
      <c r="I127" s="205"/>
      <c r="J127" s="263" t="str">
        <f t="shared" si="3"/>
        <v>전공</v>
      </c>
      <c r="K127" s="264"/>
      <c r="L127" s="265"/>
      <c r="M127" s="265"/>
      <c r="N127" s="265"/>
      <c r="O127" s="265"/>
      <c r="P127" s="265"/>
      <c r="Q127" s="265"/>
      <c r="R127" s="265"/>
    </row>
    <row r="128" spans="1:21" ht="18" customHeight="1">
      <c r="A128" s="278">
        <v>129</v>
      </c>
      <c r="B128" s="202" t="s">
        <v>1241</v>
      </c>
      <c r="C128" s="202"/>
      <c r="D128" s="202" t="s">
        <v>7</v>
      </c>
      <c r="E128" s="207">
        <v>6</v>
      </c>
      <c r="F128" s="207">
        <v>6</v>
      </c>
      <c r="G128" s="203" t="s">
        <v>451</v>
      </c>
      <c r="H128" s="203" t="s">
        <v>452</v>
      </c>
      <c r="I128" s="205"/>
      <c r="J128" s="263" t="str">
        <f t="shared" si="3"/>
        <v>전공</v>
      </c>
      <c r="K128" s="264"/>
      <c r="L128" s="265"/>
      <c r="M128" s="265"/>
      <c r="N128" s="265"/>
      <c r="O128" s="265"/>
      <c r="P128" s="265"/>
      <c r="Q128" s="265"/>
      <c r="R128" s="265"/>
    </row>
    <row r="129" spans="1:18" ht="18" customHeight="1">
      <c r="A129" s="278">
        <v>130</v>
      </c>
      <c r="B129" s="202" t="s">
        <v>1242</v>
      </c>
      <c r="C129" s="202"/>
      <c r="D129" s="202" t="s">
        <v>7</v>
      </c>
      <c r="E129" s="207">
        <v>2</v>
      </c>
      <c r="F129" s="207">
        <v>2</v>
      </c>
      <c r="G129" s="203" t="s">
        <v>451</v>
      </c>
      <c r="H129" s="203" t="s">
        <v>452</v>
      </c>
      <c r="I129" s="205"/>
      <c r="J129" s="263" t="str">
        <f t="shared" si="3"/>
        <v>전공</v>
      </c>
      <c r="K129" s="264"/>
      <c r="L129" s="265"/>
      <c r="M129" s="265"/>
      <c r="N129" s="265"/>
      <c r="O129" s="265"/>
      <c r="P129" s="265"/>
      <c r="Q129" s="265"/>
      <c r="R129" s="265"/>
    </row>
    <row r="130" spans="1:18" ht="18" customHeight="1">
      <c r="A130" s="278">
        <v>131</v>
      </c>
      <c r="B130" s="202" t="s">
        <v>681</v>
      </c>
      <c r="C130" s="202"/>
      <c r="D130" s="202" t="s">
        <v>7</v>
      </c>
      <c r="E130" s="207">
        <v>2</v>
      </c>
      <c r="F130" s="207">
        <v>2</v>
      </c>
      <c r="G130" s="203" t="s">
        <v>451</v>
      </c>
      <c r="H130" s="203" t="s">
        <v>452</v>
      </c>
      <c r="I130" s="205"/>
      <c r="J130" s="263" t="str">
        <f t="shared" si="3"/>
        <v>전공</v>
      </c>
      <c r="K130" s="264"/>
      <c r="L130" s="265"/>
      <c r="M130" s="265"/>
      <c r="N130" s="265"/>
      <c r="O130" s="265"/>
      <c r="P130" s="265"/>
      <c r="Q130" s="265"/>
      <c r="R130" s="265"/>
    </row>
    <row r="131" spans="1:18" ht="18" customHeight="1">
      <c r="A131" s="278">
        <v>132</v>
      </c>
      <c r="B131" s="202" t="s">
        <v>1243</v>
      </c>
      <c r="C131" s="202"/>
      <c r="D131" s="202" t="s">
        <v>455</v>
      </c>
      <c r="E131" s="207">
        <v>37</v>
      </c>
      <c r="F131" s="207">
        <v>37</v>
      </c>
      <c r="G131" s="203" t="s">
        <v>511</v>
      </c>
      <c r="H131" s="203" t="s">
        <v>514</v>
      </c>
      <c r="I131" s="205"/>
      <c r="J131" s="263" t="str">
        <f t="shared" si="3"/>
        <v>도국</v>
      </c>
      <c r="K131" s="264"/>
      <c r="L131" s="265"/>
      <c r="M131" s="265"/>
      <c r="N131" s="265"/>
      <c r="O131" s="265"/>
      <c r="P131" s="265"/>
      <c r="Q131" s="265"/>
      <c r="R131" s="265"/>
    </row>
    <row r="132" spans="1:18" ht="18" customHeight="1">
      <c r="A132" s="278">
        <v>133</v>
      </c>
      <c r="B132" s="202" t="s">
        <v>685</v>
      </c>
      <c r="C132" s="202"/>
      <c r="D132" s="202" t="s">
        <v>7</v>
      </c>
      <c r="E132" s="207">
        <v>183</v>
      </c>
      <c r="F132" s="207">
        <v>95</v>
      </c>
      <c r="G132" s="203" t="s">
        <v>451</v>
      </c>
      <c r="H132" s="203" t="s">
        <v>452</v>
      </c>
      <c r="I132" s="205"/>
      <c r="J132" s="263" t="str">
        <f t="shared" si="3"/>
        <v>전공</v>
      </c>
      <c r="K132" s="264"/>
      <c r="L132" s="265"/>
      <c r="M132" s="265"/>
      <c r="N132" s="265"/>
      <c r="O132" s="265"/>
      <c r="P132" s="265"/>
      <c r="Q132" s="265"/>
      <c r="R132" s="265"/>
    </row>
    <row r="133" spans="1:18" ht="18" customHeight="1">
      <c r="A133" s="278">
        <v>134</v>
      </c>
      <c r="B133" s="202" t="s">
        <v>687</v>
      </c>
      <c r="C133" s="202"/>
      <c r="D133" s="202" t="s">
        <v>7</v>
      </c>
      <c r="E133" s="207">
        <v>13</v>
      </c>
      <c r="F133" s="207">
        <v>13</v>
      </c>
      <c r="G133" s="203" t="s">
        <v>451</v>
      </c>
      <c r="H133" s="203" t="s">
        <v>452</v>
      </c>
      <c r="I133" s="205"/>
      <c r="J133" s="263" t="str">
        <f t="shared" si="3"/>
        <v>전공</v>
      </c>
      <c r="K133" s="264"/>
      <c r="L133" s="265"/>
      <c r="M133" s="265"/>
      <c r="N133" s="265"/>
      <c r="O133" s="265"/>
      <c r="P133" s="265"/>
      <c r="Q133" s="265"/>
      <c r="R133" s="265"/>
    </row>
    <row r="134" spans="1:18" ht="18" customHeight="1">
      <c r="A134" s="278">
        <v>135</v>
      </c>
      <c r="B134" s="202" t="s">
        <v>1244</v>
      </c>
      <c r="C134" s="202"/>
      <c r="D134" s="202" t="s">
        <v>7</v>
      </c>
      <c r="E134" s="207">
        <v>646</v>
      </c>
      <c r="F134" s="207">
        <v>285</v>
      </c>
      <c r="G134" s="203" t="s">
        <v>451</v>
      </c>
      <c r="H134" s="203" t="s">
        <v>452</v>
      </c>
      <c r="I134" s="205"/>
      <c r="J134" s="263" t="str">
        <f t="shared" ref="J134:J162" si="4">CONCATENATE(D134,G134)</f>
        <v>전공</v>
      </c>
      <c r="K134" s="264"/>
      <c r="L134" s="265"/>
      <c r="M134" s="265"/>
      <c r="N134" s="265"/>
      <c r="O134" s="265"/>
      <c r="P134" s="265"/>
      <c r="Q134" s="265"/>
      <c r="R134" s="265"/>
    </row>
    <row r="135" spans="1:18" ht="18" customHeight="1">
      <c r="A135" s="278">
        <v>136</v>
      </c>
      <c r="B135" s="202" t="s">
        <v>1245</v>
      </c>
      <c r="C135" s="202"/>
      <c r="D135" s="202" t="s">
        <v>455</v>
      </c>
      <c r="E135" s="207">
        <v>136</v>
      </c>
      <c r="F135" s="207">
        <v>13</v>
      </c>
      <c r="G135" s="203" t="s">
        <v>451</v>
      </c>
      <c r="H135" s="203" t="s">
        <v>452</v>
      </c>
      <c r="I135" s="205"/>
      <c r="J135" s="263" t="str">
        <f t="shared" si="4"/>
        <v>도공</v>
      </c>
      <c r="K135" s="264"/>
      <c r="L135" s="265"/>
      <c r="M135" s="265"/>
      <c r="N135" s="265"/>
      <c r="O135" s="265"/>
      <c r="P135" s="265"/>
      <c r="Q135" s="265"/>
      <c r="R135" s="265"/>
    </row>
    <row r="136" spans="1:18" ht="18" customHeight="1">
      <c r="A136" s="278">
        <v>137</v>
      </c>
      <c r="B136" s="202" t="s">
        <v>1246</v>
      </c>
      <c r="C136" s="202"/>
      <c r="D136" s="202" t="s">
        <v>455</v>
      </c>
      <c r="E136" s="207">
        <v>164</v>
      </c>
      <c r="F136" s="207">
        <v>5</v>
      </c>
      <c r="G136" s="203" t="s">
        <v>451</v>
      </c>
      <c r="H136" s="203" t="s">
        <v>452</v>
      </c>
      <c r="I136" s="205"/>
      <c r="J136" s="263" t="str">
        <f t="shared" si="4"/>
        <v>도공</v>
      </c>
      <c r="K136" s="264"/>
      <c r="L136" s="265"/>
      <c r="M136" s="265"/>
      <c r="N136" s="265"/>
      <c r="O136" s="265"/>
      <c r="P136" s="265"/>
      <c r="Q136" s="265"/>
      <c r="R136" s="265"/>
    </row>
    <row r="137" spans="1:18" ht="18" customHeight="1">
      <c r="A137" s="278">
        <v>138</v>
      </c>
      <c r="B137" s="202" t="s">
        <v>1247</v>
      </c>
      <c r="C137" s="202"/>
      <c r="D137" s="202" t="s">
        <v>455</v>
      </c>
      <c r="E137" s="207">
        <v>298</v>
      </c>
      <c r="F137" s="207">
        <v>302</v>
      </c>
      <c r="G137" s="203" t="s">
        <v>451</v>
      </c>
      <c r="H137" s="203" t="s">
        <v>452</v>
      </c>
      <c r="I137" s="205"/>
      <c r="J137" s="263" t="str">
        <f t="shared" si="4"/>
        <v>도공</v>
      </c>
      <c r="K137" s="264"/>
      <c r="L137" s="265"/>
      <c r="M137" s="265"/>
      <c r="N137" s="265"/>
      <c r="O137" s="265"/>
      <c r="P137" s="265"/>
      <c r="Q137" s="265"/>
      <c r="R137" s="265"/>
    </row>
    <row r="138" spans="1:18" ht="18" customHeight="1">
      <c r="A138" s="278">
        <v>139</v>
      </c>
      <c r="B138" s="202" t="s">
        <v>1248</v>
      </c>
      <c r="C138" s="202"/>
      <c r="D138" s="202" t="s">
        <v>455</v>
      </c>
      <c r="E138" s="207">
        <v>140</v>
      </c>
      <c r="F138" s="207">
        <v>127</v>
      </c>
      <c r="G138" s="203" t="s">
        <v>511</v>
      </c>
      <c r="H138" s="203" t="s">
        <v>514</v>
      </c>
      <c r="I138" s="205"/>
      <c r="J138" s="263" t="str">
        <f t="shared" si="4"/>
        <v>도국</v>
      </c>
      <c r="K138" s="264"/>
      <c r="L138" s="265"/>
      <c r="M138" s="265"/>
      <c r="N138" s="265"/>
      <c r="O138" s="265"/>
      <c r="P138" s="265"/>
      <c r="Q138" s="265"/>
      <c r="R138" s="265"/>
    </row>
    <row r="139" spans="1:18" ht="18" customHeight="1">
      <c r="A139" s="278">
        <v>140</v>
      </c>
      <c r="B139" s="202" t="s">
        <v>1249</v>
      </c>
      <c r="C139" s="202"/>
      <c r="D139" s="202" t="s">
        <v>8</v>
      </c>
      <c r="E139" s="207">
        <v>170</v>
      </c>
      <c r="F139" s="207">
        <v>147</v>
      </c>
      <c r="G139" s="203" t="s">
        <v>451</v>
      </c>
      <c r="H139" s="203" t="s">
        <v>452</v>
      </c>
      <c r="I139" s="205"/>
      <c r="J139" s="263" t="str">
        <f t="shared" si="4"/>
        <v>답공</v>
      </c>
      <c r="K139" s="264"/>
      <c r="L139" s="265"/>
      <c r="M139" s="265"/>
      <c r="N139" s="265"/>
      <c r="O139" s="265"/>
      <c r="P139" s="265"/>
      <c r="Q139" s="265"/>
      <c r="R139" s="265"/>
    </row>
    <row r="140" spans="1:18" ht="18" customHeight="1">
      <c r="A140" s="278">
        <v>141</v>
      </c>
      <c r="B140" s="202" t="s">
        <v>1250</v>
      </c>
      <c r="C140" s="202"/>
      <c r="D140" s="202" t="s">
        <v>8</v>
      </c>
      <c r="E140" s="207">
        <v>156</v>
      </c>
      <c r="F140" s="207">
        <v>156</v>
      </c>
      <c r="G140" s="203" t="s">
        <v>451</v>
      </c>
      <c r="H140" s="203" t="s">
        <v>452</v>
      </c>
      <c r="I140" s="205"/>
      <c r="J140" s="263" t="str">
        <f t="shared" si="4"/>
        <v>답공</v>
      </c>
      <c r="K140" s="264"/>
      <c r="L140" s="265"/>
      <c r="M140" s="265"/>
      <c r="N140" s="265"/>
      <c r="O140" s="265"/>
      <c r="P140" s="265"/>
      <c r="Q140" s="265"/>
      <c r="R140" s="265"/>
    </row>
    <row r="141" spans="1:18" ht="18" customHeight="1">
      <c r="A141" s="278">
        <v>142</v>
      </c>
      <c r="B141" s="202" t="s">
        <v>1194</v>
      </c>
      <c r="C141" s="202"/>
      <c r="D141" s="202" t="s">
        <v>455</v>
      </c>
      <c r="E141" s="207">
        <v>13</v>
      </c>
      <c r="F141" s="207">
        <v>10</v>
      </c>
      <c r="G141" s="203" t="s">
        <v>451</v>
      </c>
      <c r="H141" s="203" t="s">
        <v>452</v>
      </c>
      <c r="I141" s="205"/>
      <c r="J141" s="263" t="str">
        <f t="shared" si="4"/>
        <v>도공</v>
      </c>
      <c r="K141" s="266"/>
      <c r="L141" s="265"/>
      <c r="M141" s="265"/>
      <c r="N141" s="265"/>
      <c r="O141" s="265"/>
      <c r="P141" s="265"/>
      <c r="Q141" s="265"/>
      <c r="R141" s="267"/>
    </row>
    <row r="142" spans="1:18" ht="18" customHeight="1">
      <c r="A142" s="278">
        <v>143</v>
      </c>
      <c r="B142" s="202" t="s">
        <v>1251</v>
      </c>
      <c r="C142" s="202"/>
      <c r="D142" s="202" t="s">
        <v>8</v>
      </c>
      <c r="E142" s="207">
        <v>391</v>
      </c>
      <c r="F142" s="207">
        <v>391</v>
      </c>
      <c r="G142" s="203" t="s">
        <v>451</v>
      </c>
      <c r="H142" s="203" t="s">
        <v>452</v>
      </c>
      <c r="I142" s="205"/>
      <c r="J142" s="263" t="str">
        <f t="shared" si="4"/>
        <v>답공</v>
      </c>
      <c r="K142" s="266"/>
      <c r="L142" s="265"/>
      <c r="M142" s="265"/>
      <c r="N142" s="265"/>
      <c r="O142" s="265"/>
      <c r="P142" s="265"/>
      <c r="Q142" s="265"/>
      <c r="R142" s="267"/>
    </row>
    <row r="143" spans="1:18" ht="18" customHeight="1">
      <c r="A143" s="278">
        <v>144</v>
      </c>
      <c r="B143" s="202" t="s">
        <v>1193</v>
      </c>
      <c r="C143" s="202"/>
      <c r="D143" s="202" t="s">
        <v>455</v>
      </c>
      <c r="E143" s="207">
        <v>479</v>
      </c>
      <c r="F143" s="207">
        <v>130</v>
      </c>
      <c r="G143" s="203" t="s">
        <v>451</v>
      </c>
      <c r="H143" s="203" t="s">
        <v>452</v>
      </c>
      <c r="I143" s="205"/>
      <c r="J143" s="263" t="str">
        <f t="shared" si="4"/>
        <v>도공</v>
      </c>
      <c r="K143" s="266"/>
      <c r="L143" s="265"/>
      <c r="M143" s="265"/>
      <c r="N143" s="265"/>
      <c r="O143" s="265"/>
      <c r="P143" s="265"/>
      <c r="Q143" s="265"/>
      <c r="R143" s="267"/>
    </row>
    <row r="144" spans="1:18" ht="18" customHeight="1">
      <c r="A144" s="278">
        <v>145</v>
      </c>
      <c r="B144" s="202" t="s">
        <v>1201</v>
      </c>
      <c r="C144" s="202"/>
      <c r="D144" s="202" t="s">
        <v>455</v>
      </c>
      <c r="E144" s="207">
        <v>400</v>
      </c>
      <c r="F144" s="207">
        <v>169</v>
      </c>
      <c r="G144" s="203" t="s">
        <v>511</v>
      </c>
      <c r="H144" s="203" t="s">
        <v>514</v>
      </c>
      <c r="I144" s="205"/>
      <c r="J144" s="263" t="str">
        <f t="shared" si="4"/>
        <v>도국</v>
      </c>
      <c r="K144" s="266"/>
      <c r="L144" s="265"/>
      <c r="M144" s="265"/>
      <c r="N144" s="265"/>
      <c r="O144" s="265"/>
      <c r="P144" s="265"/>
      <c r="Q144" s="265"/>
      <c r="R144" s="267"/>
    </row>
    <row r="145" spans="1:21" ht="18" customHeight="1">
      <c r="A145" s="278">
        <v>146</v>
      </c>
      <c r="B145" s="202" t="s">
        <v>1252</v>
      </c>
      <c r="C145" s="202"/>
      <c r="D145" s="202" t="s">
        <v>455</v>
      </c>
      <c r="E145" s="207">
        <v>66</v>
      </c>
      <c r="F145" s="207">
        <v>66</v>
      </c>
      <c r="G145" s="203" t="s">
        <v>451</v>
      </c>
      <c r="H145" s="203" t="s">
        <v>452</v>
      </c>
      <c r="I145" s="205"/>
      <c r="J145" s="263" t="str">
        <f t="shared" si="4"/>
        <v>도공</v>
      </c>
      <c r="K145" s="264"/>
      <c r="L145" s="265"/>
      <c r="M145" s="265"/>
      <c r="N145" s="265"/>
      <c r="O145" s="265"/>
      <c r="P145" s="265"/>
      <c r="Q145" s="265"/>
      <c r="R145" s="284"/>
      <c r="S145" s="265"/>
      <c r="T145" s="265"/>
      <c r="U145" s="265"/>
    </row>
    <row r="146" spans="1:21" ht="18" customHeight="1">
      <c r="A146" s="278">
        <v>147</v>
      </c>
      <c r="B146" s="202" t="s">
        <v>1253</v>
      </c>
      <c r="C146" s="202"/>
      <c r="D146" s="202" t="s">
        <v>459</v>
      </c>
      <c r="E146" s="207">
        <v>52</v>
      </c>
      <c r="F146" s="207">
        <v>52</v>
      </c>
      <c r="G146" s="203" t="s">
        <v>451</v>
      </c>
      <c r="H146" s="203" t="s">
        <v>452</v>
      </c>
      <c r="I146" s="205"/>
      <c r="J146" s="263" t="str">
        <f t="shared" si="4"/>
        <v>대공</v>
      </c>
      <c r="K146" s="264"/>
      <c r="L146" s="265"/>
      <c r="M146" s="265"/>
      <c r="N146" s="265"/>
      <c r="O146" s="265"/>
      <c r="P146" s="265"/>
      <c r="Q146" s="265"/>
      <c r="R146" s="265"/>
    </row>
    <row r="147" spans="1:21" ht="18" customHeight="1">
      <c r="A147" s="278">
        <v>148</v>
      </c>
      <c r="B147" s="202" t="s">
        <v>1254</v>
      </c>
      <c r="C147" s="202"/>
      <c r="D147" s="202" t="s">
        <v>459</v>
      </c>
      <c r="E147" s="207">
        <v>5</v>
      </c>
      <c r="F147" s="207">
        <v>5</v>
      </c>
      <c r="G147" s="203" t="s">
        <v>451</v>
      </c>
      <c r="H147" s="203" t="s">
        <v>452</v>
      </c>
      <c r="I147" s="205"/>
      <c r="J147" s="263" t="str">
        <f t="shared" si="4"/>
        <v>대공</v>
      </c>
      <c r="K147" s="264"/>
      <c r="L147" s="265"/>
      <c r="M147" s="265"/>
      <c r="N147" s="265"/>
      <c r="O147" s="265"/>
      <c r="P147" s="265"/>
      <c r="Q147" s="265"/>
      <c r="R147" s="265"/>
    </row>
    <row r="148" spans="1:21" ht="18" customHeight="1">
      <c r="A148" s="278">
        <v>149</v>
      </c>
      <c r="B148" s="202" t="s">
        <v>1224</v>
      </c>
      <c r="C148" s="202"/>
      <c r="D148" s="202" t="s">
        <v>455</v>
      </c>
      <c r="E148" s="207">
        <v>1602</v>
      </c>
      <c r="F148" s="207">
        <v>952</v>
      </c>
      <c r="G148" s="203" t="s">
        <v>451</v>
      </c>
      <c r="H148" s="203" t="s">
        <v>452</v>
      </c>
      <c r="I148" s="205"/>
      <c r="J148" s="263" t="str">
        <f t="shared" si="4"/>
        <v>도공</v>
      </c>
      <c r="K148" s="264"/>
      <c r="L148" s="265"/>
      <c r="M148" s="265"/>
      <c r="N148" s="265"/>
      <c r="O148" s="265"/>
      <c r="P148" s="265"/>
      <c r="Q148" s="265"/>
      <c r="R148" s="265"/>
    </row>
    <row r="149" spans="1:21" ht="18" customHeight="1">
      <c r="A149" s="278">
        <v>150</v>
      </c>
      <c r="B149" s="202" t="s">
        <v>1255</v>
      </c>
      <c r="C149" s="202"/>
      <c r="D149" s="202" t="s">
        <v>571</v>
      </c>
      <c r="E149" s="207">
        <v>466</v>
      </c>
      <c r="F149" s="207">
        <v>466</v>
      </c>
      <c r="G149" s="203" t="s">
        <v>451</v>
      </c>
      <c r="H149" s="203" t="s">
        <v>452</v>
      </c>
      <c r="I149" s="205"/>
      <c r="J149" s="263" t="str">
        <f t="shared" si="4"/>
        <v>잡공</v>
      </c>
      <c r="K149" s="264"/>
      <c r="L149" s="265"/>
      <c r="M149" s="265"/>
      <c r="N149" s="265"/>
      <c r="O149" s="265"/>
      <c r="P149" s="265"/>
      <c r="Q149" s="265"/>
      <c r="R149" s="265"/>
    </row>
    <row r="150" spans="1:21" ht="18" customHeight="1">
      <c r="A150" s="278">
        <v>151</v>
      </c>
      <c r="B150" s="202" t="s">
        <v>1256</v>
      </c>
      <c r="C150" s="202"/>
      <c r="D150" s="202" t="s">
        <v>455</v>
      </c>
      <c r="E150" s="207">
        <v>675</v>
      </c>
      <c r="F150" s="207">
        <v>610</v>
      </c>
      <c r="G150" s="203" t="s">
        <v>451</v>
      </c>
      <c r="H150" s="203" t="s">
        <v>452</v>
      </c>
      <c r="I150" s="205"/>
      <c r="J150" s="263" t="str">
        <f t="shared" si="4"/>
        <v>도공</v>
      </c>
      <c r="K150" s="264"/>
      <c r="L150" s="265"/>
      <c r="M150" s="265"/>
      <c r="N150" s="265"/>
      <c r="O150" s="265"/>
      <c r="P150" s="265"/>
      <c r="Q150" s="265"/>
      <c r="R150" s="265"/>
    </row>
    <row r="151" spans="1:21" ht="18" customHeight="1">
      <c r="A151" s="278">
        <v>152</v>
      </c>
      <c r="B151" s="202" t="s">
        <v>1257</v>
      </c>
      <c r="C151" s="202"/>
      <c r="D151" s="202" t="s">
        <v>571</v>
      </c>
      <c r="E151" s="207">
        <v>261</v>
      </c>
      <c r="F151" s="207">
        <v>261</v>
      </c>
      <c r="G151" s="203" t="s">
        <v>451</v>
      </c>
      <c r="H151" s="203" t="s">
        <v>452</v>
      </c>
      <c r="I151" s="205"/>
      <c r="J151" s="263" t="str">
        <f t="shared" si="4"/>
        <v>잡공</v>
      </c>
      <c r="K151" s="264"/>
      <c r="L151" s="265"/>
      <c r="M151" s="265"/>
      <c r="N151" s="265"/>
      <c r="O151" s="265"/>
      <c r="P151" s="265"/>
      <c r="Q151" s="265"/>
      <c r="R151" s="265"/>
    </row>
    <row r="152" spans="1:21" ht="18" customHeight="1">
      <c r="A152" s="278">
        <v>153</v>
      </c>
      <c r="B152" s="202" t="s">
        <v>1258</v>
      </c>
      <c r="C152" s="202"/>
      <c r="D152" s="202" t="s">
        <v>571</v>
      </c>
      <c r="E152" s="207">
        <v>1104</v>
      </c>
      <c r="F152" s="207">
        <v>72</v>
      </c>
      <c r="G152" s="203" t="s">
        <v>451</v>
      </c>
      <c r="H152" s="203" t="s">
        <v>452</v>
      </c>
      <c r="I152" s="205"/>
      <c r="J152" s="263" t="str">
        <f t="shared" si="4"/>
        <v>잡공</v>
      </c>
      <c r="K152" s="264"/>
      <c r="L152" s="265"/>
      <c r="M152" s="265"/>
      <c r="N152" s="265"/>
      <c r="O152" s="265"/>
      <c r="P152" s="265"/>
      <c r="Q152" s="265"/>
      <c r="R152" s="265"/>
    </row>
    <row r="153" spans="1:21" ht="18" customHeight="1">
      <c r="A153" s="278">
        <v>154</v>
      </c>
      <c r="B153" s="202" t="s">
        <v>1259</v>
      </c>
      <c r="C153" s="202"/>
      <c r="D153" s="202" t="s">
        <v>571</v>
      </c>
      <c r="E153" s="207">
        <v>1362</v>
      </c>
      <c r="F153" s="207">
        <v>218</v>
      </c>
      <c r="G153" s="203" t="s">
        <v>451</v>
      </c>
      <c r="H153" s="203" t="s">
        <v>452</v>
      </c>
      <c r="I153" s="205"/>
      <c r="J153" s="263" t="str">
        <f t="shared" si="4"/>
        <v>잡공</v>
      </c>
      <c r="K153" s="264"/>
      <c r="L153" s="265"/>
      <c r="M153" s="265"/>
      <c r="N153" s="265"/>
      <c r="O153" s="265"/>
      <c r="P153" s="265"/>
      <c r="Q153" s="265"/>
      <c r="R153" s="265"/>
    </row>
    <row r="154" spans="1:21" ht="18" customHeight="1">
      <c r="A154" s="278">
        <v>155</v>
      </c>
      <c r="B154" s="202" t="s">
        <v>1260</v>
      </c>
      <c r="C154" s="202"/>
      <c r="D154" s="202" t="s">
        <v>571</v>
      </c>
      <c r="E154" s="207">
        <v>863</v>
      </c>
      <c r="F154" s="207">
        <v>127</v>
      </c>
      <c r="G154" s="203" t="s">
        <v>451</v>
      </c>
      <c r="H154" s="203" t="s">
        <v>452</v>
      </c>
      <c r="I154" s="205"/>
      <c r="J154" s="263" t="str">
        <f t="shared" si="4"/>
        <v>잡공</v>
      </c>
      <c r="K154" s="264"/>
      <c r="L154" s="265"/>
      <c r="M154" s="265"/>
      <c r="N154" s="265"/>
      <c r="O154" s="265"/>
      <c r="P154" s="265"/>
      <c r="Q154" s="265"/>
      <c r="R154" s="265"/>
    </row>
    <row r="155" spans="1:21" ht="18" customHeight="1">
      <c r="A155" s="278">
        <v>156</v>
      </c>
      <c r="B155" s="202" t="s">
        <v>1261</v>
      </c>
      <c r="C155" s="202"/>
      <c r="D155" s="202" t="s">
        <v>455</v>
      </c>
      <c r="E155" s="207">
        <v>1266</v>
      </c>
      <c r="F155" s="207">
        <v>111</v>
      </c>
      <c r="G155" s="203" t="s">
        <v>511</v>
      </c>
      <c r="H155" s="203" t="s">
        <v>514</v>
      </c>
      <c r="I155" s="205"/>
      <c r="J155" s="263" t="str">
        <f t="shared" si="4"/>
        <v>도국</v>
      </c>
      <c r="K155" s="264"/>
      <c r="L155" s="265"/>
      <c r="M155" s="265"/>
      <c r="N155" s="265"/>
      <c r="O155" s="265"/>
      <c r="P155" s="265"/>
      <c r="Q155" s="265"/>
      <c r="R155" s="265"/>
    </row>
    <row r="156" spans="1:21" ht="18" customHeight="1">
      <c r="A156" s="278">
        <v>157</v>
      </c>
      <c r="B156" s="202" t="s">
        <v>1262</v>
      </c>
      <c r="C156" s="202"/>
      <c r="D156" s="202" t="s">
        <v>455</v>
      </c>
      <c r="E156" s="207">
        <v>783</v>
      </c>
      <c r="F156" s="207">
        <v>57</v>
      </c>
      <c r="G156" s="203" t="s">
        <v>451</v>
      </c>
      <c r="H156" s="203" t="s">
        <v>452</v>
      </c>
      <c r="I156" s="205"/>
      <c r="J156" s="263" t="str">
        <f t="shared" si="4"/>
        <v>도공</v>
      </c>
      <c r="K156" s="264"/>
      <c r="L156" s="265"/>
      <c r="M156" s="265"/>
      <c r="N156" s="265"/>
      <c r="O156" s="265"/>
      <c r="P156" s="265"/>
      <c r="Q156" s="265"/>
      <c r="R156" s="265"/>
    </row>
    <row r="157" spans="1:21" ht="18" customHeight="1">
      <c r="A157" s="278">
        <v>158</v>
      </c>
      <c r="B157" s="202" t="s">
        <v>1263</v>
      </c>
      <c r="C157" s="202"/>
      <c r="D157" s="202" t="s">
        <v>8</v>
      </c>
      <c r="E157" s="207">
        <v>1806</v>
      </c>
      <c r="F157" s="207">
        <v>41</v>
      </c>
      <c r="G157" s="203" t="s">
        <v>451</v>
      </c>
      <c r="H157" s="203" t="s">
        <v>452</v>
      </c>
      <c r="I157" s="205"/>
      <c r="J157" s="263" t="str">
        <f t="shared" si="4"/>
        <v>답공</v>
      </c>
      <c r="K157" s="264"/>
      <c r="L157" s="265"/>
      <c r="M157" s="265"/>
      <c r="N157" s="265"/>
      <c r="O157" s="265"/>
      <c r="P157" s="265"/>
      <c r="Q157" s="265"/>
      <c r="R157" s="265"/>
    </row>
    <row r="158" spans="1:21" ht="18" customHeight="1">
      <c r="A158" s="278">
        <v>159</v>
      </c>
      <c r="B158" s="202" t="s">
        <v>1264</v>
      </c>
      <c r="C158" s="202"/>
      <c r="D158" s="202" t="s">
        <v>8</v>
      </c>
      <c r="E158" s="207">
        <v>403</v>
      </c>
      <c r="F158" s="207">
        <v>123</v>
      </c>
      <c r="G158" s="203" t="s">
        <v>451</v>
      </c>
      <c r="H158" s="203" t="s">
        <v>452</v>
      </c>
      <c r="I158" s="205"/>
      <c r="J158" s="263" t="str">
        <f t="shared" si="4"/>
        <v>답공</v>
      </c>
      <c r="K158" s="264"/>
      <c r="L158" s="265"/>
      <c r="M158" s="265"/>
      <c r="N158" s="265"/>
      <c r="O158" s="265"/>
      <c r="P158" s="265"/>
      <c r="Q158" s="265"/>
      <c r="R158" s="265"/>
    </row>
    <row r="159" spans="1:21" ht="18" customHeight="1">
      <c r="A159" s="278">
        <v>160</v>
      </c>
      <c r="B159" s="202" t="s">
        <v>1265</v>
      </c>
      <c r="C159" s="202"/>
      <c r="D159" s="202" t="s">
        <v>8</v>
      </c>
      <c r="E159" s="207">
        <v>1241</v>
      </c>
      <c r="F159" s="207">
        <v>153</v>
      </c>
      <c r="G159" s="203" t="s">
        <v>451</v>
      </c>
      <c r="H159" s="203" t="s">
        <v>452</v>
      </c>
      <c r="I159" s="205"/>
      <c r="J159" s="263" t="str">
        <f t="shared" si="4"/>
        <v>답공</v>
      </c>
      <c r="K159" s="264"/>
      <c r="L159" s="265"/>
      <c r="M159" s="265"/>
      <c r="N159" s="265"/>
      <c r="O159" s="265"/>
      <c r="P159" s="265"/>
      <c r="Q159" s="265"/>
      <c r="R159" s="265"/>
    </row>
    <row r="160" spans="1:21" ht="18" customHeight="1">
      <c r="A160" s="278">
        <v>161</v>
      </c>
      <c r="B160" s="202" t="s">
        <v>1266</v>
      </c>
      <c r="C160" s="202"/>
      <c r="D160" s="202" t="s">
        <v>8</v>
      </c>
      <c r="E160" s="207">
        <v>1083</v>
      </c>
      <c r="F160" s="207">
        <v>16</v>
      </c>
      <c r="G160" s="203" t="s">
        <v>451</v>
      </c>
      <c r="H160" s="203" t="s">
        <v>452</v>
      </c>
      <c r="I160" s="205"/>
      <c r="J160" s="263" t="str">
        <f t="shared" si="4"/>
        <v>답공</v>
      </c>
      <c r="K160" s="264"/>
      <c r="L160" s="265"/>
      <c r="M160" s="265"/>
      <c r="N160" s="265"/>
      <c r="O160" s="265"/>
      <c r="P160" s="265"/>
      <c r="Q160" s="265"/>
      <c r="R160" s="265"/>
    </row>
    <row r="161" spans="1:21" ht="18" customHeight="1">
      <c r="A161" s="278">
        <v>162</v>
      </c>
      <c r="B161" s="202" t="s">
        <v>1267</v>
      </c>
      <c r="C161" s="202"/>
      <c r="D161" s="202" t="s">
        <v>93</v>
      </c>
      <c r="E161" s="207">
        <v>513</v>
      </c>
      <c r="F161" s="207">
        <v>513</v>
      </c>
      <c r="G161" s="203" t="s">
        <v>451</v>
      </c>
      <c r="H161" s="203" t="s">
        <v>452</v>
      </c>
      <c r="I161" s="205"/>
      <c r="J161" s="263" t="str">
        <f t="shared" si="4"/>
        <v>임공</v>
      </c>
      <c r="K161" s="264"/>
      <c r="L161" s="265"/>
      <c r="M161" s="265"/>
      <c r="N161" s="265"/>
      <c r="O161" s="265"/>
      <c r="P161" s="265"/>
      <c r="Q161" s="265"/>
      <c r="R161" s="265"/>
    </row>
    <row r="162" spans="1:21" ht="18" customHeight="1">
      <c r="A162" s="278">
        <v>163</v>
      </c>
      <c r="B162" s="202" t="s">
        <v>1268</v>
      </c>
      <c r="C162" s="202"/>
      <c r="D162" s="202" t="s">
        <v>459</v>
      </c>
      <c r="E162" s="207">
        <v>20</v>
      </c>
      <c r="F162" s="207">
        <v>20</v>
      </c>
      <c r="G162" s="203" t="s">
        <v>451</v>
      </c>
      <c r="H162" s="203" t="s">
        <v>452</v>
      </c>
      <c r="I162" s="205"/>
      <c r="J162" s="263" t="str">
        <f t="shared" si="4"/>
        <v>대공</v>
      </c>
      <c r="K162" s="264"/>
      <c r="L162" s="265"/>
      <c r="M162" s="265"/>
      <c r="N162" s="265"/>
      <c r="O162" s="265"/>
      <c r="P162" s="265"/>
      <c r="Q162" s="265"/>
      <c r="R162" s="265"/>
    </row>
    <row r="163" spans="1:21" ht="18" customHeight="1">
      <c r="A163" s="278"/>
      <c r="B163" s="202"/>
      <c r="C163" s="202"/>
      <c r="D163" s="202"/>
      <c r="E163" s="207"/>
      <c r="F163" s="207"/>
      <c r="G163" s="203"/>
      <c r="H163" s="203"/>
      <c r="I163" s="205"/>
      <c r="J163" s="263"/>
      <c r="K163" s="264"/>
      <c r="L163" s="265"/>
      <c r="M163" s="265"/>
      <c r="N163" s="265"/>
      <c r="O163" s="265"/>
      <c r="P163" s="265"/>
      <c r="Q163" s="265"/>
      <c r="R163" s="265"/>
    </row>
    <row r="164" spans="1:21" ht="18" customHeight="1">
      <c r="A164" s="270" t="s">
        <v>126</v>
      </c>
      <c r="B164" s="271"/>
      <c r="C164" s="271"/>
      <c r="D164" s="271"/>
      <c r="E164" s="272"/>
      <c r="F164" s="319">
        <f>SUM(F6:F163)</f>
        <v>96327</v>
      </c>
      <c r="G164" s="282"/>
      <c r="H164" s="282"/>
      <c r="I164" s="283"/>
      <c r="J164" s="263"/>
      <c r="K164" s="266"/>
      <c r="L164" s="265"/>
      <c r="M164" s="265"/>
      <c r="N164" s="265"/>
      <c r="O164" s="265"/>
      <c r="P164" s="265"/>
      <c r="Q164" s="265"/>
      <c r="R164" s="284"/>
      <c r="S164" s="265"/>
      <c r="T164" s="265"/>
      <c r="U164" s="265"/>
    </row>
    <row r="165" spans="1:21" ht="30" customHeight="1">
      <c r="A165" s="204" t="str">
        <f>IF(ISBLANK(D165)," ",94-COUNTBLANK($D$6:D165))</f>
        <v xml:space="preserve"> </v>
      </c>
      <c r="B165" s="202"/>
      <c r="C165" s="202"/>
      <c r="D165" s="202"/>
      <c r="E165" s="300"/>
      <c r="F165" s="210"/>
      <c r="G165" s="203"/>
      <c r="H165" s="203"/>
      <c r="I165" s="291"/>
      <c r="J165" s="263"/>
      <c r="K165" s="264"/>
      <c r="L165" s="265"/>
      <c r="M165" s="265"/>
      <c r="N165" s="265"/>
      <c r="O165" s="265"/>
      <c r="P165" s="265"/>
      <c r="Q165" s="265"/>
      <c r="R165" s="265"/>
    </row>
    <row r="166" spans="1:21" ht="30" customHeight="1">
      <c r="A166" s="204" t="str">
        <f>IF(ISBLANK(D166)," ",95-COUNTBLANK($D$6:D166))</f>
        <v xml:space="preserve"> </v>
      </c>
      <c r="B166" s="202"/>
      <c r="C166" s="202"/>
      <c r="D166" s="202"/>
      <c r="E166" s="300"/>
      <c r="F166" s="210"/>
      <c r="G166" s="203"/>
      <c r="H166" s="203"/>
      <c r="I166" s="291"/>
      <c r="J166" s="263"/>
      <c r="K166" s="264"/>
      <c r="L166" s="265"/>
      <c r="M166" s="265"/>
      <c r="N166" s="265"/>
      <c r="O166" s="265"/>
      <c r="P166" s="265"/>
      <c r="Q166" s="265"/>
      <c r="R166" s="265"/>
    </row>
    <row r="167" spans="1:21" ht="30" customHeight="1">
      <c r="A167" s="204" t="str">
        <f>IF(ISBLANK(D167)," ",96-COUNTBLANK($D$6:D167))</f>
        <v xml:space="preserve"> </v>
      </c>
      <c r="B167" s="202"/>
      <c r="C167" s="202"/>
      <c r="D167" s="202"/>
      <c r="E167" s="300"/>
      <c r="F167" s="210"/>
      <c r="G167" s="203"/>
      <c r="H167" s="203"/>
      <c r="I167" s="291"/>
      <c r="J167" s="263"/>
      <c r="K167" s="264"/>
      <c r="L167" s="265"/>
      <c r="M167" s="265"/>
      <c r="N167" s="265"/>
      <c r="O167" s="265"/>
      <c r="P167" s="265"/>
      <c r="Q167" s="265"/>
      <c r="R167" s="265"/>
    </row>
    <row r="168" spans="1:21" ht="30" customHeight="1">
      <c r="A168" s="204" t="str">
        <f>IF(ISBLANK(D168)," ",97-COUNTBLANK($D$6:D168))</f>
        <v xml:space="preserve"> </v>
      </c>
      <c r="B168" s="202"/>
      <c r="C168" s="202"/>
      <c r="D168" s="202"/>
      <c r="E168" s="300"/>
      <c r="F168" s="210"/>
      <c r="G168" s="203"/>
      <c r="H168" s="203"/>
      <c r="I168" s="291"/>
      <c r="J168" s="263"/>
      <c r="K168" s="264"/>
      <c r="L168" s="265"/>
      <c r="M168" s="265"/>
      <c r="N168" s="265"/>
      <c r="O168" s="265"/>
      <c r="P168" s="265"/>
      <c r="Q168" s="265"/>
      <c r="R168" s="265"/>
    </row>
    <row r="169" spans="1:21" ht="30" customHeight="1">
      <c r="A169" s="204" t="str">
        <f>IF(ISBLANK(D169)," ",98-COUNTBLANK($D$6:D169))</f>
        <v xml:space="preserve"> </v>
      </c>
      <c r="B169" s="202"/>
      <c r="C169" s="202"/>
      <c r="D169" s="202"/>
      <c r="E169" s="300"/>
      <c r="F169" s="210"/>
      <c r="G169" s="203"/>
      <c r="H169" s="203"/>
      <c r="I169" s="291"/>
      <c r="J169" s="263"/>
      <c r="K169" s="264"/>
      <c r="L169" s="265"/>
      <c r="M169" s="265"/>
      <c r="N169" s="265"/>
      <c r="O169" s="265"/>
      <c r="P169" s="265"/>
      <c r="Q169" s="265"/>
      <c r="R169" s="265"/>
    </row>
    <row r="170" spans="1:21" ht="30" customHeight="1">
      <c r="A170" s="204" t="str">
        <f>IF(ISBLANK(D170)," ",99-COUNTBLANK($D$6:D170))</f>
        <v xml:space="preserve"> </v>
      </c>
      <c r="B170" s="202"/>
      <c r="C170" s="202"/>
      <c r="D170" s="202"/>
      <c r="E170" s="300"/>
      <c r="F170" s="210"/>
      <c r="G170" s="203"/>
      <c r="H170" s="203"/>
      <c r="I170" s="291"/>
      <c r="J170" s="263"/>
      <c r="K170" s="264"/>
      <c r="L170" s="265"/>
      <c r="M170" s="265"/>
      <c r="N170" s="265"/>
      <c r="O170" s="265"/>
      <c r="P170" s="265"/>
      <c r="Q170" s="265"/>
      <c r="R170" s="265"/>
    </row>
    <row r="171" spans="1:21" ht="30" customHeight="1">
      <c r="A171" s="204" t="str">
        <f>IF(ISBLANK(D171)," ",100-COUNTBLANK($D$6:D171))</f>
        <v xml:space="preserve"> </v>
      </c>
      <c r="B171" s="202"/>
      <c r="C171" s="202"/>
      <c r="D171" s="202"/>
      <c r="E171" s="300"/>
      <c r="F171" s="210"/>
      <c r="G171" s="203"/>
      <c r="H171" s="203"/>
      <c r="I171" s="291"/>
      <c r="J171" s="263"/>
      <c r="K171" s="264"/>
      <c r="L171" s="265"/>
      <c r="M171" s="265"/>
      <c r="N171" s="265"/>
      <c r="O171" s="265"/>
      <c r="P171" s="265"/>
      <c r="Q171" s="265"/>
      <c r="R171" s="265"/>
    </row>
    <row r="172" spans="1:21" ht="30" customHeight="1">
      <c r="A172" s="204" t="str">
        <f>IF(ISBLANK(D172)," ",101-COUNTBLANK($D$6:D172))</f>
        <v xml:space="preserve"> </v>
      </c>
      <c r="B172" s="202"/>
      <c r="C172" s="202"/>
      <c r="D172" s="202"/>
      <c r="E172" s="300"/>
      <c r="F172" s="210"/>
      <c r="G172" s="203"/>
      <c r="H172" s="203"/>
      <c r="I172" s="291"/>
      <c r="J172" s="263"/>
      <c r="K172" s="264"/>
      <c r="L172" s="265"/>
      <c r="M172" s="265"/>
      <c r="N172" s="265"/>
      <c r="O172" s="265"/>
      <c r="P172" s="265"/>
      <c r="Q172" s="265"/>
      <c r="R172" s="265"/>
    </row>
    <row r="173" spans="1:21" ht="30" customHeight="1">
      <c r="A173" s="204" t="str">
        <f>IF(ISBLANK(D173)," ",102-COUNTBLANK($D$6:D173))</f>
        <v xml:space="preserve"> </v>
      </c>
      <c r="B173" s="202"/>
      <c r="C173" s="202"/>
      <c r="D173" s="202"/>
      <c r="E173" s="300"/>
      <c r="F173" s="210"/>
      <c r="G173" s="203"/>
      <c r="H173" s="203"/>
      <c r="I173" s="291"/>
      <c r="J173" s="263"/>
      <c r="K173" s="264"/>
      <c r="L173" s="265"/>
      <c r="M173" s="265"/>
      <c r="N173" s="265"/>
      <c r="O173" s="265"/>
      <c r="P173" s="265"/>
      <c r="Q173" s="265"/>
      <c r="R173" s="265"/>
    </row>
    <row r="174" spans="1:21" ht="30" customHeight="1">
      <c r="A174" s="204" t="str">
        <f>IF(ISBLANK(D174)," ",103-COUNTBLANK($D$6:D174))</f>
        <v xml:space="preserve"> </v>
      </c>
      <c r="B174" s="202"/>
      <c r="C174" s="202"/>
      <c r="D174" s="202"/>
      <c r="E174" s="300"/>
      <c r="F174" s="210"/>
      <c r="G174" s="203"/>
      <c r="H174" s="203"/>
      <c r="I174" s="291"/>
      <c r="J174" s="263"/>
      <c r="K174" s="264"/>
      <c r="L174" s="265"/>
      <c r="M174" s="265"/>
      <c r="N174" s="265"/>
      <c r="O174" s="265"/>
      <c r="P174" s="265"/>
      <c r="Q174" s="265"/>
      <c r="R174" s="265"/>
    </row>
    <row r="175" spans="1:21" ht="30" customHeight="1">
      <c r="A175" s="204" t="str">
        <f>IF(ISBLANK(D175)," ",104-COUNTBLANK($D$6:D175))</f>
        <v xml:space="preserve"> </v>
      </c>
      <c r="B175" s="202"/>
      <c r="C175" s="202"/>
      <c r="D175" s="202"/>
      <c r="E175" s="300"/>
      <c r="F175" s="210"/>
      <c r="G175" s="203"/>
      <c r="H175" s="203"/>
      <c r="I175" s="291"/>
      <c r="J175" s="263"/>
      <c r="K175" s="264"/>
      <c r="L175" s="265"/>
      <c r="M175" s="265"/>
      <c r="N175" s="265"/>
      <c r="O175" s="265"/>
      <c r="P175" s="265"/>
      <c r="Q175" s="265"/>
      <c r="R175" s="265"/>
    </row>
    <row r="176" spans="1:21" ht="30" customHeight="1">
      <c r="A176" s="204" t="s">
        <v>52</v>
      </c>
      <c r="B176" s="202"/>
      <c r="C176" s="202"/>
      <c r="D176" s="202"/>
      <c r="E176" s="300"/>
      <c r="F176" s="210">
        <f>SUM(F144:F175)</f>
        <v>100359</v>
      </c>
      <c r="G176" s="203"/>
      <c r="H176" s="203"/>
      <c r="I176" s="291"/>
      <c r="J176" s="263"/>
      <c r="K176" s="264"/>
      <c r="L176" s="265"/>
      <c r="M176" s="265"/>
      <c r="N176" s="265"/>
      <c r="O176" s="265"/>
      <c r="P176" s="265"/>
      <c r="Q176" s="265"/>
      <c r="R176" s="265"/>
    </row>
    <row r="177" spans="1:21" ht="30" customHeight="1">
      <c r="A177" s="204" t="str">
        <f>IF(ISBLANK(D177)," ",106-COUNTBLANK($D$6:D177))</f>
        <v xml:space="preserve"> </v>
      </c>
      <c r="B177" s="202"/>
      <c r="C177" s="202"/>
      <c r="D177" s="202"/>
      <c r="E177" s="300"/>
      <c r="F177" s="210"/>
      <c r="G177" s="203"/>
      <c r="H177" s="203"/>
      <c r="I177" s="291"/>
      <c r="J177" s="263"/>
      <c r="K177" s="264"/>
      <c r="L177" s="265"/>
      <c r="M177" s="265"/>
      <c r="N177" s="265"/>
      <c r="O177" s="265"/>
      <c r="P177" s="265"/>
      <c r="Q177" s="265"/>
      <c r="R177" s="265"/>
    </row>
    <row r="178" spans="1:21" ht="30" customHeight="1">
      <c r="A178" s="204" t="str">
        <f>IF(ISBLANK(D178)," ",107-COUNTBLANK($D$6:D178))</f>
        <v xml:space="preserve"> </v>
      </c>
      <c r="B178" s="202"/>
      <c r="C178" s="202"/>
      <c r="D178" s="202"/>
      <c r="E178" s="300"/>
      <c r="F178" s="210"/>
      <c r="G178" s="203"/>
      <c r="H178" s="203"/>
      <c r="I178" s="291"/>
      <c r="J178" s="263"/>
      <c r="K178" s="264"/>
      <c r="L178" s="265"/>
      <c r="M178" s="265"/>
      <c r="N178" s="265"/>
      <c r="O178" s="265"/>
      <c r="P178" s="265"/>
      <c r="Q178" s="265"/>
      <c r="R178" s="265"/>
    </row>
    <row r="179" spans="1:21" ht="30" customHeight="1">
      <c r="A179" s="204" t="str">
        <f>IF(ISBLANK(D179)," ",108-COUNTBLANK($D$6:D179))</f>
        <v xml:space="preserve"> </v>
      </c>
      <c r="B179" s="202"/>
      <c r="C179" s="202"/>
      <c r="D179" s="202"/>
      <c r="E179" s="300"/>
      <c r="F179" s="210"/>
      <c r="G179" s="203"/>
      <c r="H179" s="203"/>
      <c r="I179" s="291"/>
      <c r="J179" s="263"/>
      <c r="K179" s="264"/>
      <c r="L179" s="265"/>
      <c r="M179" s="265"/>
      <c r="N179" s="265"/>
      <c r="O179" s="265"/>
      <c r="P179" s="265"/>
      <c r="Q179" s="265"/>
      <c r="R179" s="265"/>
    </row>
    <row r="180" spans="1:21" ht="30" customHeight="1">
      <c r="A180" s="204" t="str">
        <f>IF(ISBLANK(D180)," ",109-COUNTBLANK($D$6:D180))</f>
        <v xml:space="preserve"> </v>
      </c>
      <c r="B180" s="202"/>
      <c r="C180" s="202"/>
      <c r="D180" s="202"/>
      <c r="E180" s="300"/>
      <c r="F180" s="210"/>
      <c r="G180" s="203"/>
      <c r="H180" s="203"/>
      <c r="I180" s="291"/>
      <c r="J180" s="263"/>
      <c r="K180" s="266"/>
      <c r="L180" s="265"/>
      <c r="M180" s="265"/>
      <c r="N180" s="265"/>
      <c r="O180" s="265"/>
      <c r="P180" s="265"/>
      <c r="Q180" s="265"/>
      <c r="R180" s="267"/>
    </row>
    <row r="181" spans="1:21" ht="30" customHeight="1">
      <c r="A181" s="204" t="str">
        <f>IF(ISBLANK(D181)," ",110-COUNTBLANK($D$6:D181))</f>
        <v xml:space="preserve"> </v>
      </c>
      <c r="B181" s="202"/>
      <c r="C181" s="202"/>
      <c r="D181" s="202"/>
      <c r="E181" s="300"/>
      <c r="F181" s="210"/>
      <c r="G181" s="203"/>
      <c r="H181" s="203"/>
      <c r="I181" s="291"/>
      <c r="J181" s="263"/>
      <c r="K181" s="266"/>
      <c r="L181" s="265"/>
      <c r="M181" s="265"/>
      <c r="N181" s="265"/>
      <c r="O181" s="265"/>
      <c r="P181" s="265"/>
      <c r="Q181" s="265"/>
      <c r="R181" s="267"/>
    </row>
    <row r="182" spans="1:21" ht="30" customHeight="1">
      <c r="A182" s="204" t="str">
        <f>IF(ISBLANK(D182)," ",111-COUNTBLANK($D$6:D182))</f>
        <v xml:space="preserve"> </v>
      </c>
      <c r="B182" s="202"/>
      <c r="C182" s="202"/>
      <c r="D182" s="202"/>
      <c r="E182" s="300"/>
      <c r="F182" s="210"/>
      <c r="G182" s="203"/>
      <c r="H182" s="203"/>
      <c r="I182" s="291"/>
      <c r="J182" s="263"/>
      <c r="K182" s="266"/>
      <c r="L182" s="265"/>
      <c r="M182" s="265"/>
      <c r="N182" s="265"/>
      <c r="O182" s="265"/>
      <c r="P182" s="265"/>
      <c r="Q182" s="265"/>
      <c r="R182" s="267"/>
    </row>
    <row r="183" spans="1:21" ht="30" customHeight="1">
      <c r="A183" s="204" t="str">
        <f>IF(ISBLANK(D183)," ",112-COUNTBLANK($D$6:D183))</f>
        <v xml:space="preserve"> </v>
      </c>
      <c r="B183" s="202"/>
      <c r="C183" s="202"/>
      <c r="D183" s="202"/>
      <c r="E183" s="300"/>
      <c r="F183" s="210"/>
      <c r="G183" s="203"/>
      <c r="H183" s="203"/>
      <c r="I183" s="291"/>
      <c r="J183" s="263"/>
      <c r="K183" s="266"/>
      <c r="L183" s="265"/>
      <c r="M183" s="265"/>
      <c r="N183" s="265"/>
      <c r="O183" s="265"/>
      <c r="P183" s="265"/>
      <c r="Q183" s="265"/>
      <c r="R183" s="267"/>
    </row>
    <row r="184" spans="1:21" ht="30" customHeight="1">
      <c r="A184" s="304" t="str">
        <f>IF(ISBLANK(D184)," ",113-COUNTBLANK($D$6:D184))</f>
        <v xml:space="preserve"> </v>
      </c>
      <c r="B184" s="296"/>
      <c r="C184" s="305"/>
      <c r="D184" s="306"/>
      <c r="E184" s="297"/>
      <c r="F184" s="298"/>
      <c r="G184" s="282"/>
      <c r="H184" s="282"/>
      <c r="I184" s="303"/>
      <c r="J184" s="263"/>
      <c r="K184" s="264"/>
      <c r="L184" s="265"/>
      <c r="M184" s="265"/>
      <c r="N184" s="265"/>
      <c r="O184" s="265"/>
      <c r="P184" s="265"/>
      <c r="Q184" s="265"/>
      <c r="R184" s="284"/>
      <c r="S184" s="265"/>
      <c r="T184" s="265"/>
      <c r="U184" s="265"/>
    </row>
    <row r="185" spans="1:21" ht="30" customHeight="1">
      <c r="A185" s="260" t="str">
        <f>IF(ISBLANK(D185)," ",114-COUNTBLANK($D$6:D185))</f>
        <v xml:space="preserve"> </v>
      </c>
      <c r="B185" s="200"/>
      <c r="C185" s="200"/>
      <c r="D185" s="200"/>
      <c r="E185" s="299"/>
      <c r="F185" s="209"/>
      <c r="G185" s="201"/>
      <c r="H185" s="201"/>
      <c r="I185" s="291"/>
      <c r="J185" s="263"/>
      <c r="K185" s="266"/>
      <c r="L185" s="265"/>
      <c r="M185" s="265"/>
      <c r="N185" s="265"/>
      <c r="O185" s="265"/>
      <c r="P185" s="265"/>
      <c r="Q185" s="265"/>
      <c r="R185" s="284"/>
      <c r="S185" s="265"/>
      <c r="T185" s="265"/>
      <c r="U185" s="265"/>
    </row>
    <row r="186" spans="1:21" ht="30" customHeight="1">
      <c r="A186" s="204" t="str">
        <f>IF(ISBLANK(D186)," ",115-COUNTBLANK($D$6:D186))</f>
        <v xml:space="preserve"> </v>
      </c>
      <c r="B186" s="202"/>
      <c r="C186" s="202"/>
      <c r="D186" s="202"/>
      <c r="E186" s="300"/>
      <c r="F186" s="210"/>
      <c r="G186" s="203"/>
      <c r="H186" s="203"/>
      <c r="I186" s="291"/>
      <c r="J186" s="263"/>
      <c r="K186" s="264"/>
      <c r="L186" s="265"/>
      <c r="M186" s="265"/>
      <c r="N186" s="265"/>
      <c r="O186" s="265"/>
      <c r="P186" s="265"/>
      <c r="Q186" s="265"/>
      <c r="R186" s="265"/>
    </row>
    <row r="187" spans="1:21" ht="30" customHeight="1">
      <c r="A187" s="204" t="str">
        <f>IF(ISBLANK(D187)," ",116-COUNTBLANK($D$6:D187))</f>
        <v xml:space="preserve"> </v>
      </c>
      <c r="B187" s="202"/>
      <c r="C187" s="202"/>
      <c r="D187" s="202"/>
      <c r="E187" s="300"/>
      <c r="F187" s="210"/>
      <c r="G187" s="203"/>
      <c r="H187" s="203"/>
      <c r="I187" s="291"/>
      <c r="J187" s="263"/>
      <c r="K187" s="264"/>
      <c r="L187" s="265"/>
      <c r="M187" s="265"/>
      <c r="N187" s="265"/>
      <c r="O187" s="265"/>
      <c r="P187" s="265"/>
      <c r="Q187" s="265"/>
      <c r="R187" s="265"/>
    </row>
    <row r="188" spans="1:21" ht="30" customHeight="1">
      <c r="A188" s="204" t="str">
        <f>IF(ISBLANK(D188)," ",117-COUNTBLANK($D$6:D188))</f>
        <v xml:space="preserve"> </v>
      </c>
      <c r="B188" s="202"/>
      <c r="C188" s="202"/>
      <c r="D188" s="202"/>
      <c r="E188" s="300"/>
      <c r="F188" s="210"/>
      <c r="G188" s="203"/>
      <c r="H188" s="203"/>
      <c r="I188" s="291"/>
      <c r="J188" s="263"/>
      <c r="K188" s="264"/>
      <c r="L188" s="265"/>
      <c r="M188" s="265"/>
      <c r="N188" s="265"/>
      <c r="O188" s="265"/>
      <c r="P188" s="265"/>
      <c r="Q188" s="265"/>
      <c r="R188" s="265"/>
    </row>
    <row r="189" spans="1:21" ht="30" customHeight="1">
      <c r="A189" s="204" t="str">
        <f>IF(ISBLANK(D189)," ",118-COUNTBLANK($D$6:D189))</f>
        <v xml:space="preserve"> </v>
      </c>
      <c r="B189" s="202"/>
      <c r="C189" s="202"/>
      <c r="D189" s="202"/>
      <c r="E189" s="300"/>
      <c r="F189" s="210"/>
      <c r="G189" s="203"/>
      <c r="H189" s="203"/>
      <c r="I189" s="291"/>
      <c r="J189" s="263"/>
      <c r="K189" s="264"/>
      <c r="L189" s="265"/>
      <c r="M189" s="265"/>
      <c r="N189" s="265"/>
      <c r="O189" s="265"/>
      <c r="P189" s="265"/>
      <c r="Q189" s="265"/>
      <c r="R189" s="265"/>
    </row>
    <row r="190" spans="1:21" ht="30" customHeight="1">
      <c r="A190" s="204" t="str">
        <f>IF(ISBLANK(D190)," ",119-COUNTBLANK($D$6:D190))</f>
        <v xml:space="preserve"> </v>
      </c>
      <c r="B190" s="202"/>
      <c r="C190" s="202"/>
      <c r="D190" s="202"/>
      <c r="E190" s="300"/>
      <c r="F190" s="210"/>
      <c r="G190" s="203"/>
      <c r="H190" s="203"/>
      <c r="I190" s="291"/>
      <c r="J190" s="263"/>
      <c r="K190" s="264"/>
      <c r="L190" s="265"/>
      <c r="M190" s="265"/>
      <c r="N190" s="265"/>
      <c r="O190" s="265"/>
      <c r="P190" s="265"/>
      <c r="Q190" s="265"/>
      <c r="R190" s="265"/>
    </row>
    <row r="191" spans="1:21" ht="30" customHeight="1">
      <c r="A191" s="204" t="str">
        <f>IF(ISBLANK(D191)," ",120-COUNTBLANK($D$6:D191))</f>
        <v xml:space="preserve"> </v>
      </c>
      <c r="B191" s="202"/>
      <c r="C191" s="202"/>
      <c r="D191" s="202"/>
      <c r="E191" s="300"/>
      <c r="F191" s="210"/>
      <c r="G191" s="203"/>
      <c r="H191" s="203"/>
      <c r="I191" s="291"/>
      <c r="J191" s="263"/>
      <c r="K191" s="264"/>
      <c r="L191" s="265"/>
      <c r="M191" s="265"/>
      <c r="N191" s="265"/>
      <c r="O191" s="265"/>
      <c r="P191" s="265"/>
      <c r="Q191" s="265"/>
      <c r="R191" s="265"/>
    </row>
    <row r="192" spans="1:21" ht="30" customHeight="1">
      <c r="A192" s="204" t="str">
        <f>IF(ISBLANK(D192)," ",121-COUNTBLANK($D$6:D192))</f>
        <v xml:space="preserve"> </v>
      </c>
      <c r="B192" s="202"/>
      <c r="C192" s="202"/>
      <c r="D192" s="202"/>
      <c r="E192" s="300"/>
      <c r="F192" s="210"/>
      <c r="G192" s="203"/>
      <c r="H192" s="203"/>
      <c r="I192" s="291"/>
      <c r="J192" s="263"/>
      <c r="K192" s="264"/>
      <c r="L192" s="265"/>
      <c r="M192" s="265"/>
      <c r="N192" s="265"/>
      <c r="O192" s="265"/>
      <c r="P192" s="265"/>
      <c r="Q192" s="265"/>
      <c r="R192" s="265"/>
    </row>
    <row r="193" spans="1:21" ht="30" customHeight="1">
      <c r="A193" s="204" t="str">
        <f>IF(ISBLANK(D193)," ",122-COUNTBLANK($D$6:D193))</f>
        <v xml:space="preserve"> </v>
      </c>
      <c r="B193" s="202"/>
      <c r="C193" s="202"/>
      <c r="D193" s="202"/>
      <c r="E193" s="300"/>
      <c r="F193" s="210"/>
      <c r="G193" s="203"/>
      <c r="H193" s="203"/>
      <c r="I193" s="291"/>
      <c r="J193" s="263"/>
      <c r="K193" s="264"/>
      <c r="L193" s="265"/>
      <c r="M193" s="265"/>
      <c r="N193" s="265"/>
      <c r="O193" s="265"/>
      <c r="P193" s="265"/>
      <c r="Q193" s="265"/>
      <c r="R193" s="265"/>
    </row>
    <row r="194" spans="1:21" ht="30" customHeight="1">
      <c r="A194" s="204" t="str">
        <f>IF(ISBLANK(D194)," ",123-COUNTBLANK($D$6:D194))</f>
        <v xml:space="preserve"> </v>
      </c>
      <c r="B194" s="202"/>
      <c r="C194" s="202"/>
      <c r="D194" s="202"/>
      <c r="E194" s="300"/>
      <c r="F194" s="210"/>
      <c r="G194" s="203"/>
      <c r="H194" s="203"/>
      <c r="I194" s="291"/>
      <c r="J194" s="263"/>
      <c r="K194" s="264"/>
      <c r="L194" s="265"/>
      <c r="M194" s="265"/>
      <c r="N194" s="265"/>
      <c r="O194" s="265"/>
      <c r="P194" s="265"/>
      <c r="Q194" s="265"/>
      <c r="R194" s="265"/>
    </row>
    <row r="195" spans="1:21" ht="30" customHeight="1">
      <c r="A195" s="204" t="str">
        <f>IF(ISBLANK(D195)," ",124-COUNTBLANK($D$6:D195))</f>
        <v xml:space="preserve"> </v>
      </c>
      <c r="B195" s="202"/>
      <c r="C195" s="202"/>
      <c r="D195" s="202"/>
      <c r="E195" s="300"/>
      <c r="F195" s="210"/>
      <c r="G195" s="203"/>
      <c r="H195" s="203"/>
      <c r="I195" s="291"/>
      <c r="J195" s="263"/>
      <c r="K195" s="264"/>
      <c r="L195" s="265"/>
      <c r="M195" s="265"/>
      <c r="N195" s="265"/>
      <c r="O195" s="265"/>
      <c r="P195" s="265"/>
      <c r="Q195" s="265"/>
      <c r="R195" s="265"/>
    </row>
    <row r="196" spans="1:21" ht="30" customHeight="1">
      <c r="A196" s="204" t="str">
        <f>IF(ISBLANK(D196)," ",125-COUNTBLANK($D$6:D196))</f>
        <v xml:space="preserve"> </v>
      </c>
      <c r="B196" s="202"/>
      <c r="C196" s="202"/>
      <c r="D196" s="202"/>
      <c r="E196" s="300"/>
      <c r="F196" s="210"/>
      <c r="G196" s="203"/>
      <c r="H196" s="203"/>
      <c r="I196" s="291"/>
      <c r="J196" s="263"/>
      <c r="K196" s="264"/>
      <c r="L196" s="265"/>
      <c r="M196" s="265"/>
      <c r="N196" s="265"/>
      <c r="O196" s="265"/>
      <c r="P196" s="265"/>
      <c r="Q196" s="265"/>
      <c r="R196" s="265"/>
    </row>
    <row r="197" spans="1:21" ht="30" customHeight="1">
      <c r="A197" s="204" t="s">
        <v>52</v>
      </c>
      <c r="B197" s="202"/>
      <c r="C197" s="202"/>
      <c r="D197" s="202"/>
      <c r="E197" s="300"/>
      <c r="F197" s="210">
        <f>SUM(F177:F196)</f>
        <v>0</v>
      </c>
      <c r="G197" s="203"/>
      <c r="H197" s="203"/>
      <c r="I197" s="291"/>
      <c r="J197" s="263"/>
      <c r="K197" s="264"/>
      <c r="L197" s="265"/>
      <c r="M197" s="265"/>
      <c r="N197" s="265"/>
      <c r="O197" s="265"/>
      <c r="P197" s="265"/>
      <c r="Q197" s="265"/>
      <c r="R197" s="265"/>
    </row>
    <row r="198" spans="1:21" ht="30" customHeight="1">
      <c r="A198" s="204" t="str">
        <f>IF(ISBLANK(D198)," ",127-COUNTBLANK($D$6:D198))</f>
        <v xml:space="preserve"> </v>
      </c>
      <c r="B198" s="202"/>
      <c r="C198" s="202"/>
      <c r="D198" s="202"/>
      <c r="E198" s="300"/>
      <c r="F198" s="210"/>
      <c r="G198" s="203"/>
      <c r="H198" s="203"/>
      <c r="I198" s="291"/>
      <c r="J198" s="263"/>
      <c r="K198" s="264"/>
      <c r="L198" s="265"/>
      <c r="M198" s="265"/>
      <c r="N198" s="265"/>
      <c r="O198" s="265"/>
      <c r="P198" s="265"/>
      <c r="Q198" s="265"/>
      <c r="R198" s="265"/>
    </row>
    <row r="199" spans="1:21" ht="30" customHeight="1">
      <c r="A199" s="204" t="str">
        <f>IF(ISBLANK(D199)," ",128-COUNTBLANK($D$6:D199))</f>
        <v xml:space="preserve"> </v>
      </c>
      <c r="B199" s="202"/>
      <c r="C199" s="202"/>
      <c r="D199" s="202"/>
      <c r="E199" s="300"/>
      <c r="F199" s="210"/>
      <c r="G199" s="203"/>
      <c r="H199" s="203"/>
      <c r="I199" s="291"/>
      <c r="J199" s="263"/>
      <c r="K199" s="264"/>
      <c r="L199" s="265"/>
      <c r="M199" s="265"/>
      <c r="N199" s="265"/>
      <c r="O199" s="265"/>
      <c r="P199" s="265"/>
      <c r="Q199" s="265"/>
      <c r="R199" s="265"/>
    </row>
    <row r="200" spans="1:21" ht="30" customHeight="1">
      <c r="A200" s="204" t="str">
        <f>IF(ISBLANK(D200)," ",129-COUNTBLANK($D$6:D200))</f>
        <v xml:space="preserve"> </v>
      </c>
      <c r="B200" s="202"/>
      <c r="C200" s="202"/>
      <c r="D200" s="202"/>
      <c r="E200" s="300"/>
      <c r="F200" s="210"/>
      <c r="G200" s="203"/>
      <c r="H200" s="203"/>
      <c r="I200" s="291"/>
      <c r="J200" s="263"/>
      <c r="K200" s="264"/>
      <c r="L200" s="265"/>
      <c r="M200" s="265"/>
      <c r="N200" s="265"/>
      <c r="O200" s="265"/>
      <c r="P200" s="265"/>
      <c r="Q200" s="265"/>
      <c r="R200" s="265"/>
    </row>
    <row r="201" spans="1:21" ht="30" customHeight="1">
      <c r="A201" s="204" t="str">
        <f>IF(ISBLANK(D201)," ",130-COUNTBLANK($D$6:D201))</f>
        <v xml:space="preserve"> </v>
      </c>
      <c r="B201" s="202"/>
      <c r="C201" s="202"/>
      <c r="D201" s="202"/>
      <c r="E201" s="300"/>
      <c r="F201" s="210"/>
      <c r="G201" s="203"/>
      <c r="H201" s="203"/>
      <c r="I201" s="291"/>
      <c r="J201" s="263"/>
      <c r="K201" s="266"/>
      <c r="L201" s="265"/>
      <c r="M201" s="265"/>
      <c r="N201" s="265"/>
      <c r="O201" s="265"/>
      <c r="P201" s="265"/>
      <c r="Q201" s="265"/>
      <c r="R201" s="267"/>
    </row>
    <row r="202" spans="1:21" ht="30" customHeight="1">
      <c r="A202" s="204" t="str">
        <f>IF(ISBLANK(D202)," ",131-COUNTBLANK($D$6:D202))</f>
        <v xml:space="preserve"> </v>
      </c>
      <c r="B202" s="202"/>
      <c r="C202" s="202"/>
      <c r="D202" s="202"/>
      <c r="E202" s="300"/>
      <c r="F202" s="210"/>
      <c r="G202" s="203"/>
      <c r="H202" s="203"/>
      <c r="I202" s="291"/>
      <c r="J202" s="263"/>
      <c r="K202" s="266"/>
      <c r="L202" s="265"/>
      <c r="M202" s="265"/>
      <c r="N202" s="265"/>
      <c r="O202" s="265"/>
      <c r="P202" s="265"/>
      <c r="Q202" s="265"/>
      <c r="R202" s="267"/>
    </row>
    <row r="203" spans="1:21" ht="30" customHeight="1">
      <c r="A203" s="204" t="str">
        <f>IF(ISBLANK(D203)," ",132-COUNTBLANK($D$6:D203))</f>
        <v xml:space="preserve"> </v>
      </c>
      <c r="B203" s="202"/>
      <c r="C203" s="202"/>
      <c r="D203" s="202"/>
      <c r="E203" s="300"/>
      <c r="F203" s="210"/>
      <c r="G203" s="203"/>
      <c r="H203" s="203"/>
      <c r="I203" s="291"/>
      <c r="J203" s="263"/>
      <c r="K203" s="266"/>
      <c r="L203" s="265"/>
      <c r="M203" s="265"/>
      <c r="N203" s="265"/>
      <c r="O203" s="265"/>
      <c r="P203" s="265"/>
      <c r="Q203" s="265"/>
      <c r="R203" s="267"/>
    </row>
    <row r="204" spans="1:21" ht="30" customHeight="1">
      <c r="A204" s="204" t="str">
        <f>IF(ISBLANK(D204)," ",133-COUNTBLANK($D$6:D204))</f>
        <v xml:space="preserve"> </v>
      </c>
      <c r="B204" s="202"/>
      <c r="C204" s="202"/>
      <c r="D204" s="202"/>
      <c r="E204" s="300"/>
      <c r="F204" s="210"/>
      <c r="G204" s="203"/>
      <c r="H204" s="203"/>
      <c r="I204" s="291"/>
      <c r="J204" s="263"/>
      <c r="K204" s="266"/>
      <c r="L204" s="265"/>
      <c r="M204" s="265"/>
      <c r="N204" s="265"/>
      <c r="O204" s="265"/>
      <c r="P204" s="265"/>
      <c r="Q204" s="265"/>
      <c r="R204" s="267"/>
    </row>
    <row r="205" spans="1:21" ht="30" customHeight="1">
      <c r="A205" s="304" t="str">
        <f>IF(ISBLANK(D205)," ",134-COUNTBLANK($D$6:D205))</f>
        <v xml:space="preserve"> </v>
      </c>
      <c r="B205" s="296"/>
      <c r="C205" s="305"/>
      <c r="D205" s="306"/>
      <c r="E205" s="297"/>
      <c r="F205" s="298"/>
      <c r="G205" s="282"/>
      <c r="H205" s="282"/>
      <c r="I205" s="303"/>
      <c r="J205" s="263"/>
      <c r="K205" s="264"/>
      <c r="L205" s="265"/>
      <c r="M205" s="265"/>
      <c r="N205" s="265"/>
      <c r="O205" s="265"/>
      <c r="P205" s="265"/>
      <c r="Q205" s="265"/>
      <c r="R205" s="284"/>
      <c r="S205" s="265"/>
      <c r="T205" s="265"/>
      <c r="U205" s="265"/>
    </row>
    <row r="206" spans="1:21" ht="30" customHeight="1">
      <c r="A206" s="260" t="str">
        <f>IF(ISBLANK(D206)," ",135-COUNTBLANK($D$6:D206))</f>
        <v xml:space="preserve"> </v>
      </c>
      <c r="B206" s="200"/>
      <c r="C206" s="200"/>
      <c r="D206" s="200"/>
      <c r="E206" s="299"/>
      <c r="F206" s="209"/>
      <c r="G206" s="201"/>
      <c r="H206" s="201"/>
      <c r="I206" s="291"/>
      <c r="J206" s="263"/>
      <c r="K206" s="266"/>
      <c r="L206" s="265"/>
      <c r="M206" s="265"/>
      <c r="N206" s="265"/>
      <c r="O206" s="265"/>
      <c r="P206" s="265"/>
      <c r="Q206" s="265"/>
      <c r="R206" s="284"/>
      <c r="S206" s="265"/>
      <c r="T206" s="265"/>
      <c r="U206" s="265"/>
    </row>
    <row r="207" spans="1:21" ht="30" customHeight="1">
      <c r="A207" s="204" t="str">
        <f>IF(ISBLANK(D207)," ",136-COUNTBLANK($D$6:D207))</f>
        <v xml:space="preserve"> </v>
      </c>
      <c r="B207" s="202"/>
      <c r="C207" s="202"/>
      <c r="D207" s="202"/>
      <c r="E207" s="300"/>
      <c r="F207" s="210"/>
      <c r="G207" s="203"/>
      <c r="H207" s="203"/>
      <c r="I207" s="291"/>
      <c r="J207" s="263"/>
      <c r="K207" s="264"/>
      <c r="L207" s="265"/>
      <c r="M207" s="265"/>
      <c r="N207" s="265"/>
      <c r="O207" s="265"/>
      <c r="P207" s="265"/>
      <c r="Q207" s="265"/>
      <c r="R207" s="265"/>
    </row>
    <row r="208" spans="1:21" ht="30" customHeight="1">
      <c r="A208" s="204" t="str">
        <f>IF(ISBLANK(D208)," ",137-COUNTBLANK($D$6:D208))</f>
        <v xml:space="preserve"> </v>
      </c>
      <c r="B208" s="202"/>
      <c r="C208" s="202"/>
      <c r="D208" s="202"/>
      <c r="E208" s="300"/>
      <c r="F208" s="210"/>
      <c r="G208" s="203"/>
      <c r="H208" s="203"/>
      <c r="I208" s="291"/>
      <c r="J208" s="263"/>
      <c r="K208" s="264"/>
      <c r="L208" s="265"/>
      <c r="M208" s="265"/>
      <c r="N208" s="265"/>
      <c r="O208" s="265"/>
      <c r="P208" s="265"/>
      <c r="Q208" s="265"/>
      <c r="R208" s="265"/>
    </row>
    <row r="209" spans="1:18" ht="30" customHeight="1">
      <c r="A209" s="204" t="str">
        <f>IF(ISBLANK(D209)," ",138-COUNTBLANK($D$6:D209))</f>
        <v xml:space="preserve"> </v>
      </c>
      <c r="B209" s="202"/>
      <c r="C209" s="202"/>
      <c r="D209" s="202"/>
      <c r="E209" s="300"/>
      <c r="F209" s="210"/>
      <c r="G209" s="203"/>
      <c r="H209" s="203"/>
      <c r="I209" s="291"/>
      <c r="J209" s="263"/>
      <c r="K209" s="264"/>
      <c r="L209" s="265"/>
      <c r="M209" s="265"/>
      <c r="N209" s="265"/>
      <c r="O209" s="265"/>
      <c r="P209" s="265"/>
      <c r="Q209" s="265"/>
      <c r="R209" s="265"/>
    </row>
    <row r="210" spans="1:18" ht="30" customHeight="1">
      <c r="A210" s="204" t="str">
        <f>IF(ISBLANK(D210)," ",139-COUNTBLANK($D$6:D210))</f>
        <v xml:space="preserve"> </v>
      </c>
      <c r="B210" s="202"/>
      <c r="C210" s="202"/>
      <c r="D210" s="202"/>
      <c r="E210" s="300"/>
      <c r="F210" s="210"/>
      <c r="G210" s="203"/>
      <c r="H210" s="203"/>
      <c r="I210" s="291"/>
      <c r="J210" s="263"/>
      <c r="K210" s="264"/>
      <c r="L210" s="265"/>
      <c r="M210" s="265"/>
      <c r="N210" s="265"/>
      <c r="O210" s="265"/>
      <c r="P210" s="265"/>
      <c r="Q210" s="265"/>
      <c r="R210" s="265"/>
    </row>
    <row r="211" spans="1:18" ht="30" customHeight="1">
      <c r="A211" s="204" t="str">
        <f>IF(ISBLANK(D211)," ",140-COUNTBLANK($D$6:D211))</f>
        <v xml:space="preserve"> </v>
      </c>
      <c r="B211" s="202"/>
      <c r="C211" s="202"/>
      <c r="D211" s="202"/>
      <c r="E211" s="300"/>
      <c r="F211" s="210"/>
      <c r="G211" s="203"/>
      <c r="H211" s="203"/>
      <c r="I211" s="291"/>
      <c r="J211" s="263"/>
      <c r="K211" s="264"/>
      <c r="L211" s="265"/>
      <c r="M211" s="265"/>
      <c r="N211" s="265"/>
      <c r="O211" s="265"/>
      <c r="P211" s="265"/>
      <c r="Q211" s="265"/>
      <c r="R211" s="265"/>
    </row>
    <row r="212" spans="1:18" ht="30" customHeight="1">
      <c r="A212" s="204" t="str">
        <f>IF(ISBLANK(D212)," ",141-COUNTBLANK($D$6:D212))</f>
        <v xml:space="preserve"> </v>
      </c>
      <c r="B212" s="202"/>
      <c r="C212" s="202"/>
      <c r="D212" s="202"/>
      <c r="E212" s="300"/>
      <c r="F212" s="210"/>
      <c r="G212" s="203"/>
      <c r="H212" s="203"/>
      <c r="I212" s="291"/>
      <c r="J212" s="263"/>
      <c r="K212" s="264"/>
      <c r="L212" s="265"/>
      <c r="M212" s="265"/>
      <c r="N212" s="265"/>
      <c r="O212" s="265"/>
      <c r="P212" s="265"/>
      <c r="Q212" s="265"/>
      <c r="R212" s="265"/>
    </row>
    <row r="213" spans="1:18" ht="30" customHeight="1">
      <c r="A213" s="204" t="str">
        <f>IF(ISBLANK(D213)," ",142-COUNTBLANK($D$6:D213))</f>
        <v xml:space="preserve"> </v>
      </c>
      <c r="B213" s="202"/>
      <c r="C213" s="202"/>
      <c r="D213" s="202"/>
      <c r="E213" s="300"/>
      <c r="F213" s="210"/>
      <c r="G213" s="203"/>
      <c r="H213" s="203"/>
      <c r="I213" s="291"/>
      <c r="J213" s="263"/>
      <c r="K213" s="264"/>
      <c r="L213" s="265"/>
      <c r="M213" s="265"/>
      <c r="N213" s="265"/>
      <c r="O213" s="265"/>
      <c r="P213" s="265"/>
      <c r="Q213" s="265"/>
      <c r="R213" s="265"/>
    </row>
    <row r="214" spans="1:18" ht="30" customHeight="1">
      <c r="A214" s="204" t="str">
        <f>IF(ISBLANK(D214)," ",143-COUNTBLANK($D$6:D214))</f>
        <v xml:space="preserve"> </v>
      </c>
      <c r="B214" s="202"/>
      <c r="C214" s="202"/>
      <c r="D214" s="202"/>
      <c r="E214" s="300"/>
      <c r="F214" s="210"/>
      <c r="G214" s="203"/>
      <c r="H214" s="203"/>
      <c r="I214" s="291"/>
      <c r="J214" s="263"/>
      <c r="K214" s="264"/>
      <c r="L214" s="265"/>
      <c r="M214" s="265"/>
      <c r="N214" s="265"/>
      <c r="O214" s="265"/>
      <c r="P214" s="265"/>
      <c r="Q214" s="265"/>
      <c r="R214" s="265"/>
    </row>
    <row r="215" spans="1:18" ht="30" customHeight="1">
      <c r="A215" s="204" t="str">
        <f>IF(ISBLANK(D215)," ",144-COUNTBLANK($D$6:D215))</f>
        <v xml:space="preserve"> </v>
      </c>
      <c r="B215" s="202"/>
      <c r="C215" s="202"/>
      <c r="D215" s="202"/>
      <c r="E215" s="300"/>
      <c r="F215" s="210"/>
      <c r="G215" s="203"/>
      <c r="H215" s="203"/>
      <c r="I215" s="291"/>
      <c r="J215" s="263"/>
      <c r="K215" s="264"/>
      <c r="L215" s="265"/>
      <c r="M215" s="265"/>
      <c r="N215" s="265"/>
      <c r="O215" s="265"/>
      <c r="P215" s="265"/>
      <c r="Q215" s="265"/>
      <c r="R215" s="265"/>
    </row>
    <row r="216" spans="1:18" ht="30" customHeight="1">
      <c r="A216" s="204" t="str">
        <f>IF(ISBLANK(D216)," ",145-COUNTBLANK($D$6:D216))</f>
        <v xml:space="preserve"> </v>
      </c>
      <c r="B216" s="202"/>
      <c r="C216" s="202"/>
      <c r="D216" s="202"/>
      <c r="E216" s="300"/>
      <c r="F216" s="210"/>
      <c r="G216" s="203"/>
      <c r="H216" s="203"/>
      <c r="I216" s="291"/>
      <c r="J216" s="263"/>
      <c r="K216" s="264"/>
      <c r="L216" s="265"/>
      <c r="M216" s="265"/>
      <c r="N216" s="265"/>
      <c r="O216" s="265"/>
      <c r="P216" s="265"/>
      <c r="Q216" s="265"/>
      <c r="R216" s="265"/>
    </row>
    <row r="217" spans="1:18" ht="30" customHeight="1">
      <c r="A217" s="204" t="str">
        <f>IF(ISBLANK(D217)," ",146-COUNTBLANK($D$6:D217))</f>
        <v xml:space="preserve"> </v>
      </c>
      <c r="B217" s="202"/>
      <c r="C217" s="202"/>
      <c r="D217" s="202"/>
      <c r="E217" s="300"/>
      <c r="F217" s="210"/>
      <c r="G217" s="203"/>
      <c r="H217" s="203"/>
      <c r="I217" s="291"/>
      <c r="J217" s="263"/>
      <c r="K217" s="264"/>
      <c r="L217" s="265"/>
      <c r="M217" s="265"/>
      <c r="N217" s="265"/>
      <c r="O217" s="265"/>
      <c r="P217" s="265"/>
      <c r="Q217" s="265"/>
      <c r="R217" s="265"/>
    </row>
    <row r="218" spans="1:18" ht="30" customHeight="1">
      <c r="A218" s="204" t="s">
        <v>52</v>
      </c>
      <c r="B218" s="202"/>
      <c r="C218" s="202"/>
      <c r="D218" s="202"/>
      <c r="E218" s="300"/>
      <c r="F218" s="210">
        <f>SUM(F198:F217)</f>
        <v>0</v>
      </c>
      <c r="G218" s="203"/>
      <c r="H218" s="203"/>
      <c r="I218" s="291"/>
      <c r="J218" s="263"/>
      <c r="K218" s="264"/>
      <c r="L218" s="265"/>
      <c r="M218" s="265"/>
      <c r="N218" s="265"/>
      <c r="O218" s="265"/>
      <c r="P218" s="265"/>
      <c r="Q218" s="265"/>
      <c r="R218" s="265"/>
    </row>
    <row r="219" spans="1:18" ht="30" customHeight="1">
      <c r="A219" s="204" t="str">
        <f>IF(ISBLANK(D219)," ",148-COUNTBLANK($D$6:D219))</f>
        <v xml:space="preserve"> </v>
      </c>
      <c r="B219" s="202"/>
      <c r="C219" s="202"/>
      <c r="D219" s="202"/>
      <c r="E219" s="300"/>
      <c r="F219" s="210"/>
      <c r="G219" s="203"/>
      <c r="H219" s="203"/>
      <c r="I219" s="291"/>
      <c r="J219" s="263"/>
      <c r="K219" s="264"/>
      <c r="L219" s="265"/>
      <c r="M219" s="265"/>
      <c r="N219" s="265"/>
      <c r="O219" s="265"/>
      <c r="P219" s="265"/>
      <c r="Q219" s="265"/>
      <c r="R219" s="265"/>
    </row>
    <row r="220" spans="1:18" ht="30" customHeight="1">
      <c r="A220" s="204" t="str">
        <f>IF(ISBLANK(D220)," ",149-COUNTBLANK($D$6:D220))</f>
        <v xml:space="preserve"> </v>
      </c>
      <c r="B220" s="202"/>
      <c r="C220" s="202"/>
      <c r="D220" s="202"/>
      <c r="E220" s="300"/>
      <c r="F220" s="210"/>
      <c r="G220" s="203"/>
      <c r="H220" s="203"/>
      <c r="I220" s="291"/>
      <c r="J220" s="263"/>
      <c r="K220" s="264"/>
      <c r="L220" s="265"/>
      <c r="M220" s="265"/>
      <c r="N220" s="265"/>
      <c r="O220" s="265"/>
      <c r="P220" s="265"/>
      <c r="Q220" s="265"/>
      <c r="R220" s="265"/>
    </row>
    <row r="221" spans="1:18" ht="30" customHeight="1">
      <c r="A221" s="204" t="str">
        <f>IF(ISBLANK(D221)," ",150-COUNTBLANK($D$6:D221))</f>
        <v xml:space="preserve"> </v>
      </c>
      <c r="B221" s="202"/>
      <c r="C221" s="202"/>
      <c r="D221" s="202"/>
      <c r="E221" s="300"/>
      <c r="F221" s="210"/>
      <c r="G221" s="203"/>
      <c r="H221" s="203"/>
      <c r="I221" s="291"/>
      <c r="J221" s="263"/>
      <c r="K221" s="264"/>
      <c r="L221" s="265"/>
      <c r="M221" s="265"/>
      <c r="N221" s="265"/>
      <c r="O221" s="265"/>
      <c r="P221" s="265"/>
      <c r="Q221" s="265"/>
      <c r="R221" s="265"/>
    </row>
    <row r="222" spans="1:18" ht="30" customHeight="1">
      <c r="A222" s="204" t="str">
        <f>IF(ISBLANK(D222)," ",151-COUNTBLANK($D$6:D222))</f>
        <v xml:space="preserve"> </v>
      </c>
      <c r="B222" s="202"/>
      <c r="C222" s="202"/>
      <c r="D222" s="202"/>
      <c r="E222" s="300"/>
      <c r="F222" s="210"/>
      <c r="G222" s="203"/>
      <c r="H222" s="203"/>
      <c r="I222" s="291"/>
      <c r="J222" s="263"/>
      <c r="K222" s="266"/>
      <c r="L222" s="265"/>
      <c r="M222" s="265"/>
      <c r="N222" s="265"/>
      <c r="O222" s="265"/>
      <c r="P222" s="265"/>
      <c r="Q222" s="265"/>
      <c r="R222" s="267"/>
    </row>
    <row r="223" spans="1:18" ht="30" customHeight="1">
      <c r="A223" s="204" t="str">
        <f>IF(ISBLANK(D223)," ",152-COUNTBLANK($D$6:D223))</f>
        <v xml:space="preserve"> </v>
      </c>
      <c r="B223" s="202"/>
      <c r="C223" s="202"/>
      <c r="D223" s="202"/>
      <c r="E223" s="300"/>
      <c r="F223" s="210"/>
      <c r="G223" s="203"/>
      <c r="H223" s="203"/>
      <c r="I223" s="291"/>
      <c r="J223" s="263"/>
      <c r="K223" s="266"/>
      <c r="L223" s="265"/>
      <c r="M223" s="265"/>
      <c r="N223" s="265"/>
      <c r="O223" s="265"/>
      <c r="P223" s="265"/>
      <c r="Q223" s="265"/>
      <c r="R223" s="267"/>
    </row>
    <row r="224" spans="1:18" ht="30" customHeight="1">
      <c r="A224" s="204" t="str">
        <f>IF(ISBLANK(D224)," ",153-COUNTBLANK($D$6:D224))</f>
        <v xml:space="preserve"> </v>
      </c>
      <c r="B224" s="202"/>
      <c r="C224" s="202"/>
      <c r="D224" s="202"/>
      <c r="E224" s="300"/>
      <c r="F224" s="210"/>
      <c r="G224" s="203"/>
      <c r="H224" s="203"/>
      <c r="I224" s="291"/>
      <c r="J224" s="263"/>
      <c r="K224" s="266"/>
      <c r="L224" s="265"/>
      <c r="M224" s="265"/>
      <c r="N224" s="265"/>
      <c r="O224" s="265"/>
      <c r="P224" s="265"/>
      <c r="Q224" s="265"/>
      <c r="R224" s="267"/>
    </row>
    <row r="225" spans="1:21" ht="30" customHeight="1">
      <c r="A225" s="204" t="str">
        <f>IF(ISBLANK(D225)," ",154-COUNTBLANK($D$6:D225))</f>
        <v xml:space="preserve"> </v>
      </c>
      <c r="B225" s="202"/>
      <c r="C225" s="202"/>
      <c r="D225" s="202"/>
      <c r="E225" s="300"/>
      <c r="F225" s="210"/>
      <c r="G225" s="203"/>
      <c r="H225" s="203"/>
      <c r="I225" s="291"/>
      <c r="J225" s="263"/>
      <c r="K225" s="266"/>
      <c r="L225" s="265"/>
      <c r="M225" s="265"/>
      <c r="N225" s="265"/>
      <c r="O225" s="265"/>
      <c r="P225" s="265"/>
      <c r="Q225" s="265"/>
      <c r="R225" s="267"/>
    </row>
    <row r="226" spans="1:21" ht="30" customHeight="1">
      <c r="A226" s="304" t="str">
        <f>IF(ISBLANK(D226)," ",155-COUNTBLANK($D$6:D226))</f>
        <v xml:space="preserve"> </v>
      </c>
      <c r="B226" s="296"/>
      <c r="C226" s="305"/>
      <c r="D226" s="306"/>
      <c r="E226" s="297"/>
      <c r="F226" s="298"/>
      <c r="G226" s="282"/>
      <c r="H226" s="282"/>
      <c r="I226" s="303"/>
      <c r="J226" s="263"/>
      <c r="K226" s="264"/>
      <c r="L226" s="265"/>
      <c r="M226" s="265"/>
      <c r="N226" s="265"/>
      <c r="O226" s="265"/>
      <c r="P226" s="265"/>
      <c r="Q226" s="265"/>
      <c r="R226" s="284"/>
      <c r="S226" s="265"/>
      <c r="T226" s="265"/>
      <c r="U226" s="265"/>
    </row>
    <row r="227" spans="1:21" ht="30" customHeight="1">
      <c r="A227" s="260" t="str">
        <f>IF(ISBLANK(D227)," ",156-COUNTBLANK($D$6:D227))</f>
        <v xml:space="preserve"> </v>
      </c>
      <c r="B227" s="200"/>
      <c r="C227" s="200"/>
      <c r="D227" s="200"/>
      <c r="E227" s="299"/>
      <c r="F227" s="209"/>
      <c r="G227" s="201"/>
      <c r="H227" s="201"/>
      <c r="I227" s="291"/>
      <c r="J227" s="263"/>
      <c r="K227" s="266"/>
      <c r="L227" s="265"/>
      <c r="M227" s="265"/>
      <c r="N227" s="265"/>
      <c r="O227" s="265"/>
      <c r="P227" s="265"/>
      <c r="Q227" s="265"/>
      <c r="R227" s="284"/>
      <c r="S227" s="265"/>
      <c r="T227" s="265"/>
      <c r="U227" s="265"/>
    </row>
    <row r="228" spans="1:21" ht="30" customHeight="1">
      <c r="A228" s="204" t="str">
        <f>IF(ISBLANK(D228)," ",157-COUNTBLANK($D$6:D228))</f>
        <v xml:space="preserve"> </v>
      </c>
      <c r="B228" s="202"/>
      <c r="C228" s="202"/>
      <c r="D228" s="202"/>
      <c r="E228" s="300"/>
      <c r="F228" s="210"/>
      <c r="G228" s="203"/>
      <c r="H228" s="203"/>
      <c r="I228" s="291"/>
      <c r="J228" s="263"/>
      <c r="K228" s="264"/>
      <c r="L228" s="265"/>
      <c r="M228" s="265"/>
      <c r="N228" s="265"/>
      <c r="O228" s="265"/>
      <c r="P228" s="265"/>
      <c r="Q228" s="265"/>
      <c r="R228" s="265"/>
    </row>
    <row r="229" spans="1:21" ht="30" customHeight="1">
      <c r="A229" s="204" t="str">
        <f>IF(ISBLANK(D229)," ",158-COUNTBLANK($D$6:D229))</f>
        <v xml:space="preserve"> </v>
      </c>
      <c r="B229" s="202"/>
      <c r="C229" s="202"/>
      <c r="D229" s="202"/>
      <c r="E229" s="300"/>
      <c r="F229" s="210"/>
      <c r="G229" s="203"/>
      <c r="H229" s="203"/>
      <c r="I229" s="291"/>
      <c r="J229" s="263"/>
      <c r="K229" s="264"/>
      <c r="L229" s="265"/>
      <c r="M229" s="265"/>
      <c r="N229" s="265"/>
      <c r="O229" s="265"/>
      <c r="P229" s="265"/>
      <c r="Q229" s="265"/>
      <c r="R229" s="265"/>
    </row>
    <row r="230" spans="1:21" ht="30" customHeight="1">
      <c r="A230" s="204" t="str">
        <f>IF(ISBLANK(D230)," ",159-COUNTBLANK($D$6:D230))</f>
        <v xml:space="preserve"> </v>
      </c>
      <c r="B230" s="202"/>
      <c r="C230" s="202"/>
      <c r="D230" s="202"/>
      <c r="E230" s="300"/>
      <c r="F230" s="210"/>
      <c r="G230" s="203"/>
      <c r="H230" s="203"/>
      <c r="I230" s="291"/>
      <c r="J230" s="263"/>
      <c r="K230" s="264"/>
      <c r="L230" s="265"/>
      <c r="M230" s="265"/>
      <c r="N230" s="265"/>
      <c r="O230" s="265"/>
      <c r="P230" s="265"/>
      <c r="Q230" s="265"/>
      <c r="R230" s="265"/>
    </row>
    <row r="231" spans="1:21" ht="30" customHeight="1">
      <c r="A231" s="204" t="str">
        <f>IF(ISBLANK(D231)," ",160-COUNTBLANK($D$6:D231))</f>
        <v xml:space="preserve"> </v>
      </c>
      <c r="B231" s="202"/>
      <c r="C231" s="202"/>
      <c r="D231" s="202"/>
      <c r="E231" s="300"/>
      <c r="F231" s="210"/>
      <c r="G231" s="203"/>
      <c r="H231" s="203"/>
      <c r="I231" s="291"/>
      <c r="J231" s="263"/>
      <c r="K231" s="264"/>
      <c r="L231" s="265"/>
      <c r="M231" s="265"/>
      <c r="N231" s="265"/>
      <c r="O231" s="265"/>
      <c r="P231" s="265"/>
      <c r="Q231" s="265"/>
      <c r="R231" s="265"/>
    </row>
    <row r="232" spans="1:21" ht="30" customHeight="1">
      <c r="A232" s="204" t="str">
        <f>IF(ISBLANK(D232)," ",161-COUNTBLANK($D$6:D232))</f>
        <v xml:space="preserve"> </v>
      </c>
      <c r="B232" s="202"/>
      <c r="C232" s="202"/>
      <c r="D232" s="202"/>
      <c r="E232" s="300"/>
      <c r="F232" s="210"/>
      <c r="G232" s="203"/>
      <c r="H232" s="203"/>
      <c r="I232" s="291"/>
      <c r="J232" s="263"/>
      <c r="K232" s="264"/>
      <c r="L232" s="265"/>
      <c r="M232" s="265"/>
      <c r="N232" s="265"/>
      <c r="O232" s="265"/>
      <c r="P232" s="265"/>
      <c r="Q232" s="265"/>
      <c r="R232" s="265"/>
    </row>
    <row r="233" spans="1:21" ht="30" customHeight="1">
      <c r="A233" s="204" t="str">
        <f>IF(ISBLANK(D233)," ",162-COUNTBLANK($D$6:D233))</f>
        <v xml:space="preserve"> </v>
      </c>
      <c r="B233" s="202"/>
      <c r="C233" s="202"/>
      <c r="D233" s="202"/>
      <c r="E233" s="300"/>
      <c r="F233" s="210"/>
      <c r="G233" s="203"/>
      <c r="H233" s="203"/>
      <c r="I233" s="291"/>
      <c r="J233" s="263"/>
      <c r="K233" s="264"/>
      <c r="L233" s="265"/>
      <c r="M233" s="265"/>
      <c r="N233" s="265"/>
      <c r="O233" s="265"/>
      <c r="P233" s="265"/>
      <c r="Q233" s="265"/>
      <c r="R233" s="265"/>
    </row>
    <row r="234" spans="1:21" ht="30" customHeight="1">
      <c r="A234" s="204" t="str">
        <f>IF(ISBLANK(D234)," ",163-COUNTBLANK($D$6:D234))</f>
        <v xml:space="preserve"> </v>
      </c>
      <c r="B234" s="202"/>
      <c r="C234" s="202"/>
      <c r="D234" s="202"/>
      <c r="E234" s="300"/>
      <c r="F234" s="210"/>
      <c r="G234" s="203"/>
      <c r="H234" s="203"/>
      <c r="I234" s="291"/>
      <c r="J234" s="263"/>
      <c r="K234" s="264"/>
      <c r="L234" s="265"/>
      <c r="M234" s="265"/>
      <c r="N234" s="265"/>
      <c r="O234" s="265"/>
      <c r="P234" s="265"/>
      <c r="Q234" s="265"/>
      <c r="R234" s="265"/>
    </row>
    <row r="235" spans="1:21" ht="30" customHeight="1">
      <c r="A235" s="204" t="str">
        <f>IF(ISBLANK(D235)," ",164-COUNTBLANK($D$6:D235))</f>
        <v xml:space="preserve"> </v>
      </c>
      <c r="B235" s="202"/>
      <c r="C235" s="202"/>
      <c r="D235" s="202"/>
      <c r="E235" s="300"/>
      <c r="F235" s="210"/>
      <c r="G235" s="203"/>
      <c r="H235" s="203"/>
      <c r="I235" s="291"/>
      <c r="J235" s="263"/>
      <c r="K235" s="264"/>
      <c r="L235" s="265"/>
      <c r="M235" s="265"/>
      <c r="N235" s="265"/>
      <c r="O235" s="265"/>
      <c r="P235" s="265"/>
      <c r="Q235" s="265"/>
      <c r="R235" s="265"/>
    </row>
    <row r="236" spans="1:21" ht="30" customHeight="1">
      <c r="A236" s="204" t="str">
        <f>IF(ISBLANK(D236)," ",165-COUNTBLANK($D$6:D236))</f>
        <v xml:space="preserve"> </v>
      </c>
      <c r="B236" s="202"/>
      <c r="C236" s="202"/>
      <c r="D236" s="202"/>
      <c r="E236" s="300"/>
      <c r="F236" s="210"/>
      <c r="G236" s="203"/>
      <c r="H236" s="203"/>
      <c r="I236" s="291"/>
      <c r="J236" s="263"/>
      <c r="K236" s="264"/>
      <c r="L236" s="265"/>
      <c r="M236" s="265"/>
      <c r="N236" s="265"/>
      <c r="O236" s="265"/>
      <c r="P236" s="265"/>
      <c r="Q236" s="265"/>
      <c r="R236" s="265"/>
    </row>
    <row r="237" spans="1:21" ht="30" customHeight="1">
      <c r="A237" s="204" t="str">
        <f>IF(ISBLANK(D237)," ",166-COUNTBLANK($D$6:D237))</f>
        <v xml:space="preserve"> </v>
      </c>
      <c r="B237" s="202"/>
      <c r="C237" s="202"/>
      <c r="D237" s="202"/>
      <c r="E237" s="300"/>
      <c r="F237" s="210"/>
      <c r="G237" s="203"/>
      <c r="H237" s="203"/>
      <c r="I237" s="291"/>
      <c r="J237" s="263"/>
      <c r="K237" s="264"/>
      <c r="L237" s="265"/>
      <c r="M237" s="265"/>
      <c r="N237" s="265"/>
      <c r="O237" s="265"/>
      <c r="P237" s="265"/>
      <c r="Q237" s="265"/>
      <c r="R237" s="265"/>
    </row>
    <row r="238" spans="1:21" ht="30" customHeight="1">
      <c r="A238" s="204" t="str">
        <f>IF(ISBLANK(D238)," ",167-COUNTBLANK($D$6:D238))</f>
        <v xml:space="preserve"> </v>
      </c>
      <c r="B238" s="202"/>
      <c r="C238" s="202"/>
      <c r="D238" s="202"/>
      <c r="E238" s="300"/>
      <c r="F238" s="210"/>
      <c r="G238" s="203"/>
      <c r="H238" s="203"/>
      <c r="I238" s="291"/>
      <c r="J238" s="263"/>
      <c r="K238" s="264"/>
      <c r="L238" s="265"/>
      <c r="M238" s="265"/>
      <c r="N238" s="265"/>
      <c r="O238" s="265"/>
      <c r="P238" s="265"/>
      <c r="Q238" s="265"/>
      <c r="R238" s="265"/>
    </row>
    <row r="239" spans="1:21" ht="30" customHeight="1">
      <c r="A239" s="204" t="s">
        <v>52</v>
      </c>
      <c r="B239" s="202"/>
      <c r="C239" s="202"/>
      <c r="D239" s="202"/>
      <c r="E239" s="300"/>
      <c r="F239" s="210">
        <f>SUM(F219:F238)</f>
        <v>0</v>
      </c>
      <c r="G239" s="203"/>
      <c r="H239" s="203"/>
      <c r="I239" s="291"/>
      <c r="J239" s="263"/>
      <c r="K239" s="264"/>
      <c r="L239" s="265"/>
      <c r="M239" s="265"/>
      <c r="N239" s="265"/>
      <c r="O239" s="265"/>
      <c r="P239" s="265"/>
      <c r="Q239" s="265"/>
      <c r="R239" s="265"/>
    </row>
    <row r="240" spans="1:21" ht="30" customHeight="1">
      <c r="A240" s="204" t="str">
        <f>IF(ISBLANK(D240)," ",169-COUNTBLANK($D$6:D240))</f>
        <v xml:space="preserve"> </v>
      </c>
      <c r="B240" s="202"/>
      <c r="C240" s="202"/>
      <c r="D240" s="202"/>
      <c r="E240" s="300"/>
      <c r="F240" s="210"/>
      <c r="G240" s="203"/>
      <c r="H240" s="203"/>
      <c r="I240" s="291"/>
      <c r="J240" s="263"/>
      <c r="K240" s="264"/>
      <c r="L240" s="265"/>
      <c r="M240" s="265"/>
      <c r="N240" s="265"/>
      <c r="O240" s="265"/>
      <c r="P240" s="265"/>
      <c r="Q240" s="265"/>
      <c r="R240" s="265"/>
    </row>
    <row r="241" spans="1:21" ht="30" customHeight="1">
      <c r="A241" s="204" t="str">
        <f>IF(ISBLANK(D241)," ",170-COUNTBLANK($D$6:D241))</f>
        <v xml:space="preserve"> </v>
      </c>
      <c r="B241" s="202"/>
      <c r="C241" s="202"/>
      <c r="D241" s="202"/>
      <c r="E241" s="300"/>
      <c r="F241" s="210"/>
      <c r="G241" s="203"/>
      <c r="H241" s="203"/>
      <c r="I241" s="291"/>
      <c r="J241" s="263"/>
      <c r="K241" s="264"/>
      <c r="L241" s="265"/>
      <c r="M241" s="265"/>
      <c r="N241" s="265"/>
      <c r="O241" s="265"/>
      <c r="P241" s="265"/>
      <c r="Q241" s="265"/>
      <c r="R241" s="265"/>
    </row>
    <row r="242" spans="1:21" ht="30" customHeight="1">
      <c r="A242" s="204" t="str">
        <f>IF(ISBLANK(D242)," ",171-COUNTBLANK($D$6:D242))</f>
        <v xml:space="preserve"> </v>
      </c>
      <c r="B242" s="202"/>
      <c r="C242" s="202"/>
      <c r="D242" s="202"/>
      <c r="E242" s="300"/>
      <c r="F242" s="210"/>
      <c r="G242" s="203"/>
      <c r="H242" s="203"/>
      <c r="I242" s="291"/>
      <c r="J242" s="263"/>
      <c r="K242" s="264"/>
      <c r="L242" s="265"/>
      <c r="M242" s="265"/>
      <c r="N242" s="265"/>
      <c r="O242" s="265"/>
      <c r="P242" s="265"/>
      <c r="Q242" s="265"/>
      <c r="R242" s="265"/>
    </row>
    <row r="243" spans="1:21" ht="30" customHeight="1">
      <c r="A243" s="204" t="str">
        <f>IF(ISBLANK(D243)," ",172-COUNTBLANK($D$6:D243))</f>
        <v xml:space="preserve"> </v>
      </c>
      <c r="B243" s="202"/>
      <c r="C243" s="202"/>
      <c r="D243" s="202"/>
      <c r="E243" s="300"/>
      <c r="F243" s="210"/>
      <c r="G243" s="203"/>
      <c r="H243" s="203"/>
      <c r="I243" s="291"/>
      <c r="J243" s="263"/>
      <c r="K243" s="266"/>
      <c r="L243" s="265"/>
      <c r="M243" s="265"/>
      <c r="N243" s="265"/>
      <c r="O243" s="265"/>
      <c r="P243" s="265"/>
      <c r="Q243" s="265"/>
      <c r="R243" s="267"/>
    </row>
    <row r="244" spans="1:21" ht="30" customHeight="1">
      <c r="A244" s="204" t="str">
        <f>IF(ISBLANK(D244)," ",173-COUNTBLANK($D$6:D244))</f>
        <v xml:space="preserve"> </v>
      </c>
      <c r="B244" s="202"/>
      <c r="C244" s="202"/>
      <c r="D244" s="202"/>
      <c r="E244" s="300"/>
      <c r="F244" s="210"/>
      <c r="G244" s="203"/>
      <c r="H244" s="203"/>
      <c r="I244" s="291"/>
      <c r="J244" s="263"/>
      <c r="K244" s="266"/>
      <c r="L244" s="265"/>
      <c r="M244" s="265"/>
      <c r="N244" s="265"/>
      <c r="O244" s="265"/>
      <c r="P244" s="265"/>
      <c r="Q244" s="265"/>
      <c r="R244" s="267"/>
    </row>
    <row r="245" spans="1:21" ht="30" customHeight="1">
      <c r="A245" s="204" t="str">
        <f>IF(ISBLANK(D245)," ",174-COUNTBLANK($D$6:D245))</f>
        <v xml:space="preserve"> </v>
      </c>
      <c r="B245" s="202"/>
      <c r="C245" s="202"/>
      <c r="D245" s="202"/>
      <c r="E245" s="300"/>
      <c r="F245" s="210"/>
      <c r="G245" s="203"/>
      <c r="H245" s="203"/>
      <c r="I245" s="291"/>
      <c r="J245" s="263"/>
      <c r="K245" s="266"/>
      <c r="L245" s="265"/>
      <c r="M245" s="265"/>
      <c r="N245" s="265"/>
      <c r="O245" s="265"/>
      <c r="P245" s="265"/>
      <c r="Q245" s="265"/>
      <c r="R245" s="267"/>
    </row>
    <row r="246" spans="1:21" ht="30" customHeight="1">
      <c r="A246" s="204" t="str">
        <f>IF(ISBLANK(D246)," ",175-COUNTBLANK($D$6:D246))</f>
        <v xml:space="preserve"> </v>
      </c>
      <c r="B246" s="202"/>
      <c r="C246" s="202"/>
      <c r="D246" s="202"/>
      <c r="E246" s="300"/>
      <c r="F246" s="210"/>
      <c r="G246" s="203"/>
      <c r="H246" s="203"/>
      <c r="I246" s="291"/>
      <c r="J246" s="263"/>
      <c r="K246" s="266"/>
      <c r="L246" s="265"/>
      <c r="M246" s="265"/>
      <c r="N246" s="265"/>
      <c r="O246" s="265"/>
      <c r="P246" s="265"/>
      <c r="Q246" s="265"/>
      <c r="R246" s="267"/>
    </row>
    <row r="247" spans="1:21" ht="30" customHeight="1">
      <c r="A247" s="304" t="str">
        <f>IF(ISBLANK(D247)," ",176-COUNTBLANK($D$6:D247))</f>
        <v xml:space="preserve"> </v>
      </c>
      <c r="B247" s="296"/>
      <c r="C247" s="305"/>
      <c r="D247" s="306"/>
      <c r="E247" s="297"/>
      <c r="F247" s="298"/>
      <c r="G247" s="282"/>
      <c r="H247" s="282"/>
      <c r="I247" s="303"/>
      <c r="J247" s="263"/>
      <c r="K247" s="264"/>
      <c r="L247" s="265"/>
      <c r="M247" s="265"/>
      <c r="N247" s="265"/>
      <c r="O247" s="265"/>
      <c r="P247" s="265"/>
      <c r="Q247" s="265"/>
      <c r="R247" s="284"/>
      <c r="S247" s="265"/>
      <c r="T247" s="265"/>
      <c r="U247" s="265"/>
    </row>
    <row r="248" spans="1:21" ht="30" customHeight="1">
      <c r="A248" s="260" t="str">
        <f>IF(ISBLANK(D248)," ",177-COUNTBLANK($D$6:D248))</f>
        <v xml:space="preserve"> </v>
      </c>
      <c r="B248" s="200"/>
      <c r="C248" s="200"/>
      <c r="D248" s="200"/>
      <c r="E248" s="299"/>
      <c r="F248" s="209"/>
      <c r="G248" s="201"/>
      <c r="H248" s="201"/>
      <c r="I248" s="291"/>
      <c r="J248" s="263"/>
      <c r="K248" s="266"/>
      <c r="L248" s="265"/>
      <c r="M248" s="265"/>
      <c r="N248" s="265"/>
      <c r="O248" s="265"/>
      <c r="P248" s="265"/>
      <c r="Q248" s="265"/>
      <c r="R248" s="284"/>
      <c r="S248" s="265"/>
      <c r="T248" s="265"/>
      <c r="U248" s="265"/>
    </row>
    <row r="249" spans="1:21" ht="30" customHeight="1">
      <c r="A249" s="204" t="str">
        <f>IF(ISBLANK(D249)," ",178-COUNTBLANK($D$6:D249))</f>
        <v xml:space="preserve"> </v>
      </c>
      <c r="B249" s="202"/>
      <c r="C249" s="202"/>
      <c r="D249" s="202"/>
      <c r="E249" s="300"/>
      <c r="F249" s="210"/>
      <c r="G249" s="203"/>
      <c r="H249" s="203"/>
      <c r="I249" s="291"/>
      <c r="J249" s="263"/>
      <c r="K249" s="264"/>
      <c r="L249" s="265"/>
      <c r="M249" s="265"/>
      <c r="N249" s="265"/>
      <c r="O249" s="265"/>
      <c r="P249" s="265"/>
      <c r="Q249" s="265"/>
      <c r="R249" s="265"/>
    </row>
    <row r="250" spans="1:21" ht="30" customHeight="1">
      <c r="A250" s="204" t="str">
        <f>IF(ISBLANK(D250)," ",179-COUNTBLANK($D$6:D250))</f>
        <v xml:space="preserve"> </v>
      </c>
      <c r="B250" s="202"/>
      <c r="C250" s="202"/>
      <c r="D250" s="202"/>
      <c r="E250" s="300"/>
      <c r="F250" s="210"/>
      <c r="G250" s="203"/>
      <c r="H250" s="203"/>
      <c r="I250" s="291"/>
      <c r="J250" s="263"/>
      <c r="K250" s="264"/>
      <c r="L250" s="265"/>
      <c r="M250" s="265"/>
      <c r="N250" s="265"/>
      <c r="O250" s="265"/>
      <c r="P250" s="265"/>
      <c r="Q250" s="265"/>
      <c r="R250" s="265"/>
    </row>
    <row r="251" spans="1:21" ht="30" customHeight="1">
      <c r="A251" s="204" t="str">
        <f>IF(ISBLANK(D251)," ",180-COUNTBLANK($D$6:D251))</f>
        <v xml:space="preserve"> </v>
      </c>
      <c r="B251" s="202"/>
      <c r="C251" s="202"/>
      <c r="D251" s="202"/>
      <c r="E251" s="300"/>
      <c r="F251" s="210"/>
      <c r="G251" s="203"/>
      <c r="H251" s="203"/>
      <c r="I251" s="291"/>
      <c r="J251" s="263"/>
      <c r="K251" s="264"/>
      <c r="L251" s="265"/>
      <c r="M251" s="265"/>
      <c r="N251" s="265"/>
      <c r="O251" s="265"/>
      <c r="P251" s="265"/>
      <c r="Q251" s="265"/>
      <c r="R251" s="265"/>
    </row>
    <row r="252" spans="1:21" ht="30" customHeight="1">
      <c r="A252" s="204" t="str">
        <f>IF(ISBLANK(D252)," ",181-COUNTBLANK($D$6:D252))</f>
        <v xml:space="preserve"> </v>
      </c>
      <c r="B252" s="202"/>
      <c r="C252" s="202"/>
      <c r="D252" s="202"/>
      <c r="E252" s="300"/>
      <c r="F252" s="210"/>
      <c r="G252" s="203"/>
      <c r="H252" s="203"/>
      <c r="I252" s="291"/>
      <c r="J252" s="263"/>
      <c r="K252" s="264"/>
      <c r="L252" s="265"/>
      <c r="M252" s="265"/>
      <c r="N252" s="265"/>
      <c r="O252" s="265"/>
      <c r="P252" s="265"/>
      <c r="Q252" s="265"/>
      <c r="R252" s="265"/>
    </row>
    <row r="253" spans="1:21" ht="30" customHeight="1">
      <c r="A253" s="204" t="str">
        <f>IF(ISBLANK(D253)," ",182-COUNTBLANK($D$6:D253))</f>
        <v xml:space="preserve"> </v>
      </c>
      <c r="B253" s="202"/>
      <c r="C253" s="202"/>
      <c r="D253" s="202"/>
      <c r="E253" s="300"/>
      <c r="F253" s="210"/>
      <c r="G253" s="203"/>
      <c r="H253" s="203"/>
      <c r="I253" s="291"/>
      <c r="J253" s="263"/>
      <c r="K253" s="264"/>
      <c r="L253" s="265"/>
      <c r="M253" s="265"/>
      <c r="N253" s="265"/>
      <c r="O253" s="265"/>
      <c r="P253" s="265"/>
      <c r="Q253" s="265"/>
      <c r="R253" s="265"/>
    </row>
    <row r="254" spans="1:21" ht="30" customHeight="1">
      <c r="A254" s="204" t="str">
        <f>IF(ISBLANK(D254)," ",183-COUNTBLANK($D$6:D254))</f>
        <v xml:space="preserve"> </v>
      </c>
      <c r="B254" s="202"/>
      <c r="C254" s="202"/>
      <c r="D254" s="202"/>
      <c r="E254" s="300"/>
      <c r="F254" s="210"/>
      <c r="G254" s="203"/>
      <c r="H254" s="203"/>
      <c r="I254" s="291"/>
      <c r="J254" s="263"/>
      <c r="K254" s="264"/>
      <c r="L254" s="265"/>
      <c r="M254" s="265"/>
      <c r="N254" s="265"/>
      <c r="O254" s="265"/>
      <c r="P254" s="265"/>
      <c r="Q254" s="265"/>
      <c r="R254" s="265"/>
    </row>
    <row r="255" spans="1:21" ht="30" customHeight="1">
      <c r="A255" s="204" t="str">
        <f>IF(ISBLANK(D255)," ",184-COUNTBLANK($D$6:D255))</f>
        <v xml:space="preserve"> </v>
      </c>
      <c r="B255" s="202"/>
      <c r="C255" s="202"/>
      <c r="D255" s="202"/>
      <c r="E255" s="300"/>
      <c r="F255" s="210"/>
      <c r="G255" s="203"/>
      <c r="H255" s="203"/>
      <c r="I255" s="291"/>
      <c r="J255" s="263"/>
      <c r="K255" s="264"/>
      <c r="L255" s="265"/>
      <c r="M255" s="265"/>
      <c r="N255" s="265"/>
      <c r="O255" s="265"/>
      <c r="P255" s="265"/>
      <c r="Q255" s="265"/>
      <c r="R255" s="265"/>
    </row>
    <row r="256" spans="1:21" ht="30" customHeight="1">
      <c r="A256" s="204" t="str">
        <f>IF(ISBLANK(D256)," ",185-COUNTBLANK($D$6:D256))</f>
        <v xml:space="preserve"> </v>
      </c>
      <c r="B256" s="202"/>
      <c r="C256" s="202"/>
      <c r="D256" s="202"/>
      <c r="E256" s="300"/>
      <c r="F256" s="210"/>
      <c r="G256" s="203"/>
      <c r="H256" s="203"/>
      <c r="I256" s="291"/>
      <c r="J256" s="263"/>
      <c r="K256" s="264"/>
      <c r="L256" s="265"/>
      <c r="M256" s="265"/>
      <c r="N256" s="265"/>
      <c r="O256" s="265"/>
      <c r="P256" s="265"/>
      <c r="Q256" s="265"/>
      <c r="R256" s="265"/>
    </row>
    <row r="257" spans="1:21" ht="30" customHeight="1">
      <c r="A257" s="204" t="str">
        <f>IF(ISBLANK(D257)," ",186-COUNTBLANK($D$6:D257))</f>
        <v xml:space="preserve"> </v>
      </c>
      <c r="B257" s="202"/>
      <c r="C257" s="202"/>
      <c r="D257" s="202"/>
      <c r="E257" s="300"/>
      <c r="F257" s="210"/>
      <c r="G257" s="203"/>
      <c r="H257" s="203"/>
      <c r="I257" s="291"/>
      <c r="J257" s="263"/>
      <c r="K257" s="264"/>
      <c r="L257" s="265"/>
      <c r="M257" s="265"/>
      <c r="N257" s="265"/>
      <c r="O257" s="265"/>
      <c r="P257" s="265"/>
      <c r="Q257" s="265"/>
      <c r="R257" s="265"/>
    </row>
    <row r="258" spans="1:21" ht="30" customHeight="1">
      <c r="A258" s="204" t="str">
        <f>IF(ISBLANK(D258)," ",187-COUNTBLANK($D$6:D258))</f>
        <v xml:space="preserve"> </v>
      </c>
      <c r="B258" s="202"/>
      <c r="C258" s="202"/>
      <c r="D258" s="202"/>
      <c r="E258" s="300"/>
      <c r="F258" s="210"/>
      <c r="G258" s="203"/>
      <c r="H258" s="203"/>
      <c r="I258" s="291"/>
      <c r="J258" s="263"/>
      <c r="K258" s="264"/>
      <c r="L258" s="265"/>
      <c r="M258" s="265"/>
      <c r="N258" s="265"/>
      <c r="O258" s="265"/>
      <c r="P258" s="265"/>
      <c r="Q258" s="265"/>
      <c r="R258" s="265"/>
    </row>
    <row r="259" spans="1:21" ht="30" customHeight="1">
      <c r="A259" s="204" t="str">
        <f>IF(ISBLANK(D259)," ",188-COUNTBLANK($D$6:D259))</f>
        <v xml:space="preserve"> </v>
      </c>
      <c r="B259" s="202"/>
      <c r="C259" s="202"/>
      <c r="D259" s="202"/>
      <c r="E259" s="300"/>
      <c r="F259" s="210"/>
      <c r="G259" s="203"/>
      <c r="H259" s="203"/>
      <c r="I259" s="291"/>
      <c r="J259" s="263"/>
      <c r="K259" s="264"/>
      <c r="L259" s="265"/>
      <c r="M259" s="265"/>
      <c r="N259" s="265"/>
      <c r="O259" s="265"/>
      <c r="P259" s="265"/>
      <c r="Q259" s="265"/>
      <c r="R259" s="265"/>
    </row>
    <row r="260" spans="1:21" ht="30" customHeight="1">
      <c r="A260" s="204" t="s">
        <v>52</v>
      </c>
      <c r="B260" s="202"/>
      <c r="C260" s="202"/>
      <c r="D260" s="202"/>
      <c r="E260" s="300"/>
      <c r="F260" s="210">
        <f>SUM(F240:F259)</f>
        <v>0</v>
      </c>
      <c r="G260" s="203"/>
      <c r="H260" s="203"/>
      <c r="I260" s="291"/>
      <c r="J260" s="263"/>
      <c r="K260" s="264"/>
      <c r="L260" s="265"/>
      <c r="M260" s="265"/>
      <c r="N260" s="265"/>
      <c r="O260" s="265"/>
      <c r="P260" s="265"/>
      <c r="Q260" s="265"/>
      <c r="R260" s="265"/>
    </row>
    <row r="261" spans="1:21" ht="30" customHeight="1">
      <c r="A261" s="204" t="str">
        <f>IF(ISBLANK(D261)," ",190-COUNTBLANK($D$6:D261))</f>
        <v xml:space="preserve"> </v>
      </c>
      <c r="B261" s="202"/>
      <c r="C261" s="202"/>
      <c r="D261" s="202"/>
      <c r="E261" s="300"/>
      <c r="F261" s="210"/>
      <c r="G261" s="203"/>
      <c r="H261" s="203"/>
      <c r="I261" s="291"/>
      <c r="J261" s="263"/>
      <c r="K261" s="264"/>
      <c r="L261" s="265"/>
      <c r="M261" s="265"/>
      <c r="N261" s="265"/>
      <c r="O261" s="265"/>
      <c r="P261" s="265"/>
      <c r="Q261" s="265"/>
      <c r="R261" s="265"/>
    </row>
    <row r="262" spans="1:21" ht="30" customHeight="1">
      <c r="A262" s="204" t="str">
        <f>IF(ISBLANK(D262)," ",191-COUNTBLANK($D$6:D262))</f>
        <v xml:space="preserve"> </v>
      </c>
      <c r="B262" s="202"/>
      <c r="C262" s="202"/>
      <c r="D262" s="202"/>
      <c r="E262" s="300"/>
      <c r="F262" s="210"/>
      <c r="G262" s="203"/>
      <c r="H262" s="203"/>
      <c r="I262" s="291"/>
      <c r="J262" s="263"/>
      <c r="K262" s="264"/>
      <c r="L262" s="265"/>
      <c r="M262" s="265"/>
      <c r="N262" s="265"/>
      <c r="O262" s="265"/>
      <c r="P262" s="265"/>
      <c r="Q262" s="265"/>
      <c r="R262" s="265"/>
    </row>
    <row r="263" spans="1:21" ht="30" customHeight="1">
      <c r="A263" s="204" t="str">
        <f>IF(ISBLANK(D263)," ",192-COUNTBLANK($D$6:D263))</f>
        <v xml:space="preserve"> </v>
      </c>
      <c r="B263" s="202"/>
      <c r="C263" s="202"/>
      <c r="D263" s="202"/>
      <c r="E263" s="300"/>
      <c r="F263" s="210"/>
      <c r="G263" s="203"/>
      <c r="H263" s="203"/>
      <c r="I263" s="291"/>
      <c r="J263" s="263"/>
      <c r="K263" s="264"/>
      <c r="L263" s="265"/>
      <c r="M263" s="265"/>
      <c r="N263" s="265"/>
      <c r="O263" s="265"/>
      <c r="P263" s="265"/>
      <c r="Q263" s="265"/>
      <c r="R263" s="265"/>
    </row>
    <row r="264" spans="1:21" ht="30" customHeight="1">
      <c r="A264" s="204" t="str">
        <f>IF(ISBLANK(D264)," ",193-COUNTBLANK($D$6:D264))</f>
        <v xml:space="preserve"> </v>
      </c>
      <c r="B264" s="202"/>
      <c r="C264" s="202"/>
      <c r="D264" s="202"/>
      <c r="E264" s="300"/>
      <c r="F264" s="210"/>
      <c r="G264" s="203"/>
      <c r="H264" s="203"/>
      <c r="I264" s="291"/>
      <c r="J264" s="263"/>
      <c r="K264" s="266"/>
      <c r="L264" s="265"/>
      <c r="M264" s="265"/>
      <c r="N264" s="265"/>
      <c r="O264" s="265"/>
      <c r="P264" s="265"/>
      <c r="Q264" s="265"/>
      <c r="R264" s="267"/>
    </row>
    <row r="265" spans="1:21" ht="30" customHeight="1">
      <c r="A265" s="204" t="str">
        <f>IF(ISBLANK(D265)," ",194-COUNTBLANK($D$6:D265))</f>
        <v xml:space="preserve"> </v>
      </c>
      <c r="B265" s="202"/>
      <c r="C265" s="202"/>
      <c r="D265" s="202"/>
      <c r="E265" s="300"/>
      <c r="F265" s="210"/>
      <c r="G265" s="203"/>
      <c r="H265" s="203"/>
      <c r="I265" s="291"/>
      <c r="J265" s="263"/>
      <c r="K265" s="266"/>
      <c r="L265" s="265"/>
      <c r="M265" s="265"/>
      <c r="N265" s="265"/>
      <c r="O265" s="265"/>
      <c r="P265" s="265"/>
      <c r="Q265" s="265"/>
      <c r="R265" s="267"/>
    </row>
    <row r="266" spans="1:21" ht="30" customHeight="1">
      <c r="A266" s="204" t="str">
        <f>IF(ISBLANK(D266)," ",195-COUNTBLANK($D$6:D266))</f>
        <v xml:space="preserve"> </v>
      </c>
      <c r="B266" s="202"/>
      <c r="C266" s="202"/>
      <c r="D266" s="202"/>
      <c r="E266" s="300"/>
      <c r="F266" s="210"/>
      <c r="G266" s="203"/>
      <c r="H266" s="203"/>
      <c r="I266" s="291"/>
      <c r="J266" s="263"/>
      <c r="K266" s="266"/>
      <c r="L266" s="265"/>
      <c r="M266" s="265"/>
      <c r="N266" s="265"/>
      <c r="O266" s="265"/>
      <c r="P266" s="265"/>
      <c r="Q266" s="265"/>
      <c r="R266" s="267"/>
    </row>
    <row r="267" spans="1:21" ht="30" customHeight="1">
      <c r="A267" s="204" t="str">
        <f>IF(ISBLANK(D267)," ",196-COUNTBLANK($D$6:D267))</f>
        <v xml:space="preserve"> </v>
      </c>
      <c r="B267" s="202"/>
      <c r="C267" s="202"/>
      <c r="D267" s="202"/>
      <c r="E267" s="300"/>
      <c r="F267" s="210"/>
      <c r="G267" s="203"/>
      <c r="H267" s="203"/>
      <c r="I267" s="291"/>
      <c r="J267" s="263"/>
      <c r="K267" s="266"/>
      <c r="L267" s="265"/>
      <c r="M267" s="265"/>
      <c r="N267" s="265"/>
      <c r="O267" s="265"/>
      <c r="P267" s="265"/>
      <c r="Q267" s="265"/>
      <c r="R267" s="267"/>
    </row>
    <row r="268" spans="1:21" ht="30" customHeight="1">
      <c r="A268" s="304" t="str">
        <f>IF(ISBLANK(D268)," ",197-COUNTBLANK($D$6:D268))</f>
        <v xml:space="preserve"> </v>
      </c>
      <c r="B268" s="296"/>
      <c r="C268" s="305"/>
      <c r="D268" s="306"/>
      <c r="E268" s="297"/>
      <c r="F268" s="298"/>
      <c r="G268" s="282"/>
      <c r="H268" s="282"/>
      <c r="I268" s="303"/>
      <c r="J268" s="263"/>
      <c r="K268" s="264"/>
      <c r="L268" s="265"/>
      <c r="M268" s="265"/>
      <c r="N268" s="265"/>
      <c r="O268" s="265"/>
      <c r="P268" s="265"/>
      <c r="Q268" s="265"/>
      <c r="R268" s="284"/>
      <c r="S268" s="265"/>
      <c r="T268" s="265"/>
      <c r="U268" s="265"/>
    </row>
    <row r="269" spans="1:21" ht="30" customHeight="1">
      <c r="A269" s="260" t="str">
        <f>IF(ISBLANK(D269)," ",198-COUNTBLANK($D$6:D269))</f>
        <v xml:space="preserve"> </v>
      </c>
      <c r="B269" s="200"/>
      <c r="C269" s="200"/>
      <c r="D269" s="200"/>
      <c r="E269" s="299"/>
      <c r="F269" s="209"/>
      <c r="G269" s="201"/>
      <c r="H269" s="201"/>
      <c r="I269" s="291"/>
      <c r="J269" s="263"/>
      <c r="K269" s="266"/>
      <c r="L269" s="265"/>
      <c r="M269" s="265"/>
      <c r="N269" s="265"/>
      <c r="O269" s="265"/>
      <c r="P269" s="265"/>
      <c r="Q269" s="265"/>
      <c r="R269" s="284"/>
      <c r="S269" s="265"/>
      <c r="T269" s="265"/>
      <c r="U269" s="265"/>
    </row>
    <row r="270" spans="1:21" ht="30" customHeight="1">
      <c r="A270" s="204" t="str">
        <f>IF(ISBLANK(D270)," ",199-COUNTBLANK($D$6:D270))</f>
        <v xml:space="preserve"> </v>
      </c>
      <c r="B270" s="202"/>
      <c r="C270" s="202"/>
      <c r="D270" s="202"/>
      <c r="E270" s="300"/>
      <c r="F270" s="210"/>
      <c r="G270" s="203"/>
      <c r="H270" s="203"/>
      <c r="I270" s="291"/>
      <c r="J270" s="263"/>
      <c r="K270" s="264"/>
      <c r="L270" s="265"/>
      <c r="M270" s="265"/>
      <c r="N270" s="265"/>
      <c r="O270" s="265"/>
      <c r="P270" s="265"/>
      <c r="Q270" s="265"/>
      <c r="R270" s="265"/>
    </row>
    <row r="271" spans="1:21" ht="30" customHeight="1">
      <c r="A271" s="204" t="str">
        <f>IF(ISBLANK(D271)," ",200-COUNTBLANK($D$6:D271))</f>
        <v xml:space="preserve"> </v>
      </c>
      <c r="B271" s="202"/>
      <c r="C271" s="202"/>
      <c r="D271" s="202"/>
      <c r="E271" s="300"/>
      <c r="F271" s="210"/>
      <c r="G271" s="203"/>
      <c r="H271" s="203"/>
      <c r="I271" s="291"/>
      <c r="J271" s="263"/>
      <c r="K271" s="264"/>
      <c r="L271" s="265"/>
      <c r="M271" s="265"/>
      <c r="N271" s="265"/>
      <c r="O271" s="265"/>
      <c r="P271" s="265"/>
      <c r="Q271" s="265"/>
      <c r="R271" s="265"/>
    </row>
    <row r="272" spans="1:21" ht="30" customHeight="1">
      <c r="A272" s="204" t="str">
        <f>IF(ISBLANK(D272)," ",201-COUNTBLANK($D$6:D272))</f>
        <v xml:space="preserve"> </v>
      </c>
      <c r="B272" s="202"/>
      <c r="C272" s="202"/>
      <c r="D272" s="202"/>
      <c r="E272" s="300"/>
      <c r="F272" s="210"/>
      <c r="G272" s="203"/>
      <c r="H272" s="203"/>
      <c r="I272" s="291"/>
      <c r="J272" s="263"/>
      <c r="K272" s="264"/>
      <c r="L272" s="265"/>
      <c r="M272" s="265"/>
      <c r="N272" s="265"/>
      <c r="O272" s="265"/>
      <c r="P272" s="265"/>
      <c r="Q272" s="265"/>
      <c r="R272" s="265"/>
    </row>
    <row r="273" spans="1:18" ht="30" customHeight="1">
      <c r="A273" s="204" t="str">
        <f>IF(ISBLANK(D273)," ",202-COUNTBLANK($D$6:D273))</f>
        <v xml:space="preserve"> </v>
      </c>
      <c r="B273" s="202"/>
      <c r="C273" s="202"/>
      <c r="D273" s="202"/>
      <c r="E273" s="300"/>
      <c r="F273" s="210"/>
      <c r="G273" s="203"/>
      <c r="H273" s="203"/>
      <c r="I273" s="291"/>
      <c r="J273" s="263"/>
      <c r="K273" s="264"/>
      <c r="L273" s="265"/>
      <c r="M273" s="265"/>
      <c r="N273" s="265"/>
      <c r="O273" s="265"/>
      <c r="P273" s="265"/>
      <c r="Q273" s="265"/>
      <c r="R273" s="265"/>
    </row>
    <row r="274" spans="1:18" ht="30" customHeight="1">
      <c r="A274" s="204" t="str">
        <f>IF(ISBLANK(D274)," ",203-COUNTBLANK($D$6:D274))</f>
        <v xml:space="preserve"> </v>
      </c>
      <c r="B274" s="202"/>
      <c r="C274" s="202"/>
      <c r="D274" s="202"/>
      <c r="E274" s="300"/>
      <c r="F274" s="210"/>
      <c r="G274" s="203"/>
      <c r="H274" s="203"/>
      <c r="I274" s="291"/>
      <c r="J274" s="263"/>
      <c r="K274" s="264"/>
      <c r="L274" s="265"/>
      <c r="M274" s="265"/>
      <c r="N274" s="265"/>
      <c r="O274" s="265"/>
      <c r="P274" s="265"/>
      <c r="Q274" s="265"/>
      <c r="R274" s="265"/>
    </row>
    <row r="275" spans="1:18" ht="30" customHeight="1">
      <c r="A275" s="204" t="str">
        <f>IF(ISBLANK(D275)," ",204-COUNTBLANK($D$6:D275))</f>
        <v xml:space="preserve"> </v>
      </c>
      <c r="B275" s="202"/>
      <c r="C275" s="202"/>
      <c r="D275" s="202"/>
      <c r="E275" s="300"/>
      <c r="F275" s="210"/>
      <c r="G275" s="203"/>
      <c r="H275" s="203"/>
      <c r="I275" s="291"/>
      <c r="J275" s="263"/>
      <c r="K275" s="264"/>
      <c r="L275" s="265"/>
      <c r="M275" s="265"/>
      <c r="N275" s="265"/>
      <c r="O275" s="265"/>
      <c r="P275" s="265"/>
      <c r="Q275" s="265"/>
      <c r="R275" s="265"/>
    </row>
    <row r="276" spans="1:18" ht="30" customHeight="1">
      <c r="A276" s="204" t="str">
        <f>IF(ISBLANK(D276)," ",205-COUNTBLANK($D$6:D276))</f>
        <v xml:space="preserve"> </v>
      </c>
      <c r="B276" s="202"/>
      <c r="C276" s="202"/>
      <c r="D276" s="202"/>
      <c r="E276" s="300"/>
      <c r="F276" s="210"/>
      <c r="G276" s="203"/>
      <c r="H276" s="203"/>
      <c r="I276" s="291"/>
      <c r="J276" s="263"/>
      <c r="K276" s="264"/>
      <c r="L276" s="265"/>
      <c r="M276" s="265"/>
      <c r="N276" s="265"/>
      <c r="O276" s="265"/>
      <c r="P276" s="265"/>
      <c r="Q276" s="265"/>
      <c r="R276" s="265"/>
    </row>
    <row r="277" spans="1:18" ht="30" customHeight="1">
      <c r="A277" s="204" t="str">
        <f>IF(ISBLANK(D277)," ",206-COUNTBLANK($D$6:D277))</f>
        <v xml:space="preserve"> </v>
      </c>
      <c r="B277" s="202"/>
      <c r="C277" s="202"/>
      <c r="D277" s="202"/>
      <c r="E277" s="300"/>
      <c r="F277" s="210"/>
      <c r="G277" s="203"/>
      <c r="H277" s="203"/>
      <c r="I277" s="291"/>
      <c r="J277" s="263"/>
      <c r="K277" s="264"/>
      <c r="L277" s="265"/>
      <c r="M277" s="265"/>
      <c r="N277" s="265"/>
      <c r="O277" s="265"/>
      <c r="P277" s="265"/>
      <c r="Q277" s="265"/>
      <c r="R277" s="265"/>
    </row>
    <row r="278" spans="1:18" ht="30" customHeight="1">
      <c r="A278" s="204" t="str">
        <f>IF(ISBLANK(D278)," ",207-COUNTBLANK($D$6:D278))</f>
        <v xml:space="preserve"> </v>
      </c>
      <c r="B278" s="202"/>
      <c r="C278" s="202"/>
      <c r="D278" s="202"/>
      <c r="E278" s="300"/>
      <c r="F278" s="210"/>
      <c r="G278" s="203"/>
      <c r="H278" s="203"/>
      <c r="I278" s="291"/>
      <c r="J278" s="263"/>
      <c r="K278" s="264"/>
      <c r="L278" s="265"/>
      <c r="M278" s="265"/>
      <c r="N278" s="265"/>
      <c r="O278" s="265"/>
      <c r="P278" s="265"/>
      <c r="Q278" s="265"/>
      <c r="R278" s="265"/>
    </row>
    <row r="279" spans="1:18" ht="30" customHeight="1">
      <c r="A279" s="204" t="str">
        <f>IF(ISBLANK(D279)," ",208-COUNTBLANK($D$6:D279))</f>
        <v xml:space="preserve"> </v>
      </c>
      <c r="B279" s="202"/>
      <c r="C279" s="202"/>
      <c r="D279" s="202"/>
      <c r="E279" s="300"/>
      <c r="F279" s="210"/>
      <c r="G279" s="203"/>
      <c r="H279" s="203"/>
      <c r="I279" s="291"/>
      <c r="J279" s="263"/>
      <c r="K279" s="264"/>
      <c r="L279" s="265"/>
      <c r="M279" s="265"/>
      <c r="N279" s="265"/>
      <c r="O279" s="265"/>
      <c r="P279" s="265"/>
      <c r="Q279" s="265"/>
      <c r="R279" s="265"/>
    </row>
    <row r="280" spans="1:18" ht="30" customHeight="1">
      <c r="A280" s="204" t="str">
        <f>IF(ISBLANK(D280)," ",209-COUNTBLANK($D$6:D280))</f>
        <v xml:space="preserve"> </v>
      </c>
      <c r="B280" s="202"/>
      <c r="C280" s="202"/>
      <c r="D280" s="202"/>
      <c r="E280" s="300"/>
      <c r="F280" s="210"/>
      <c r="G280" s="203"/>
      <c r="H280" s="203"/>
      <c r="I280" s="291"/>
      <c r="J280" s="263"/>
      <c r="K280" s="264"/>
      <c r="L280" s="265"/>
      <c r="M280" s="265"/>
      <c r="N280" s="265"/>
      <c r="O280" s="265"/>
      <c r="P280" s="265"/>
      <c r="Q280" s="265"/>
      <c r="R280" s="265"/>
    </row>
    <row r="281" spans="1:18" ht="30" customHeight="1">
      <c r="A281" s="204" t="s">
        <v>52</v>
      </c>
      <c r="B281" s="202"/>
      <c r="C281" s="202"/>
      <c r="D281" s="202"/>
      <c r="E281" s="300"/>
      <c r="F281" s="210">
        <f>SUM(F261:F280)</f>
        <v>0</v>
      </c>
      <c r="G281" s="203"/>
      <c r="H281" s="203"/>
      <c r="I281" s="291"/>
      <c r="J281" s="263"/>
      <c r="K281" s="264"/>
      <c r="L281" s="265"/>
      <c r="M281" s="265"/>
      <c r="N281" s="265"/>
      <c r="O281" s="265"/>
      <c r="P281" s="265"/>
      <c r="Q281" s="265"/>
      <c r="R281" s="265"/>
    </row>
    <row r="282" spans="1:18" ht="30" customHeight="1">
      <c r="A282" s="204" t="str">
        <f>IF(ISBLANK(D282)," ",211-COUNTBLANK($D$6:D282))</f>
        <v xml:space="preserve"> </v>
      </c>
      <c r="B282" s="202"/>
      <c r="C282" s="202"/>
      <c r="D282" s="202"/>
      <c r="E282" s="300"/>
      <c r="F282" s="210"/>
      <c r="G282" s="203"/>
      <c r="H282" s="203"/>
      <c r="I282" s="291"/>
      <c r="J282" s="263"/>
      <c r="K282" s="264"/>
      <c r="L282" s="265"/>
      <c r="M282" s="265"/>
      <c r="N282" s="265"/>
      <c r="O282" s="265"/>
      <c r="P282" s="265"/>
      <c r="Q282" s="265"/>
      <c r="R282" s="265"/>
    </row>
    <row r="283" spans="1:18" ht="30" customHeight="1">
      <c r="A283" s="204" t="str">
        <f>IF(ISBLANK(D283)," ",212-COUNTBLANK($D$6:D283))</f>
        <v xml:space="preserve"> </v>
      </c>
      <c r="B283" s="202"/>
      <c r="C283" s="202"/>
      <c r="D283" s="202"/>
      <c r="E283" s="300"/>
      <c r="F283" s="210"/>
      <c r="G283" s="203"/>
      <c r="H283" s="203"/>
      <c r="I283" s="291"/>
      <c r="J283" s="263"/>
      <c r="K283" s="264"/>
      <c r="L283" s="265"/>
      <c r="M283" s="265"/>
      <c r="N283" s="265"/>
      <c r="O283" s="265"/>
      <c r="P283" s="265"/>
      <c r="Q283" s="265"/>
      <c r="R283" s="265"/>
    </row>
    <row r="284" spans="1:18" ht="30" customHeight="1">
      <c r="A284" s="204" t="str">
        <f>IF(ISBLANK(D284)," ",213-COUNTBLANK($D$6:D284))</f>
        <v xml:space="preserve"> </v>
      </c>
      <c r="B284" s="202"/>
      <c r="C284" s="202"/>
      <c r="D284" s="202"/>
      <c r="E284" s="300"/>
      <c r="F284" s="210"/>
      <c r="G284" s="203"/>
      <c r="H284" s="203"/>
      <c r="I284" s="291"/>
      <c r="J284" s="263"/>
      <c r="K284" s="264"/>
      <c r="L284" s="265"/>
      <c r="M284" s="265"/>
      <c r="N284" s="265"/>
      <c r="O284" s="265"/>
      <c r="P284" s="265"/>
      <c r="Q284" s="265"/>
      <c r="R284" s="265"/>
    </row>
    <row r="285" spans="1:18" ht="30" customHeight="1">
      <c r="A285" s="204" t="str">
        <f>IF(ISBLANK(D285)," ",214-COUNTBLANK($D$6:D285))</f>
        <v xml:space="preserve"> </v>
      </c>
      <c r="B285" s="202"/>
      <c r="C285" s="202"/>
      <c r="D285" s="202"/>
      <c r="E285" s="300"/>
      <c r="F285" s="210"/>
      <c r="G285" s="203"/>
      <c r="H285" s="203"/>
      <c r="I285" s="291"/>
      <c r="J285" s="263"/>
      <c r="K285" s="266"/>
      <c r="L285" s="265"/>
      <c r="M285" s="265"/>
      <c r="N285" s="265"/>
      <c r="O285" s="265"/>
      <c r="P285" s="265"/>
      <c r="Q285" s="265"/>
      <c r="R285" s="267"/>
    </row>
    <row r="286" spans="1:18" ht="30" customHeight="1">
      <c r="A286" s="204" t="str">
        <f>IF(ISBLANK(D286)," ",215-COUNTBLANK($D$6:D286))</f>
        <v xml:space="preserve"> </v>
      </c>
      <c r="B286" s="202"/>
      <c r="C286" s="202"/>
      <c r="D286" s="202"/>
      <c r="E286" s="300"/>
      <c r="F286" s="210"/>
      <c r="G286" s="203"/>
      <c r="H286" s="203"/>
      <c r="I286" s="291"/>
      <c r="J286" s="263"/>
      <c r="K286" s="266"/>
      <c r="L286" s="265"/>
      <c r="M286" s="265"/>
      <c r="N286" s="265"/>
      <c r="O286" s="265"/>
      <c r="P286" s="265"/>
      <c r="Q286" s="265"/>
      <c r="R286" s="267"/>
    </row>
    <row r="287" spans="1:18" ht="30" customHeight="1">
      <c r="A287" s="204" t="str">
        <f>IF(ISBLANK(D287)," ",216-COUNTBLANK($D$6:D287))</f>
        <v xml:space="preserve"> </v>
      </c>
      <c r="B287" s="202"/>
      <c r="C287" s="202"/>
      <c r="D287" s="202"/>
      <c r="E287" s="300"/>
      <c r="F287" s="210"/>
      <c r="G287" s="203"/>
      <c r="H287" s="203"/>
      <c r="I287" s="291"/>
      <c r="J287" s="263"/>
      <c r="K287" s="266"/>
      <c r="L287" s="265"/>
      <c r="M287" s="265"/>
      <c r="N287" s="265"/>
      <c r="O287" s="265"/>
      <c r="P287" s="265"/>
      <c r="Q287" s="265"/>
      <c r="R287" s="267"/>
    </row>
    <row r="288" spans="1:18" ht="30" customHeight="1">
      <c r="A288" s="204" t="str">
        <f>IF(ISBLANK(D288)," ",217-COUNTBLANK($D$6:D288))</f>
        <v xml:space="preserve"> </v>
      </c>
      <c r="B288" s="202"/>
      <c r="C288" s="202"/>
      <c r="D288" s="202"/>
      <c r="E288" s="300"/>
      <c r="F288" s="210"/>
      <c r="G288" s="203"/>
      <c r="H288" s="203"/>
      <c r="I288" s="291"/>
      <c r="J288" s="263"/>
      <c r="K288" s="266"/>
      <c r="L288" s="265"/>
      <c r="M288" s="265"/>
      <c r="N288" s="265"/>
      <c r="O288" s="265"/>
      <c r="P288" s="265"/>
      <c r="Q288" s="265"/>
      <c r="R288" s="267"/>
    </row>
    <row r="289" spans="1:21" ht="30" customHeight="1">
      <c r="A289" s="304" t="str">
        <f>IF(ISBLANK(D289)," ",218-COUNTBLANK($D$6:D289))</f>
        <v xml:space="preserve"> </v>
      </c>
      <c r="B289" s="296"/>
      <c r="C289" s="305"/>
      <c r="D289" s="306"/>
      <c r="E289" s="297"/>
      <c r="F289" s="298"/>
      <c r="G289" s="282"/>
      <c r="H289" s="282"/>
      <c r="I289" s="303"/>
      <c r="J289" s="263"/>
      <c r="K289" s="264"/>
      <c r="L289" s="265"/>
      <c r="M289" s="265"/>
      <c r="N289" s="265"/>
      <c r="O289" s="265"/>
      <c r="P289" s="265"/>
      <c r="Q289" s="265"/>
      <c r="R289" s="284"/>
      <c r="S289" s="265"/>
      <c r="T289" s="265"/>
      <c r="U289" s="265"/>
    </row>
    <row r="290" spans="1:21" ht="30" customHeight="1">
      <c r="A290" s="260" t="str">
        <f>IF(ISBLANK(D290)," ",219-COUNTBLANK($D$6:D290))</f>
        <v xml:space="preserve"> </v>
      </c>
      <c r="B290" s="200"/>
      <c r="C290" s="200"/>
      <c r="D290" s="200"/>
      <c r="E290" s="299"/>
      <c r="F290" s="209"/>
      <c r="G290" s="201"/>
      <c r="H290" s="201"/>
      <c r="I290" s="291"/>
      <c r="J290" s="263"/>
      <c r="K290" s="266"/>
      <c r="L290" s="265"/>
      <c r="M290" s="265"/>
      <c r="N290" s="265"/>
      <c r="O290" s="265"/>
      <c r="P290" s="265"/>
      <c r="Q290" s="265"/>
      <c r="R290" s="284"/>
      <c r="S290" s="265"/>
      <c r="T290" s="265"/>
      <c r="U290" s="265"/>
    </row>
    <row r="291" spans="1:21" ht="30" customHeight="1">
      <c r="A291" s="204" t="str">
        <f>IF(ISBLANK(D291)," ",220-COUNTBLANK($D$6:D291))</f>
        <v xml:space="preserve"> </v>
      </c>
      <c r="B291" s="202"/>
      <c r="C291" s="202"/>
      <c r="D291" s="202"/>
      <c r="E291" s="300"/>
      <c r="F291" s="210"/>
      <c r="G291" s="203"/>
      <c r="H291" s="203"/>
      <c r="I291" s="291"/>
      <c r="J291" s="263"/>
      <c r="K291" s="264"/>
      <c r="L291" s="265"/>
      <c r="M291" s="265"/>
      <c r="N291" s="265"/>
      <c r="O291" s="265"/>
      <c r="P291" s="265"/>
      <c r="Q291" s="265"/>
      <c r="R291" s="265"/>
    </row>
    <row r="292" spans="1:21" ht="30" customHeight="1">
      <c r="A292" s="204" t="str">
        <f>IF(ISBLANK(D292)," ",221-COUNTBLANK($D$6:D292))</f>
        <v xml:space="preserve"> </v>
      </c>
      <c r="B292" s="202"/>
      <c r="C292" s="202"/>
      <c r="D292" s="202"/>
      <c r="E292" s="300"/>
      <c r="F292" s="210"/>
      <c r="G292" s="203"/>
      <c r="H292" s="203"/>
      <c r="I292" s="291"/>
      <c r="J292" s="263"/>
      <c r="K292" s="264"/>
      <c r="L292" s="265"/>
      <c r="M292" s="265"/>
      <c r="N292" s="265"/>
      <c r="O292" s="265"/>
      <c r="P292" s="265"/>
      <c r="Q292" s="265"/>
      <c r="R292" s="265"/>
    </row>
    <row r="293" spans="1:21" ht="30" customHeight="1">
      <c r="A293" s="204" t="str">
        <f>IF(ISBLANK(D293)," ",222-COUNTBLANK($D$6:D293))</f>
        <v xml:space="preserve"> </v>
      </c>
      <c r="B293" s="202"/>
      <c r="C293" s="202"/>
      <c r="D293" s="202"/>
      <c r="E293" s="300"/>
      <c r="F293" s="210"/>
      <c r="G293" s="203"/>
      <c r="H293" s="203"/>
      <c r="I293" s="291"/>
      <c r="J293" s="263"/>
      <c r="K293" s="264"/>
      <c r="L293" s="265"/>
      <c r="M293" s="265"/>
      <c r="N293" s="265"/>
      <c r="O293" s="265"/>
      <c r="P293" s="265"/>
      <c r="Q293" s="265"/>
      <c r="R293" s="265"/>
    </row>
    <row r="294" spans="1:21" ht="30" customHeight="1">
      <c r="A294" s="204" t="str">
        <f>IF(ISBLANK(D294)," ",223-COUNTBLANK($D$6:D294))</f>
        <v xml:space="preserve"> </v>
      </c>
      <c r="B294" s="202"/>
      <c r="C294" s="202"/>
      <c r="D294" s="202"/>
      <c r="E294" s="300"/>
      <c r="F294" s="210"/>
      <c r="G294" s="203"/>
      <c r="H294" s="203"/>
      <c r="I294" s="291"/>
      <c r="J294" s="263"/>
      <c r="K294" s="264"/>
      <c r="L294" s="265"/>
      <c r="M294" s="265"/>
      <c r="N294" s="265"/>
      <c r="O294" s="265"/>
      <c r="P294" s="265"/>
      <c r="Q294" s="265"/>
      <c r="R294" s="265"/>
    </row>
    <row r="295" spans="1:21" ht="30" customHeight="1">
      <c r="A295" s="204" t="str">
        <f>IF(ISBLANK(D295)," ",224-COUNTBLANK($D$6:D295))</f>
        <v xml:space="preserve"> </v>
      </c>
      <c r="B295" s="202"/>
      <c r="C295" s="202"/>
      <c r="D295" s="202"/>
      <c r="E295" s="300"/>
      <c r="F295" s="210"/>
      <c r="G295" s="203"/>
      <c r="H295" s="203"/>
      <c r="I295" s="291"/>
      <c r="J295" s="263"/>
      <c r="K295" s="264"/>
      <c r="L295" s="265"/>
      <c r="M295" s="265"/>
      <c r="N295" s="265"/>
      <c r="O295" s="265"/>
      <c r="P295" s="265"/>
      <c r="Q295" s="265"/>
      <c r="R295" s="265"/>
    </row>
    <row r="296" spans="1:21" ht="30" customHeight="1">
      <c r="A296" s="204" t="str">
        <f>IF(ISBLANK(D296)," ",225-COUNTBLANK($D$6:D296))</f>
        <v xml:space="preserve"> </v>
      </c>
      <c r="B296" s="202"/>
      <c r="C296" s="202"/>
      <c r="D296" s="202"/>
      <c r="E296" s="300"/>
      <c r="F296" s="210"/>
      <c r="G296" s="203"/>
      <c r="H296" s="203"/>
      <c r="I296" s="291"/>
      <c r="J296" s="263"/>
      <c r="K296" s="264"/>
      <c r="L296" s="265"/>
      <c r="M296" s="265"/>
      <c r="N296" s="265"/>
      <c r="O296" s="265"/>
      <c r="P296" s="265"/>
      <c r="Q296" s="265"/>
      <c r="R296" s="265"/>
    </row>
    <row r="297" spans="1:21" ht="30" customHeight="1">
      <c r="A297" s="204" t="str">
        <f>IF(ISBLANK(D297)," ",226-COUNTBLANK($D$6:D297))</f>
        <v xml:space="preserve"> </v>
      </c>
      <c r="B297" s="202"/>
      <c r="C297" s="202"/>
      <c r="D297" s="202"/>
      <c r="E297" s="300"/>
      <c r="F297" s="210"/>
      <c r="G297" s="203"/>
      <c r="H297" s="203"/>
      <c r="I297" s="291"/>
      <c r="J297" s="263"/>
      <c r="K297" s="264"/>
      <c r="L297" s="265"/>
      <c r="M297" s="265"/>
      <c r="N297" s="265"/>
      <c r="O297" s="265"/>
      <c r="P297" s="265"/>
      <c r="Q297" s="265"/>
      <c r="R297" s="265"/>
    </row>
    <row r="298" spans="1:21" ht="30" customHeight="1">
      <c r="A298" s="204" t="str">
        <f>IF(ISBLANK(D298)," ",227-COUNTBLANK($D$6:D298))</f>
        <v xml:space="preserve"> </v>
      </c>
      <c r="B298" s="202"/>
      <c r="C298" s="202"/>
      <c r="D298" s="202"/>
      <c r="E298" s="300"/>
      <c r="F298" s="210"/>
      <c r="G298" s="203"/>
      <c r="H298" s="203"/>
      <c r="I298" s="291"/>
      <c r="J298" s="263"/>
      <c r="K298" s="264"/>
      <c r="L298" s="265"/>
      <c r="M298" s="265"/>
      <c r="N298" s="265"/>
      <c r="O298" s="265"/>
      <c r="P298" s="265"/>
      <c r="Q298" s="265"/>
      <c r="R298" s="265"/>
    </row>
    <row r="299" spans="1:21" ht="30" customHeight="1">
      <c r="A299" s="204" t="str">
        <f>IF(ISBLANK(D299)," ",228-COUNTBLANK($D$6:D299))</f>
        <v xml:space="preserve"> </v>
      </c>
      <c r="B299" s="202"/>
      <c r="C299" s="202"/>
      <c r="D299" s="202"/>
      <c r="E299" s="300"/>
      <c r="F299" s="210"/>
      <c r="G299" s="203"/>
      <c r="H299" s="203"/>
      <c r="I299" s="291"/>
      <c r="J299" s="263"/>
      <c r="K299" s="264"/>
      <c r="L299" s="265"/>
      <c r="M299" s="265"/>
      <c r="N299" s="265"/>
      <c r="O299" s="265"/>
      <c r="P299" s="265"/>
      <c r="Q299" s="265"/>
      <c r="R299" s="265"/>
    </row>
    <row r="300" spans="1:21" ht="30" customHeight="1">
      <c r="A300" s="204" t="str">
        <f>IF(ISBLANK(D300)," ",229-COUNTBLANK($D$6:D300))</f>
        <v xml:space="preserve"> </v>
      </c>
      <c r="B300" s="202"/>
      <c r="C300" s="202"/>
      <c r="D300" s="202"/>
      <c r="E300" s="300"/>
      <c r="F300" s="210"/>
      <c r="G300" s="203"/>
      <c r="H300" s="203"/>
      <c r="I300" s="291"/>
      <c r="J300" s="263"/>
      <c r="K300" s="264"/>
      <c r="L300" s="265"/>
      <c r="M300" s="265"/>
      <c r="N300" s="265"/>
      <c r="O300" s="265"/>
      <c r="P300" s="265"/>
      <c r="Q300" s="265"/>
      <c r="R300" s="265"/>
    </row>
    <row r="301" spans="1:21" ht="30" customHeight="1">
      <c r="A301" s="204" t="str">
        <f>IF(ISBLANK(D301)," ",230-COUNTBLANK($D$6:D301))</f>
        <v xml:space="preserve"> </v>
      </c>
      <c r="B301" s="202"/>
      <c r="C301" s="202"/>
      <c r="D301" s="202"/>
      <c r="E301" s="300"/>
      <c r="F301" s="210"/>
      <c r="G301" s="203"/>
      <c r="H301" s="203"/>
      <c r="I301" s="291"/>
      <c r="J301" s="263"/>
      <c r="K301" s="264"/>
      <c r="L301" s="265"/>
      <c r="M301" s="265"/>
      <c r="N301" s="265"/>
      <c r="O301" s="265"/>
      <c r="P301" s="265"/>
      <c r="Q301" s="265"/>
      <c r="R301" s="265"/>
    </row>
    <row r="302" spans="1:21" ht="30" customHeight="1">
      <c r="A302" s="204" t="s">
        <v>52</v>
      </c>
      <c r="B302" s="202"/>
      <c r="C302" s="202"/>
      <c r="D302" s="202"/>
      <c r="E302" s="300"/>
      <c r="F302" s="210">
        <f>SUM(F282:F301)</f>
        <v>0</v>
      </c>
      <c r="G302" s="203"/>
      <c r="H302" s="203"/>
      <c r="I302" s="291"/>
      <c r="J302" s="263"/>
      <c r="K302" s="264"/>
      <c r="L302" s="265"/>
      <c r="M302" s="265"/>
      <c r="N302" s="265"/>
      <c r="O302" s="265"/>
      <c r="P302" s="265"/>
      <c r="Q302" s="265"/>
      <c r="R302" s="265"/>
    </row>
    <row r="303" spans="1:21" ht="30" customHeight="1">
      <c r="A303" s="204" t="str">
        <f>IF(ISBLANK(D303)," ",232-COUNTBLANK($D$6:D303))</f>
        <v xml:space="preserve"> </v>
      </c>
      <c r="B303" s="202"/>
      <c r="C303" s="202"/>
      <c r="D303" s="202"/>
      <c r="E303" s="300"/>
      <c r="F303" s="210"/>
      <c r="G303" s="203"/>
      <c r="H303" s="203"/>
      <c r="I303" s="291"/>
      <c r="J303" s="263"/>
      <c r="K303" s="264"/>
      <c r="L303" s="265"/>
      <c r="M303" s="265"/>
      <c r="N303" s="265"/>
      <c r="O303" s="265"/>
      <c r="P303" s="265"/>
      <c r="Q303" s="265"/>
      <c r="R303" s="265"/>
    </row>
    <row r="304" spans="1:21" ht="30" customHeight="1">
      <c r="A304" s="204" t="str">
        <f>IF(ISBLANK(D304)," ",233-COUNTBLANK($D$6:D304))</f>
        <v xml:space="preserve"> </v>
      </c>
      <c r="B304" s="202"/>
      <c r="C304" s="202"/>
      <c r="D304" s="202"/>
      <c r="E304" s="300"/>
      <c r="F304" s="210"/>
      <c r="G304" s="203"/>
      <c r="H304" s="203"/>
      <c r="I304" s="291"/>
      <c r="J304" s="263"/>
      <c r="K304" s="264"/>
      <c r="L304" s="265"/>
      <c r="M304" s="265"/>
      <c r="N304" s="265"/>
      <c r="O304" s="265"/>
      <c r="P304" s="265"/>
      <c r="Q304" s="265"/>
      <c r="R304" s="265"/>
    </row>
    <row r="305" spans="1:21" ht="30" customHeight="1">
      <c r="A305" s="204" t="str">
        <f>IF(ISBLANK(D305)," ",234-COUNTBLANK($D$6:D305))</f>
        <v xml:space="preserve"> </v>
      </c>
      <c r="B305" s="202"/>
      <c r="C305" s="202"/>
      <c r="D305" s="202"/>
      <c r="E305" s="300"/>
      <c r="F305" s="210"/>
      <c r="G305" s="203"/>
      <c r="H305" s="203"/>
      <c r="I305" s="291"/>
      <c r="J305" s="263"/>
      <c r="K305" s="264"/>
      <c r="L305" s="265"/>
      <c r="M305" s="265"/>
      <c r="N305" s="265"/>
      <c r="O305" s="265"/>
      <c r="P305" s="265"/>
      <c r="Q305" s="265"/>
      <c r="R305" s="265"/>
    </row>
    <row r="306" spans="1:21" ht="30" customHeight="1">
      <c r="A306" s="204" t="str">
        <f>IF(ISBLANK(D306)," ",235-COUNTBLANK($D$6:D306))</f>
        <v xml:space="preserve"> </v>
      </c>
      <c r="B306" s="202"/>
      <c r="C306" s="202"/>
      <c r="D306" s="202"/>
      <c r="E306" s="300"/>
      <c r="F306" s="210"/>
      <c r="G306" s="203"/>
      <c r="H306" s="203"/>
      <c r="I306" s="291"/>
      <c r="J306" s="263"/>
      <c r="K306" s="266"/>
      <c r="L306" s="265"/>
      <c r="M306" s="265"/>
      <c r="N306" s="265"/>
      <c r="O306" s="265"/>
      <c r="P306" s="265"/>
      <c r="Q306" s="265"/>
      <c r="R306" s="267"/>
    </row>
    <row r="307" spans="1:21" ht="30" customHeight="1">
      <c r="A307" s="204" t="str">
        <f>IF(ISBLANK(D307)," ",236-COUNTBLANK($D$6:D307))</f>
        <v xml:space="preserve"> </v>
      </c>
      <c r="B307" s="202"/>
      <c r="C307" s="202"/>
      <c r="D307" s="202"/>
      <c r="E307" s="300"/>
      <c r="F307" s="210"/>
      <c r="G307" s="203"/>
      <c r="H307" s="203"/>
      <c r="I307" s="291"/>
      <c r="J307" s="263"/>
      <c r="K307" s="266"/>
      <c r="L307" s="265"/>
      <c r="M307" s="265"/>
      <c r="N307" s="265"/>
      <c r="O307" s="265"/>
      <c r="P307" s="265"/>
      <c r="Q307" s="265"/>
      <c r="R307" s="267"/>
    </row>
    <row r="308" spans="1:21" ht="30" customHeight="1">
      <c r="A308" s="204" t="str">
        <f>IF(ISBLANK(D308)," ",237-COUNTBLANK($D$6:D308))</f>
        <v xml:space="preserve"> </v>
      </c>
      <c r="B308" s="202"/>
      <c r="C308" s="202"/>
      <c r="D308" s="202"/>
      <c r="E308" s="300"/>
      <c r="F308" s="210"/>
      <c r="G308" s="203"/>
      <c r="H308" s="203"/>
      <c r="I308" s="291"/>
      <c r="J308" s="263"/>
      <c r="K308" s="266"/>
      <c r="L308" s="265"/>
      <c r="M308" s="265"/>
      <c r="N308" s="265"/>
      <c r="O308" s="265"/>
      <c r="P308" s="265"/>
      <c r="Q308" s="265"/>
      <c r="R308" s="267"/>
    </row>
    <row r="309" spans="1:21" ht="30" customHeight="1">
      <c r="A309" s="204" t="str">
        <f>IF(ISBLANK(D309)," ",238-COUNTBLANK($D$6:D309))</f>
        <v xml:space="preserve"> </v>
      </c>
      <c r="B309" s="202"/>
      <c r="C309" s="202"/>
      <c r="D309" s="202"/>
      <c r="E309" s="300"/>
      <c r="F309" s="210"/>
      <c r="G309" s="203"/>
      <c r="H309" s="203"/>
      <c r="I309" s="291"/>
      <c r="J309" s="263"/>
      <c r="K309" s="266"/>
      <c r="L309" s="265"/>
      <c r="M309" s="265"/>
      <c r="N309" s="265"/>
      <c r="O309" s="265"/>
      <c r="P309" s="265"/>
      <c r="Q309" s="265"/>
      <c r="R309" s="267"/>
    </row>
    <row r="310" spans="1:21" ht="30" customHeight="1">
      <c r="A310" s="304" t="str">
        <f>IF(ISBLANK(D310)," ",239-COUNTBLANK($D$6:D310))</f>
        <v xml:space="preserve"> </v>
      </c>
      <c r="B310" s="296"/>
      <c r="C310" s="305"/>
      <c r="D310" s="306"/>
      <c r="E310" s="297"/>
      <c r="F310" s="298"/>
      <c r="G310" s="282"/>
      <c r="H310" s="282"/>
      <c r="I310" s="303"/>
      <c r="J310" s="263"/>
      <c r="K310" s="264"/>
      <c r="L310" s="265"/>
      <c r="M310" s="265"/>
      <c r="N310" s="265"/>
      <c r="O310" s="265"/>
      <c r="P310" s="265"/>
      <c r="Q310" s="265"/>
      <c r="R310" s="284"/>
      <c r="S310" s="265"/>
      <c r="T310" s="265"/>
      <c r="U310" s="265"/>
    </row>
    <row r="311" spans="1:21" ht="30" customHeight="1">
      <c r="A311" s="260" t="str">
        <f>IF(ISBLANK(D311)," ",240-COUNTBLANK($D$6:D311))</f>
        <v xml:space="preserve"> </v>
      </c>
      <c r="B311" s="200"/>
      <c r="C311" s="200"/>
      <c r="D311" s="200"/>
      <c r="E311" s="299"/>
      <c r="F311" s="209"/>
      <c r="G311" s="201"/>
      <c r="H311" s="201"/>
      <c r="I311" s="291"/>
      <c r="J311" s="263"/>
      <c r="K311" s="266"/>
      <c r="L311" s="265"/>
      <c r="M311" s="265"/>
      <c r="N311" s="265"/>
      <c r="O311" s="265"/>
      <c r="P311" s="265"/>
      <c r="Q311" s="265"/>
      <c r="R311" s="284"/>
      <c r="S311" s="265"/>
      <c r="T311" s="265"/>
      <c r="U311" s="265"/>
    </row>
    <row r="312" spans="1:21" ht="30" customHeight="1">
      <c r="A312" s="204" t="str">
        <f>IF(ISBLANK(D312)," ",241-COUNTBLANK($D$6:D312))</f>
        <v xml:space="preserve"> </v>
      </c>
      <c r="B312" s="202"/>
      <c r="C312" s="202"/>
      <c r="D312" s="202"/>
      <c r="E312" s="300"/>
      <c r="F312" s="210"/>
      <c r="G312" s="203"/>
      <c r="H312" s="203"/>
      <c r="I312" s="291"/>
      <c r="J312" s="263"/>
      <c r="K312" s="264"/>
      <c r="L312" s="265"/>
      <c r="M312" s="265"/>
      <c r="N312" s="265"/>
      <c r="O312" s="265"/>
      <c r="P312" s="265"/>
      <c r="Q312" s="265"/>
      <c r="R312" s="265"/>
    </row>
    <row r="313" spans="1:21" ht="30" customHeight="1">
      <c r="A313" s="204" t="str">
        <f>IF(ISBLANK(D313)," ",242-COUNTBLANK($D$6:D313))</f>
        <v xml:space="preserve"> </v>
      </c>
      <c r="B313" s="202"/>
      <c r="C313" s="202"/>
      <c r="D313" s="202"/>
      <c r="E313" s="300"/>
      <c r="F313" s="210"/>
      <c r="G313" s="203"/>
      <c r="H313" s="203"/>
      <c r="I313" s="291"/>
      <c r="J313" s="263"/>
      <c r="K313" s="264"/>
      <c r="L313" s="265"/>
      <c r="M313" s="265"/>
      <c r="N313" s="265"/>
      <c r="O313" s="265"/>
      <c r="P313" s="265"/>
      <c r="Q313" s="265"/>
      <c r="R313" s="265"/>
    </row>
    <row r="314" spans="1:21" ht="30" customHeight="1">
      <c r="A314" s="204" t="str">
        <f>IF(ISBLANK(D314)," ",243-COUNTBLANK($D$6:D314))</f>
        <v xml:space="preserve"> </v>
      </c>
      <c r="B314" s="202"/>
      <c r="C314" s="202"/>
      <c r="D314" s="202"/>
      <c r="E314" s="300"/>
      <c r="F314" s="210"/>
      <c r="G314" s="203"/>
      <c r="H314" s="203"/>
      <c r="I314" s="291"/>
      <c r="J314" s="263"/>
      <c r="K314" s="264"/>
      <c r="L314" s="265"/>
      <c r="M314" s="265"/>
      <c r="N314" s="265"/>
      <c r="O314" s="265"/>
      <c r="P314" s="265"/>
      <c r="Q314" s="265"/>
      <c r="R314" s="265"/>
    </row>
    <row r="315" spans="1:21" ht="30" customHeight="1">
      <c r="A315" s="204" t="str">
        <f>IF(ISBLANK(D315)," ",244-COUNTBLANK($D$6:D315))</f>
        <v xml:space="preserve"> </v>
      </c>
      <c r="B315" s="202"/>
      <c r="C315" s="202"/>
      <c r="D315" s="202"/>
      <c r="E315" s="300"/>
      <c r="F315" s="210"/>
      <c r="G315" s="203"/>
      <c r="H315" s="203"/>
      <c r="I315" s="291"/>
      <c r="J315" s="263"/>
      <c r="K315" s="264"/>
      <c r="L315" s="265"/>
      <c r="M315" s="265"/>
      <c r="N315" s="265"/>
      <c r="O315" s="265"/>
      <c r="P315" s="265"/>
      <c r="Q315" s="265"/>
      <c r="R315" s="265"/>
    </row>
    <row r="316" spans="1:21" ht="30" customHeight="1">
      <c r="A316" s="204" t="str">
        <f>IF(ISBLANK(D316)," ",245-COUNTBLANK($D$6:D316))</f>
        <v xml:space="preserve"> </v>
      </c>
      <c r="B316" s="202"/>
      <c r="C316" s="202"/>
      <c r="D316" s="202"/>
      <c r="E316" s="300"/>
      <c r="F316" s="210"/>
      <c r="G316" s="203"/>
      <c r="H316" s="203"/>
      <c r="I316" s="291"/>
      <c r="J316" s="263"/>
      <c r="K316" s="264"/>
      <c r="L316" s="265"/>
      <c r="M316" s="265"/>
      <c r="N316" s="265"/>
      <c r="O316" s="265"/>
      <c r="P316" s="265"/>
      <c r="Q316" s="265"/>
      <c r="R316" s="265"/>
    </row>
    <row r="317" spans="1:21" ht="30" customHeight="1">
      <c r="A317" s="204" t="str">
        <f>IF(ISBLANK(D317)," ",246-COUNTBLANK($D$6:D317))</f>
        <v xml:space="preserve"> </v>
      </c>
      <c r="B317" s="202"/>
      <c r="C317" s="202"/>
      <c r="D317" s="202"/>
      <c r="E317" s="300"/>
      <c r="F317" s="210"/>
      <c r="G317" s="203"/>
      <c r="H317" s="203"/>
      <c r="I317" s="291"/>
      <c r="J317" s="263"/>
      <c r="K317" s="264"/>
      <c r="L317" s="265"/>
      <c r="M317" s="265"/>
      <c r="N317" s="265"/>
      <c r="O317" s="265"/>
      <c r="P317" s="265"/>
      <c r="Q317" s="265"/>
      <c r="R317" s="265"/>
    </row>
    <row r="318" spans="1:21" ht="30" customHeight="1">
      <c r="A318" s="204" t="str">
        <f>IF(ISBLANK(D318)," ",247-COUNTBLANK($D$6:D318))</f>
        <v xml:space="preserve"> </v>
      </c>
      <c r="B318" s="202"/>
      <c r="C318" s="202"/>
      <c r="D318" s="202"/>
      <c r="E318" s="300"/>
      <c r="F318" s="210"/>
      <c r="G318" s="203"/>
      <c r="H318" s="203"/>
      <c r="I318" s="291"/>
      <c r="J318" s="263"/>
      <c r="K318" s="264"/>
      <c r="L318" s="265"/>
      <c r="M318" s="265"/>
      <c r="N318" s="265"/>
      <c r="O318" s="265"/>
      <c r="P318" s="265"/>
      <c r="Q318" s="265"/>
      <c r="R318" s="265"/>
    </row>
    <row r="319" spans="1:21" ht="30" customHeight="1">
      <c r="A319" s="204" t="str">
        <f>IF(ISBLANK(D319)," ",248-COUNTBLANK($D$6:D319))</f>
        <v xml:space="preserve"> </v>
      </c>
      <c r="B319" s="202"/>
      <c r="C319" s="202"/>
      <c r="D319" s="202"/>
      <c r="E319" s="300"/>
      <c r="F319" s="210"/>
      <c r="G319" s="203"/>
      <c r="H319" s="203"/>
      <c r="I319" s="291"/>
      <c r="J319" s="263"/>
      <c r="K319" s="264"/>
      <c r="L319" s="265"/>
      <c r="M319" s="265"/>
      <c r="N319" s="265"/>
      <c r="O319" s="265"/>
      <c r="P319" s="265"/>
      <c r="Q319" s="265"/>
      <c r="R319" s="265"/>
    </row>
    <row r="320" spans="1:21" ht="30" customHeight="1">
      <c r="A320" s="204" t="str">
        <f>IF(ISBLANK(D320)," ",249-COUNTBLANK($D$6:D320))</f>
        <v xml:space="preserve"> </v>
      </c>
      <c r="B320" s="202"/>
      <c r="C320" s="202"/>
      <c r="D320" s="202"/>
      <c r="E320" s="300"/>
      <c r="F320" s="210"/>
      <c r="G320" s="203"/>
      <c r="H320" s="203"/>
      <c r="I320" s="291"/>
      <c r="J320" s="263"/>
      <c r="K320" s="264"/>
      <c r="L320" s="265"/>
      <c r="M320" s="265"/>
      <c r="N320" s="265"/>
      <c r="O320" s="265"/>
      <c r="P320" s="265"/>
      <c r="Q320" s="265"/>
      <c r="R320" s="265"/>
    </row>
    <row r="321" spans="1:21" ht="30" customHeight="1">
      <c r="A321" s="204" t="str">
        <f>IF(ISBLANK(D321)," ",250-COUNTBLANK($D$6:D321))</f>
        <v xml:space="preserve"> </v>
      </c>
      <c r="B321" s="202"/>
      <c r="C321" s="202"/>
      <c r="D321" s="202"/>
      <c r="E321" s="300"/>
      <c r="F321" s="210"/>
      <c r="G321" s="203"/>
      <c r="H321" s="203"/>
      <c r="I321" s="291"/>
      <c r="J321" s="263"/>
      <c r="K321" s="264"/>
      <c r="L321" s="265"/>
      <c r="M321" s="265"/>
      <c r="N321" s="265"/>
      <c r="O321" s="265"/>
      <c r="P321" s="265"/>
      <c r="Q321" s="265"/>
      <c r="R321" s="265"/>
    </row>
    <row r="322" spans="1:21" ht="30" customHeight="1">
      <c r="A322" s="204" t="str">
        <f>IF(ISBLANK(D322)," ",251-COUNTBLANK($D$6:D322))</f>
        <v xml:space="preserve"> </v>
      </c>
      <c r="B322" s="202"/>
      <c r="C322" s="202"/>
      <c r="D322" s="202"/>
      <c r="E322" s="300"/>
      <c r="F322" s="210"/>
      <c r="G322" s="203"/>
      <c r="H322" s="203"/>
      <c r="I322" s="291"/>
      <c r="J322" s="263"/>
      <c r="K322" s="264"/>
      <c r="L322" s="265"/>
      <c r="M322" s="265"/>
      <c r="N322" s="265"/>
      <c r="O322" s="265"/>
      <c r="P322" s="265"/>
      <c r="Q322" s="265"/>
      <c r="R322" s="265"/>
    </row>
    <row r="323" spans="1:21" ht="30" customHeight="1">
      <c r="A323" s="204" t="s">
        <v>52</v>
      </c>
      <c r="B323" s="202"/>
      <c r="C323" s="202"/>
      <c r="D323" s="202"/>
      <c r="E323" s="300"/>
      <c r="F323" s="210">
        <f>SUM(F303:F322)</f>
        <v>0</v>
      </c>
      <c r="G323" s="203"/>
      <c r="H323" s="203"/>
      <c r="I323" s="291"/>
      <c r="J323" s="263"/>
      <c r="K323" s="264"/>
      <c r="L323" s="265"/>
      <c r="M323" s="265"/>
      <c r="N323" s="265"/>
      <c r="O323" s="265"/>
      <c r="P323" s="265"/>
      <c r="Q323" s="265"/>
      <c r="R323" s="265"/>
    </row>
    <row r="324" spans="1:21" ht="30" customHeight="1">
      <c r="A324" s="204" t="str">
        <f>IF(ISBLANK(D324)," ",253-COUNTBLANK($D$6:D324))</f>
        <v xml:space="preserve"> </v>
      </c>
      <c r="B324" s="202"/>
      <c r="C324" s="202"/>
      <c r="D324" s="202"/>
      <c r="E324" s="300"/>
      <c r="F324" s="210"/>
      <c r="G324" s="203"/>
      <c r="H324" s="203"/>
      <c r="I324" s="291"/>
      <c r="J324" s="263"/>
      <c r="K324" s="264"/>
      <c r="L324" s="265"/>
      <c r="M324" s="265"/>
      <c r="N324" s="265"/>
      <c r="O324" s="265"/>
      <c r="P324" s="265"/>
      <c r="Q324" s="265"/>
      <c r="R324" s="265"/>
    </row>
    <row r="325" spans="1:21" ht="30" customHeight="1">
      <c r="A325" s="204" t="str">
        <f>IF(ISBLANK(D325)," ",254-COUNTBLANK($D$6:D325))</f>
        <v xml:space="preserve"> </v>
      </c>
      <c r="B325" s="202"/>
      <c r="C325" s="202"/>
      <c r="D325" s="202"/>
      <c r="E325" s="300"/>
      <c r="F325" s="210"/>
      <c r="G325" s="203"/>
      <c r="H325" s="203"/>
      <c r="I325" s="291"/>
      <c r="J325" s="263"/>
      <c r="K325" s="264"/>
      <c r="L325" s="265"/>
      <c r="M325" s="265"/>
      <c r="N325" s="265"/>
      <c r="O325" s="265"/>
      <c r="P325" s="265"/>
      <c r="Q325" s="265"/>
      <c r="R325" s="265"/>
    </row>
    <row r="326" spans="1:21" ht="30" customHeight="1">
      <c r="A326" s="204" t="str">
        <f>IF(ISBLANK(D326)," ",255-COUNTBLANK($D$6:D326))</f>
        <v xml:space="preserve"> </v>
      </c>
      <c r="B326" s="202"/>
      <c r="C326" s="202"/>
      <c r="D326" s="202"/>
      <c r="E326" s="300"/>
      <c r="F326" s="210"/>
      <c r="G326" s="203"/>
      <c r="H326" s="203"/>
      <c r="I326" s="291"/>
      <c r="J326" s="263"/>
      <c r="K326" s="264"/>
      <c r="L326" s="265"/>
      <c r="M326" s="265"/>
      <c r="N326" s="265"/>
      <c r="O326" s="265"/>
      <c r="P326" s="265"/>
      <c r="Q326" s="265"/>
      <c r="R326" s="265"/>
    </row>
    <row r="327" spans="1:21" ht="30" customHeight="1">
      <c r="A327" s="204" t="str">
        <f>IF(ISBLANK(D327)," ",256-COUNTBLANK($D$6:D327))</f>
        <v xml:space="preserve"> </v>
      </c>
      <c r="B327" s="202"/>
      <c r="C327" s="202"/>
      <c r="D327" s="202"/>
      <c r="E327" s="300"/>
      <c r="F327" s="210"/>
      <c r="G327" s="203"/>
      <c r="H327" s="203"/>
      <c r="I327" s="291"/>
      <c r="J327" s="263"/>
      <c r="K327" s="266"/>
      <c r="L327" s="265"/>
      <c r="M327" s="265"/>
      <c r="N327" s="265"/>
      <c r="O327" s="265"/>
      <c r="P327" s="265"/>
      <c r="Q327" s="265"/>
      <c r="R327" s="267"/>
    </row>
    <row r="328" spans="1:21" ht="30" customHeight="1">
      <c r="A328" s="204" t="str">
        <f>IF(ISBLANK(D328)," ",257-COUNTBLANK($D$6:D328))</f>
        <v xml:space="preserve"> </v>
      </c>
      <c r="B328" s="202"/>
      <c r="C328" s="202"/>
      <c r="D328" s="202"/>
      <c r="E328" s="300"/>
      <c r="F328" s="210"/>
      <c r="G328" s="203"/>
      <c r="H328" s="203"/>
      <c r="I328" s="291"/>
      <c r="J328" s="263"/>
      <c r="K328" s="266"/>
      <c r="L328" s="265"/>
      <c r="M328" s="265"/>
      <c r="N328" s="265"/>
      <c r="O328" s="265"/>
      <c r="P328" s="265"/>
      <c r="Q328" s="265"/>
      <c r="R328" s="267"/>
    </row>
    <row r="329" spans="1:21" ht="30" customHeight="1">
      <c r="A329" s="204" t="str">
        <f>IF(ISBLANK(D329)," ",258-COUNTBLANK($D$6:D329))</f>
        <v xml:space="preserve"> </v>
      </c>
      <c r="B329" s="202"/>
      <c r="C329" s="202"/>
      <c r="D329" s="202"/>
      <c r="E329" s="300"/>
      <c r="F329" s="210"/>
      <c r="G329" s="203"/>
      <c r="H329" s="203"/>
      <c r="I329" s="291"/>
      <c r="J329" s="263"/>
      <c r="K329" s="266"/>
      <c r="L329" s="265"/>
      <c r="M329" s="265"/>
      <c r="N329" s="265"/>
      <c r="O329" s="265"/>
      <c r="P329" s="265"/>
      <c r="Q329" s="265"/>
      <c r="R329" s="267"/>
    </row>
    <row r="330" spans="1:21" ht="30" customHeight="1">
      <c r="A330" s="204" t="str">
        <f>IF(ISBLANK(D330)," ",259-COUNTBLANK($D$6:D330))</f>
        <v xml:space="preserve"> </v>
      </c>
      <c r="B330" s="202"/>
      <c r="C330" s="202"/>
      <c r="D330" s="202"/>
      <c r="E330" s="300"/>
      <c r="F330" s="210"/>
      <c r="G330" s="203"/>
      <c r="H330" s="203"/>
      <c r="I330" s="291"/>
      <c r="J330" s="263"/>
      <c r="K330" s="266"/>
      <c r="L330" s="265"/>
      <c r="M330" s="265"/>
      <c r="N330" s="265"/>
      <c r="O330" s="265"/>
      <c r="P330" s="265"/>
      <c r="Q330" s="265"/>
      <c r="R330" s="267"/>
    </row>
    <row r="331" spans="1:21" ht="30" customHeight="1">
      <c r="A331" s="304" t="str">
        <f>IF(ISBLANK(D331)," ",260-COUNTBLANK($D$6:D331))</f>
        <v xml:space="preserve"> </v>
      </c>
      <c r="B331" s="296"/>
      <c r="C331" s="305"/>
      <c r="D331" s="306"/>
      <c r="E331" s="297"/>
      <c r="F331" s="298"/>
      <c r="G331" s="282"/>
      <c r="H331" s="282"/>
      <c r="I331" s="303"/>
      <c r="J331" s="263"/>
      <c r="K331" s="264"/>
      <c r="L331" s="265"/>
      <c r="M331" s="265"/>
      <c r="N331" s="265"/>
      <c r="O331" s="265"/>
      <c r="P331" s="265"/>
      <c r="Q331" s="265"/>
      <c r="R331" s="284"/>
      <c r="S331" s="265"/>
      <c r="T331" s="265"/>
      <c r="U331" s="265"/>
    </row>
    <row r="332" spans="1:21" ht="30" customHeight="1">
      <c r="A332" s="260" t="str">
        <f>IF(ISBLANK(D332)," ",261-COUNTBLANK($D$6:D332))</f>
        <v xml:space="preserve"> </v>
      </c>
      <c r="B332" s="200"/>
      <c r="C332" s="200"/>
      <c r="D332" s="200"/>
      <c r="E332" s="299"/>
      <c r="F332" s="209"/>
      <c r="G332" s="201"/>
      <c r="H332" s="201"/>
      <c r="I332" s="291"/>
      <c r="J332" s="263"/>
      <c r="K332" s="266"/>
      <c r="L332" s="265"/>
      <c r="M332" s="265"/>
      <c r="N332" s="265"/>
      <c r="O332" s="265"/>
      <c r="P332" s="265"/>
      <c r="Q332" s="265"/>
      <c r="R332" s="284"/>
      <c r="S332" s="265"/>
      <c r="T332" s="265"/>
      <c r="U332" s="265"/>
    </row>
    <row r="333" spans="1:21" ht="30" customHeight="1">
      <c r="A333" s="204" t="str">
        <f>IF(ISBLANK(D333)," ",262-COUNTBLANK($D$6:D333))</f>
        <v xml:space="preserve"> </v>
      </c>
      <c r="B333" s="202"/>
      <c r="C333" s="202"/>
      <c r="D333" s="202"/>
      <c r="E333" s="300"/>
      <c r="F333" s="210"/>
      <c r="G333" s="203"/>
      <c r="H333" s="203"/>
      <c r="I333" s="291"/>
      <c r="J333" s="263"/>
      <c r="K333" s="264"/>
      <c r="L333" s="265"/>
      <c r="M333" s="265"/>
      <c r="N333" s="265"/>
      <c r="O333" s="265"/>
      <c r="P333" s="265"/>
      <c r="Q333" s="265"/>
      <c r="R333" s="265"/>
    </row>
    <row r="334" spans="1:21" ht="30" customHeight="1">
      <c r="A334" s="204" t="str">
        <f>IF(ISBLANK(D334)," ",263-COUNTBLANK($D$6:D334))</f>
        <v xml:space="preserve"> </v>
      </c>
      <c r="B334" s="202"/>
      <c r="C334" s="202"/>
      <c r="D334" s="202"/>
      <c r="E334" s="300"/>
      <c r="F334" s="210"/>
      <c r="G334" s="203"/>
      <c r="H334" s="203"/>
      <c r="I334" s="291"/>
      <c r="J334" s="263"/>
      <c r="K334" s="264"/>
      <c r="L334" s="265"/>
      <c r="M334" s="265"/>
      <c r="N334" s="265"/>
      <c r="O334" s="265"/>
      <c r="P334" s="265"/>
      <c r="Q334" s="265"/>
      <c r="R334" s="265"/>
    </row>
    <row r="335" spans="1:21" ht="30" customHeight="1">
      <c r="A335" s="204" t="str">
        <f>IF(ISBLANK(D335)," ",264-COUNTBLANK($D$6:D335))</f>
        <v xml:space="preserve"> </v>
      </c>
      <c r="B335" s="202"/>
      <c r="C335" s="202"/>
      <c r="D335" s="202"/>
      <c r="E335" s="300"/>
      <c r="F335" s="210"/>
      <c r="G335" s="203"/>
      <c r="H335" s="203"/>
      <c r="I335" s="291"/>
      <c r="J335" s="263"/>
      <c r="K335" s="264"/>
      <c r="L335" s="265"/>
      <c r="M335" s="265"/>
      <c r="N335" s="265"/>
      <c r="O335" s="265"/>
      <c r="P335" s="265"/>
      <c r="Q335" s="265"/>
      <c r="R335" s="265"/>
    </row>
    <row r="336" spans="1:21" ht="30" customHeight="1">
      <c r="A336" s="204" t="str">
        <f>IF(ISBLANK(D336)," ",265-COUNTBLANK($D$6:D336))</f>
        <v xml:space="preserve"> </v>
      </c>
      <c r="B336" s="202"/>
      <c r="C336" s="202"/>
      <c r="D336" s="202"/>
      <c r="E336" s="300"/>
      <c r="F336" s="210"/>
      <c r="G336" s="203"/>
      <c r="H336" s="203"/>
      <c r="I336" s="291"/>
      <c r="J336" s="263"/>
      <c r="K336" s="264"/>
      <c r="L336" s="265"/>
      <c r="M336" s="265"/>
      <c r="N336" s="265"/>
      <c r="O336" s="265"/>
      <c r="P336" s="265"/>
      <c r="Q336" s="265"/>
      <c r="R336" s="265"/>
    </row>
    <row r="337" spans="1:21" ht="30" customHeight="1">
      <c r="A337" s="204" t="str">
        <f>IF(ISBLANK(D337)," ",266-COUNTBLANK($D$6:D337))</f>
        <v xml:space="preserve"> </v>
      </c>
      <c r="B337" s="202"/>
      <c r="C337" s="202"/>
      <c r="D337" s="202"/>
      <c r="E337" s="300"/>
      <c r="F337" s="210"/>
      <c r="G337" s="203"/>
      <c r="H337" s="203"/>
      <c r="I337" s="291"/>
      <c r="J337" s="263"/>
      <c r="K337" s="264"/>
      <c r="L337" s="265"/>
      <c r="M337" s="265"/>
      <c r="N337" s="265"/>
      <c r="O337" s="265"/>
      <c r="P337" s="265"/>
      <c r="Q337" s="265"/>
      <c r="R337" s="265"/>
    </row>
    <row r="338" spans="1:21" ht="30" customHeight="1">
      <c r="A338" s="204" t="str">
        <f>IF(ISBLANK(D338)," ",267-COUNTBLANK($D$6:D338))</f>
        <v xml:space="preserve"> </v>
      </c>
      <c r="B338" s="202"/>
      <c r="C338" s="202"/>
      <c r="D338" s="202"/>
      <c r="E338" s="300"/>
      <c r="F338" s="210"/>
      <c r="G338" s="203"/>
      <c r="H338" s="203"/>
      <c r="I338" s="291"/>
      <c r="J338" s="263"/>
      <c r="K338" s="264"/>
      <c r="L338" s="265"/>
      <c r="M338" s="265"/>
      <c r="N338" s="265"/>
      <c r="O338" s="265"/>
      <c r="P338" s="265"/>
      <c r="Q338" s="265"/>
      <c r="R338" s="265"/>
    </row>
    <row r="339" spans="1:21" ht="30" customHeight="1">
      <c r="A339" s="204" t="str">
        <f>IF(ISBLANK(D339)," ",268-COUNTBLANK($D$6:D339))</f>
        <v xml:space="preserve"> </v>
      </c>
      <c r="B339" s="202"/>
      <c r="C339" s="202"/>
      <c r="D339" s="202"/>
      <c r="E339" s="300"/>
      <c r="F339" s="210"/>
      <c r="G339" s="203"/>
      <c r="H339" s="203"/>
      <c r="I339" s="291"/>
      <c r="J339" s="263"/>
      <c r="K339" s="264"/>
      <c r="L339" s="265"/>
      <c r="M339" s="265"/>
      <c r="N339" s="265"/>
      <c r="O339" s="265"/>
      <c r="P339" s="265"/>
      <c r="Q339" s="265"/>
      <c r="R339" s="265"/>
    </row>
    <row r="340" spans="1:21" ht="30" customHeight="1">
      <c r="A340" s="204" t="str">
        <f>IF(ISBLANK(D340)," ",269-COUNTBLANK($D$6:D340))</f>
        <v xml:space="preserve"> </v>
      </c>
      <c r="B340" s="202"/>
      <c r="C340" s="202"/>
      <c r="D340" s="202"/>
      <c r="E340" s="300"/>
      <c r="F340" s="210"/>
      <c r="G340" s="203"/>
      <c r="H340" s="203"/>
      <c r="I340" s="291"/>
      <c r="J340" s="263"/>
      <c r="K340" s="264"/>
      <c r="L340" s="265"/>
      <c r="M340" s="265"/>
      <c r="N340" s="265"/>
      <c r="O340" s="265"/>
      <c r="P340" s="265"/>
      <c r="Q340" s="265"/>
      <c r="R340" s="265"/>
    </row>
    <row r="341" spans="1:21" ht="30" customHeight="1">
      <c r="A341" s="204" t="str">
        <f>IF(ISBLANK(D341)," ",270-COUNTBLANK($D$6:D341))</f>
        <v xml:space="preserve"> </v>
      </c>
      <c r="B341" s="202"/>
      <c r="C341" s="202"/>
      <c r="D341" s="202"/>
      <c r="E341" s="300"/>
      <c r="F341" s="210"/>
      <c r="G341" s="203"/>
      <c r="H341" s="203"/>
      <c r="I341" s="291"/>
      <c r="J341" s="263"/>
      <c r="K341" s="264"/>
      <c r="L341" s="265"/>
      <c r="M341" s="265"/>
      <c r="N341" s="265"/>
      <c r="O341" s="265"/>
      <c r="P341" s="265"/>
      <c r="Q341" s="265"/>
      <c r="R341" s="265"/>
    </row>
    <row r="342" spans="1:21" ht="30" customHeight="1">
      <c r="A342" s="204" t="str">
        <f>IF(ISBLANK(D342)," ",271-COUNTBLANK($D$6:D342))</f>
        <v xml:space="preserve"> </v>
      </c>
      <c r="B342" s="202"/>
      <c r="C342" s="202"/>
      <c r="D342" s="202"/>
      <c r="E342" s="300"/>
      <c r="F342" s="210"/>
      <c r="G342" s="203"/>
      <c r="H342" s="203"/>
      <c r="I342" s="291"/>
      <c r="J342" s="263"/>
      <c r="K342" s="264"/>
      <c r="L342" s="265"/>
      <c r="M342" s="265"/>
      <c r="N342" s="265"/>
      <c r="O342" s="265"/>
      <c r="P342" s="265"/>
      <c r="Q342" s="265"/>
      <c r="R342" s="265"/>
    </row>
    <row r="343" spans="1:21" ht="30" customHeight="1">
      <c r="A343" s="204" t="str">
        <f>IF(ISBLANK(D343)," ",272-COUNTBLANK($D$6:D343))</f>
        <v xml:space="preserve"> </v>
      </c>
      <c r="B343" s="202"/>
      <c r="C343" s="202"/>
      <c r="D343" s="202"/>
      <c r="E343" s="300"/>
      <c r="F343" s="210"/>
      <c r="G343" s="203"/>
      <c r="H343" s="203"/>
      <c r="I343" s="291"/>
      <c r="J343" s="263"/>
      <c r="K343" s="264"/>
      <c r="L343" s="265"/>
      <c r="M343" s="265"/>
      <c r="N343" s="265"/>
      <c r="O343" s="265"/>
      <c r="P343" s="265"/>
      <c r="Q343" s="265"/>
      <c r="R343" s="265"/>
    </row>
    <row r="344" spans="1:21" ht="30" customHeight="1">
      <c r="A344" s="204" t="s">
        <v>52</v>
      </c>
      <c r="B344" s="202"/>
      <c r="C344" s="202"/>
      <c r="D344" s="202"/>
      <c r="E344" s="300"/>
      <c r="F344" s="210">
        <f>SUM(F324:F343)</f>
        <v>0</v>
      </c>
      <c r="G344" s="203"/>
      <c r="H344" s="203"/>
      <c r="I344" s="291"/>
      <c r="J344" s="263"/>
      <c r="K344" s="264"/>
      <c r="L344" s="265"/>
      <c r="M344" s="265"/>
      <c r="N344" s="265"/>
      <c r="O344" s="265"/>
      <c r="P344" s="265"/>
      <c r="Q344" s="265"/>
      <c r="R344" s="265"/>
    </row>
    <row r="345" spans="1:21" ht="30" customHeight="1">
      <c r="A345" s="204" t="str">
        <f>IF(ISBLANK(D345)," ",274-COUNTBLANK($D$6:D345))</f>
        <v xml:space="preserve"> </v>
      </c>
      <c r="B345" s="202"/>
      <c r="C345" s="202"/>
      <c r="D345" s="202"/>
      <c r="E345" s="300"/>
      <c r="F345" s="210"/>
      <c r="G345" s="203"/>
      <c r="H345" s="203"/>
      <c r="I345" s="291"/>
      <c r="J345" s="263"/>
      <c r="K345" s="264"/>
      <c r="L345" s="265"/>
      <c r="M345" s="265"/>
      <c r="N345" s="265"/>
      <c r="O345" s="265"/>
      <c r="P345" s="265"/>
      <c r="Q345" s="265"/>
      <c r="R345" s="265"/>
    </row>
    <row r="346" spans="1:21" ht="30" customHeight="1">
      <c r="A346" s="204" t="str">
        <f>IF(ISBLANK(D346)," ",275-COUNTBLANK($D$6:D346))</f>
        <v xml:space="preserve"> </v>
      </c>
      <c r="B346" s="202"/>
      <c r="C346" s="202"/>
      <c r="D346" s="202"/>
      <c r="E346" s="300"/>
      <c r="F346" s="210"/>
      <c r="G346" s="203"/>
      <c r="H346" s="203"/>
      <c r="I346" s="291"/>
      <c r="J346" s="263"/>
      <c r="K346" s="264"/>
      <c r="L346" s="265"/>
      <c r="M346" s="265"/>
      <c r="N346" s="265"/>
      <c r="O346" s="265"/>
      <c r="P346" s="265"/>
      <c r="Q346" s="265"/>
      <c r="R346" s="265"/>
    </row>
    <row r="347" spans="1:21" ht="30" customHeight="1">
      <c r="A347" s="204" t="str">
        <f>IF(ISBLANK(D347)," ",276-COUNTBLANK($D$6:D347))</f>
        <v xml:space="preserve"> </v>
      </c>
      <c r="B347" s="202"/>
      <c r="C347" s="202"/>
      <c r="D347" s="202"/>
      <c r="E347" s="300"/>
      <c r="F347" s="210"/>
      <c r="G347" s="203"/>
      <c r="H347" s="203"/>
      <c r="I347" s="291"/>
      <c r="J347" s="263"/>
      <c r="K347" s="264"/>
      <c r="L347" s="265"/>
      <c r="M347" s="265"/>
      <c r="N347" s="265"/>
      <c r="O347" s="265"/>
      <c r="P347" s="265"/>
      <c r="Q347" s="265"/>
      <c r="R347" s="265"/>
    </row>
    <row r="348" spans="1:21" ht="30" customHeight="1">
      <c r="A348" s="204" t="str">
        <f>IF(ISBLANK(D348)," ",277-COUNTBLANK($D$6:D348))</f>
        <v xml:space="preserve"> </v>
      </c>
      <c r="B348" s="202"/>
      <c r="C348" s="202"/>
      <c r="D348" s="202"/>
      <c r="E348" s="300"/>
      <c r="F348" s="210"/>
      <c r="G348" s="203"/>
      <c r="H348" s="203"/>
      <c r="I348" s="291"/>
      <c r="J348" s="263"/>
      <c r="K348" s="266"/>
      <c r="L348" s="265"/>
      <c r="M348" s="265"/>
      <c r="N348" s="265"/>
      <c r="O348" s="265"/>
      <c r="P348" s="265"/>
      <c r="Q348" s="265"/>
      <c r="R348" s="267"/>
    </row>
    <row r="349" spans="1:21" ht="30" customHeight="1">
      <c r="A349" s="204" t="str">
        <f>IF(ISBLANK(D349)," ",278-COUNTBLANK($D$6:D349))</f>
        <v xml:space="preserve"> </v>
      </c>
      <c r="B349" s="202"/>
      <c r="C349" s="202"/>
      <c r="D349" s="202"/>
      <c r="E349" s="300"/>
      <c r="F349" s="210"/>
      <c r="G349" s="203"/>
      <c r="H349" s="203"/>
      <c r="I349" s="291"/>
      <c r="J349" s="263"/>
      <c r="K349" s="266"/>
      <c r="L349" s="265"/>
      <c r="M349" s="265"/>
      <c r="N349" s="265"/>
      <c r="O349" s="265"/>
      <c r="P349" s="265"/>
      <c r="Q349" s="265"/>
      <c r="R349" s="267"/>
    </row>
    <row r="350" spans="1:21" ht="30" customHeight="1">
      <c r="A350" s="204" t="str">
        <f>IF(ISBLANK(D350)," ",279-COUNTBLANK($D$6:D350))</f>
        <v xml:space="preserve"> </v>
      </c>
      <c r="B350" s="202"/>
      <c r="C350" s="202"/>
      <c r="D350" s="202"/>
      <c r="E350" s="300"/>
      <c r="F350" s="210"/>
      <c r="G350" s="203"/>
      <c r="H350" s="203"/>
      <c r="I350" s="291"/>
      <c r="J350" s="263"/>
      <c r="K350" s="266"/>
      <c r="L350" s="265"/>
      <c r="M350" s="265"/>
      <c r="N350" s="265"/>
      <c r="O350" s="265"/>
      <c r="P350" s="265"/>
      <c r="Q350" s="265"/>
      <c r="R350" s="267"/>
    </row>
    <row r="351" spans="1:21" ht="30" customHeight="1">
      <c r="A351" s="204" t="str">
        <f>IF(ISBLANK(D351)," ",280-COUNTBLANK($D$6:D351))</f>
        <v xml:space="preserve"> </v>
      </c>
      <c r="B351" s="202"/>
      <c r="C351" s="202"/>
      <c r="D351" s="202"/>
      <c r="E351" s="300"/>
      <c r="F351" s="210"/>
      <c r="G351" s="203"/>
      <c r="H351" s="203"/>
      <c r="I351" s="291"/>
      <c r="J351" s="263"/>
      <c r="K351" s="266"/>
      <c r="L351" s="265"/>
      <c r="M351" s="265"/>
      <c r="N351" s="265"/>
      <c r="O351" s="265"/>
      <c r="P351" s="265"/>
      <c r="Q351" s="265"/>
      <c r="R351" s="267"/>
    </row>
    <row r="352" spans="1:21" ht="30" customHeight="1">
      <c r="A352" s="304" t="str">
        <f>IF(ISBLANK(D352)," ",281-COUNTBLANK($D$6:D352))</f>
        <v xml:space="preserve"> </v>
      </c>
      <c r="B352" s="296"/>
      <c r="C352" s="305"/>
      <c r="D352" s="306"/>
      <c r="E352" s="297"/>
      <c r="F352" s="298"/>
      <c r="G352" s="282"/>
      <c r="H352" s="282"/>
      <c r="I352" s="303"/>
      <c r="J352" s="263"/>
      <c r="K352" s="264"/>
      <c r="L352" s="265"/>
      <c r="M352" s="265"/>
      <c r="N352" s="265"/>
      <c r="O352" s="265"/>
      <c r="P352" s="265"/>
      <c r="Q352" s="265"/>
      <c r="R352" s="284"/>
      <c r="S352" s="265"/>
      <c r="T352" s="265"/>
      <c r="U352" s="265"/>
    </row>
    <row r="353" spans="1:21" ht="30" customHeight="1">
      <c r="A353" s="260" t="str">
        <f>IF(ISBLANK(D353)," ",282-COUNTBLANK($D$6:D353))</f>
        <v xml:space="preserve"> </v>
      </c>
      <c r="B353" s="200"/>
      <c r="C353" s="200"/>
      <c r="D353" s="200"/>
      <c r="E353" s="299"/>
      <c r="F353" s="209"/>
      <c r="G353" s="201"/>
      <c r="H353" s="201"/>
      <c r="I353" s="291"/>
      <c r="J353" s="263"/>
      <c r="K353" s="266"/>
      <c r="L353" s="265"/>
      <c r="M353" s="265"/>
      <c r="N353" s="265"/>
      <c r="O353" s="265"/>
      <c r="P353" s="265"/>
      <c r="Q353" s="265"/>
      <c r="R353" s="284"/>
      <c r="S353" s="265"/>
      <c r="T353" s="265"/>
      <c r="U353" s="265"/>
    </row>
    <row r="354" spans="1:21" ht="30" customHeight="1">
      <c r="A354" s="204" t="str">
        <f>IF(ISBLANK(D354)," ",283-COUNTBLANK($D$6:D354))</f>
        <v xml:space="preserve"> </v>
      </c>
      <c r="B354" s="202"/>
      <c r="C354" s="202"/>
      <c r="D354" s="202"/>
      <c r="E354" s="300"/>
      <c r="F354" s="210"/>
      <c r="G354" s="203"/>
      <c r="H354" s="203"/>
      <c r="I354" s="291"/>
      <c r="J354" s="263"/>
      <c r="K354" s="264"/>
      <c r="L354" s="265"/>
      <c r="M354" s="265"/>
      <c r="N354" s="265"/>
      <c r="O354" s="265"/>
      <c r="P354" s="265"/>
      <c r="Q354" s="265"/>
      <c r="R354" s="265"/>
    </row>
    <row r="355" spans="1:21" ht="30" customHeight="1">
      <c r="A355" s="204" t="str">
        <f>IF(ISBLANK(D355)," ",284-COUNTBLANK($D$6:D355))</f>
        <v xml:space="preserve"> </v>
      </c>
      <c r="B355" s="202"/>
      <c r="C355" s="202"/>
      <c r="D355" s="202"/>
      <c r="E355" s="300"/>
      <c r="F355" s="210"/>
      <c r="G355" s="203"/>
      <c r="H355" s="203"/>
      <c r="I355" s="291"/>
      <c r="J355" s="263"/>
      <c r="K355" s="264"/>
      <c r="L355" s="265"/>
      <c r="M355" s="265"/>
      <c r="N355" s="265"/>
      <c r="O355" s="265"/>
      <c r="P355" s="265"/>
      <c r="Q355" s="265"/>
      <c r="R355" s="265"/>
    </row>
    <row r="356" spans="1:21" ht="30" customHeight="1">
      <c r="A356" s="204" t="str">
        <f>IF(ISBLANK(D356)," ",285-COUNTBLANK($D$6:D356))</f>
        <v xml:space="preserve"> </v>
      </c>
      <c r="B356" s="202"/>
      <c r="C356" s="202"/>
      <c r="D356" s="202"/>
      <c r="E356" s="300"/>
      <c r="F356" s="210"/>
      <c r="G356" s="203"/>
      <c r="H356" s="203"/>
      <c r="I356" s="291"/>
      <c r="J356" s="263"/>
      <c r="K356" s="264"/>
      <c r="L356" s="265"/>
      <c r="M356" s="265"/>
      <c r="N356" s="265"/>
      <c r="O356" s="265"/>
      <c r="P356" s="265"/>
      <c r="Q356" s="265"/>
      <c r="R356" s="265"/>
    </row>
    <row r="357" spans="1:21" ht="30" customHeight="1">
      <c r="A357" s="204" t="str">
        <f>IF(ISBLANK(D357)," ",286-COUNTBLANK($D$6:D357))</f>
        <v xml:space="preserve"> </v>
      </c>
      <c r="B357" s="202"/>
      <c r="C357" s="202"/>
      <c r="D357" s="202"/>
      <c r="E357" s="300"/>
      <c r="F357" s="210"/>
      <c r="G357" s="203"/>
      <c r="H357" s="203"/>
      <c r="I357" s="291"/>
      <c r="J357" s="263"/>
      <c r="K357" s="264"/>
      <c r="L357" s="265"/>
      <c r="M357" s="265"/>
      <c r="N357" s="265"/>
      <c r="O357" s="265"/>
      <c r="P357" s="265"/>
      <c r="Q357" s="265"/>
      <c r="R357" s="265"/>
    </row>
    <row r="358" spans="1:21" ht="30" customHeight="1">
      <c r="A358" s="204" t="str">
        <f>IF(ISBLANK(D358)," ",287-COUNTBLANK($D$6:D358))</f>
        <v xml:space="preserve"> </v>
      </c>
      <c r="B358" s="202"/>
      <c r="C358" s="202"/>
      <c r="D358" s="202"/>
      <c r="E358" s="300"/>
      <c r="F358" s="210"/>
      <c r="G358" s="203"/>
      <c r="H358" s="203"/>
      <c r="I358" s="291"/>
      <c r="J358" s="263"/>
      <c r="K358" s="264"/>
      <c r="L358" s="265"/>
      <c r="M358" s="265"/>
      <c r="N358" s="265"/>
      <c r="O358" s="265"/>
      <c r="P358" s="265"/>
      <c r="Q358" s="265"/>
      <c r="R358" s="265"/>
    </row>
    <row r="359" spans="1:21" ht="30" customHeight="1">
      <c r="A359" s="204" t="str">
        <f>IF(ISBLANK(D359)," ",288-COUNTBLANK($D$6:D359))</f>
        <v xml:space="preserve"> </v>
      </c>
      <c r="B359" s="202"/>
      <c r="C359" s="202"/>
      <c r="D359" s="202"/>
      <c r="E359" s="300"/>
      <c r="F359" s="210"/>
      <c r="G359" s="203"/>
      <c r="H359" s="203"/>
      <c r="I359" s="291"/>
      <c r="J359" s="263"/>
      <c r="K359" s="264"/>
      <c r="L359" s="265"/>
      <c r="M359" s="265"/>
      <c r="N359" s="265"/>
      <c r="O359" s="265"/>
      <c r="P359" s="265"/>
      <c r="Q359" s="265"/>
      <c r="R359" s="265"/>
    </row>
    <row r="360" spans="1:21" ht="30" customHeight="1">
      <c r="A360" s="204" t="str">
        <f>IF(ISBLANK(D360)," ",289-COUNTBLANK($D$6:D360))</f>
        <v xml:space="preserve"> </v>
      </c>
      <c r="B360" s="202"/>
      <c r="C360" s="202"/>
      <c r="D360" s="202"/>
      <c r="E360" s="300"/>
      <c r="F360" s="210"/>
      <c r="G360" s="203"/>
      <c r="H360" s="203"/>
      <c r="I360" s="291"/>
      <c r="J360" s="263"/>
      <c r="K360" s="264"/>
      <c r="L360" s="265"/>
      <c r="M360" s="265"/>
      <c r="N360" s="265"/>
      <c r="O360" s="265"/>
      <c r="P360" s="265"/>
      <c r="Q360" s="265"/>
      <c r="R360" s="265"/>
    </row>
    <row r="361" spans="1:21" ht="30" customHeight="1">
      <c r="A361" s="204" t="str">
        <f>IF(ISBLANK(D361)," ",290-COUNTBLANK($D$6:D361))</f>
        <v xml:space="preserve"> </v>
      </c>
      <c r="B361" s="202"/>
      <c r="C361" s="202"/>
      <c r="D361" s="202"/>
      <c r="E361" s="300"/>
      <c r="F361" s="210"/>
      <c r="G361" s="203"/>
      <c r="H361" s="203"/>
      <c r="I361" s="291"/>
      <c r="J361" s="263"/>
      <c r="K361" s="264"/>
      <c r="L361" s="265"/>
      <c r="M361" s="265"/>
      <c r="N361" s="265"/>
      <c r="O361" s="265"/>
      <c r="P361" s="265"/>
      <c r="Q361" s="265"/>
      <c r="R361" s="265"/>
    </row>
    <row r="362" spans="1:21" ht="30" customHeight="1">
      <c r="A362" s="204" t="str">
        <f>IF(ISBLANK(D362)," ",291-COUNTBLANK($D$6:D362))</f>
        <v xml:space="preserve"> </v>
      </c>
      <c r="B362" s="202"/>
      <c r="C362" s="202"/>
      <c r="D362" s="202"/>
      <c r="E362" s="300"/>
      <c r="F362" s="210"/>
      <c r="G362" s="203"/>
      <c r="H362" s="203"/>
      <c r="I362" s="291"/>
      <c r="J362" s="263"/>
      <c r="K362" s="264"/>
      <c r="L362" s="265"/>
      <c r="M362" s="265"/>
      <c r="N362" s="265"/>
      <c r="O362" s="265"/>
      <c r="P362" s="265"/>
      <c r="Q362" s="265"/>
      <c r="R362" s="265"/>
    </row>
    <row r="363" spans="1:21" ht="30" customHeight="1">
      <c r="A363" s="204" t="str">
        <f>IF(ISBLANK(D363)," ",292-COUNTBLANK($D$6:D363))</f>
        <v xml:space="preserve"> </v>
      </c>
      <c r="B363" s="202"/>
      <c r="C363" s="202"/>
      <c r="D363" s="202"/>
      <c r="E363" s="300"/>
      <c r="F363" s="210"/>
      <c r="G363" s="203"/>
      <c r="H363" s="203"/>
      <c r="I363" s="291"/>
      <c r="J363" s="263"/>
      <c r="K363" s="264"/>
      <c r="L363" s="265"/>
      <c r="M363" s="265"/>
      <c r="N363" s="265"/>
      <c r="O363" s="265"/>
      <c r="P363" s="265"/>
      <c r="Q363" s="265"/>
      <c r="R363" s="265"/>
    </row>
    <row r="364" spans="1:21" ht="30" customHeight="1">
      <c r="A364" s="204" t="str">
        <f>IF(ISBLANK(D364)," ",293-COUNTBLANK($D$6:D364))</f>
        <v xml:space="preserve"> </v>
      </c>
      <c r="B364" s="202"/>
      <c r="C364" s="202"/>
      <c r="D364" s="202"/>
      <c r="E364" s="300"/>
      <c r="F364" s="210"/>
      <c r="G364" s="203"/>
      <c r="H364" s="203"/>
      <c r="I364" s="291"/>
      <c r="J364" s="263"/>
      <c r="K364" s="264"/>
      <c r="L364" s="265"/>
      <c r="M364" s="265"/>
      <c r="N364" s="265"/>
      <c r="O364" s="265"/>
      <c r="P364" s="265"/>
      <c r="Q364" s="265"/>
      <c r="R364" s="265"/>
    </row>
    <row r="365" spans="1:21" ht="30" customHeight="1">
      <c r="A365" s="204" t="s">
        <v>52</v>
      </c>
      <c r="B365" s="202"/>
      <c r="C365" s="202"/>
      <c r="D365" s="202"/>
      <c r="E365" s="300"/>
      <c r="F365" s="210">
        <f>SUM(F345:F364)</f>
        <v>0</v>
      </c>
      <c r="G365" s="203"/>
      <c r="H365" s="203"/>
      <c r="I365" s="291"/>
      <c r="J365" s="263"/>
      <c r="K365" s="264"/>
      <c r="L365" s="265"/>
      <c r="M365" s="265"/>
      <c r="N365" s="265"/>
      <c r="O365" s="265"/>
      <c r="P365" s="265"/>
      <c r="Q365" s="265"/>
      <c r="R365" s="265"/>
    </row>
    <row r="366" spans="1:21" ht="30" customHeight="1">
      <c r="A366" s="204" t="str">
        <f>IF(ISBLANK(D366)," ",295-COUNTBLANK($D$6:D366))</f>
        <v xml:space="preserve"> </v>
      </c>
      <c r="B366" s="202"/>
      <c r="C366" s="202"/>
      <c r="D366" s="202"/>
      <c r="E366" s="300"/>
      <c r="F366" s="210"/>
      <c r="G366" s="203"/>
      <c r="H366" s="203"/>
      <c r="I366" s="291"/>
      <c r="J366" s="263"/>
      <c r="K366" s="264"/>
      <c r="L366" s="265"/>
      <c r="M366" s="265"/>
      <c r="N366" s="265"/>
      <c r="O366" s="265"/>
      <c r="P366" s="265"/>
      <c r="Q366" s="265"/>
      <c r="R366" s="265"/>
    </row>
    <row r="367" spans="1:21" ht="30" customHeight="1">
      <c r="A367" s="204" t="str">
        <f>IF(ISBLANK(D367)," ",296-COUNTBLANK($D$6:D367))</f>
        <v xml:space="preserve"> </v>
      </c>
      <c r="B367" s="202"/>
      <c r="C367" s="202"/>
      <c r="D367" s="202"/>
      <c r="E367" s="300"/>
      <c r="F367" s="210"/>
      <c r="G367" s="203"/>
      <c r="H367" s="203"/>
      <c r="I367" s="291"/>
      <c r="J367" s="263"/>
      <c r="K367" s="264"/>
      <c r="L367" s="265"/>
      <c r="M367" s="265"/>
      <c r="N367" s="265"/>
      <c r="O367" s="265"/>
      <c r="P367" s="265"/>
      <c r="Q367" s="265"/>
      <c r="R367" s="265"/>
    </row>
    <row r="368" spans="1:21" ht="30" customHeight="1">
      <c r="A368" s="204" t="str">
        <f>IF(ISBLANK(D368)," ",297-COUNTBLANK($D$6:D368))</f>
        <v xml:space="preserve"> </v>
      </c>
      <c r="B368" s="202"/>
      <c r="C368" s="202"/>
      <c r="D368" s="202"/>
      <c r="E368" s="300"/>
      <c r="F368" s="210"/>
      <c r="G368" s="203"/>
      <c r="H368" s="203"/>
      <c r="I368" s="291"/>
      <c r="J368" s="263"/>
      <c r="K368" s="264"/>
      <c r="L368" s="265"/>
      <c r="M368" s="265"/>
      <c r="N368" s="265"/>
      <c r="O368" s="265"/>
      <c r="P368" s="265"/>
      <c r="Q368" s="265"/>
      <c r="R368" s="265"/>
    </row>
    <row r="369" spans="1:21" ht="30" customHeight="1">
      <c r="A369" s="204" t="str">
        <f>IF(ISBLANK(D369)," ",298-COUNTBLANK($D$6:D369))</f>
        <v xml:space="preserve"> </v>
      </c>
      <c r="B369" s="202"/>
      <c r="C369" s="202"/>
      <c r="D369" s="202"/>
      <c r="E369" s="300"/>
      <c r="F369" s="210"/>
      <c r="G369" s="203"/>
      <c r="H369" s="203"/>
      <c r="I369" s="291"/>
      <c r="J369" s="263"/>
      <c r="K369" s="266"/>
      <c r="L369" s="265"/>
      <c r="M369" s="265"/>
      <c r="N369" s="265"/>
      <c r="O369" s="265"/>
      <c r="P369" s="265"/>
      <c r="Q369" s="265"/>
      <c r="R369" s="267"/>
    </row>
    <row r="370" spans="1:21" ht="30" customHeight="1">
      <c r="A370" s="204" t="str">
        <f>IF(ISBLANK(D370)," ",299-COUNTBLANK($D$6:D370))</f>
        <v xml:space="preserve"> </v>
      </c>
      <c r="B370" s="202"/>
      <c r="C370" s="202"/>
      <c r="D370" s="202"/>
      <c r="E370" s="300"/>
      <c r="F370" s="210"/>
      <c r="G370" s="203"/>
      <c r="H370" s="203"/>
      <c r="I370" s="291"/>
      <c r="J370" s="263"/>
      <c r="K370" s="266"/>
      <c r="L370" s="265"/>
      <c r="M370" s="265"/>
      <c r="N370" s="265"/>
      <c r="O370" s="265"/>
      <c r="P370" s="265"/>
      <c r="Q370" s="265"/>
      <c r="R370" s="267"/>
    </row>
    <row r="371" spans="1:21" ht="30" customHeight="1">
      <c r="A371" s="204" t="str">
        <f>IF(ISBLANK(D371)," ",300-COUNTBLANK($D$6:D371))</f>
        <v xml:space="preserve"> </v>
      </c>
      <c r="B371" s="202"/>
      <c r="C371" s="202"/>
      <c r="D371" s="202"/>
      <c r="E371" s="300"/>
      <c r="F371" s="210"/>
      <c r="G371" s="203"/>
      <c r="H371" s="203"/>
      <c r="I371" s="291"/>
      <c r="J371" s="263"/>
      <c r="K371" s="266"/>
      <c r="L371" s="265"/>
      <c r="M371" s="265"/>
      <c r="N371" s="265"/>
      <c r="O371" s="265"/>
      <c r="P371" s="265"/>
      <c r="Q371" s="265"/>
      <c r="R371" s="267"/>
    </row>
    <row r="372" spans="1:21" ht="30" customHeight="1">
      <c r="A372" s="204" t="str">
        <f>IF(ISBLANK(D372)," ",301-COUNTBLANK($D$6:D372))</f>
        <v xml:space="preserve"> </v>
      </c>
      <c r="B372" s="202"/>
      <c r="C372" s="202"/>
      <c r="D372" s="202"/>
      <c r="E372" s="300"/>
      <c r="F372" s="210"/>
      <c r="G372" s="203"/>
      <c r="H372" s="203"/>
      <c r="I372" s="291"/>
      <c r="J372" s="263"/>
      <c r="K372" s="266"/>
      <c r="L372" s="265"/>
      <c r="M372" s="265"/>
      <c r="N372" s="265"/>
      <c r="O372" s="265"/>
      <c r="P372" s="265"/>
      <c r="Q372" s="265"/>
      <c r="R372" s="267"/>
    </row>
    <row r="373" spans="1:21" ht="30" customHeight="1">
      <c r="A373" s="304" t="str">
        <f>IF(ISBLANK(D373)," ",302-COUNTBLANK($D$6:D373))</f>
        <v xml:space="preserve"> </v>
      </c>
      <c r="B373" s="296"/>
      <c r="C373" s="305"/>
      <c r="D373" s="306"/>
      <c r="E373" s="297"/>
      <c r="F373" s="298"/>
      <c r="G373" s="282"/>
      <c r="H373" s="282"/>
      <c r="I373" s="303"/>
      <c r="J373" s="263"/>
      <c r="K373" s="264"/>
      <c r="L373" s="265"/>
      <c r="M373" s="265"/>
      <c r="N373" s="265"/>
      <c r="O373" s="265"/>
      <c r="P373" s="265"/>
      <c r="Q373" s="265"/>
      <c r="R373" s="284"/>
      <c r="S373" s="265"/>
      <c r="T373" s="265"/>
      <c r="U373" s="265"/>
    </row>
    <row r="374" spans="1:21" ht="30" customHeight="1">
      <c r="A374" s="260" t="str">
        <f>IF(ISBLANK(D374)," ",303-COUNTBLANK($D$6:D374))</f>
        <v xml:space="preserve"> </v>
      </c>
      <c r="B374" s="200"/>
      <c r="C374" s="200"/>
      <c r="D374" s="200"/>
      <c r="E374" s="299"/>
      <c r="F374" s="209"/>
      <c r="G374" s="201"/>
      <c r="H374" s="201"/>
      <c r="I374" s="291"/>
      <c r="J374" s="263"/>
      <c r="K374" s="266"/>
      <c r="L374" s="265"/>
      <c r="M374" s="265"/>
      <c r="N374" s="265"/>
      <c r="O374" s="265"/>
      <c r="P374" s="265"/>
      <c r="Q374" s="265"/>
      <c r="R374" s="284"/>
      <c r="S374" s="265"/>
      <c r="T374" s="265"/>
      <c r="U374" s="265"/>
    </row>
    <row r="375" spans="1:21" ht="30" customHeight="1">
      <c r="A375" s="204" t="str">
        <f>IF(ISBLANK(D375)," ",304-COUNTBLANK($D$6:D375))</f>
        <v xml:space="preserve"> </v>
      </c>
      <c r="B375" s="202"/>
      <c r="C375" s="202"/>
      <c r="D375" s="202"/>
      <c r="E375" s="300"/>
      <c r="F375" s="210"/>
      <c r="G375" s="203"/>
      <c r="H375" s="203"/>
      <c r="I375" s="291"/>
      <c r="J375" s="263"/>
      <c r="K375" s="264"/>
      <c r="L375" s="265"/>
      <c r="M375" s="265"/>
      <c r="N375" s="265"/>
      <c r="O375" s="265"/>
      <c r="P375" s="265"/>
      <c r="Q375" s="265"/>
      <c r="R375" s="265"/>
    </row>
    <row r="376" spans="1:21" ht="30" customHeight="1">
      <c r="A376" s="204" t="str">
        <f>IF(ISBLANK(D376)," ",305-COUNTBLANK($D$6:D376))</f>
        <v xml:space="preserve"> </v>
      </c>
      <c r="B376" s="202"/>
      <c r="C376" s="202"/>
      <c r="D376" s="202"/>
      <c r="E376" s="300"/>
      <c r="F376" s="210"/>
      <c r="G376" s="203"/>
      <c r="H376" s="203"/>
      <c r="I376" s="291"/>
      <c r="J376" s="263"/>
      <c r="K376" s="264"/>
      <c r="L376" s="265"/>
      <c r="M376" s="265"/>
      <c r="N376" s="265"/>
      <c r="O376" s="265"/>
      <c r="P376" s="265"/>
      <c r="Q376" s="265"/>
      <c r="R376" s="265"/>
    </row>
    <row r="377" spans="1:21" ht="30" customHeight="1">
      <c r="A377" s="204" t="str">
        <f>IF(ISBLANK(D377)," ",306-COUNTBLANK($D$6:D377))</f>
        <v xml:space="preserve"> </v>
      </c>
      <c r="B377" s="202"/>
      <c r="C377" s="202"/>
      <c r="D377" s="202"/>
      <c r="E377" s="300"/>
      <c r="F377" s="210"/>
      <c r="G377" s="203"/>
      <c r="H377" s="203"/>
      <c r="I377" s="291"/>
      <c r="J377" s="263"/>
      <c r="K377" s="264"/>
      <c r="L377" s="265"/>
      <c r="M377" s="265"/>
      <c r="N377" s="265"/>
      <c r="O377" s="265"/>
      <c r="P377" s="265"/>
      <c r="Q377" s="265"/>
      <c r="R377" s="265"/>
    </row>
    <row r="378" spans="1:21" ht="30" customHeight="1">
      <c r="A378" s="204" t="str">
        <f>IF(ISBLANK(D378)," ",307-COUNTBLANK($D$6:D378))</f>
        <v xml:space="preserve"> </v>
      </c>
      <c r="B378" s="202"/>
      <c r="C378" s="202"/>
      <c r="D378" s="202"/>
      <c r="E378" s="300"/>
      <c r="F378" s="210"/>
      <c r="G378" s="203"/>
      <c r="H378" s="203"/>
      <c r="I378" s="291"/>
      <c r="J378" s="263"/>
      <c r="K378" s="264"/>
      <c r="L378" s="265"/>
      <c r="M378" s="265"/>
      <c r="N378" s="265"/>
      <c r="O378" s="265"/>
      <c r="P378" s="265"/>
      <c r="Q378" s="265"/>
      <c r="R378" s="265"/>
    </row>
    <row r="379" spans="1:21" ht="30" customHeight="1">
      <c r="A379" s="204" t="str">
        <f>IF(ISBLANK(D379)," ",308-COUNTBLANK($D$6:D379))</f>
        <v xml:space="preserve"> </v>
      </c>
      <c r="B379" s="202"/>
      <c r="C379" s="202"/>
      <c r="D379" s="202"/>
      <c r="E379" s="300"/>
      <c r="F379" s="210"/>
      <c r="G379" s="203"/>
      <c r="H379" s="203"/>
      <c r="I379" s="291"/>
      <c r="J379" s="263"/>
      <c r="K379" s="264"/>
      <c r="L379" s="265"/>
      <c r="M379" s="265"/>
      <c r="N379" s="265"/>
      <c r="O379" s="265"/>
      <c r="P379" s="265"/>
      <c r="Q379" s="265"/>
      <c r="R379" s="265"/>
    </row>
    <row r="380" spans="1:21" ht="30" customHeight="1">
      <c r="A380" s="204" t="str">
        <f>IF(ISBLANK(D380)," ",309-COUNTBLANK($D$6:D380))</f>
        <v xml:space="preserve"> </v>
      </c>
      <c r="B380" s="202"/>
      <c r="C380" s="202"/>
      <c r="D380" s="202"/>
      <c r="E380" s="300"/>
      <c r="F380" s="210"/>
      <c r="G380" s="203"/>
      <c r="H380" s="203"/>
      <c r="I380" s="291"/>
      <c r="J380" s="263"/>
      <c r="K380" s="264"/>
      <c r="L380" s="265"/>
      <c r="M380" s="265"/>
      <c r="N380" s="265"/>
      <c r="O380" s="265"/>
      <c r="P380" s="265"/>
      <c r="Q380" s="265"/>
      <c r="R380" s="265"/>
    </row>
    <row r="381" spans="1:21" ht="30" customHeight="1">
      <c r="A381" s="204" t="str">
        <f>IF(ISBLANK(D381)," ",310-COUNTBLANK($D$6:D381))</f>
        <v xml:space="preserve"> </v>
      </c>
      <c r="B381" s="202"/>
      <c r="C381" s="202"/>
      <c r="D381" s="202"/>
      <c r="E381" s="300"/>
      <c r="F381" s="210"/>
      <c r="G381" s="203"/>
      <c r="H381" s="203"/>
      <c r="I381" s="291"/>
      <c r="J381" s="263"/>
      <c r="K381" s="264"/>
      <c r="L381" s="265"/>
      <c r="M381" s="265"/>
      <c r="N381" s="265"/>
      <c r="O381" s="265"/>
      <c r="P381" s="265"/>
      <c r="Q381" s="265"/>
      <c r="R381" s="265"/>
    </row>
    <row r="382" spans="1:21" ht="30" customHeight="1">
      <c r="A382" s="204" t="str">
        <f>IF(ISBLANK(D382)," ",311-COUNTBLANK($D$6:D382))</f>
        <v xml:space="preserve"> </v>
      </c>
      <c r="B382" s="202"/>
      <c r="C382" s="202"/>
      <c r="D382" s="202"/>
      <c r="E382" s="300"/>
      <c r="F382" s="210"/>
      <c r="G382" s="203"/>
      <c r="H382" s="203"/>
      <c r="I382" s="291"/>
      <c r="J382" s="263"/>
      <c r="K382" s="264"/>
      <c r="L382" s="265"/>
      <c r="M382" s="265"/>
      <c r="N382" s="265"/>
      <c r="O382" s="265"/>
      <c r="P382" s="265"/>
      <c r="Q382" s="265"/>
      <c r="R382" s="265"/>
    </row>
    <row r="383" spans="1:21" ht="30" customHeight="1">
      <c r="A383" s="204" t="str">
        <f>IF(ISBLANK(D383)," ",312-COUNTBLANK($D$6:D383))</f>
        <v xml:space="preserve"> </v>
      </c>
      <c r="B383" s="202"/>
      <c r="C383" s="202"/>
      <c r="D383" s="202"/>
      <c r="E383" s="300"/>
      <c r="F383" s="210"/>
      <c r="G383" s="203"/>
      <c r="H383" s="203"/>
      <c r="I383" s="291"/>
      <c r="J383" s="263"/>
      <c r="K383" s="264"/>
      <c r="L383" s="265"/>
      <c r="M383" s="265"/>
      <c r="N383" s="265"/>
      <c r="O383" s="265"/>
      <c r="P383" s="265"/>
      <c r="Q383" s="265"/>
      <c r="R383" s="265"/>
    </row>
    <row r="384" spans="1:21" ht="30" customHeight="1">
      <c r="A384" s="204" t="str">
        <f>IF(ISBLANK(D384)," ",313-COUNTBLANK($D$6:D384))</f>
        <v xml:space="preserve"> </v>
      </c>
      <c r="B384" s="202"/>
      <c r="C384" s="202"/>
      <c r="D384" s="202"/>
      <c r="E384" s="300"/>
      <c r="F384" s="210"/>
      <c r="G384" s="203"/>
      <c r="H384" s="203"/>
      <c r="I384" s="291"/>
      <c r="J384" s="263"/>
      <c r="K384" s="264"/>
      <c r="L384" s="265"/>
      <c r="M384" s="265"/>
      <c r="N384" s="265"/>
      <c r="O384" s="265"/>
      <c r="P384" s="265"/>
      <c r="Q384" s="265"/>
      <c r="R384" s="265"/>
    </row>
    <row r="385" spans="1:21" ht="30" customHeight="1">
      <c r="A385" s="204" t="str">
        <f>IF(ISBLANK(D385)," ",314-COUNTBLANK($D$6:D385))</f>
        <v xml:space="preserve"> </v>
      </c>
      <c r="B385" s="202"/>
      <c r="C385" s="202"/>
      <c r="D385" s="202"/>
      <c r="E385" s="300"/>
      <c r="F385" s="210"/>
      <c r="G385" s="203"/>
      <c r="H385" s="203"/>
      <c r="I385" s="291"/>
      <c r="J385" s="263"/>
      <c r="K385" s="264"/>
      <c r="L385" s="265"/>
      <c r="M385" s="265"/>
      <c r="N385" s="265"/>
      <c r="O385" s="265"/>
      <c r="P385" s="265"/>
      <c r="Q385" s="265"/>
      <c r="R385" s="265"/>
    </row>
    <row r="386" spans="1:21" ht="30" customHeight="1">
      <c r="A386" s="204" t="s">
        <v>52</v>
      </c>
      <c r="B386" s="202"/>
      <c r="C386" s="202"/>
      <c r="D386" s="202"/>
      <c r="E386" s="300"/>
      <c r="F386" s="210">
        <f>SUM(F366:F385)</f>
        <v>0</v>
      </c>
      <c r="G386" s="203"/>
      <c r="H386" s="203"/>
      <c r="I386" s="291"/>
      <c r="J386" s="263"/>
      <c r="K386" s="264"/>
      <c r="L386" s="265"/>
      <c r="M386" s="265"/>
      <c r="N386" s="265"/>
      <c r="O386" s="265"/>
      <c r="P386" s="265"/>
      <c r="Q386" s="265"/>
      <c r="R386" s="265"/>
    </row>
    <row r="387" spans="1:21" ht="30" customHeight="1">
      <c r="A387" s="204" t="str">
        <f>IF(ISBLANK(D387)," ",316-COUNTBLANK($D$6:D387))</f>
        <v xml:space="preserve"> </v>
      </c>
      <c r="B387" s="202"/>
      <c r="C387" s="202"/>
      <c r="D387" s="202"/>
      <c r="E387" s="300"/>
      <c r="F387" s="210"/>
      <c r="G387" s="203"/>
      <c r="H387" s="203"/>
      <c r="I387" s="291"/>
      <c r="J387" s="263"/>
      <c r="K387" s="264"/>
      <c r="L387" s="265"/>
      <c r="M387" s="265"/>
      <c r="N387" s="265"/>
      <c r="O387" s="265"/>
      <c r="P387" s="265"/>
      <c r="Q387" s="265"/>
      <c r="R387" s="265"/>
    </row>
    <row r="388" spans="1:21" ht="30" customHeight="1">
      <c r="A388" s="204" t="str">
        <f>IF(ISBLANK(D388)," ",317-COUNTBLANK($D$6:D388))</f>
        <v xml:space="preserve"> </v>
      </c>
      <c r="B388" s="202"/>
      <c r="C388" s="202"/>
      <c r="D388" s="202"/>
      <c r="E388" s="300"/>
      <c r="F388" s="210"/>
      <c r="G388" s="203"/>
      <c r="H388" s="203"/>
      <c r="I388" s="291"/>
      <c r="J388" s="263"/>
      <c r="K388" s="264"/>
      <c r="L388" s="265"/>
      <c r="M388" s="265"/>
      <c r="N388" s="265"/>
      <c r="O388" s="265"/>
      <c r="P388" s="265"/>
      <c r="Q388" s="265"/>
      <c r="R388" s="265"/>
    </row>
    <row r="389" spans="1:21" ht="30" customHeight="1">
      <c r="A389" s="204" t="str">
        <f>IF(ISBLANK(D389)," ",318-COUNTBLANK($D$6:D389))</f>
        <v xml:space="preserve"> </v>
      </c>
      <c r="B389" s="202"/>
      <c r="C389" s="202"/>
      <c r="D389" s="202"/>
      <c r="E389" s="300"/>
      <c r="F389" s="210"/>
      <c r="G389" s="203"/>
      <c r="H389" s="203"/>
      <c r="I389" s="291"/>
      <c r="J389" s="263"/>
      <c r="K389" s="264"/>
      <c r="L389" s="265"/>
      <c r="M389" s="265"/>
      <c r="N389" s="265"/>
      <c r="O389" s="265"/>
      <c r="P389" s="265"/>
      <c r="Q389" s="265"/>
      <c r="R389" s="265"/>
    </row>
    <row r="390" spans="1:21" ht="30" customHeight="1">
      <c r="A390" s="204" t="str">
        <f>IF(ISBLANK(D390)," ",319-COUNTBLANK($D$6:D390))</f>
        <v xml:space="preserve"> </v>
      </c>
      <c r="B390" s="202"/>
      <c r="C390" s="202"/>
      <c r="D390" s="202"/>
      <c r="E390" s="300"/>
      <c r="F390" s="210"/>
      <c r="G390" s="203"/>
      <c r="H390" s="203"/>
      <c r="I390" s="291"/>
      <c r="J390" s="263"/>
      <c r="K390" s="266"/>
      <c r="L390" s="265"/>
      <c r="M390" s="265"/>
      <c r="N390" s="265"/>
      <c r="O390" s="265"/>
      <c r="P390" s="265"/>
      <c r="Q390" s="265"/>
      <c r="R390" s="267"/>
    </row>
    <row r="391" spans="1:21" ht="30" customHeight="1">
      <c r="A391" s="204" t="str">
        <f>IF(ISBLANK(D391)," ",320-COUNTBLANK($D$6:D391))</f>
        <v xml:space="preserve"> </v>
      </c>
      <c r="B391" s="202"/>
      <c r="C391" s="202"/>
      <c r="D391" s="202"/>
      <c r="E391" s="300"/>
      <c r="F391" s="210"/>
      <c r="G391" s="203"/>
      <c r="H391" s="203"/>
      <c r="I391" s="291"/>
      <c r="J391" s="263"/>
      <c r="K391" s="266"/>
      <c r="L391" s="265"/>
      <c r="M391" s="265"/>
      <c r="N391" s="265"/>
      <c r="O391" s="265"/>
      <c r="P391" s="265"/>
      <c r="Q391" s="265"/>
      <c r="R391" s="267"/>
    </row>
    <row r="392" spans="1:21" ht="30" customHeight="1">
      <c r="A392" s="204" t="str">
        <f>IF(ISBLANK(D392)," ",321-COUNTBLANK($D$6:D392))</f>
        <v xml:space="preserve"> </v>
      </c>
      <c r="B392" s="202"/>
      <c r="C392" s="202"/>
      <c r="D392" s="202"/>
      <c r="E392" s="300"/>
      <c r="F392" s="210"/>
      <c r="G392" s="203"/>
      <c r="H392" s="203"/>
      <c r="I392" s="291"/>
      <c r="J392" s="263"/>
      <c r="K392" s="266"/>
      <c r="L392" s="265"/>
      <c r="M392" s="265"/>
      <c r="N392" s="265"/>
      <c r="O392" s="265"/>
      <c r="P392" s="265"/>
      <c r="Q392" s="265"/>
      <c r="R392" s="267"/>
    </row>
    <row r="393" spans="1:21" ht="30" customHeight="1">
      <c r="A393" s="204" t="str">
        <f>IF(ISBLANK(D393)," ",322-COUNTBLANK($D$6:D393))</f>
        <v xml:space="preserve"> </v>
      </c>
      <c r="B393" s="202"/>
      <c r="C393" s="202"/>
      <c r="D393" s="202"/>
      <c r="E393" s="300"/>
      <c r="F393" s="210"/>
      <c r="G393" s="203"/>
      <c r="H393" s="203"/>
      <c r="I393" s="291"/>
      <c r="J393" s="263"/>
      <c r="K393" s="266"/>
      <c r="L393" s="265"/>
      <c r="M393" s="265"/>
      <c r="N393" s="265"/>
      <c r="O393" s="265"/>
      <c r="P393" s="265"/>
      <c r="Q393" s="265"/>
      <c r="R393" s="267"/>
    </row>
    <row r="394" spans="1:21" ht="30" customHeight="1">
      <c r="A394" s="304" t="str">
        <f>IF(ISBLANK(D394)," ",323-COUNTBLANK($D$6:D394))</f>
        <v xml:space="preserve"> </v>
      </c>
      <c r="B394" s="296"/>
      <c r="C394" s="305"/>
      <c r="D394" s="306"/>
      <c r="E394" s="297"/>
      <c r="F394" s="298"/>
      <c r="G394" s="282"/>
      <c r="H394" s="282"/>
      <c r="I394" s="303"/>
      <c r="J394" s="263"/>
      <c r="K394" s="264"/>
      <c r="L394" s="265"/>
      <c r="M394" s="265"/>
      <c r="N394" s="265"/>
      <c r="O394" s="265"/>
      <c r="P394" s="265"/>
      <c r="Q394" s="265"/>
      <c r="R394" s="284"/>
      <c r="S394" s="265"/>
      <c r="T394" s="265"/>
      <c r="U394" s="265"/>
    </row>
    <row r="395" spans="1:21" ht="30" customHeight="1">
      <c r="A395" s="260" t="str">
        <f>IF(ISBLANK(D395)," ",324-COUNTBLANK($D$6:D395))</f>
        <v xml:space="preserve"> </v>
      </c>
      <c r="B395" s="200"/>
      <c r="C395" s="200"/>
      <c r="D395" s="200"/>
      <c r="E395" s="299"/>
      <c r="F395" s="209"/>
      <c r="G395" s="201"/>
      <c r="H395" s="201"/>
      <c r="I395" s="291"/>
      <c r="J395" s="263"/>
      <c r="K395" s="266"/>
      <c r="L395" s="265"/>
      <c r="M395" s="265"/>
      <c r="N395" s="265"/>
      <c r="O395" s="265"/>
      <c r="P395" s="265"/>
      <c r="Q395" s="265"/>
      <c r="R395" s="284"/>
      <c r="S395" s="265"/>
      <c r="T395" s="265"/>
      <c r="U395" s="265"/>
    </row>
    <row r="396" spans="1:21" ht="30" customHeight="1">
      <c r="A396" s="204" t="str">
        <f>IF(ISBLANK(D396)," ",325-COUNTBLANK($D$6:D396))</f>
        <v xml:space="preserve"> </v>
      </c>
      <c r="B396" s="202"/>
      <c r="C396" s="202"/>
      <c r="D396" s="202"/>
      <c r="E396" s="300"/>
      <c r="F396" s="210"/>
      <c r="G396" s="203"/>
      <c r="H396" s="203"/>
      <c r="I396" s="291"/>
      <c r="J396" s="263"/>
      <c r="K396" s="264"/>
      <c r="L396" s="265"/>
      <c r="M396" s="265"/>
      <c r="N396" s="265"/>
      <c r="O396" s="265"/>
      <c r="P396" s="265"/>
      <c r="Q396" s="265"/>
      <c r="R396" s="265"/>
    </row>
    <row r="397" spans="1:21" ht="30" customHeight="1">
      <c r="A397" s="204" t="str">
        <f>IF(ISBLANK(D397)," ",326-COUNTBLANK($D$6:D397))</f>
        <v xml:space="preserve"> </v>
      </c>
      <c r="B397" s="202"/>
      <c r="C397" s="202"/>
      <c r="D397" s="202"/>
      <c r="E397" s="300"/>
      <c r="F397" s="210"/>
      <c r="G397" s="203"/>
      <c r="H397" s="203"/>
      <c r="I397" s="291"/>
      <c r="J397" s="263"/>
      <c r="K397" s="264"/>
      <c r="L397" s="265"/>
      <c r="M397" s="265"/>
      <c r="N397" s="265"/>
      <c r="O397" s="265"/>
      <c r="P397" s="265"/>
      <c r="Q397" s="265"/>
      <c r="R397" s="265"/>
    </row>
    <row r="398" spans="1:21" ht="30" customHeight="1">
      <c r="A398" s="204" t="str">
        <f>IF(ISBLANK(D398)," ",327-COUNTBLANK($D$6:D398))</f>
        <v xml:space="preserve"> </v>
      </c>
      <c r="B398" s="202"/>
      <c r="C398" s="202"/>
      <c r="D398" s="202"/>
      <c r="E398" s="300"/>
      <c r="F398" s="210"/>
      <c r="G398" s="203"/>
      <c r="H398" s="203"/>
      <c r="I398" s="291"/>
      <c r="J398" s="263"/>
      <c r="K398" s="264"/>
      <c r="L398" s="265"/>
      <c r="M398" s="265"/>
      <c r="N398" s="265"/>
      <c r="O398" s="265"/>
      <c r="P398" s="265"/>
      <c r="Q398" s="265"/>
      <c r="R398" s="265"/>
    </row>
    <row r="399" spans="1:21" ht="30" customHeight="1">
      <c r="A399" s="204" t="str">
        <f>IF(ISBLANK(D399)," ",328-COUNTBLANK($D$6:D399))</f>
        <v xml:space="preserve"> </v>
      </c>
      <c r="B399" s="202"/>
      <c r="C399" s="202"/>
      <c r="D399" s="202"/>
      <c r="E399" s="300"/>
      <c r="F399" s="210"/>
      <c r="G399" s="203"/>
      <c r="H399" s="203"/>
      <c r="I399" s="291"/>
      <c r="J399" s="263"/>
      <c r="K399" s="264"/>
      <c r="L399" s="265"/>
      <c r="M399" s="265"/>
      <c r="N399" s="265"/>
      <c r="O399" s="265"/>
      <c r="P399" s="265"/>
      <c r="Q399" s="265"/>
      <c r="R399" s="265"/>
    </row>
    <row r="400" spans="1:21" ht="30" customHeight="1">
      <c r="A400" s="204" t="str">
        <f>IF(ISBLANK(D400)," ",329-COUNTBLANK($D$6:D400))</f>
        <v xml:space="preserve"> </v>
      </c>
      <c r="B400" s="202"/>
      <c r="C400" s="202"/>
      <c r="D400" s="202"/>
      <c r="E400" s="300"/>
      <c r="F400" s="210"/>
      <c r="G400" s="203"/>
      <c r="H400" s="203"/>
      <c r="I400" s="291"/>
      <c r="J400" s="263"/>
      <c r="K400" s="264"/>
      <c r="L400" s="265"/>
      <c r="M400" s="265"/>
      <c r="N400" s="265"/>
      <c r="O400" s="265"/>
      <c r="P400" s="265"/>
      <c r="Q400" s="265"/>
      <c r="R400" s="265"/>
    </row>
    <row r="401" spans="1:21" ht="30" customHeight="1">
      <c r="A401" s="204" t="str">
        <f>IF(ISBLANK(D401)," ",330-COUNTBLANK($D$6:D401))</f>
        <v xml:space="preserve"> </v>
      </c>
      <c r="B401" s="202"/>
      <c r="C401" s="202"/>
      <c r="D401" s="202"/>
      <c r="E401" s="300"/>
      <c r="F401" s="210"/>
      <c r="G401" s="203"/>
      <c r="H401" s="203"/>
      <c r="I401" s="291"/>
      <c r="J401" s="263"/>
      <c r="K401" s="264"/>
      <c r="L401" s="265"/>
      <c r="M401" s="265"/>
      <c r="N401" s="265"/>
      <c r="O401" s="265"/>
      <c r="P401" s="265"/>
      <c r="Q401" s="265"/>
      <c r="R401" s="265"/>
    </row>
    <row r="402" spans="1:21" ht="30" customHeight="1">
      <c r="A402" s="204" t="str">
        <f>IF(ISBLANK(D402)," ",331-COUNTBLANK($D$6:D402))</f>
        <v xml:space="preserve"> </v>
      </c>
      <c r="B402" s="202"/>
      <c r="C402" s="202"/>
      <c r="D402" s="202"/>
      <c r="E402" s="300"/>
      <c r="F402" s="210"/>
      <c r="G402" s="203"/>
      <c r="H402" s="203"/>
      <c r="I402" s="291"/>
      <c r="J402" s="263"/>
      <c r="K402" s="264"/>
      <c r="L402" s="265"/>
      <c r="M402" s="265"/>
      <c r="N402" s="265"/>
      <c r="O402" s="265"/>
      <c r="P402" s="265"/>
      <c r="Q402" s="265"/>
      <c r="R402" s="265"/>
    </row>
    <row r="403" spans="1:21" ht="30" customHeight="1">
      <c r="A403" s="204" t="str">
        <f>IF(ISBLANK(D403)," ",332-COUNTBLANK($D$6:D403))</f>
        <v xml:space="preserve"> </v>
      </c>
      <c r="B403" s="202"/>
      <c r="C403" s="202"/>
      <c r="D403" s="202"/>
      <c r="E403" s="300"/>
      <c r="F403" s="210"/>
      <c r="G403" s="203"/>
      <c r="H403" s="203"/>
      <c r="I403" s="291"/>
      <c r="J403" s="263"/>
      <c r="K403" s="264"/>
      <c r="L403" s="265"/>
      <c r="M403" s="265"/>
      <c r="N403" s="265"/>
      <c r="O403" s="265"/>
      <c r="P403" s="265"/>
      <c r="Q403" s="265"/>
      <c r="R403" s="265"/>
    </row>
    <row r="404" spans="1:21" ht="30" customHeight="1">
      <c r="A404" s="204" t="str">
        <f>IF(ISBLANK(D404)," ",333-COUNTBLANK($D$6:D404))</f>
        <v xml:space="preserve"> </v>
      </c>
      <c r="B404" s="202"/>
      <c r="C404" s="202"/>
      <c r="D404" s="202"/>
      <c r="E404" s="300"/>
      <c r="F404" s="210"/>
      <c r="G404" s="203"/>
      <c r="H404" s="203"/>
      <c r="I404" s="291"/>
      <c r="J404" s="263"/>
      <c r="K404" s="264"/>
      <c r="L404" s="265"/>
      <c r="M404" s="265"/>
      <c r="N404" s="265"/>
      <c r="O404" s="265"/>
      <c r="P404" s="265"/>
      <c r="Q404" s="265"/>
      <c r="R404" s="265"/>
    </row>
    <row r="405" spans="1:21" ht="30" customHeight="1">
      <c r="A405" s="204" t="str">
        <f>IF(ISBLANK(D405)," ",334-COUNTBLANK($D$6:D405))</f>
        <v xml:space="preserve"> </v>
      </c>
      <c r="B405" s="202"/>
      <c r="C405" s="202"/>
      <c r="D405" s="202"/>
      <c r="E405" s="300"/>
      <c r="F405" s="210"/>
      <c r="G405" s="203"/>
      <c r="H405" s="203"/>
      <c r="I405" s="291"/>
      <c r="J405" s="263"/>
      <c r="K405" s="264"/>
      <c r="L405" s="265"/>
      <c r="M405" s="265"/>
      <c r="N405" s="265"/>
      <c r="O405" s="265"/>
      <c r="P405" s="265"/>
      <c r="Q405" s="265"/>
      <c r="R405" s="265"/>
    </row>
    <row r="406" spans="1:21" ht="30" customHeight="1">
      <c r="A406" s="204" t="str">
        <f>IF(ISBLANK(D406)," ",335-COUNTBLANK($D$6:D406))</f>
        <v xml:space="preserve"> </v>
      </c>
      <c r="B406" s="202"/>
      <c r="C406" s="202"/>
      <c r="D406" s="202"/>
      <c r="E406" s="300"/>
      <c r="F406" s="210"/>
      <c r="G406" s="203"/>
      <c r="H406" s="203"/>
      <c r="I406" s="291"/>
      <c r="J406" s="263"/>
      <c r="K406" s="264"/>
      <c r="L406" s="265"/>
      <c r="M406" s="265"/>
      <c r="N406" s="265"/>
      <c r="O406" s="265"/>
      <c r="P406" s="265"/>
      <c r="Q406" s="265"/>
      <c r="R406" s="265"/>
    </row>
    <row r="407" spans="1:21" ht="30" customHeight="1">
      <c r="A407" s="204" t="s">
        <v>52</v>
      </c>
      <c r="B407" s="202"/>
      <c r="C407" s="202"/>
      <c r="D407" s="202"/>
      <c r="E407" s="300"/>
      <c r="F407" s="210">
        <f>SUM(F387:F406)</f>
        <v>0</v>
      </c>
      <c r="G407" s="203"/>
      <c r="H407" s="203"/>
      <c r="I407" s="291"/>
      <c r="J407" s="263"/>
      <c r="K407" s="264"/>
      <c r="L407" s="265"/>
      <c r="M407" s="265"/>
      <c r="N407" s="265"/>
      <c r="O407" s="265"/>
      <c r="P407" s="265"/>
      <c r="Q407" s="265"/>
      <c r="R407" s="265"/>
    </row>
    <row r="408" spans="1:21" ht="30" customHeight="1">
      <c r="A408" s="204" t="str">
        <f>IF(ISBLANK(D408)," ",337-COUNTBLANK($D$6:D408))</f>
        <v xml:space="preserve"> </v>
      </c>
      <c r="B408" s="202"/>
      <c r="C408" s="202"/>
      <c r="D408" s="202"/>
      <c r="E408" s="300"/>
      <c r="F408" s="210"/>
      <c r="G408" s="203"/>
      <c r="H408" s="203"/>
      <c r="I408" s="291"/>
      <c r="J408" s="263"/>
      <c r="K408" s="264"/>
      <c r="L408" s="265"/>
      <c r="M408" s="265"/>
      <c r="N408" s="265"/>
      <c r="O408" s="265"/>
      <c r="P408" s="265"/>
      <c r="Q408" s="265"/>
      <c r="R408" s="265"/>
    </row>
    <row r="409" spans="1:21" ht="30" customHeight="1">
      <c r="A409" s="204" t="str">
        <f>IF(ISBLANK(D409)," ",338-COUNTBLANK($D$6:D409))</f>
        <v xml:space="preserve"> </v>
      </c>
      <c r="B409" s="202"/>
      <c r="C409" s="202"/>
      <c r="D409" s="202"/>
      <c r="E409" s="300"/>
      <c r="F409" s="210"/>
      <c r="G409" s="203"/>
      <c r="H409" s="203"/>
      <c r="I409" s="291"/>
      <c r="J409" s="263"/>
      <c r="K409" s="264"/>
      <c r="L409" s="265"/>
      <c r="M409" s="265"/>
      <c r="N409" s="265"/>
      <c r="O409" s="265"/>
      <c r="P409" s="265"/>
      <c r="Q409" s="265"/>
      <c r="R409" s="265"/>
    </row>
    <row r="410" spans="1:21" ht="30" customHeight="1">
      <c r="A410" s="204" t="str">
        <f>IF(ISBLANK(D410)," ",339-COUNTBLANK($D$6:D410))</f>
        <v xml:space="preserve"> </v>
      </c>
      <c r="B410" s="202"/>
      <c r="C410" s="202"/>
      <c r="D410" s="202"/>
      <c r="E410" s="300"/>
      <c r="F410" s="210"/>
      <c r="G410" s="203"/>
      <c r="H410" s="203"/>
      <c r="I410" s="291"/>
      <c r="J410" s="263"/>
      <c r="K410" s="264"/>
      <c r="L410" s="265"/>
      <c r="M410" s="265"/>
      <c r="N410" s="265"/>
      <c r="O410" s="265"/>
      <c r="P410" s="265"/>
      <c r="Q410" s="265"/>
      <c r="R410" s="265"/>
    </row>
    <row r="411" spans="1:21" ht="30" customHeight="1">
      <c r="A411" s="204" t="str">
        <f>IF(ISBLANK(D411)," ",340-COUNTBLANK($D$6:D411))</f>
        <v xml:space="preserve"> </v>
      </c>
      <c r="B411" s="202"/>
      <c r="C411" s="202"/>
      <c r="D411" s="202"/>
      <c r="E411" s="300"/>
      <c r="F411" s="210"/>
      <c r="G411" s="203"/>
      <c r="H411" s="203"/>
      <c r="I411" s="291"/>
      <c r="J411" s="263"/>
      <c r="K411" s="266"/>
      <c r="L411" s="265"/>
      <c r="M411" s="265"/>
      <c r="N411" s="265"/>
      <c r="O411" s="265"/>
      <c r="P411" s="265"/>
      <c r="Q411" s="265"/>
      <c r="R411" s="267"/>
    </row>
    <row r="412" spans="1:21" ht="30" customHeight="1">
      <c r="A412" s="204" t="str">
        <f>IF(ISBLANK(D412)," ",341-COUNTBLANK($D$6:D412))</f>
        <v xml:space="preserve"> </v>
      </c>
      <c r="B412" s="202"/>
      <c r="C412" s="202"/>
      <c r="D412" s="202"/>
      <c r="E412" s="300"/>
      <c r="F412" s="210"/>
      <c r="G412" s="203"/>
      <c r="H412" s="203"/>
      <c r="I412" s="291"/>
      <c r="J412" s="263"/>
      <c r="K412" s="266"/>
      <c r="L412" s="265"/>
      <c r="M412" s="265"/>
      <c r="N412" s="265"/>
      <c r="O412" s="265"/>
      <c r="P412" s="265"/>
      <c r="Q412" s="265"/>
      <c r="R412" s="267"/>
    </row>
    <row r="413" spans="1:21" ht="30" customHeight="1">
      <c r="A413" s="204" t="str">
        <f>IF(ISBLANK(D413)," ",342-COUNTBLANK($D$6:D413))</f>
        <v xml:space="preserve"> </v>
      </c>
      <c r="B413" s="202"/>
      <c r="C413" s="202"/>
      <c r="D413" s="202"/>
      <c r="E413" s="300"/>
      <c r="F413" s="210"/>
      <c r="G413" s="203"/>
      <c r="H413" s="203"/>
      <c r="I413" s="291"/>
      <c r="J413" s="263"/>
      <c r="K413" s="266"/>
      <c r="L413" s="265"/>
      <c r="M413" s="265"/>
      <c r="N413" s="265"/>
      <c r="O413" s="265"/>
      <c r="P413" s="265"/>
      <c r="Q413" s="265"/>
      <c r="R413" s="267"/>
    </row>
    <row r="414" spans="1:21" ht="30" customHeight="1">
      <c r="A414" s="204" t="str">
        <f>IF(ISBLANK(D414)," ",343-COUNTBLANK($D$6:D414))</f>
        <v xml:space="preserve"> </v>
      </c>
      <c r="B414" s="202"/>
      <c r="C414" s="202"/>
      <c r="D414" s="202"/>
      <c r="E414" s="300"/>
      <c r="F414" s="210"/>
      <c r="G414" s="203"/>
      <c r="H414" s="203"/>
      <c r="I414" s="291"/>
      <c r="J414" s="263"/>
      <c r="K414" s="266"/>
      <c r="L414" s="265"/>
      <c r="M414" s="265"/>
      <c r="N414" s="265"/>
      <c r="O414" s="265"/>
      <c r="P414" s="265"/>
      <c r="Q414" s="265"/>
      <c r="R414" s="267"/>
    </row>
    <row r="415" spans="1:21" ht="30" customHeight="1">
      <c r="A415" s="304" t="str">
        <f>IF(ISBLANK(D415)," ",344-COUNTBLANK($D$6:D415))</f>
        <v xml:space="preserve"> </v>
      </c>
      <c r="B415" s="296"/>
      <c r="C415" s="305"/>
      <c r="D415" s="306"/>
      <c r="E415" s="297"/>
      <c r="F415" s="298"/>
      <c r="G415" s="282"/>
      <c r="H415" s="282"/>
      <c r="I415" s="303"/>
      <c r="J415" s="263"/>
      <c r="K415" s="264"/>
      <c r="L415" s="265"/>
      <c r="M415" s="265"/>
      <c r="N415" s="265"/>
      <c r="O415" s="265"/>
      <c r="P415" s="265"/>
      <c r="Q415" s="265"/>
      <c r="R415" s="284"/>
      <c r="S415" s="265"/>
      <c r="T415" s="265"/>
      <c r="U415" s="265"/>
    </row>
    <row r="416" spans="1:21" ht="30" customHeight="1">
      <c r="A416" s="260" t="str">
        <f>IF(ISBLANK(D416)," ",345-COUNTBLANK($D$6:D416))</f>
        <v xml:space="preserve"> </v>
      </c>
      <c r="B416" s="200"/>
      <c r="C416" s="200"/>
      <c r="D416" s="200"/>
      <c r="E416" s="299"/>
      <c r="F416" s="209"/>
      <c r="G416" s="201"/>
      <c r="H416" s="201"/>
      <c r="I416" s="291"/>
      <c r="J416" s="263"/>
      <c r="K416" s="266"/>
      <c r="L416" s="265"/>
      <c r="M416" s="265"/>
      <c r="N416" s="265"/>
      <c r="O416" s="265"/>
      <c r="P416" s="265"/>
      <c r="Q416" s="265"/>
      <c r="R416" s="284"/>
      <c r="S416" s="265"/>
      <c r="T416" s="265"/>
      <c r="U416" s="265"/>
    </row>
    <row r="417" spans="1:18" ht="30" customHeight="1">
      <c r="A417" s="204" t="str">
        <f>IF(ISBLANK(D417)," ",346-COUNTBLANK($D$6:D417))</f>
        <v xml:space="preserve"> </v>
      </c>
      <c r="B417" s="202"/>
      <c r="C417" s="202"/>
      <c r="D417" s="202"/>
      <c r="E417" s="300"/>
      <c r="F417" s="210"/>
      <c r="G417" s="203"/>
      <c r="H417" s="203"/>
      <c r="I417" s="291"/>
      <c r="J417" s="263"/>
      <c r="K417" s="264"/>
      <c r="L417" s="265"/>
      <c r="M417" s="265"/>
      <c r="N417" s="265"/>
      <c r="O417" s="265"/>
      <c r="P417" s="265"/>
      <c r="Q417" s="265"/>
      <c r="R417" s="265"/>
    </row>
    <row r="418" spans="1:18" ht="30" customHeight="1">
      <c r="A418" s="204" t="str">
        <f>IF(ISBLANK(D418)," ",347-COUNTBLANK($D$6:D418))</f>
        <v xml:space="preserve"> </v>
      </c>
      <c r="B418" s="202"/>
      <c r="C418" s="202"/>
      <c r="D418" s="202"/>
      <c r="E418" s="300"/>
      <c r="F418" s="210"/>
      <c r="G418" s="203"/>
      <c r="H418" s="203"/>
      <c r="I418" s="291"/>
      <c r="J418" s="263"/>
      <c r="K418" s="264"/>
      <c r="L418" s="265"/>
      <c r="M418" s="265"/>
      <c r="N418" s="265"/>
      <c r="O418" s="265"/>
      <c r="P418" s="265"/>
      <c r="Q418" s="265"/>
      <c r="R418" s="265"/>
    </row>
    <row r="419" spans="1:18" ht="30" customHeight="1">
      <c r="A419" s="204" t="str">
        <f>IF(ISBLANK(D419)," ",348-COUNTBLANK($D$6:D419))</f>
        <v xml:space="preserve"> </v>
      </c>
      <c r="B419" s="202"/>
      <c r="C419" s="202"/>
      <c r="D419" s="202"/>
      <c r="E419" s="300"/>
      <c r="F419" s="210"/>
      <c r="G419" s="203"/>
      <c r="H419" s="203"/>
      <c r="I419" s="291"/>
      <c r="J419" s="263"/>
      <c r="K419" s="264"/>
      <c r="L419" s="265"/>
      <c r="M419" s="265"/>
      <c r="N419" s="265"/>
      <c r="O419" s="265"/>
      <c r="P419" s="265"/>
      <c r="Q419" s="265"/>
      <c r="R419" s="265"/>
    </row>
    <row r="420" spans="1:18" ht="30" customHeight="1">
      <c r="A420" s="204" t="str">
        <f>IF(ISBLANK(D420)," ",349-COUNTBLANK($D$6:D420))</f>
        <v xml:space="preserve"> </v>
      </c>
      <c r="B420" s="202"/>
      <c r="C420" s="202"/>
      <c r="D420" s="202"/>
      <c r="E420" s="300"/>
      <c r="F420" s="210"/>
      <c r="G420" s="203"/>
      <c r="H420" s="203"/>
      <c r="I420" s="291"/>
      <c r="J420" s="263"/>
      <c r="K420" s="264"/>
      <c r="L420" s="265"/>
      <c r="M420" s="265"/>
      <c r="N420" s="265"/>
      <c r="O420" s="265"/>
      <c r="P420" s="265"/>
      <c r="Q420" s="265"/>
      <c r="R420" s="265"/>
    </row>
    <row r="421" spans="1:18" ht="30" customHeight="1">
      <c r="A421" s="204" t="str">
        <f>IF(ISBLANK(D421)," ",350-COUNTBLANK($D$6:D421))</f>
        <v xml:space="preserve"> </v>
      </c>
      <c r="B421" s="202"/>
      <c r="C421" s="202"/>
      <c r="D421" s="202"/>
      <c r="E421" s="300"/>
      <c r="F421" s="210"/>
      <c r="G421" s="203"/>
      <c r="H421" s="203"/>
      <c r="I421" s="291"/>
      <c r="J421" s="263"/>
      <c r="K421" s="264"/>
      <c r="L421" s="265"/>
      <c r="M421" s="265"/>
      <c r="N421" s="265"/>
      <c r="O421" s="265"/>
      <c r="P421" s="265"/>
      <c r="Q421" s="265"/>
      <c r="R421" s="265"/>
    </row>
    <row r="422" spans="1:18" ht="30" customHeight="1">
      <c r="A422" s="204" t="str">
        <f>IF(ISBLANK(D422)," ",351-COUNTBLANK($D$6:D422))</f>
        <v xml:space="preserve"> </v>
      </c>
      <c r="B422" s="202"/>
      <c r="C422" s="202"/>
      <c r="D422" s="202"/>
      <c r="E422" s="300"/>
      <c r="F422" s="210"/>
      <c r="G422" s="203"/>
      <c r="H422" s="203"/>
      <c r="I422" s="291"/>
      <c r="J422" s="263"/>
      <c r="K422" s="264"/>
      <c r="L422" s="265"/>
      <c r="M422" s="265"/>
      <c r="N422" s="265"/>
      <c r="O422" s="265"/>
      <c r="P422" s="265"/>
      <c r="Q422" s="265"/>
      <c r="R422" s="265"/>
    </row>
    <row r="423" spans="1:18" ht="30" customHeight="1">
      <c r="A423" s="204" t="str">
        <f>IF(ISBLANK(D423)," ",352-COUNTBLANK($D$6:D423))</f>
        <v xml:space="preserve"> </v>
      </c>
      <c r="B423" s="202"/>
      <c r="C423" s="202"/>
      <c r="D423" s="202"/>
      <c r="E423" s="300"/>
      <c r="F423" s="210"/>
      <c r="G423" s="203"/>
      <c r="H423" s="203"/>
      <c r="I423" s="291"/>
      <c r="J423" s="263"/>
      <c r="K423" s="264"/>
      <c r="L423" s="265"/>
      <c r="M423" s="265"/>
      <c r="N423" s="265"/>
      <c r="O423" s="265"/>
      <c r="P423" s="265"/>
      <c r="Q423" s="265"/>
      <c r="R423" s="265"/>
    </row>
    <row r="424" spans="1:18" ht="30" customHeight="1">
      <c r="A424" s="204" t="str">
        <f>IF(ISBLANK(D424)," ",353-COUNTBLANK($D$6:D424))</f>
        <v xml:space="preserve"> </v>
      </c>
      <c r="B424" s="202"/>
      <c r="C424" s="202"/>
      <c r="D424" s="202"/>
      <c r="E424" s="300"/>
      <c r="F424" s="210"/>
      <c r="G424" s="203"/>
      <c r="H424" s="203"/>
      <c r="I424" s="291"/>
      <c r="J424" s="263"/>
      <c r="K424" s="264"/>
      <c r="L424" s="265"/>
      <c r="M424" s="265"/>
      <c r="N424" s="265"/>
      <c r="O424" s="265"/>
      <c r="P424" s="265"/>
      <c r="Q424" s="265"/>
      <c r="R424" s="265"/>
    </row>
    <row r="425" spans="1:18" ht="30" customHeight="1">
      <c r="A425" s="204" t="str">
        <f>IF(ISBLANK(D425)," ",354-COUNTBLANK($D$6:D425))</f>
        <v xml:space="preserve"> </v>
      </c>
      <c r="B425" s="202"/>
      <c r="C425" s="202"/>
      <c r="D425" s="202"/>
      <c r="E425" s="300"/>
      <c r="F425" s="210"/>
      <c r="G425" s="203"/>
      <c r="H425" s="203"/>
      <c r="I425" s="291"/>
      <c r="J425" s="263"/>
      <c r="K425" s="264"/>
      <c r="L425" s="265"/>
      <c r="M425" s="265"/>
      <c r="N425" s="265"/>
      <c r="O425" s="265"/>
      <c r="P425" s="265"/>
      <c r="Q425" s="265"/>
      <c r="R425" s="265"/>
    </row>
    <row r="426" spans="1:18" ht="30" customHeight="1">
      <c r="A426" s="204" t="str">
        <f>IF(ISBLANK(D426)," ",355-COUNTBLANK($D$6:D426))</f>
        <v xml:space="preserve"> </v>
      </c>
      <c r="B426" s="202"/>
      <c r="C426" s="202"/>
      <c r="D426" s="202"/>
      <c r="E426" s="300"/>
      <c r="F426" s="210"/>
      <c r="G426" s="203"/>
      <c r="H426" s="203"/>
      <c r="I426" s="291"/>
      <c r="J426" s="263"/>
      <c r="K426" s="264"/>
      <c r="L426" s="265"/>
      <c r="M426" s="265"/>
      <c r="N426" s="265"/>
      <c r="O426" s="265"/>
      <c r="P426" s="265"/>
      <c r="Q426" s="265"/>
      <c r="R426" s="265"/>
    </row>
    <row r="427" spans="1:18" ht="30" customHeight="1">
      <c r="A427" s="204" t="str">
        <f>IF(ISBLANK(D427)," ",356-COUNTBLANK($D$6:D427))</f>
        <v xml:space="preserve"> </v>
      </c>
      <c r="B427" s="202"/>
      <c r="C427" s="202"/>
      <c r="D427" s="202"/>
      <c r="E427" s="300"/>
      <c r="F427" s="210"/>
      <c r="G427" s="203"/>
      <c r="H427" s="203"/>
      <c r="I427" s="291"/>
      <c r="J427" s="263"/>
      <c r="K427" s="264"/>
      <c r="L427" s="265"/>
      <c r="M427" s="265"/>
      <c r="N427" s="265"/>
      <c r="O427" s="265"/>
      <c r="P427" s="265"/>
      <c r="Q427" s="265"/>
      <c r="R427" s="265"/>
    </row>
    <row r="428" spans="1:18" ht="30" customHeight="1">
      <c r="A428" s="204" t="s">
        <v>52</v>
      </c>
      <c r="B428" s="202"/>
      <c r="C428" s="202"/>
      <c r="D428" s="202"/>
      <c r="E428" s="300"/>
      <c r="F428" s="210">
        <f>SUM(F408:F427)</f>
        <v>0</v>
      </c>
      <c r="G428" s="203"/>
      <c r="H428" s="203"/>
      <c r="I428" s="291"/>
      <c r="J428" s="263"/>
      <c r="K428" s="264"/>
      <c r="L428" s="265"/>
      <c r="M428" s="265"/>
      <c r="N428" s="265"/>
      <c r="O428" s="265"/>
      <c r="P428" s="265"/>
      <c r="Q428" s="265"/>
      <c r="R428" s="265"/>
    </row>
    <row r="429" spans="1:18" ht="30" customHeight="1">
      <c r="A429" s="204" t="str">
        <f>IF(ISBLANK(D429)," ",358-COUNTBLANK($D$6:D429))</f>
        <v xml:space="preserve"> </v>
      </c>
      <c r="B429" s="202"/>
      <c r="C429" s="202"/>
      <c r="D429" s="202"/>
      <c r="E429" s="300"/>
      <c r="F429" s="210"/>
      <c r="G429" s="203"/>
      <c r="H429" s="203"/>
      <c r="I429" s="291"/>
      <c r="J429" s="263"/>
      <c r="K429" s="264"/>
      <c r="L429" s="265"/>
      <c r="M429" s="265"/>
      <c r="N429" s="265"/>
      <c r="O429" s="265"/>
      <c r="P429" s="265"/>
      <c r="Q429" s="265"/>
      <c r="R429" s="265"/>
    </row>
    <row r="430" spans="1:18" ht="30" customHeight="1">
      <c r="A430" s="204" t="str">
        <f>IF(ISBLANK(D430)," ",359-COUNTBLANK($D$6:D430))</f>
        <v xml:space="preserve"> </v>
      </c>
      <c r="B430" s="202"/>
      <c r="C430" s="202"/>
      <c r="D430" s="202"/>
      <c r="E430" s="300"/>
      <c r="F430" s="210"/>
      <c r="G430" s="203"/>
      <c r="H430" s="203"/>
      <c r="I430" s="291"/>
      <c r="J430" s="263"/>
      <c r="K430" s="264"/>
      <c r="L430" s="265"/>
      <c r="M430" s="265"/>
      <c r="N430" s="265"/>
      <c r="O430" s="265"/>
      <c r="P430" s="265"/>
      <c r="Q430" s="265"/>
      <c r="R430" s="265"/>
    </row>
    <row r="431" spans="1:18" ht="27.75" customHeight="1">
      <c r="A431" s="204" t="str">
        <f>IF(ISBLANK(D431)," ",360-COUNTBLANK($D$6:D431))</f>
        <v xml:space="preserve"> </v>
      </c>
      <c r="B431" s="202"/>
      <c r="C431" s="202"/>
      <c r="D431" s="202"/>
      <c r="E431" s="300"/>
      <c r="F431" s="210"/>
      <c r="G431" s="203"/>
      <c r="H431" s="203"/>
      <c r="I431" s="291"/>
      <c r="J431" s="263"/>
      <c r="K431" s="264"/>
      <c r="L431" s="265"/>
      <c r="M431" s="265"/>
      <c r="N431" s="265"/>
      <c r="O431" s="265"/>
      <c r="P431" s="265"/>
      <c r="Q431" s="265"/>
      <c r="R431" s="265"/>
    </row>
    <row r="432" spans="1:18" ht="27.75" customHeight="1">
      <c r="A432" s="204" t="str">
        <f>IF(ISBLANK(D432)," ",361-COUNTBLANK($D$6:D432))</f>
        <v xml:space="preserve"> </v>
      </c>
      <c r="B432" s="202"/>
      <c r="C432" s="202"/>
      <c r="D432" s="202"/>
      <c r="E432" s="300"/>
      <c r="F432" s="210"/>
      <c r="G432" s="203"/>
      <c r="H432" s="203"/>
      <c r="I432" s="291"/>
      <c r="J432" s="263"/>
      <c r="K432" s="266"/>
      <c r="L432" s="265"/>
      <c r="M432" s="265"/>
      <c r="N432" s="265"/>
      <c r="O432" s="265"/>
      <c r="P432" s="265"/>
      <c r="Q432" s="265"/>
      <c r="R432" s="267"/>
    </row>
    <row r="433" spans="1:21" ht="27.75" customHeight="1">
      <c r="A433" s="204" t="str">
        <f>IF(ISBLANK(D433)," ",362-COUNTBLANK($D$6:D433))</f>
        <v xml:space="preserve"> </v>
      </c>
      <c r="B433" s="202"/>
      <c r="C433" s="202"/>
      <c r="D433" s="202"/>
      <c r="E433" s="300"/>
      <c r="F433" s="210"/>
      <c r="G433" s="203"/>
      <c r="H433" s="203"/>
      <c r="I433" s="291"/>
      <c r="J433" s="263"/>
      <c r="K433" s="266"/>
      <c r="L433" s="265"/>
      <c r="M433" s="265"/>
      <c r="N433" s="265"/>
      <c r="O433" s="265"/>
      <c r="P433" s="265"/>
      <c r="Q433" s="265"/>
      <c r="R433" s="267"/>
    </row>
    <row r="434" spans="1:21" ht="27.75" customHeight="1">
      <c r="A434" s="204" t="str">
        <f>IF(ISBLANK(D434)," ",363-COUNTBLANK($D$6:D434))</f>
        <v xml:space="preserve"> </v>
      </c>
      <c r="B434" s="202"/>
      <c r="C434" s="202"/>
      <c r="D434" s="202"/>
      <c r="E434" s="300"/>
      <c r="F434" s="210"/>
      <c r="G434" s="203"/>
      <c r="H434" s="203"/>
      <c r="I434" s="291"/>
      <c r="J434" s="263"/>
      <c r="K434" s="266"/>
      <c r="L434" s="265"/>
      <c r="M434" s="265"/>
      <c r="N434" s="265"/>
      <c r="O434" s="265"/>
      <c r="P434" s="265"/>
      <c r="Q434" s="265"/>
      <c r="R434" s="267"/>
    </row>
    <row r="435" spans="1:21" ht="27.75" customHeight="1">
      <c r="A435" s="204" t="str">
        <f>IF(ISBLANK(D435)," ",364-COUNTBLANK($D$6:D435))</f>
        <v xml:space="preserve"> </v>
      </c>
      <c r="B435" s="202"/>
      <c r="C435" s="202"/>
      <c r="D435" s="202"/>
      <c r="E435" s="300"/>
      <c r="F435" s="210"/>
      <c r="G435" s="203"/>
      <c r="H435" s="203"/>
      <c r="I435" s="291"/>
      <c r="J435" s="263"/>
      <c r="K435" s="266"/>
      <c r="L435" s="265"/>
      <c r="M435" s="265"/>
      <c r="N435" s="265"/>
      <c r="O435" s="265"/>
      <c r="P435" s="265"/>
      <c r="Q435" s="265"/>
      <c r="R435" s="267"/>
    </row>
    <row r="436" spans="1:21" ht="27.75" customHeight="1">
      <c r="A436" s="304" t="str">
        <f>IF(ISBLANK(D436)," ",365-COUNTBLANK($D$6:D436))</f>
        <v xml:space="preserve"> </v>
      </c>
      <c r="B436" s="296"/>
      <c r="C436" s="305"/>
      <c r="D436" s="306"/>
      <c r="E436" s="297"/>
      <c r="F436" s="298"/>
      <c r="G436" s="282"/>
      <c r="H436" s="282"/>
      <c r="I436" s="303"/>
      <c r="J436" s="263"/>
      <c r="K436" s="264"/>
      <c r="L436" s="265"/>
      <c r="M436" s="265"/>
      <c r="N436" s="265"/>
      <c r="O436" s="265"/>
      <c r="P436" s="265"/>
      <c r="Q436" s="265"/>
      <c r="R436" s="284"/>
      <c r="S436" s="265"/>
      <c r="T436" s="265"/>
      <c r="U436" s="265"/>
    </row>
    <row r="437" spans="1:21" ht="27.75" customHeight="1">
      <c r="A437" s="260" t="str">
        <f>IF(ISBLANK(D437)," ",366-COUNTBLANK($D$6:D437))</f>
        <v xml:space="preserve"> </v>
      </c>
      <c r="B437" s="200"/>
      <c r="C437" s="200"/>
      <c r="D437" s="200"/>
      <c r="E437" s="299"/>
      <c r="F437" s="209"/>
      <c r="G437" s="201"/>
      <c r="H437" s="201"/>
      <c r="I437" s="291"/>
      <c r="J437" s="263"/>
      <c r="K437" s="266"/>
      <c r="L437" s="265"/>
      <c r="M437" s="265"/>
      <c r="N437" s="265"/>
      <c r="O437" s="265"/>
      <c r="P437" s="265"/>
      <c r="Q437" s="265"/>
      <c r="R437" s="284"/>
      <c r="S437" s="265"/>
      <c r="T437" s="265"/>
      <c r="U437" s="265"/>
    </row>
    <row r="438" spans="1:21" ht="27.75" customHeight="1">
      <c r="A438" s="204" t="str">
        <f>IF(ISBLANK(D438)," ",367-COUNTBLANK($D$6:D438))</f>
        <v xml:space="preserve"> </v>
      </c>
      <c r="B438" s="202"/>
      <c r="C438" s="202"/>
      <c r="D438" s="202"/>
      <c r="E438" s="300"/>
      <c r="F438" s="210"/>
      <c r="G438" s="203"/>
      <c r="H438" s="203"/>
      <c r="I438" s="291"/>
      <c r="J438" s="263"/>
      <c r="K438" s="264"/>
      <c r="L438" s="265"/>
      <c r="M438" s="265"/>
      <c r="N438" s="265"/>
      <c r="O438" s="265"/>
      <c r="P438" s="265"/>
      <c r="Q438" s="265"/>
      <c r="R438" s="265"/>
    </row>
    <row r="439" spans="1:21" ht="27.75" customHeight="1">
      <c r="A439" s="204" t="str">
        <f>IF(ISBLANK(D439)," ",368-COUNTBLANK($D$6:D439))</f>
        <v xml:space="preserve"> </v>
      </c>
      <c r="B439" s="202"/>
      <c r="C439" s="202"/>
      <c r="D439" s="202"/>
      <c r="E439" s="300"/>
      <c r="F439" s="210"/>
      <c r="G439" s="203"/>
      <c r="H439" s="203"/>
      <c r="I439" s="291"/>
      <c r="J439" s="263"/>
      <c r="K439" s="264"/>
      <c r="L439" s="265"/>
      <c r="M439" s="265"/>
      <c r="N439" s="265"/>
      <c r="O439" s="265"/>
      <c r="P439" s="265"/>
      <c r="Q439" s="265"/>
      <c r="R439" s="265"/>
    </row>
    <row r="440" spans="1:21" ht="27.75" customHeight="1">
      <c r="A440" s="204" t="str">
        <f>IF(ISBLANK(D440)," ",369-COUNTBLANK($D$6:D440))</f>
        <v xml:space="preserve"> </v>
      </c>
      <c r="B440" s="202"/>
      <c r="C440" s="202"/>
      <c r="D440" s="202"/>
      <c r="E440" s="300"/>
      <c r="F440" s="210"/>
      <c r="G440" s="203"/>
      <c r="H440" s="203"/>
      <c r="I440" s="291"/>
      <c r="J440" s="263"/>
      <c r="K440" s="264"/>
      <c r="L440" s="265"/>
      <c r="M440" s="265"/>
      <c r="N440" s="265"/>
      <c r="O440" s="265"/>
      <c r="P440" s="265"/>
      <c r="Q440" s="265"/>
      <c r="R440" s="265"/>
    </row>
    <row r="441" spans="1:21" ht="27.75" customHeight="1">
      <c r="A441" s="204" t="str">
        <f>IF(ISBLANK(D441)," ",370-COUNTBLANK($D$6:D441))</f>
        <v xml:space="preserve"> </v>
      </c>
      <c r="B441" s="202"/>
      <c r="C441" s="202"/>
      <c r="D441" s="202"/>
      <c r="E441" s="300"/>
      <c r="F441" s="210"/>
      <c r="G441" s="203"/>
      <c r="H441" s="203"/>
      <c r="I441" s="291"/>
      <c r="J441" s="263"/>
      <c r="K441" s="264"/>
      <c r="L441" s="265"/>
      <c r="M441" s="265"/>
      <c r="N441" s="265"/>
      <c r="O441" s="265"/>
      <c r="P441" s="265"/>
      <c r="Q441" s="265"/>
      <c r="R441" s="265"/>
    </row>
    <row r="442" spans="1:21" ht="27.75" customHeight="1">
      <c r="A442" s="204" t="str">
        <f>IF(ISBLANK(D442)," ",371-COUNTBLANK($D$6:D442))</f>
        <v xml:space="preserve"> </v>
      </c>
      <c r="B442" s="202"/>
      <c r="C442" s="202"/>
      <c r="D442" s="202"/>
      <c r="E442" s="300"/>
      <c r="F442" s="210"/>
      <c r="G442" s="203"/>
      <c r="H442" s="203"/>
      <c r="I442" s="291"/>
      <c r="J442" s="263"/>
      <c r="K442" s="264"/>
      <c r="L442" s="265"/>
      <c r="M442" s="265"/>
      <c r="N442" s="265"/>
      <c r="O442" s="265"/>
      <c r="P442" s="265"/>
      <c r="Q442" s="265"/>
      <c r="R442" s="265"/>
    </row>
    <row r="443" spans="1:21" ht="27.75" customHeight="1">
      <c r="A443" s="204" t="str">
        <f>IF(ISBLANK(D443)," ",372-COUNTBLANK($D$6:D443))</f>
        <v xml:space="preserve"> </v>
      </c>
      <c r="B443" s="202"/>
      <c r="C443" s="202"/>
      <c r="D443" s="202"/>
      <c r="E443" s="300"/>
      <c r="F443" s="210"/>
      <c r="G443" s="203"/>
      <c r="H443" s="203"/>
      <c r="I443" s="291"/>
      <c r="J443" s="263"/>
      <c r="K443" s="264"/>
      <c r="L443" s="265"/>
      <c r="M443" s="265"/>
      <c r="N443" s="265"/>
      <c r="O443" s="265"/>
      <c r="P443" s="265"/>
      <c r="Q443" s="265"/>
      <c r="R443" s="265"/>
    </row>
    <row r="444" spans="1:21" ht="27.75" customHeight="1">
      <c r="A444" s="204" t="str">
        <f>IF(ISBLANK(D444)," ",373-COUNTBLANK($D$6:D444))</f>
        <v xml:space="preserve"> </v>
      </c>
      <c r="B444" s="202"/>
      <c r="C444" s="202"/>
      <c r="D444" s="202"/>
      <c r="E444" s="300"/>
      <c r="F444" s="210"/>
      <c r="G444" s="203"/>
      <c r="H444" s="203"/>
      <c r="I444" s="291"/>
      <c r="J444" s="263"/>
      <c r="K444" s="264"/>
      <c r="L444" s="265"/>
      <c r="M444" s="265"/>
      <c r="N444" s="265"/>
      <c r="O444" s="265"/>
      <c r="P444" s="265"/>
      <c r="Q444" s="265"/>
      <c r="R444" s="265"/>
    </row>
    <row r="445" spans="1:21" ht="27.75" customHeight="1">
      <c r="A445" s="204" t="str">
        <f>IF(ISBLANK(D445)," ",374-COUNTBLANK($D$6:D445))</f>
        <v xml:space="preserve"> </v>
      </c>
      <c r="B445" s="202"/>
      <c r="C445" s="202"/>
      <c r="D445" s="202"/>
      <c r="E445" s="300"/>
      <c r="F445" s="210"/>
      <c r="G445" s="203"/>
      <c r="H445" s="203"/>
      <c r="I445" s="291"/>
      <c r="J445" s="263"/>
      <c r="K445" s="264"/>
      <c r="L445" s="265"/>
      <c r="M445" s="265"/>
      <c r="N445" s="265"/>
      <c r="O445" s="265"/>
      <c r="P445" s="265"/>
      <c r="Q445" s="265"/>
      <c r="R445" s="265"/>
    </row>
    <row r="446" spans="1:21" ht="27.75" customHeight="1">
      <c r="A446" s="204" t="str">
        <f>IF(ISBLANK(D446)," ",375-COUNTBLANK($D$6:D446))</f>
        <v xml:space="preserve"> </v>
      </c>
      <c r="B446" s="202"/>
      <c r="C446" s="202"/>
      <c r="D446" s="202"/>
      <c r="E446" s="300"/>
      <c r="F446" s="210"/>
      <c r="G446" s="203"/>
      <c r="H446" s="203"/>
      <c r="I446" s="291"/>
      <c r="J446" s="263"/>
      <c r="K446" s="264"/>
      <c r="L446" s="265"/>
      <c r="M446" s="265"/>
      <c r="N446" s="265"/>
      <c r="O446" s="265"/>
      <c r="P446" s="265"/>
      <c r="Q446" s="265"/>
      <c r="R446" s="265"/>
    </row>
    <row r="447" spans="1:21" ht="27.75" customHeight="1">
      <c r="A447" s="204" t="str">
        <f>IF(ISBLANK(D447)," ",376-COUNTBLANK($D$6:D447))</f>
        <v xml:space="preserve"> </v>
      </c>
      <c r="B447" s="202"/>
      <c r="C447" s="202"/>
      <c r="D447" s="202"/>
      <c r="E447" s="300"/>
      <c r="F447" s="210"/>
      <c r="G447" s="203"/>
      <c r="H447" s="203"/>
      <c r="I447" s="291"/>
      <c r="J447" s="263"/>
      <c r="K447" s="264"/>
      <c r="L447" s="265"/>
      <c r="M447" s="265"/>
      <c r="N447" s="265"/>
      <c r="O447" s="265"/>
      <c r="P447" s="265"/>
      <c r="Q447" s="265"/>
      <c r="R447" s="265"/>
    </row>
    <row r="448" spans="1:21" ht="27.75" customHeight="1">
      <c r="A448" s="204" t="str">
        <f>IF(ISBLANK(D448)," ",377-COUNTBLANK($D$6:D448))</f>
        <v xml:space="preserve"> </v>
      </c>
      <c r="B448" s="202"/>
      <c r="C448" s="202"/>
      <c r="D448" s="202"/>
      <c r="E448" s="300"/>
      <c r="F448" s="210"/>
      <c r="G448" s="203"/>
      <c r="H448" s="203"/>
      <c r="I448" s="291"/>
      <c r="J448" s="263"/>
      <c r="K448" s="264"/>
      <c r="L448" s="265"/>
      <c r="M448" s="265"/>
      <c r="N448" s="265"/>
      <c r="O448" s="265"/>
      <c r="P448" s="265"/>
      <c r="Q448" s="265"/>
      <c r="R448" s="265"/>
    </row>
    <row r="449" spans="1:21" ht="27.75" customHeight="1">
      <c r="A449" s="204" t="s">
        <v>52</v>
      </c>
      <c r="B449" s="202"/>
      <c r="C449" s="202"/>
      <c r="D449" s="202"/>
      <c r="E449" s="300"/>
      <c r="F449" s="210">
        <f>SUM(F429:F448)</f>
        <v>0</v>
      </c>
      <c r="G449" s="203"/>
      <c r="H449" s="203"/>
      <c r="I449" s="291"/>
      <c r="J449" s="263"/>
      <c r="K449" s="264"/>
      <c r="L449" s="265"/>
      <c r="M449" s="265"/>
      <c r="N449" s="265"/>
      <c r="O449" s="265"/>
      <c r="P449" s="265"/>
      <c r="Q449" s="265"/>
      <c r="R449" s="265"/>
    </row>
    <row r="450" spans="1:21" ht="27.75" customHeight="1">
      <c r="A450" s="204" t="str">
        <f>IF(ISBLANK(D450)," ",379-COUNTBLANK($D$6:D450))</f>
        <v xml:space="preserve"> </v>
      </c>
      <c r="B450" s="202"/>
      <c r="C450" s="202"/>
      <c r="D450" s="202"/>
      <c r="E450" s="300"/>
      <c r="F450" s="210"/>
      <c r="G450" s="203"/>
      <c r="H450" s="203"/>
      <c r="I450" s="291"/>
      <c r="J450" s="263"/>
      <c r="K450" s="264"/>
      <c r="L450" s="265"/>
      <c r="M450" s="265"/>
      <c r="N450" s="265"/>
      <c r="O450" s="265"/>
      <c r="P450" s="265"/>
      <c r="Q450" s="265"/>
      <c r="R450" s="265"/>
    </row>
    <row r="451" spans="1:21" ht="27.75" customHeight="1">
      <c r="A451" s="204" t="str">
        <f>IF(ISBLANK(D451)," ",380-COUNTBLANK($D$6:D451))</f>
        <v xml:space="preserve"> </v>
      </c>
      <c r="B451" s="202"/>
      <c r="C451" s="202"/>
      <c r="D451" s="202"/>
      <c r="E451" s="300"/>
      <c r="F451" s="210"/>
      <c r="G451" s="203"/>
      <c r="H451" s="203"/>
      <c r="I451" s="291"/>
      <c r="J451" s="263"/>
      <c r="K451" s="264"/>
      <c r="L451" s="265"/>
      <c r="M451" s="265"/>
      <c r="N451" s="265"/>
      <c r="O451" s="265"/>
      <c r="P451" s="265"/>
      <c r="Q451" s="265"/>
      <c r="R451" s="265"/>
    </row>
    <row r="452" spans="1:21" ht="27.75" customHeight="1">
      <c r="A452" s="204" t="str">
        <f>IF(ISBLANK(D452)," ",381-COUNTBLANK($D$6:D452))</f>
        <v xml:space="preserve"> </v>
      </c>
      <c r="B452" s="202"/>
      <c r="C452" s="202"/>
      <c r="D452" s="202"/>
      <c r="E452" s="300"/>
      <c r="F452" s="210"/>
      <c r="G452" s="203"/>
      <c r="H452" s="203"/>
      <c r="I452" s="291"/>
      <c r="J452" s="263"/>
      <c r="K452" s="264"/>
      <c r="L452" s="265"/>
      <c r="M452" s="265"/>
      <c r="N452" s="265"/>
      <c r="O452" s="265"/>
      <c r="P452" s="265"/>
      <c r="Q452" s="265"/>
      <c r="R452" s="265"/>
    </row>
    <row r="453" spans="1:21" ht="27.75" customHeight="1">
      <c r="A453" s="204" t="str">
        <f>IF(ISBLANK(D453)," ",382-COUNTBLANK($D$6:D453))</f>
        <v xml:space="preserve"> </v>
      </c>
      <c r="B453" s="202"/>
      <c r="C453" s="202"/>
      <c r="D453" s="202"/>
      <c r="E453" s="300"/>
      <c r="F453" s="210"/>
      <c r="G453" s="203"/>
      <c r="H453" s="203"/>
      <c r="I453" s="291"/>
      <c r="J453" s="263"/>
      <c r="K453" s="266"/>
      <c r="L453" s="265"/>
      <c r="M453" s="265"/>
      <c r="N453" s="265"/>
      <c r="O453" s="265"/>
      <c r="P453" s="265"/>
      <c r="Q453" s="265"/>
      <c r="R453" s="267"/>
    </row>
    <row r="454" spans="1:21" ht="27.75" customHeight="1">
      <c r="A454" s="204" t="str">
        <f>IF(ISBLANK(D454)," ",383-COUNTBLANK($D$6:D454))</f>
        <v xml:space="preserve"> </v>
      </c>
      <c r="B454" s="202"/>
      <c r="C454" s="202"/>
      <c r="D454" s="202"/>
      <c r="E454" s="300"/>
      <c r="F454" s="210"/>
      <c r="G454" s="203"/>
      <c r="H454" s="203"/>
      <c r="I454" s="291"/>
      <c r="J454" s="263"/>
      <c r="K454" s="266"/>
      <c r="L454" s="265"/>
      <c r="M454" s="265"/>
      <c r="N454" s="265"/>
      <c r="O454" s="265"/>
      <c r="P454" s="265"/>
      <c r="Q454" s="265"/>
      <c r="R454" s="267"/>
    </row>
    <row r="455" spans="1:21" ht="27.75" customHeight="1">
      <c r="A455" s="204" t="str">
        <f>IF(ISBLANK(D455)," ",384-COUNTBLANK($D$6:D455))</f>
        <v xml:space="preserve"> </v>
      </c>
      <c r="B455" s="202"/>
      <c r="C455" s="202"/>
      <c r="D455" s="202"/>
      <c r="E455" s="300"/>
      <c r="F455" s="210"/>
      <c r="G455" s="203"/>
      <c r="H455" s="203"/>
      <c r="I455" s="291"/>
      <c r="J455" s="263"/>
      <c r="K455" s="266"/>
      <c r="L455" s="265"/>
      <c r="M455" s="265"/>
      <c r="N455" s="265"/>
      <c r="O455" s="265"/>
      <c r="P455" s="265"/>
      <c r="Q455" s="265"/>
      <c r="R455" s="267"/>
    </row>
    <row r="456" spans="1:21" ht="27.75" customHeight="1">
      <c r="A456" s="204" t="str">
        <f>IF(ISBLANK(D456)," ",385-COUNTBLANK($D$6:D456))</f>
        <v xml:space="preserve"> </v>
      </c>
      <c r="B456" s="202"/>
      <c r="C456" s="202"/>
      <c r="D456" s="202"/>
      <c r="E456" s="300"/>
      <c r="F456" s="210"/>
      <c r="G456" s="203"/>
      <c r="H456" s="203"/>
      <c r="I456" s="291"/>
      <c r="J456" s="263"/>
      <c r="K456" s="266"/>
      <c r="L456" s="265"/>
      <c r="M456" s="265"/>
      <c r="N456" s="265"/>
      <c r="O456" s="265"/>
      <c r="P456" s="265"/>
      <c r="Q456" s="265"/>
      <c r="R456" s="267"/>
    </row>
    <row r="457" spans="1:21" ht="27.75" customHeight="1">
      <c r="A457" s="304" t="str">
        <f>IF(ISBLANK(D457)," ",386-COUNTBLANK($D$6:D457))</f>
        <v xml:space="preserve"> </v>
      </c>
      <c r="B457" s="296"/>
      <c r="C457" s="305"/>
      <c r="D457" s="306"/>
      <c r="E457" s="297"/>
      <c r="F457" s="298"/>
      <c r="G457" s="282"/>
      <c r="H457" s="282"/>
      <c r="I457" s="303"/>
      <c r="J457" s="263"/>
      <c r="K457" s="264"/>
      <c r="L457" s="265"/>
      <c r="M457" s="265"/>
      <c r="N457" s="265"/>
      <c r="O457" s="265"/>
      <c r="P457" s="265"/>
      <c r="Q457" s="265"/>
      <c r="R457" s="284"/>
      <c r="S457" s="265"/>
      <c r="T457" s="265"/>
      <c r="U457" s="265"/>
    </row>
    <row r="458" spans="1:21" ht="27.75" customHeight="1">
      <c r="A458" s="260" t="str">
        <f>IF(ISBLANK(D458)," ",387-COUNTBLANK($D$6:D458))</f>
        <v xml:space="preserve"> </v>
      </c>
      <c r="B458" s="200"/>
      <c r="C458" s="200"/>
      <c r="D458" s="200"/>
      <c r="E458" s="299"/>
      <c r="F458" s="209"/>
      <c r="G458" s="201"/>
      <c r="H458" s="201"/>
      <c r="I458" s="291"/>
      <c r="J458" s="263"/>
      <c r="K458" s="266"/>
      <c r="L458" s="265"/>
      <c r="M458" s="265"/>
      <c r="N458" s="265"/>
      <c r="O458" s="265"/>
      <c r="P458" s="265"/>
      <c r="Q458" s="265"/>
      <c r="R458" s="284"/>
      <c r="S458" s="265"/>
      <c r="T458" s="265"/>
      <c r="U458" s="265"/>
    </row>
    <row r="459" spans="1:21" ht="27.75" customHeight="1">
      <c r="A459" s="204" t="str">
        <f>IF(ISBLANK(D459)," ",388-COUNTBLANK($D$6:D459))</f>
        <v xml:space="preserve"> </v>
      </c>
      <c r="B459" s="202"/>
      <c r="C459" s="202"/>
      <c r="D459" s="202"/>
      <c r="E459" s="300"/>
      <c r="F459" s="210"/>
      <c r="G459" s="203"/>
      <c r="H459" s="203"/>
      <c r="I459" s="291"/>
      <c r="J459" s="263"/>
      <c r="K459" s="264"/>
      <c r="L459" s="265"/>
      <c r="M459" s="265"/>
      <c r="N459" s="265"/>
      <c r="O459" s="265"/>
      <c r="P459" s="265"/>
      <c r="Q459" s="265"/>
      <c r="R459" s="265"/>
    </row>
    <row r="460" spans="1:21" ht="27.75" customHeight="1">
      <c r="A460" s="204" t="str">
        <f>IF(ISBLANK(D460)," ",389-COUNTBLANK($D$6:D460))</f>
        <v xml:space="preserve"> </v>
      </c>
      <c r="B460" s="202"/>
      <c r="C460" s="202"/>
      <c r="D460" s="202"/>
      <c r="E460" s="300"/>
      <c r="F460" s="210"/>
      <c r="G460" s="203"/>
      <c r="H460" s="203"/>
      <c r="I460" s="291"/>
      <c r="J460" s="263"/>
      <c r="K460" s="264"/>
      <c r="L460" s="265"/>
      <c r="M460" s="265"/>
      <c r="N460" s="265"/>
      <c r="O460" s="265"/>
      <c r="P460" s="265"/>
      <c r="Q460" s="265"/>
      <c r="R460" s="265"/>
    </row>
    <row r="461" spans="1:21" ht="27.75" customHeight="1">
      <c r="A461" s="204" t="str">
        <f>IF(ISBLANK(D461)," ",390-COUNTBLANK($D$6:D461))</f>
        <v xml:space="preserve"> </v>
      </c>
      <c r="B461" s="202"/>
      <c r="C461" s="202"/>
      <c r="D461" s="202"/>
      <c r="E461" s="300"/>
      <c r="F461" s="210"/>
      <c r="G461" s="203"/>
      <c r="H461" s="203"/>
      <c r="I461" s="291"/>
      <c r="J461" s="263"/>
      <c r="K461" s="264"/>
      <c r="L461" s="265"/>
      <c r="M461" s="265"/>
      <c r="N461" s="265"/>
      <c r="O461" s="265"/>
      <c r="P461" s="265"/>
      <c r="Q461" s="265"/>
      <c r="R461" s="265"/>
    </row>
    <row r="462" spans="1:21" ht="27.75" customHeight="1">
      <c r="A462" s="204" t="str">
        <f>IF(ISBLANK(D462)," ",391-COUNTBLANK($D$6:D462))</f>
        <v xml:space="preserve"> </v>
      </c>
      <c r="B462" s="202"/>
      <c r="C462" s="202"/>
      <c r="D462" s="202"/>
      <c r="E462" s="300"/>
      <c r="F462" s="210"/>
      <c r="G462" s="203"/>
      <c r="H462" s="203"/>
      <c r="I462" s="291"/>
      <c r="J462" s="263"/>
      <c r="K462" s="264"/>
      <c r="L462" s="265"/>
      <c r="M462" s="265"/>
      <c r="N462" s="265"/>
      <c r="O462" s="265"/>
      <c r="P462" s="265"/>
      <c r="Q462" s="265"/>
      <c r="R462" s="265"/>
    </row>
    <row r="463" spans="1:21" ht="27.75" customHeight="1">
      <c r="A463" s="204" t="str">
        <f>IF(ISBLANK(D463)," ",392-COUNTBLANK($D$6:D463))</f>
        <v xml:space="preserve"> </v>
      </c>
      <c r="B463" s="202"/>
      <c r="C463" s="202"/>
      <c r="D463" s="202"/>
      <c r="E463" s="300"/>
      <c r="F463" s="210"/>
      <c r="G463" s="203"/>
      <c r="H463" s="203"/>
      <c r="I463" s="291"/>
      <c r="J463" s="263"/>
      <c r="K463" s="264"/>
      <c r="L463" s="265"/>
      <c r="M463" s="265"/>
      <c r="N463" s="265"/>
      <c r="O463" s="265"/>
      <c r="P463" s="265"/>
      <c r="Q463" s="265"/>
      <c r="R463" s="265"/>
    </row>
    <row r="464" spans="1:21" ht="27.75" customHeight="1">
      <c r="A464" s="204" t="str">
        <f>IF(ISBLANK(D464)," ",393-COUNTBLANK($D$6:D464))</f>
        <v xml:space="preserve"> </v>
      </c>
      <c r="B464" s="202"/>
      <c r="C464" s="202"/>
      <c r="D464" s="202"/>
      <c r="E464" s="300"/>
      <c r="F464" s="210"/>
      <c r="G464" s="203"/>
      <c r="H464" s="203"/>
      <c r="I464" s="291"/>
      <c r="J464" s="263"/>
      <c r="K464" s="264"/>
      <c r="L464" s="265"/>
      <c r="M464" s="265"/>
      <c r="N464" s="265"/>
      <c r="O464" s="265"/>
      <c r="P464" s="265"/>
      <c r="Q464" s="265"/>
      <c r="R464" s="265"/>
    </row>
    <row r="465" spans="1:21" ht="27.75" customHeight="1">
      <c r="A465" s="204" t="str">
        <f>IF(ISBLANK(D465)," ",394-COUNTBLANK($D$6:D465))</f>
        <v xml:space="preserve"> </v>
      </c>
      <c r="B465" s="202"/>
      <c r="C465" s="202"/>
      <c r="D465" s="202"/>
      <c r="E465" s="300"/>
      <c r="F465" s="210"/>
      <c r="G465" s="203"/>
      <c r="H465" s="203"/>
      <c r="I465" s="291"/>
      <c r="J465" s="263"/>
      <c r="K465" s="264"/>
      <c r="L465" s="265"/>
      <c r="M465" s="265"/>
      <c r="N465" s="265"/>
      <c r="O465" s="265"/>
      <c r="P465" s="265"/>
      <c r="Q465" s="265"/>
      <c r="R465" s="265"/>
    </row>
    <row r="466" spans="1:21" ht="27.75" customHeight="1">
      <c r="A466" s="204" t="str">
        <f>IF(ISBLANK(D466)," ",395-COUNTBLANK($D$6:D466))</f>
        <v xml:space="preserve"> </v>
      </c>
      <c r="B466" s="202"/>
      <c r="C466" s="202"/>
      <c r="D466" s="202"/>
      <c r="E466" s="300"/>
      <c r="F466" s="210"/>
      <c r="G466" s="203"/>
      <c r="H466" s="203"/>
      <c r="I466" s="291"/>
      <c r="J466" s="263"/>
      <c r="K466" s="264"/>
      <c r="L466" s="265"/>
      <c r="M466" s="265"/>
      <c r="N466" s="265"/>
      <c r="O466" s="265"/>
      <c r="P466" s="265"/>
      <c r="Q466" s="265"/>
      <c r="R466" s="265"/>
    </row>
    <row r="467" spans="1:21" ht="27.75" customHeight="1">
      <c r="A467" s="204" t="str">
        <f>IF(ISBLANK(D467)," ",396-COUNTBLANK($D$6:D467))</f>
        <v xml:space="preserve"> </v>
      </c>
      <c r="B467" s="202"/>
      <c r="C467" s="202"/>
      <c r="D467" s="202"/>
      <c r="E467" s="300"/>
      <c r="F467" s="210"/>
      <c r="G467" s="203"/>
      <c r="H467" s="203"/>
      <c r="I467" s="291"/>
      <c r="J467" s="263"/>
      <c r="K467" s="264"/>
      <c r="L467" s="265"/>
      <c r="M467" s="265"/>
      <c r="N467" s="265"/>
      <c r="O467" s="265"/>
      <c r="P467" s="265"/>
      <c r="Q467" s="265"/>
      <c r="R467" s="265"/>
    </row>
    <row r="468" spans="1:21" ht="27.75" customHeight="1">
      <c r="A468" s="204" t="str">
        <f>IF(ISBLANK(D468)," ",397-COUNTBLANK($D$6:D468))</f>
        <v xml:space="preserve"> </v>
      </c>
      <c r="B468" s="202"/>
      <c r="C468" s="202"/>
      <c r="D468" s="202"/>
      <c r="E468" s="300"/>
      <c r="F468" s="210"/>
      <c r="G468" s="203"/>
      <c r="H468" s="203"/>
      <c r="I468" s="291"/>
      <c r="J468" s="263"/>
      <c r="K468" s="264"/>
      <c r="L468" s="265"/>
      <c r="M468" s="265"/>
      <c r="N468" s="265"/>
      <c r="O468" s="265"/>
      <c r="P468" s="265"/>
      <c r="Q468" s="265"/>
      <c r="R468" s="265"/>
    </row>
    <row r="469" spans="1:21" ht="27.75" customHeight="1">
      <c r="A469" s="204" t="str">
        <f>IF(ISBLANK(D469)," ",398-COUNTBLANK($D$6:D469))</f>
        <v xml:space="preserve"> </v>
      </c>
      <c r="B469" s="202"/>
      <c r="C469" s="202"/>
      <c r="D469" s="202"/>
      <c r="E469" s="300"/>
      <c r="F469" s="210"/>
      <c r="G469" s="203"/>
      <c r="H469" s="203"/>
      <c r="I469" s="291"/>
      <c r="J469" s="263"/>
      <c r="K469" s="264"/>
      <c r="L469" s="265"/>
      <c r="M469" s="265"/>
      <c r="N469" s="265"/>
      <c r="O469" s="265"/>
      <c r="P469" s="265"/>
      <c r="Q469" s="265"/>
      <c r="R469" s="265"/>
    </row>
    <row r="470" spans="1:21" ht="27.75" customHeight="1">
      <c r="A470" s="204" t="s">
        <v>52</v>
      </c>
      <c r="B470" s="202"/>
      <c r="C470" s="202"/>
      <c r="D470" s="202"/>
      <c r="E470" s="300"/>
      <c r="F470" s="210">
        <f>SUM(F450:F469)</f>
        <v>0</v>
      </c>
      <c r="G470" s="203"/>
      <c r="H470" s="203"/>
      <c r="I470" s="291"/>
      <c r="J470" s="263"/>
      <c r="K470" s="264"/>
      <c r="L470" s="265"/>
      <c r="M470" s="265"/>
      <c r="N470" s="265"/>
      <c r="O470" s="265"/>
      <c r="P470" s="265"/>
      <c r="Q470" s="265"/>
      <c r="R470" s="265"/>
    </row>
    <row r="471" spans="1:21" ht="27.75" customHeight="1">
      <c r="A471" s="204" t="str">
        <f>IF(ISBLANK(D471)," ",400-COUNTBLANK($D$6:D471))</f>
        <v xml:space="preserve"> </v>
      </c>
      <c r="B471" s="202"/>
      <c r="C471" s="202"/>
      <c r="D471" s="202"/>
      <c r="E471" s="300"/>
      <c r="F471" s="210"/>
      <c r="G471" s="203"/>
      <c r="H471" s="203"/>
      <c r="I471" s="291"/>
      <c r="J471" s="263"/>
      <c r="K471" s="264"/>
      <c r="L471" s="265"/>
      <c r="M471" s="265"/>
      <c r="N471" s="265"/>
      <c r="O471" s="265"/>
      <c r="P471" s="265"/>
      <c r="Q471" s="265"/>
      <c r="R471" s="265"/>
    </row>
    <row r="472" spans="1:21" ht="27.75" customHeight="1">
      <c r="A472" s="204" t="str">
        <f>IF(ISBLANK(D472)," ",401-COUNTBLANK($D$6:D472))</f>
        <v xml:space="preserve"> </v>
      </c>
      <c r="B472" s="202"/>
      <c r="C472" s="202"/>
      <c r="D472" s="202"/>
      <c r="E472" s="300"/>
      <c r="F472" s="210"/>
      <c r="G472" s="203"/>
      <c r="H472" s="203"/>
      <c r="I472" s="291"/>
      <c r="J472" s="263"/>
      <c r="K472" s="264"/>
      <c r="L472" s="265"/>
      <c r="M472" s="265"/>
      <c r="N472" s="265"/>
      <c r="O472" s="265"/>
      <c r="P472" s="265"/>
      <c r="Q472" s="265"/>
      <c r="R472" s="265"/>
    </row>
    <row r="473" spans="1:21" ht="27.75" customHeight="1">
      <c r="A473" s="204" t="str">
        <f>IF(ISBLANK(D473)," ",402-COUNTBLANK($D$6:D473))</f>
        <v xml:space="preserve"> </v>
      </c>
      <c r="B473" s="202"/>
      <c r="C473" s="202"/>
      <c r="D473" s="202"/>
      <c r="E473" s="300"/>
      <c r="F473" s="210"/>
      <c r="G473" s="203"/>
      <c r="H473" s="203"/>
      <c r="I473" s="291"/>
      <c r="J473" s="263"/>
      <c r="K473" s="264"/>
      <c r="L473" s="265"/>
      <c r="M473" s="265"/>
      <c r="N473" s="265"/>
      <c r="O473" s="265"/>
      <c r="P473" s="265"/>
      <c r="Q473" s="265"/>
      <c r="R473" s="265"/>
    </row>
    <row r="474" spans="1:21" ht="27.75" customHeight="1">
      <c r="A474" s="204" t="str">
        <f>IF(ISBLANK(D474)," ",403-COUNTBLANK($D$6:D474))</f>
        <v xml:space="preserve"> </v>
      </c>
      <c r="B474" s="202"/>
      <c r="C474" s="202"/>
      <c r="D474" s="202"/>
      <c r="E474" s="300"/>
      <c r="F474" s="210"/>
      <c r="G474" s="203"/>
      <c r="H474" s="203"/>
      <c r="I474" s="291"/>
      <c r="J474" s="263"/>
      <c r="K474" s="266"/>
      <c r="L474" s="265"/>
      <c r="M474" s="265"/>
      <c r="N474" s="265"/>
      <c r="O474" s="265"/>
      <c r="P474" s="265"/>
      <c r="Q474" s="265"/>
      <c r="R474" s="267"/>
    </row>
    <row r="475" spans="1:21" ht="27.75" customHeight="1">
      <c r="A475" s="204" t="str">
        <f>IF(ISBLANK(D475)," ",404-COUNTBLANK($D$6:D475))</f>
        <v xml:space="preserve"> </v>
      </c>
      <c r="B475" s="202"/>
      <c r="C475" s="202"/>
      <c r="D475" s="202"/>
      <c r="E475" s="300"/>
      <c r="F475" s="210"/>
      <c r="G475" s="203"/>
      <c r="H475" s="203"/>
      <c r="I475" s="291"/>
      <c r="J475" s="263"/>
      <c r="K475" s="266"/>
      <c r="L475" s="265"/>
      <c r="M475" s="265"/>
      <c r="N475" s="265"/>
      <c r="O475" s="265"/>
      <c r="P475" s="265"/>
      <c r="Q475" s="265"/>
      <c r="R475" s="267"/>
    </row>
    <row r="476" spans="1:21" ht="27.75" customHeight="1">
      <c r="A476" s="204" t="str">
        <f>IF(ISBLANK(D476)," ",405-COUNTBLANK($D$6:D476))</f>
        <v xml:space="preserve"> </v>
      </c>
      <c r="B476" s="202"/>
      <c r="C476" s="202"/>
      <c r="D476" s="202"/>
      <c r="E476" s="300"/>
      <c r="F476" s="210"/>
      <c r="G476" s="203"/>
      <c r="H476" s="203"/>
      <c r="I476" s="291"/>
      <c r="J476" s="263"/>
      <c r="K476" s="266"/>
      <c r="L476" s="265"/>
      <c r="M476" s="265"/>
      <c r="N476" s="265"/>
      <c r="O476" s="265"/>
      <c r="P476" s="265"/>
      <c r="Q476" s="265"/>
      <c r="R476" s="267"/>
    </row>
    <row r="477" spans="1:21" ht="27.75" customHeight="1">
      <c r="A477" s="204" t="str">
        <f>IF(ISBLANK(D477)," ",406-COUNTBLANK($D$6:D477))</f>
        <v xml:space="preserve"> </v>
      </c>
      <c r="B477" s="202"/>
      <c r="C477" s="202"/>
      <c r="D477" s="202"/>
      <c r="E477" s="300"/>
      <c r="F477" s="210"/>
      <c r="G477" s="203"/>
      <c r="H477" s="203"/>
      <c r="I477" s="291"/>
      <c r="J477" s="263"/>
      <c r="K477" s="266"/>
      <c r="L477" s="265"/>
      <c r="M477" s="265"/>
      <c r="N477" s="265"/>
      <c r="O477" s="265"/>
      <c r="P477" s="265"/>
      <c r="Q477" s="265"/>
      <c r="R477" s="267"/>
    </row>
    <row r="478" spans="1:21" ht="27.75" customHeight="1">
      <c r="A478" s="304" t="str">
        <f>IF(ISBLANK(D478)," ",407-COUNTBLANK($D$6:D478))</f>
        <v xml:space="preserve"> </v>
      </c>
      <c r="B478" s="296"/>
      <c r="C478" s="305"/>
      <c r="D478" s="306"/>
      <c r="E478" s="297"/>
      <c r="F478" s="298"/>
      <c r="G478" s="282"/>
      <c r="H478" s="282"/>
      <c r="I478" s="303"/>
      <c r="J478" s="263"/>
      <c r="K478" s="264"/>
      <c r="L478" s="265"/>
      <c r="M478" s="265"/>
      <c r="N478" s="265"/>
      <c r="O478" s="265"/>
      <c r="P478" s="265"/>
      <c r="Q478" s="265"/>
      <c r="R478" s="284"/>
      <c r="S478" s="265"/>
      <c r="T478" s="265"/>
      <c r="U478" s="265"/>
    </row>
    <row r="479" spans="1:21" ht="27.75" customHeight="1">
      <c r="A479" s="260" t="str">
        <f>IF(ISBLANK(D479)," ",408-COUNTBLANK($D$6:D479))</f>
        <v xml:space="preserve"> </v>
      </c>
      <c r="B479" s="200"/>
      <c r="C479" s="200"/>
      <c r="D479" s="200"/>
      <c r="E479" s="299"/>
      <c r="F479" s="209"/>
      <c r="G479" s="201"/>
      <c r="H479" s="201"/>
      <c r="I479" s="291"/>
      <c r="J479" s="263"/>
      <c r="K479" s="266"/>
      <c r="L479" s="265"/>
      <c r="M479" s="265"/>
      <c r="N479" s="265"/>
      <c r="O479" s="265"/>
      <c r="P479" s="265"/>
      <c r="Q479" s="265"/>
      <c r="R479" s="284"/>
      <c r="S479" s="265"/>
      <c r="T479" s="265"/>
      <c r="U479" s="265"/>
    </row>
    <row r="480" spans="1:21" ht="27.75" customHeight="1">
      <c r="A480" s="204" t="str">
        <f>IF(ISBLANK(D480)," ",409-COUNTBLANK($D$6:D480))</f>
        <v xml:space="preserve"> </v>
      </c>
      <c r="B480" s="202"/>
      <c r="C480" s="202"/>
      <c r="D480" s="202"/>
      <c r="E480" s="300"/>
      <c r="F480" s="210"/>
      <c r="G480" s="203"/>
      <c r="H480" s="203"/>
      <c r="I480" s="291"/>
      <c r="J480" s="263"/>
      <c r="K480" s="264"/>
      <c r="L480" s="265"/>
      <c r="M480" s="265"/>
      <c r="N480" s="265"/>
      <c r="O480" s="265"/>
      <c r="P480" s="265"/>
      <c r="Q480" s="265"/>
      <c r="R480" s="265"/>
    </row>
    <row r="481" spans="1:18" ht="27.75" customHeight="1">
      <c r="A481" s="204" t="str">
        <f>IF(ISBLANK(D481)," ",410-COUNTBLANK($D$6:D481))</f>
        <v xml:space="preserve"> </v>
      </c>
      <c r="B481" s="202"/>
      <c r="C481" s="202"/>
      <c r="D481" s="202"/>
      <c r="E481" s="300"/>
      <c r="F481" s="210"/>
      <c r="G481" s="203"/>
      <c r="H481" s="203"/>
      <c r="I481" s="291"/>
      <c r="J481" s="263"/>
      <c r="K481" s="264"/>
      <c r="L481" s="265"/>
      <c r="M481" s="265"/>
      <c r="N481" s="265"/>
      <c r="O481" s="265"/>
      <c r="P481" s="265"/>
      <c r="Q481" s="265"/>
      <c r="R481" s="265"/>
    </row>
    <row r="482" spans="1:18" ht="27.75" customHeight="1">
      <c r="A482" s="204" t="str">
        <f>IF(ISBLANK(D482)," ",411-COUNTBLANK($D$6:D482))</f>
        <v xml:space="preserve"> </v>
      </c>
      <c r="B482" s="202"/>
      <c r="C482" s="202"/>
      <c r="D482" s="202"/>
      <c r="E482" s="300"/>
      <c r="F482" s="210"/>
      <c r="G482" s="203"/>
      <c r="H482" s="203"/>
      <c r="I482" s="291"/>
      <c r="J482" s="263"/>
      <c r="K482" s="264"/>
      <c r="L482" s="265"/>
      <c r="M482" s="265"/>
      <c r="N482" s="265"/>
      <c r="O482" s="265"/>
      <c r="P482" s="265"/>
      <c r="Q482" s="265"/>
      <c r="R482" s="265"/>
    </row>
    <row r="483" spans="1:18" ht="27.75" customHeight="1">
      <c r="A483" s="204" t="str">
        <f>IF(ISBLANK(D483)," ",412-COUNTBLANK($D$6:D483))</f>
        <v xml:space="preserve"> </v>
      </c>
      <c r="B483" s="202"/>
      <c r="C483" s="202"/>
      <c r="D483" s="202"/>
      <c r="E483" s="300"/>
      <c r="F483" s="210"/>
      <c r="G483" s="203"/>
      <c r="H483" s="203"/>
      <c r="I483" s="291"/>
      <c r="J483" s="263"/>
      <c r="K483" s="264"/>
      <c r="L483" s="265"/>
      <c r="M483" s="265"/>
      <c r="N483" s="265"/>
      <c r="O483" s="265"/>
      <c r="P483" s="265"/>
      <c r="Q483" s="265"/>
      <c r="R483" s="265"/>
    </row>
    <row r="484" spans="1:18" ht="27.75" customHeight="1">
      <c r="A484" s="204" t="str">
        <f>IF(ISBLANK(D484)," ",413-COUNTBLANK($D$6:D484))</f>
        <v xml:space="preserve"> </v>
      </c>
      <c r="B484" s="202"/>
      <c r="C484" s="202"/>
      <c r="D484" s="202"/>
      <c r="E484" s="300"/>
      <c r="F484" s="210"/>
      <c r="G484" s="203"/>
      <c r="H484" s="203"/>
      <c r="I484" s="291"/>
      <c r="J484" s="263"/>
      <c r="K484" s="264"/>
      <c r="L484" s="265"/>
      <c r="M484" s="265"/>
      <c r="N484" s="265"/>
      <c r="O484" s="265"/>
      <c r="P484" s="265"/>
      <c r="Q484" s="265"/>
      <c r="R484" s="265"/>
    </row>
    <row r="485" spans="1:18" ht="27.75" customHeight="1">
      <c r="A485" s="204" t="str">
        <f>IF(ISBLANK(D485)," ",414-COUNTBLANK($D$6:D485))</f>
        <v xml:space="preserve"> </v>
      </c>
      <c r="B485" s="202"/>
      <c r="C485" s="202"/>
      <c r="D485" s="202"/>
      <c r="E485" s="300"/>
      <c r="F485" s="210"/>
      <c r="G485" s="203"/>
      <c r="H485" s="203"/>
      <c r="I485" s="291"/>
      <c r="J485" s="263"/>
      <c r="K485" s="264"/>
      <c r="L485" s="265"/>
      <c r="M485" s="265"/>
      <c r="N485" s="265"/>
      <c r="O485" s="265"/>
      <c r="P485" s="265"/>
      <c r="Q485" s="265"/>
      <c r="R485" s="265"/>
    </row>
    <row r="486" spans="1:18" ht="27.75" customHeight="1">
      <c r="A486" s="204" t="str">
        <f>IF(ISBLANK(D486)," ",415-COUNTBLANK($D$6:D486))</f>
        <v xml:space="preserve"> </v>
      </c>
      <c r="B486" s="202"/>
      <c r="C486" s="202"/>
      <c r="D486" s="202"/>
      <c r="E486" s="300"/>
      <c r="F486" s="210"/>
      <c r="G486" s="203"/>
      <c r="H486" s="203"/>
      <c r="I486" s="291"/>
      <c r="J486" s="263"/>
      <c r="K486" s="264"/>
      <c r="L486" s="265"/>
      <c r="M486" s="265"/>
      <c r="N486" s="265"/>
      <c r="O486" s="265"/>
      <c r="P486" s="265"/>
      <c r="Q486" s="265"/>
      <c r="R486" s="265"/>
    </row>
    <row r="487" spans="1:18" ht="27.75" customHeight="1">
      <c r="A487" s="204" t="str">
        <f>IF(ISBLANK(D487)," ",416-COUNTBLANK($D$6:D487))</f>
        <v xml:space="preserve"> </v>
      </c>
      <c r="B487" s="202"/>
      <c r="C487" s="202"/>
      <c r="D487" s="202"/>
      <c r="E487" s="300"/>
      <c r="F487" s="210"/>
      <c r="G487" s="203"/>
      <c r="H487" s="203"/>
      <c r="I487" s="291"/>
      <c r="J487" s="263"/>
      <c r="K487" s="264"/>
      <c r="L487" s="265"/>
      <c r="M487" s="265"/>
      <c r="N487" s="265"/>
      <c r="O487" s="265"/>
      <c r="P487" s="265"/>
      <c r="Q487" s="265"/>
      <c r="R487" s="265"/>
    </row>
    <row r="488" spans="1:18" ht="27.75" customHeight="1">
      <c r="A488" s="204" t="str">
        <f>IF(ISBLANK(D488)," ",417-COUNTBLANK($D$6:D488))</f>
        <v xml:space="preserve"> </v>
      </c>
      <c r="B488" s="202"/>
      <c r="C488" s="202"/>
      <c r="D488" s="202"/>
      <c r="E488" s="300"/>
      <c r="F488" s="210"/>
      <c r="G488" s="203"/>
      <c r="H488" s="203"/>
      <c r="I488" s="291"/>
      <c r="J488" s="263"/>
      <c r="K488" s="264"/>
      <c r="L488" s="265"/>
      <c r="M488" s="265"/>
      <c r="N488" s="265"/>
      <c r="O488" s="265"/>
      <c r="P488" s="265"/>
      <c r="Q488" s="265"/>
      <c r="R488" s="265"/>
    </row>
    <row r="489" spans="1:18" ht="27.75" customHeight="1">
      <c r="A489" s="204" t="str">
        <f>IF(ISBLANK(D489)," ",418-COUNTBLANK($D$6:D489))</f>
        <v xml:space="preserve"> </v>
      </c>
      <c r="B489" s="202"/>
      <c r="C489" s="202"/>
      <c r="D489" s="202"/>
      <c r="E489" s="300"/>
      <c r="F489" s="210"/>
      <c r="G489" s="203"/>
      <c r="H489" s="203"/>
      <c r="I489" s="291"/>
      <c r="J489" s="263"/>
      <c r="K489" s="264"/>
      <c r="L489" s="265"/>
      <c r="M489" s="265"/>
      <c r="N489" s="265"/>
      <c r="O489" s="265"/>
      <c r="P489" s="265"/>
      <c r="Q489" s="265"/>
      <c r="R489" s="265"/>
    </row>
    <row r="490" spans="1:18" ht="27.75" customHeight="1">
      <c r="A490" s="204" t="str">
        <f>IF(ISBLANK(D490)," ",419-COUNTBLANK($D$6:D490))</f>
        <v xml:space="preserve"> </v>
      </c>
      <c r="B490" s="202"/>
      <c r="C490" s="202"/>
      <c r="D490" s="202"/>
      <c r="E490" s="300"/>
      <c r="F490" s="210"/>
      <c r="G490" s="203"/>
      <c r="H490" s="203"/>
      <c r="I490" s="291"/>
      <c r="J490" s="263"/>
      <c r="K490" s="264"/>
      <c r="L490" s="265"/>
      <c r="M490" s="265"/>
      <c r="N490" s="265"/>
      <c r="O490" s="265"/>
      <c r="P490" s="265"/>
      <c r="Q490" s="265"/>
      <c r="R490" s="265"/>
    </row>
    <row r="491" spans="1:18" ht="27.75" customHeight="1">
      <c r="A491" s="204" t="s">
        <v>52</v>
      </c>
      <c r="B491" s="202"/>
      <c r="C491" s="202"/>
      <c r="D491" s="202"/>
      <c r="E491" s="300"/>
      <c r="F491" s="210">
        <f>SUM(F471:F490)</f>
        <v>0</v>
      </c>
      <c r="G491" s="203"/>
      <c r="H491" s="203"/>
      <c r="I491" s="291"/>
      <c r="J491" s="263"/>
      <c r="K491" s="264"/>
      <c r="L491" s="265"/>
      <c r="M491" s="265"/>
      <c r="N491" s="265"/>
      <c r="O491" s="265"/>
      <c r="P491" s="265"/>
      <c r="Q491" s="265"/>
      <c r="R491" s="265"/>
    </row>
    <row r="492" spans="1:18" ht="27.75" customHeight="1">
      <c r="A492" s="204" t="str">
        <f>IF(ISBLANK(D492)," ",421-COUNTBLANK($D$6:D492))</f>
        <v xml:space="preserve"> </v>
      </c>
      <c r="B492" s="202"/>
      <c r="C492" s="202"/>
      <c r="D492" s="202"/>
      <c r="E492" s="300"/>
      <c r="F492" s="210"/>
      <c r="G492" s="203"/>
      <c r="H492" s="203"/>
      <c r="I492" s="291"/>
      <c r="J492" s="263"/>
      <c r="K492" s="264"/>
      <c r="L492" s="265"/>
      <c r="M492" s="265"/>
      <c r="N492" s="265"/>
      <c r="O492" s="265"/>
      <c r="P492" s="265"/>
      <c r="Q492" s="265"/>
      <c r="R492" s="265"/>
    </row>
    <row r="493" spans="1:18" ht="27.75" customHeight="1">
      <c r="A493" s="204" t="str">
        <f>IF(ISBLANK(D493)," ",422-COUNTBLANK($D$6:D493))</f>
        <v xml:space="preserve"> </v>
      </c>
      <c r="B493" s="202"/>
      <c r="C493" s="202"/>
      <c r="D493" s="202"/>
      <c r="E493" s="300"/>
      <c r="F493" s="210"/>
      <c r="G493" s="203"/>
      <c r="H493" s="203"/>
      <c r="I493" s="291"/>
      <c r="J493" s="263"/>
      <c r="K493" s="264"/>
      <c r="L493" s="265"/>
      <c r="M493" s="265"/>
      <c r="N493" s="265"/>
      <c r="O493" s="265"/>
      <c r="P493" s="265"/>
      <c r="Q493" s="265"/>
      <c r="R493" s="265"/>
    </row>
    <row r="494" spans="1:18" ht="27.75" customHeight="1">
      <c r="A494" s="204" t="str">
        <f>IF(ISBLANK(D494)," ",423-COUNTBLANK($D$6:D494))</f>
        <v xml:space="preserve"> </v>
      </c>
      <c r="B494" s="202"/>
      <c r="C494" s="202"/>
      <c r="D494" s="202"/>
      <c r="E494" s="300"/>
      <c r="F494" s="210"/>
      <c r="G494" s="203"/>
      <c r="H494" s="203"/>
      <c r="I494" s="291"/>
      <c r="J494" s="263"/>
      <c r="K494" s="264"/>
      <c r="L494" s="265"/>
      <c r="M494" s="265"/>
      <c r="N494" s="265"/>
      <c r="O494" s="265"/>
      <c r="P494" s="265"/>
      <c r="Q494" s="265"/>
      <c r="R494" s="265"/>
    </row>
    <row r="495" spans="1:18" ht="27.75" customHeight="1">
      <c r="A495" s="204" t="str">
        <f>IF(ISBLANK(D495)," ",424-COUNTBLANK($D$6:D495))</f>
        <v xml:space="preserve"> </v>
      </c>
      <c r="B495" s="202"/>
      <c r="C495" s="202"/>
      <c r="D495" s="202"/>
      <c r="E495" s="300"/>
      <c r="F495" s="210"/>
      <c r="G495" s="203"/>
      <c r="H495" s="203"/>
      <c r="I495" s="291"/>
      <c r="J495" s="263"/>
      <c r="K495" s="266"/>
      <c r="L495" s="265"/>
      <c r="M495" s="265"/>
      <c r="N495" s="265"/>
      <c r="O495" s="265"/>
      <c r="P495" s="265"/>
      <c r="Q495" s="265"/>
      <c r="R495" s="267"/>
    </row>
    <row r="496" spans="1:18" ht="27.75" customHeight="1">
      <c r="A496" s="204" t="str">
        <f>IF(ISBLANK(D496)," ",425-COUNTBLANK($D$6:D496))</f>
        <v xml:space="preserve"> </v>
      </c>
      <c r="B496" s="202"/>
      <c r="C496" s="202"/>
      <c r="D496" s="202"/>
      <c r="E496" s="300"/>
      <c r="F496" s="210"/>
      <c r="G496" s="203"/>
      <c r="H496" s="203"/>
      <c r="I496" s="291"/>
      <c r="J496" s="263"/>
      <c r="K496" s="266"/>
      <c r="L496" s="265"/>
      <c r="M496" s="265"/>
      <c r="N496" s="265"/>
      <c r="O496" s="265"/>
      <c r="P496" s="265"/>
      <c r="Q496" s="265"/>
      <c r="R496" s="267"/>
    </row>
    <row r="497" spans="1:21" ht="27.75" customHeight="1">
      <c r="A497" s="204" t="str">
        <f>IF(ISBLANK(D497)," ",426-COUNTBLANK($D$6:D497))</f>
        <v xml:space="preserve"> </v>
      </c>
      <c r="B497" s="202"/>
      <c r="C497" s="202"/>
      <c r="D497" s="202"/>
      <c r="E497" s="300"/>
      <c r="F497" s="210"/>
      <c r="G497" s="203"/>
      <c r="H497" s="203"/>
      <c r="I497" s="291"/>
      <c r="J497" s="263"/>
      <c r="K497" s="266"/>
      <c r="L497" s="265"/>
      <c r="M497" s="265"/>
      <c r="N497" s="265"/>
      <c r="O497" s="265"/>
      <c r="P497" s="265"/>
      <c r="Q497" s="265"/>
      <c r="R497" s="267"/>
    </row>
    <row r="498" spans="1:21" ht="27.75" customHeight="1">
      <c r="A498" s="204" t="str">
        <f>IF(ISBLANK(D498)," ",427-COUNTBLANK($D$6:D498))</f>
        <v xml:space="preserve"> </v>
      </c>
      <c r="B498" s="202"/>
      <c r="C498" s="202"/>
      <c r="D498" s="202"/>
      <c r="E498" s="300"/>
      <c r="F498" s="210"/>
      <c r="G498" s="203"/>
      <c r="H498" s="203"/>
      <c r="I498" s="291"/>
      <c r="J498" s="263"/>
      <c r="K498" s="266"/>
      <c r="L498" s="265"/>
      <c r="M498" s="265"/>
      <c r="N498" s="265"/>
      <c r="O498" s="265"/>
      <c r="P498" s="265"/>
      <c r="Q498" s="265"/>
      <c r="R498" s="267"/>
    </row>
    <row r="499" spans="1:21" ht="27.75" customHeight="1">
      <c r="A499" s="304" t="str">
        <f>IF(ISBLANK(D499)," ",428-COUNTBLANK($D$6:D499))</f>
        <v xml:space="preserve"> </v>
      </c>
      <c r="B499" s="296"/>
      <c r="C499" s="305"/>
      <c r="D499" s="306"/>
      <c r="E499" s="297"/>
      <c r="F499" s="298"/>
      <c r="G499" s="282"/>
      <c r="H499" s="282"/>
      <c r="I499" s="303"/>
      <c r="J499" s="263"/>
      <c r="K499" s="264"/>
      <c r="L499" s="265"/>
      <c r="M499" s="265"/>
      <c r="N499" s="265"/>
      <c r="O499" s="265"/>
      <c r="P499" s="265"/>
      <c r="Q499" s="265"/>
      <c r="R499" s="284"/>
      <c r="S499" s="265"/>
      <c r="T499" s="265"/>
      <c r="U499" s="265"/>
    </row>
    <row r="500" spans="1:21" ht="27.75" customHeight="1">
      <c r="A500" s="260" t="str">
        <f>IF(ISBLANK(D500)," ",429-COUNTBLANK($D$6:D500))</f>
        <v xml:space="preserve"> </v>
      </c>
      <c r="B500" s="200"/>
      <c r="C500" s="200"/>
      <c r="D500" s="200"/>
      <c r="E500" s="299"/>
      <c r="F500" s="209"/>
      <c r="G500" s="201"/>
      <c r="H500" s="201"/>
      <c r="I500" s="291"/>
      <c r="J500" s="263"/>
      <c r="K500" s="266"/>
      <c r="L500" s="265"/>
      <c r="M500" s="265"/>
      <c r="N500" s="265"/>
      <c r="O500" s="265"/>
      <c r="P500" s="265"/>
      <c r="Q500" s="265"/>
      <c r="R500" s="284"/>
      <c r="S500" s="265"/>
      <c r="T500" s="265"/>
      <c r="U500" s="265"/>
    </row>
    <row r="501" spans="1:21" ht="27.75" customHeight="1">
      <c r="A501" s="204" t="str">
        <f>IF(ISBLANK(D501)," ",430-COUNTBLANK($D$6:D501))</f>
        <v xml:space="preserve"> </v>
      </c>
      <c r="B501" s="202"/>
      <c r="C501" s="202"/>
      <c r="D501" s="202"/>
      <c r="E501" s="300"/>
      <c r="F501" s="210"/>
      <c r="G501" s="203"/>
      <c r="H501" s="203"/>
      <c r="I501" s="291"/>
      <c r="J501" s="263"/>
      <c r="K501" s="264"/>
      <c r="L501" s="265"/>
      <c r="M501" s="265"/>
      <c r="N501" s="265"/>
      <c r="O501" s="265"/>
      <c r="P501" s="265"/>
      <c r="Q501" s="265"/>
      <c r="R501" s="265"/>
    </row>
    <row r="502" spans="1:21" ht="27.75" customHeight="1">
      <c r="A502" s="204" t="str">
        <f>IF(ISBLANK(D502)," ",431-COUNTBLANK($D$6:D502))</f>
        <v xml:space="preserve"> </v>
      </c>
      <c r="B502" s="202"/>
      <c r="C502" s="202"/>
      <c r="D502" s="202"/>
      <c r="E502" s="300"/>
      <c r="F502" s="210"/>
      <c r="G502" s="203"/>
      <c r="H502" s="203"/>
      <c r="I502" s="291"/>
      <c r="J502" s="263"/>
      <c r="K502" s="264"/>
      <c r="L502" s="265"/>
      <c r="M502" s="265"/>
      <c r="N502" s="265"/>
      <c r="O502" s="265"/>
      <c r="P502" s="265"/>
      <c r="Q502" s="265"/>
      <c r="R502" s="265"/>
    </row>
    <row r="503" spans="1:21" ht="27.75" customHeight="1">
      <c r="A503" s="204" t="str">
        <f>IF(ISBLANK(D503)," ",432-COUNTBLANK($D$6:D503))</f>
        <v xml:space="preserve"> </v>
      </c>
      <c r="B503" s="202"/>
      <c r="C503" s="202"/>
      <c r="D503" s="202"/>
      <c r="E503" s="300"/>
      <c r="F503" s="210"/>
      <c r="G503" s="203"/>
      <c r="H503" s="203"/>
      <c r="I503" s="291"/>
      <c r="J503" s="263"/>
      <c r="K503" s="264"/>
      <c r="L503" s="265"/>
      <c r="M503" s="265"/>
      <c r="N503" s="265"/>
      <c r="O503" s="265"/>
      <c r="P503" s="265"/>
      <c r="Q503" s="265"/>
      <c r="R503" s="265"/>
    </row>
    <row r="504" spans="1:21" ht="27.75" customHeight="1">
      <c r="A504" s="204" t="str">
        <f>IF(ISBLANK(D504)," ",433-COUNTBLANK($D$6:D504))</f>
        <v xml:space="preserve"> </v>
      </c>
      <c r="B504" s="202"/>
      <c r="C504" s="202"/>
      <c r="D504" s="202"/>
      <c r="E504" s="300"/>
      <c r="F504" s="210"/>
      <c r="G504" s="203"/>
      <c r="H504" s="203"/>
      <c r="I504" s="291"/>
      <c r="J504" s="263"/>
      <c r="K504" s="264"/>
      <c r="L504" s="265"/>
      <c r="M504" s="265"/>
      <c r="N504" s="265"/>
      <c r="O504" s="265"/>
      <c r="P504" s="265"/>
      <c r="Q504" s="265"/>
      <c r="R504" s="265"/>
    </row>
    <row r="505" spans="1:21" ht="27.75" customHeight="1">
      <c r="A505" s="204" t="str">
        <f>IF(ISBLANK(D505)," ",434-COUNTBLANK($D$6:D505))</f>
        <v xml:space="preserve"> </v>
      </c>
      <c r="B505" s="202"/>
      <c r="C505" s="202"/>
      <c r="D505" s="202"/>
      <c r="E505" s="300"/>
      <c r="F505" s="210"/>
      <c r="G505" s="203"/>
      <c r="H505" s="203"/>
      <c r="I505" s="291"/>
      <c r="J505" s="263"/>
      <c r="K505" s="264"/>
      <c r="L505" s="265"/>
      <c r="M505" s="265"/>
      <c r="N505" s="265"/>
      <c r="O505" s="265"/>
      <c r="P505" s="265"/>
      <c r="Q505" s="265"/>
      <c r="R505" s="265"/>
    </row>
    <row r="506" spans="1:21" ht="27.75" customHeight="1">
      <c r="A506" s="204" t="str">
        <f>IF(ISBLANK(D506)," ",435-COUNTBLANK($D$6:D506))</f>
        <v xml:space="preserve"> </v>
      </c>
      <c r="B506" s="202"/>
      <c r="C506" s="202"/>
      <c r="D506" s="202"/>
      <c r="E506" s="300"/>
      <c r="F506" s="210"/>
      <c r="G506" s="203"/>
      <c r="H506" s="203"/>
      <c r="I506" s="291"/>
      <c r="J506" s="263"/>
      <c r="K506" s="264"/>
      <c r="L506" s="265"/>
      <c r="M506" s="265"/>
      <c r="N506" s="265"/>
      <c r="O506" s="265"/>
      <c r="P506" s="265"/>
      <c r="Q506" s="265"/>
      <c r="R506" s="265"/>
    </row>
    <row r="507" spans="1:21" ht="27.75" customHeight="1">
      <c r="A507" s="204" t="str">
        <f>IF(ISBLANK(D507)," ",436-COUNTBLANK($D$6:D507))</f>
        <v xml:space="preserve"> </v>
      </c>
      <c r="B507" s="202"/>
      <c r="C507" s="202"/>
      <c r="D507" s="202"/>
      <c r="E507" s="300"/>
      <c r="F507" s="210"/>
      <c r="G507" s="203"/>
      <c r="H507" s="203"/>
      <c r="I507" s="291"/>
      <c r="J507" s="263"/>
      <c r="K507" s="264"/>
      <c r="L507" s="265"/>
      <c r="M507" s="265"/>
      <c r="N507" s="265"/>
      <c r="O507" s="265"/>
      <c r="P507" s="265"/>
      <c r="Q507" s="265"/>
      <c r="R507" s="265"/>
    </row>
    <row r="508" spans="1:21" ht="27.75" customHeight="1">
      <c r="A508" s="204" t="str">
        <f>IF(ISBLANK(D508)," ",437-COUNTBLANK($D$6:D508))</f>
        <v xml:space="preserve"> </v>
      </c>
      <c r="B508" s="202"/>
      <c r="C508" s="202"/>
      <c r="D508" s="202"/>
      <c r="E508" s="300"/>
      <c r="F508" s="210"/>
      <c r="G508" s="203"/>
      <c r="H508" s="203"/>
      <c r="I508" s="291"/>
      <c r="J508" s="263"/>
      <c r="K508" s="264"/>
      <c r="L508" s="265"/>
      <c r="M508" s="265"/>
      <c r="N508" s="265"/>
      <c r="O508" s="265"/>
      <c r="P508" s="265"/>
      <c r="Q508" s="265"/>
      <c r="R508" s="265"/>
    </row>
    <row r="509" spans="1:21" ht="27.75" customHeight="1">
      <c r="A509" s="204" t="str">
        <f>IF(ISBLANK(D509)," ",438-COUNTBLANK($D$6:D509))</f>
        <v xml:space="preserve"> </v>
      </c>
      <c r="B509" s="202"/>
      <c r="C509" s="202"/>
      <c r="D509" s="202"/>
      <c r="E509" s="300"/>
      <c r="F509" s="210"/>
      <c r="G509" s="203"/>
      <c r="H509" s="203"/>
      <c r="I509" s="291"/>
      <c r="J509" s="263"/>
      <c r="K509" s="264"/>
      <c r="L509" s="265"/>
      <c r="M509" s="265"/>
      <c r="N509" s="265"/>
      <c r="O509" s="265"/>
      <c r="P509" s="265"/>
      <c r="Q509" s="265"/>
      <c r="R509" s="265"/>
    </row>
    <row r="510" spans="1:21" ht="27.75" customHeight="1">
      <c r="A510" s="204" t="str">
        <f>IF(ISBLANK(D510)," ",439-COUNTBLANK($D$6:D510))</f>
        <v xml:space="preserve"> </v>
      </c>
      <c r="B510" s="202"/>
      <c r="C510" s="202"/>
      <c r="D510" s="202"/>
      <c r="E510" s="300"/>
      <c r="F510" s="210"/>
      <c r="G510" s="203"/>
      <c r="H510" s="203"/>
      <c r="I510" s="291"/>
      <c r="J510" s="263"/>
      <c r="K510" s="264"/>
      <c r="L510" s="265"/>
      <c r="M510" s="265"/>
      <c r="N510" s="265"/>
      <c r="O510" s="265"/>
      <c r="P510" s="265"/>
      <c r="Q510" s="265"/>
      <c r="R510" s="265"/>
    </row>
    <row r="511" spans="1:21" ht="27.75" customHeight="1">
      <c r="A511" s="204" t="str">
        <f>IF(ISBLANK(D511)," ",440-COUNTBLANK($D$6:D511))</f>
        <v xml:space="preserve"> </v>
      </c>
      <c r="B511" s="202"/>
      <c r="C511" s="202"/>
      <c r="D511" s="202"/>
      <c r="E511" s="300"/>
      <c r="F511" s="210"/>
      <c r="G511" s="203"/>
      <c r="H511" s="203"/>
      <c r="I511" s="291"/>
      <c r="J511" s="263"/>
      <c r="K511" s="264"/>
      <c r="L511" s="265"/>
      <c r="M511" s="265"/>
      <c r="N511" s="265"/>
      <c r="O511" s="265"/>
      <c r="P511" s="265"/>
      <c r="Q511" s="265"/>
      <c r="R511" s="265"/>
    </row>
    <row r="512" spans="1:21" ht="27.75" customHeight="1">
      <c r="A512" s="204" t="s">
        <v>52</v>
      </c>
      <c r="B512" s="202"/>
      <c r="C512" s="202"/>
      <c r="D512" s="202"/>
      <c r="E512" s="300"/>
      <c r="F512" s="210">
        <f>SUM(F492:F511)</f>
        <v>0</v>
      </c>
      <c r="G512" s="203"/>
      <c r="H512" s="203"/>
      <c r="I512" s="291"/>
      <c r="J512" s="263"/>
      <c r="K512" s="264"/>
      <c r="L512" s="265"/>
      <c r="M512" s="265"/>
      <c r="N512" s="265"/>
      <c r="O512" s="265"/>
      <c r="P512" s="265"/>
      <c r="Q512" s="265"/>
      <c r="R512" s="265"/>
    </row>
    <row r="513" spans="1:21" ht="27.75" customHeight="1">
      <c r="A513" s="204" t="str">
        <f>IF(ISBLANK(D513)," ",442-COUNTBLANK($D$6:D513))</f>
        <v xml:space="preserve"> </v>
      </c>
      <c r="B513" s="202"/>
      <c r="C513" s="202"/>
      <c r="D513" s="202"/>
      <c r="E513" s="300"/>
      <c r="F513" s="210"/>
      <c r="G513" s="203"/>
      <c r="H513" s="203"/>
      <c r="I513" s="291"/>
      <c r="J513" s="263"/>
      <c r="K513" s="264"/>
      <c r="L513" s="265"/>
      <c r="M513" s="265"/>
      <c r="N513" s="265"/>
      <c r="O513" s="265"/>
      <c r="P513" s="265"/>
      <c r="Q513" s="265"/>
      <c r="R513" s="265"/>
    </row>
    <row r="514" spans="1:21" ht="27.75" customHeight="1">
      <c r="A514" s="204" t="str">
        <f>IF(ISBLANK(D514)," ",443-COUNTBLANK($D$6:D514))</f>
        <v xml:space="preserve"> </v>
      </c>
      <c r="B514" s="202"/>
      <c r="C514" s="202"/>
      <c r="D514" s="202"/>
      <c r="E514" s="300"/>
      <c r="F514" s="210"/>
      <c r="G514" s="203"/>
      <c r="H514" s="203"/>
      <c r="I514" s="291"/>
      <c r="J514" s="263"/>
      <c r="K514" s="264"/>
      <c r="L514" s="265"/>
      <c r="M514" s="265"/>
      <c r="N514" s="265"/>
      <c r="O514" s="265"/>
      <c r="P514" s="265"/>
      <c r="Q514" s="265"/>
      <c r="R514" s="265"/>
    </row>
    <row r="515" spans="1:21" ht="27.75" customHeight="1">
      <c r="A515" s="204" t="str">
        <f>IF(ISBLANK(D515)," ",444-COUNTBLANK($D$6:D515))</f>
        <v xml:space="preserve"> </v>
      </c>
      <c r="B515" s="202"/>
      <c r="C515" s="202"/>
      <c r="D515" s="202"/>
      <c r="E515" s="300"/>
      <c r="F515" s="210"/>
      <c r="G515" s="203"/>
      <c r="H515" s="203"/>
      <c r="I515" s="291"/>
      <c r="J515" s="263"/>
      <c r="K515" s="264"/>
      <c r="L515" s="265"/>
      <c r="M515" s="265"/>
      <c r="N515" s="265"/>
      <c r="O515" s="265"/>
      <c r="P515" s="265"/>
      <c r="Q515" s="265"/>
      <c r="R515" s="265"/>
    </row>
    <row r="516" spans="1:21" ht="27.75" customHeight="1">
      <c r="A516" s="204" t="str">
        <f>IF(ISBLANK(D516)," ",445-COUNTBLANK($D$6:D516))</f>
        <v xml:space="preserve"> </v>
      </c>
      <c r="B516" s="202"/>
      <c r="C516" s="202"/>
      <c r="D516" s="202"/>
      <c r="E516" s="300"/>
      <c r="F516" s="210"/>
      <c r="G516" s="203"/>
      <c r="H516" s="203"/>
      <c r="I516" s="291"/>
      <c r="J516" s="263"/>
      <c r="K516" s="266"/>
      <c r="L516" s="265"/>
      <c r="M516" s="265"/>
      <c r="N516" s="265"/>
      <c r="O516" s="265"/>
      <c r="P516" s="265"/>
      <c r="Q516" s="265"/>
      <c r="R516" s="267"/>
    </row>
    <row r="517" spans="1:21" ht="27.75" customHeight="1">
      <c r="A517" s="204" t="str">
        <f>IF(ISBLANK(D517)," ",446-COUNTBLANK($D$6:D517))</f>
        <v xml:space="preserve"> </v>
      </c>
      <c r="B517" s="202"/>
      <c r="C517" s="202"/>
      <c r="D517" s="202"/>
      <c r="E517" s="300"/>
      <c r="F517" s="210"/>
      <c r="G517" s="203"/>
      <c r="H517" s="203"/>
      <c r="I517" s="291"/>
      <c r="J517" s="263"/>
      <c r="K517" s="266"/>
      <c r="L517" s="265"/>
      <c r="M517" s="265"/>
      <c r="N517" s="265"/>
      <c r="O517" s="265"/>
      <c r="P517" s="265"/>
      <c r="Q517" s="265"/>
      <c r="R517" s="267"/>
    </row>
    <row r="518" spans="1:21" ht="27.75" customHeight="1">
      <c r="A518" s="204" t="str">
        <f>IF(ISBLANK(D518)," ",447-COUNTBLANK($D$6:D518))</f>
        <v xml:space="preserve"> </v>
      </c>
      <c r="B518" s="202"/>
      <c r="C518" s="202"/>
      <c r="D518" s="202"/>
      <c r="E518" s="300"/>
      <c r="F518" s="210"/>
      <c r="G518" s="203"/>
      <c r="H518" s="203"/>
      <c r="I518" s="291"/>
      <c r="J518" s="263"/>
      <c r="K518" s="266"/>
      <c r="L518" s="265"/>
      <c r="M518" s="265"/>
      <c r="N518" s="265"/>
      <c r="O518" s="265"/>
      <c r="P518" s="265"/>
      <c r="Q518" s="265"/>
      <c r="R518" s="267"/>
    </row>
    <row r="519" spans="1:21" ht="27.75" customHeight="1">
      <c r="A519" s="204" t="str">
        <f>IF(ISBLANK(D519)," ",448-COUNTBLANK($D$6:D519))</f>
        <v xml:space="preserve"> </v>
      </c>
      <c r="B519" s="202"/>
      <c r="C519" s="202"/>
      <c r="D519" s="202"/>
      <c r="E519" s="300"/>
      <c r="F519" s="210"/>
      <c r="G519" s="203"/>
      <c r="H519" s="203"/>
      <c r="I519" s="291"/>
      <c r="J519" s="263"/>
      <c r="K519" s="266"/>
      <c r="L519" s="265"/>
      <c r="M519" s="265"/>
      <c r="N519" s="265"/>
      <c r="O519" s="265"/>
      <c r="P519" s="265"/>
      <c r="Q519" s="265"/>
      <c r="R519" s="267"/>
    </row>
    <row r="520" spans="1:21" ht="27.75" customHeight="1">
      <c r="A520" s="304" t="str">
        <f>IF(ISBLANK(D520)," ",449-COUNTBLANK($D$6:D520))</f>
        <v xml:space="preserve"> </v>
      </c>
      <c r="B520" s="296"/>
      <c r="C520" s="305"/>
      <c r="D520" s="306"/>
      <c r="E520" s="297"/>
      <c r="F520" s="298"/>
      <c r="G520" s="282"/>
      <c r="H520" s="282"/>
      <c r="I520" s="303"/>
      <c r="J520" s="263"/>
      <c r="K520" s="264"/>
      <c r="L520" s="265"/>
      <c r="M520" s="265"/>
      <c r="N520" s="265"/>
      <c r="O520" s="265"/>
      <c r="P520" s="265"/>
      <c r="Q520" s="265"/>
      <c r="R520" s="284"/>
      <c r="S520" s="265"/>
      <c r="T520" s="265"/>
      <c r="U520" s="265"/>
    </row>
    <row r="521" spans="1:21" ht="27.75" customHeight="1">
      <c r="A521" s="240" t="str">
        <f>IF(ISBLANK(D521)," ",450-COUNTBLANK($D$6:D521))</f>
        <v xml:space="preserve"> </v>
      </c>
      <c r="J521" s="263"/>
      <c r="K521" s="266"/>
      <c r="L521" s="265"/>
      <c r="M521" s="265"/>
      <c r="N521" s="265"/>
      <c r="O521" s="265"/>
      <c r="P521" s="265"/>
      <c r="Q521" s="265"/>
      <c r="R521" s="284"/>
      <c r="S521" s="265"/>
      <c r="T521" s="265"/>
      <c r="U521" s="265"/>
    </row>
    <row r="522" spans="1:21" ht="27.75" customHeight="1">
      <c r="A522" s="240" t="str">
        <f>IF(ISBLANK(D522)," ",451-COUNTBLANK($D$6:D522))</f>
        <v xml:space="preserve"> </v>
      </c>
      <c r="J522" s="263"/>
      <c r="K522" s="264"/>
      <c r="L522" s="265"/>
      <c r="M522" s="265"/>
      <c r="N522" s="265"/>
      <c r="O522" s="265"/>
      <c r="P522" s="265"/>
      <c r="Q522" s="265"/>
      <c r="R522" s="265"/>
    </row>
    <row r="523" spans="1:21" ht="27.75" customHeight="1">
      <c r="A523" s="240" t="str">
        <f>IF(ISBLANK(D523)," ",452-COUNTBLANK($D$6:D523))</f>
        <v xml:space="preserve"> </v>
      </c>
      <c r="J523" s="263"/>
      <c r="K523" s="264"/>
      <c r="L523" s="265"/>
      <c r="M523" s="265"/>
      <c r="N523" s="265"/>
      <c r="O523" s="265"/>
      <c r="P523" s="265"/>
      <c r="Q523" s="265"/>
      <c r="R523" s="265"/>
    </row>
    <row r="524" spans="1:21" ht="27.75" customHeight="1">
      <c r="A524" s="240" t="str">
        <f>IF(ISBLANK(D524)," ",453-COUNTBLANK($D$6:D524))</f>
        <v xml:space="preserve"> </v>
      </c>
      <c r="J524" s="263"/>
      <c r="K524" s="264"/>
      <c r="L524" s="265"/>
      <c r="M524" s="265"/>
      <c r="N524" s="265"/>
      <c r="O524" s="265"/>
      <c r="P524" s="265"/>
      <c r="Q524" s="265"/>
      <c r="R524" s="265"/>
    </row>
    <row r="525" spans="1:21" ht="27.75" customHeight="1">
      <c r="A525" s="240" t="str">
        <f>IF(ISBLANK(D525)," ",454-COUNTBLANK($D$6:D525))</f>
        <v xml:space="preserve"> </v>
      </c>
      <c r="J525" s="263"/>
      <c r="K525" s="264"/>
      <c r="L525" s="265"/>
      <c r="M525" s="265"/>
      <c r="N525" s="265"/>
      <c r="O525" s="265"/>
      <c r="P525" s="265"/>
      <c r="Q525" s="265"/>
      <c r="R525" s="265"/>
    </row>
    <row r="526" spans="1:21" ht="27.75" customHeight="1">
      <c r="A526" s="240" t="str">
        <f>IF(ISBLANK(D526)," ",455-COUNTBLANK($D$6:D526))</f>
        <v xml:space="preserve"> </v>
      </c>
      <c r="J526" s="263"/>
      <c r="K526" s="264"/>
      <c r="L526" s="265"/>
      <c r="M526" s="265"/>
      <c r="N526" s="265"/>
      <c r="O526" s="265"/>
      <c r="P526" s="265"/>
      <c r="Q526" s="265"/>
      <c r="R526" s="265"/>
    </row>
    <row r="527" spans="1:21" ht="27.75" customHeight="1">
      <c r="A527" s="240" t="str">
        <f>IF(ISBLANK(D527)," ",456-COUNTBLANK($D$6:D527))</f>
        <v xml:space="preserve"> </v>
      </c>
      <c r="J527" s="263"/>
      <c r="K527" s="264"/>
      <c r="L527" s="265"/>
      <c r="M527" s="265"/>
      <c r="N527" s="265"/>
      <c r="O527" s="265"/>
      <c r="P527" s="265"/>
      <c r="Q527" s="265"/>
      <c r="R527" s="265"/>
    </row>
    <row r="528" spans="1:21" ht="27.75" customHeight="1">
      <c r="A528" s="240" t="str">
        <f>IF(ISBLANK(D528)," ",457-COUNTBLANK($D$6:D528))</f>
        <v xml:space="preserve"> </v>
      </c>
      <c r="J528" s="263"/>
      <c r="K528" s="264"/>
      <c r="L528" s="265"/>
      <c r="M528" s="265"/>
      <c r="N528" s="265"/>
      <c r="O528" s="265"/>
      <c r="P528" s="265"/>
      <c r="Q528" s="265"/>
      <c r="R528" s="265"/>
    </row>
    <row r="529" spans="1:21" ht="27.75" customHeight="1">
      <c r="A529" s="240" t="str">
        <f>IF(ISBLANK(D529)," ",458-COUNTBLANK($D$6:D529))</f>
        <v xml:space="preserve"> </v>
      </c>
      <c r="J529" s="263"/>
      <c r="K529" s="264"/>
      <c r="L529" s="265"/>
      <c r="M529" s="265"/>
      <c r="N529" s="265"/>
      <c r="O529" s="265"/>
      <c r="P529" s="265"/>
      <c r="Q529" s="265"/>
      <c r="R529" s="265"/>
    </row>
    <row r="530" spans="1:21" ht="27.75" customHeight="1">
      <c r="A530" s="240" t="str">
        <f>IF(ISBLANK(D530)," ",459-COUNTBLANK($D$6:D530))</f>
        <v xml:space="preserve"> </v>
      </c>
      <c r="J530" s="263"/>
      <c r="K530" s="264"/>
      <c r="L530" s="265"/>
      <c r="M530" s="265"/>
      <c r="N530" s="265"/>
      <c r="O530" s="265"/>
      <c r="P530" s="265"/>
      <c r="Q530" s="265"/>
      <c r="R530" s="265"/>
    </row>
    <row r="531" spans="1:21" ht="27.75" customHeight="1">
      <c r="A531" s="240" t="str">
        <f>IF(ISBLANK(D531)," ",460-COUNTBLANK($D$6:D531))</f>
        <v xml:space="preserve"> </v>
      </c>
      <c r="J531" s="263"/>
      <c r="K531" s="264"/>
      <c r="L531" s="265"/>
      <c r="M531" s="265"/>
      <c r="N531" s="265"/>
      <c r="O531" s="265"/>
      <c r="P531" s="265"/>
      <c r="Q531" s="265"/>
      <c r="R531" s="265"/>
    </row>
    <row r="532" spans="1:21" ht="27.75" customHeight="1">
      <c r="A532" s="240" t="str">
        <f>IF(ISBLANK(D532)," ",461-COUNTBLANK($D$6:D532))</f>
        <v xml:space="preserve"> </v>
      </c>
      <c r="J532" s="263"/>
      <c r="K532" s="264"/>
      <c r="L532" s="265"/>
      <c r="M532" s="265"/>
      <c r="N532" s="265"/>
      <c r="O532" s="265"/>
      <c r="P532" s="265"/>
      <c r="Q532" s="265"/>
      <c r="R532" s="265"/>
    </row>
    <row r="533" spans="1:21" ht="27.75" customHeight="1">
      <c r="A533" s="240" t="s">
        <v>52</v>
      </c>
      <c r="F533" s="309">
        <f>SUM(F513:F532)</f>
        <v>0</v>
      </c>
      <c r="J533" s="263"/>
      <c r="K533" s="264"/>
      <c r="L533" s="265"/>
      <c r="M533" s="265"/>
      <c r="N533" s="265"/>
      <c r="O533" s="265"/>
      <c r="P533" s="265"/>
      <c r="Q533" s="265"/>
      <c r="R533" s="265"/>
    </row>
    <row r="534" spans="1:21" ht="27.75" customHeight="1">
      <c r="A534" s="240" t="str">
        <f>IF(ISBLANK(D534)," ",463-COUNTBLANK($D$6:D534))</f>
        <v xml:space="preserve"> </v>
      </c>
      <c r="J534" s="263"/>
      <c r="K534" s="264"/>
      <c r="L534" s="265"/>
      <c r="M534" s="265"/>
      <c r="N534" s="265"/>
      <c r="O534" s="265"/>
      <c r="P534" s="265"/>
      <c r="Q534" s="265"/>
      <c r="R534" s="265"/>
    </row>
    <row r="535" spans="1:21" ht="27.75" customHeight="1">
      <c r="A535" s="240" t="str">
        <f>IF(ISBLANK(D535)," ",464-COUNTBLANK($D$6:D535))</f>
        <v xml:space="preserve"> </v>
      </c>
      <c r="J535" s="263"/>
      <c r="K535" s="264"/>
      <c r="L535" s="265"/>
      <c r="M535" s="265"/>
      <c r="N535" s="265"/>
      <c r="O535" s="265"/>
      <c r="P535" s="265"/>
      <c r="Q535" s="265"/>
      <c r="R535" s="265"/>
    </row>
    <row r="536" spans="1:21" ht="27.75" customHeight="1">
      <c r="A536" s="240" t="str">
        <f>IF(ISBLANK(D536)," ",465-COUNTBLANK($D$6:D536))</f>
        <v xml:space="preserve"> </v>
      </c>
      <c r="J536" s="263"/>
      <c r="K536" s="264"/>
      <c r="L536" s="265"/>
      <c r="M536" s="265"/>
      <c r="N536" s="265"/>
      <c r="O536" s="265"/>
      <c r="P536" s="265"/>
      <c r="Q536" s="265"/>
      <c r="R536" s="265"/>
    </row>
    <row r="537" spans="1:21" ht="27.75" customHeight="1">
      <c r="A537" s="240" t="str">
        <f>IF(ISBLANK(D537)," ",466-COUNTBLANK($D$6:D537))</f>
        <v xml:space="preserve"> </v>
      </c>
      <c r="J537" s="263"/>
      <c r="K537" s="266"/>
      <c r="L537" s="265"/>
      <c r="M537" s="265"/>
      <c r="N537" s="265"/>
      <c r="O537" s="265"/>
      <c r="P537" s="265"/>
      <c r="Q537" s="265"/>
      <c r="R537" s="267"/>
    </row>
    <row r="538" spans="1:21" ht="27.75" customHeight="1">
      <c r="A538" s="240" t="str">
        <f>IF(ISBLANK(D538)," ",467-COUNTBLANK($D$6:D538))</f>
        <v xml:space="preserve"> </v>
      </c>
      <c r="J538" s="263"/>
      <c r="K538" s="266"/>
      <c r="L538" s="265"/>
      <c r="M538" s="265"/>
      <c r="N538" s="265"/>
      <c r="O538" s="265"/>
      <c r="P538" s="265"/>
      <c r="Q538" s="265"/>
      <c r="R538" s="267"/>
    </row>
    <row r="539" spans="1:21" ht="27.75" customHeight="1">
      <c r="A539" s="240" t="str">
        <f>IF(ISBLANK(D539)," ",468-COUNTBLANK($D$6:D539))</f>
        <v xml:space="preserve"> </v>
      </c>
      <c r="J539" s="263"/>
      <c r="K539" s="266"/>
      <c r="L539" s="265"/>
      <c r="M539" s="265"/>
      <c r="N539" s="265"/>
      <c r="O539" s="265"/>
      <c r="P539" s="265"/>
      <c r="Q539" s="265"/>
      <c r="R539" s="267"/>
    </row>
    <row r="540" spans="1:21" ht="27.75" customHeight="1">
      <c r="A540" s="240" t="str">
        <f>IF(ISBLANK(D540)," ",469-COUNTBLANK($D$6:D540))</f>
        <v xml:space="preserve"> </v>
      </c>
      <c r="J540" s="263"/>
      <c r="K540" s="266"/>
      <c r="L540" s="265"/>
      <c r="M540" s="265"/>
      <c r="N540" s="265"/>
      <c r="O540" s="265"/>
      <c r="P540" s="265"/>
      <c r="Q540" s="265"/>
      <c r="R540" s="267"/>
    </row>
    <row r="541" spans="1:21" ht="27.75" customHeight="1">
      <c r="A541" s="240" t="str">
        <f>IF(ISBLANK(D541)," ",470-COUNTBLANK($D$6:D541))</f>
        <v xml:space="preserve"> </v>
      </c>
      <c r="J541" s="263"/>
      <c r="K541" s="264"/>
      <c r="L541" s="265"/>
      <c r="M541" s="265"/>
      <c r="N541" s="265"/>
      <c r="O541" s="265"/>
      <c r="P541" s="265"/>
      <c r="Q541" s="265"/>
      <c r="R541" s="284"/>
      <c r="S541" s="265"/>
      <c r="T541" s="265"/>
      <c r="U541" s="265"/>
    </row>
    <row r="542" spans="1:21" ht="27.75" customHeight="1">
      <c r="A542" s="240" t="str">
        <f>IF(ISBLANK(D542)," ",471-COUNTBLANK($D$6:D542))</f>
        <v xml:space="preserve"> </v>
      </c>
      <c r="J542" s="263"/>
      <c r="K542" s="266"/>
      <c r="L542" s="265"/>
      <c r="M542" s="265"/>
      <c r="N542" s="265"/>
      <c r="O542" s="265"/>
      <c r="P542" s="265"/>
      <c r="Q542" s="265"/>
      <c r="R542" s="284"/>
      <c r="S542" s="265"/>
      <c r="T542" s="265"/>
      <c r="U542" s="265"/>
    </row>
    <row r="543" spans="1:21" ht="27.75" customHeight="1">
      <c r="A543" s="240" t="str">
        <f>IF(ISBLANK(D543)," ",472-COUNTBLANK($D$6:D543))</f>
        <v xml:space="preserve"> </v>
      </c>
      <c r="J543" s="263"/>
      <c r="K543" s="264"/>
      <c r="L543" s="265"/>
      <c r="M543" s="265"/>
      <c r="N543" s="265"/>
      <c r="O543" s="265"/>
      <c r="P543" s="265"/>
      <c r="Q543" s="265"/>
      <c r="R543" s="265"/>
    </row>
    <row r="544" spans="1:21" ht="27.75" customHeight="1">
      <c r="A544" s="240" t="str">
        <f>IF(ISBLANK(D544)," ",473-COUNTBLANK($D$6:D544))</f>
        <v xml:space="preserve"> </v>
      </c>
      <c r="J544" s="263"/>
      <c r="K544" s="264"/>
      <c r="L544" s="265"/>
      <c r="M544" s="265"/>
      <c r="N544" s="265"/>
      <c r="O544" s="265"/>
      <c r="P544" s="265"/>
      <c r="Q544" s="265"/>
      <c r="R544" s="265"/>
    </row>
    <row r="545" spans="1:18" ht="27.75" customHeight="1">
      <c r="A545" s="240" t="str">
        <f>IF(ISBLANK(D545)," ",474-COUNTBLANK($D$6:D545))</f>
        <v xml:space="preserve"> </v>
      </c>
      <c r="J545" s="263"/>
      <c r="K545" s="264"/>
      <c r="L545" s="265"/>
      <c r="M545" s="265"/>
      <c r="N545" s="265"/>
      <c r="O545" s="265"/>
      <c r="P545" s="265"/>
      <c r="Q545" s="265"/>
      <c r="R545" s="265"/>
    </row>
    <row r="546" spans="1:18" ht="27.75" customHeight="1">
      <c r="A546" s="240" t="str">
        <f>IF(ISBLANK(D546)," ",475-COUNTBLANK($D$6:D546))</f>
        <v xml:space="preserve"> </v>
      </c>
      <c r="J546" s="263"/>
      <c r="K546" s="264"/>
      <c r="L546" s="265"/>
      <c r="M546" s="265"/>
      <c r="N546" s="265"/>
      <c r="O546" s="265"/>
      <c r="P546" s="265"/>
      <c r="Q546" s="265"/>
      <c r="R546" s="265"/>
    </row>
    <row r="547" spans="1:18" ht="27.75" customHeight="1">
      <c r="A547" s="240" t="str">
        <f>IF(ISBLANK(D547)," ",476-COUNTBLANK($D$6:D547))</f>
        <v xml:space="preserve"> </v>
      </c>
      <c r="J547" s="263"/>
      <c r="K547" s="264"/>
      <c r="L547" s="265"/>
      <c r="M547" s="265"/>
      <c r="N547" s="265"/>
      <c r="O547" s="265"/>
      <c r="P547" s="265"/>
      <c r="Q547" s="265"/>
      <c r="R547" s="265"/>
    </row>
    <row r="548" spans="1:18" ht="27.75" customHeight="1">
      <c r="A548" s="240" t="str">
        <f>IF(ISBLANK(D548)," ",477-COUNTBLANK($D$6:D548))</f>
        <v xml:space="preserve"> </v>
      </c>
      <c r="J548" s="263"/>
      <c r="K548" s="264"/>
      <c r="L548" s="265"/>
      <c r="M548" s="265"/>
      <c r="N548" s="265"/>
      <c r="O548" s="265"/>
      <c r="P548" s="265"/>
      <c r="Q548" s="265"/>
      <c r="R548" s="265"/>
    </row>
    <row r="549" spans="1:18" ht="27.75" customHeight="1">
      <c r="A549" s="240" t="str">
        <f>IF(ISBLANK(D549)," ",478-COUNTBLANK($D$6:D549))</f>
        <v xml:space="preserve"> </v>
      </c>
      <c r="J549" s="263"/>
      <c r="K549" s="264"/>
      <c r="L549" s="265"/>
      <c r="M549" s="265"/>
      <c r="N549" s="265"/>
      <c r="O549" s="265"/>
      <c r="P549" s="265"/>
      <c r="Q549" s="265"/>
      <c r="R549" s="265"/>
    </row>
    <row r="550" spans="1:18" ht="27.75" customHeight="1">
      <c r="A550" s="240" t="str">
        <f>IF(ISBLANK(D550)," ",479-COUNTBLANK($D$6:D550))</f>
        <v xml:space="preserve"> </v>
      </c>
      <c r="J550" s="263"/>
      <c r="K550" s="264"/>
      <c r="L550" s="265"/>
      <c r="M550" s="265"/>
      <c r="N550" s="265"/>
      <c r="O550" s="265"/>
      <c r="P550" s="265"/>
      <c r="Q550" s="265"/>
      <c r="R550" s="265"/>
    </row>
    <row r="551" spans="1:18" ht="27.75" customHeight="1">
      <c r="A551" s="240" t="str">
        <f>IF(ISBLANK(D551)," ",480-COUNTBLANK($D$6:D551))</f>
        <v xml:space="preserve"> </v>
      </c>
      <c r="J551" s="263"/>
      <c r="K551" s="264"/>
      <c r="L551" s="265"/>
      <c r="M551" s="265"/>
      <c r="N551" s="265"/>
      <c r="O551" s="265"/>
      <c r="P551" s="265"/>
      <c r="Q551" s="265"/>
      <c r="R551" s="265"/>
    </row>
    <row r="552" spans="1:18" ht="27.75" customHeight="1">
      <c r="A552" s="240" t="str">
        <f>IF(ISBLANK(D552)," ",481-COUNTBLANK($D$6:D552))</f>
        <v xml:space="preserve"> </v>
      </c>
      <c r="J552" s="263"/>
      <c r="K552" s="264"/>
      <c r="L552" s="265"/>
      <c r="M552" s="265"/>
      <c r="N552" s="265"/>
      <c r="O552" s="265"/>
      <c r="P552" s="265"/>
      <c r="Q552" s="265"/>
      <c r="R552" s="265"/>
    </row>
    <row r="553" spans="1:18" ht="27.75" customHeight="1">
      <c r="A553" s="240" t="str">
        <f>IF(ISBLANK(D553)," ",482-COUNTBLANK($D$6:D553))</f>
        <v xml:space="preserve"> </v>
      </c>
      <c r="J553" s="263"/>
      <c r="K553" s="264"/>
      <c r="L553" s="265"/>
      <c r="M553" s="265"/>
      <c r="N553" s="265"/>
      <c r="O553" s="265"/>
      <c r="P553" s="265"/>
      <c r="Q553" s="265"/>
      <c r="R553" s="265"/>
    </row>
    <row r="554" spans="1:18" ht="27.75" customHeight="1">
      <c r="A554" s="240" t="s">
        <v>52</v>
      </c>
      <c r="F554" s="309">
        <f>SUM(F534:F553)</f>
        <v>0</v>
      </c>
      <c r="J554" s="263"/>
      <c r="K554" s="264"/>
      <c r="L554" s="265"/>
      <c r="M554" s="265"/>
      <c r="N554" s="265"/>
      <c r="O554" s="265"/>
      <c r="P554" s="265"/>
      <c r="Q554" s="265"/>
      <c r="R554" s="265"/>
    </row>
    <row r="555" spans="1:18" ht="27.75" customHeight="1">
      <c r="A555" s="240" t="str">
        <f>IF(ISBLANK(D555)," ",484-COUNTBLANK($D$6:D555))</f>
        <v xml:space="preserve"> </v>
      </c>
      <c r="J555" s="263"/>
      <c r="K555" s="264"/>
      <c r="L555" s="265"/>
      <c r="M555" s="265"/>
      <c r="N555" s="265"/>
      <c r="O555" s="265"/>
      <c r="P555" s="265"/>
      <c r="Q555" s="265"/>
      <c r="R555" s="265"/>
    </row>
    <row r="556" spans="1:18" ht="27.75" customHeight="1">
      <c r="A556" s="240" t="str">
        <f>IF(ISBLANK(D556)," ",485-COUNTBLANK($D$6:D556))</f>
        <v xml:space="preserve"> </v>
      </c>
      <c r="J556" s="263"/>
      <c r="K556" s="264"/>
      <c r="L556" s="265"/>
      <c r="M556" s="265"/>
      <c r="N556" s="265"/>
      <c r="O556" s="265"/>
      <c r="P556" s="265"/>
      <c r="Q556" s="265"/>
      <c r="R556" s="265"/>
    </row>
    <row r="557" spans="1:18" ht="27.75" customHeight="1">
      <c r="A557" s="240" t="str">
        <f>IF(ISBLANK(D557)," ",486-COUNTBLANK($D$6:D557))</f>
        <v xml:space="preserve"> </v>
      </c>
      <c r="J557" s="263"/>
      <c r="K557" s="264"/>
      <c r="L557" s="265"/>
      <c r="M557" s="265"/>
      <c r="N557" s="265"/>
      <c r="O557" s="265"/>
      <c r="P557" s="265"/>
      <c r="Q557" s="265"/>
      <c r="R557" s="265"/>
    </row>
    <row r="558" spans="1:18" ht="27.75" customHeight="1">
      <c r="A558" s="240" t="str">
        <f>IF(ISBLANK(D558)," ",487-COUNTBLANK($D$6:D558))</f>
        <v xml:space="preserve"> </v>
      </c>
      <c r="J558" s="263"/>
      <c r="K558" s="266"/>
      <c r="L558" s="265"/>
      <c r="M558" s="265"/>
      <c r="N558" s="265"/>
      <c r="O558" s="265"/>
      <c r="P558" s="265"/>
      <c r="Q558" s="265"/>
      <c r="R558" s="267"/>
    </row>
    <row r="559" spans="1:18" ht="27.75" customHeight="1">
      <c r="A559" s="240" t="str">
        <f>IF(ISBLANK(D559)," ",488-COUNTBLANK($D$6:D559))</f>
        <v xml:space="preserve"> </v>
      </c>
      <c r="J559" s="263"/>
      <c r="K559" s="266"/>
      <c r="L559" s="265"/>
      <c r="M559" s="265"/>
      <c r="N559" s="265"/>
      <c r="O559" s="265"/>
      <c r="P559" s="265"/>
      <c r="Q559" s="265"/>
      <c r="R559" s="267"/>
    </row>
    <row r="560" spans="1:18" ht="27.75" customHeight="1">
      <c r="A560" s="240" t="str">
        <f>IF(ISBLANK(D560)," ",489-COUNTBLANK($D$6:D560))</f>
        <v xml:space="preserve"> </v>
      </c>
      <c r="J560" s="263"/>
      <c r="K560" s="266"/>
      <c r="L560" s="265"/>
      <c r="M560" s="265"/>
      <c r="N560" s="265"/>
      <c r="O560" s="265"/>
      <c r="P560" s="265"/>
      <c r="Q560" s="265"/>
      <c r="R560" s="267"/>
    </row>
    <row r="561" spans="1:21" ht="27.75" customHeight="1">
      <c r="A561" s="240" t="str">
        <f>IF(ISBLANK(D561)," ",490-COUNTBLANK($D$6:D561))</f>
        <v xml:space="preserve"> </v>
      </c>
      <c r="J561" s="263"/>
      <c r="K561" s="266"/>
      <c r="L561" s="265"/>
      <c r="M561" s="265"/>
      <c r="N561" s="265"/>
      <c r="O561" s="265"/>
      <c r="P561" s="265"/>
      <c r="Q561" s="265"/>
      <c r="R561" s="267"/>
    </row>
    <row r="562" spans="1:21" ht="27.75" customHeight="1">
      <c r="A562" s="240" t="str">
        <f>IF(ISBLANK(D562)," ",491-COUNTBLANK($D$6:D562))</f>
        <v xml:space="preserve"> </v>
      </c>
      <c r="J562" s="263"/>
      <c r="K562" s="264"/>
      <c r="L562" s="265"/>
      <c r="M562" s="265"/>
      <c r="N562" s="265"/>
      <c r="O562" s="265"/>
      <c r="P562" s="265"/>
      <c r="Q562" s="265"/>
      <c r="R562" s="284"/>
      <c r="S562" s="265"/>
      <c r="T562" s="265"/>
      <c r="U562" s="265"/>
    </row>
    <row r="563" spans="1:21" ht="27.75" customHeight="1">
      <c r="A563" s="240" t="str">
        <f>IF(ISBLANK(D563)," ",492-COUNTBLANK($D$6:D563))</f>
        <v xml:space="preserve"> </v>
      </c>
      <c r="J563" s="263"/>
      <c r="K563" s="266"/>
      <c r="L563" s="265"/>
      <c r="M563" s="265"/>
      <c r="N563" s="265"/>
      <c r="O563" s="265"/>
      <c r="P563" s="265"/>
      <c r="Q563" s="265"/>
      <c r="R563" s="284"/>
      <c r="S563" s="265"/>
      <c r="T563" s="265"/>
      <c r="U563" s="265"/>
    </row>
    <row r="564" spans="1:21" ht="27.75" customHeight="1">
      <c r="A564" s="240" t="str">
        <f>IF(ISBLANK(D564)," ",493-COUNTBLANK($D$6:D564))</f>
        <v xml:space="preserve"> </v>
      </c>
      <c r="J564" s="263"/>
      <c r="K564" s="264"/>
      <c r="L564" s="265"/>
      <c r="M564" s="265"/>
      <c r="N564" s="265"/>
      <c r="O564" s="265"/>
      <c r="P564" s="265"/>
      <c r="Q564" s="265"/>
      <c r="R564" s="265"/>
    </row>
    <row r="565" spans="1:21" ht="27.75" customHeight="1">
      <c r="A565" s="240" t="str">
        <f>IF(ISBLANK(D565)," ",494-COUNTBLANK($D$6:D565))</f>
        <v xml:space="preserve"> </v>
      </c>
      <c r="J565" s="263"/>
      <c r="K565" s="264"/>
      <c r="L565" s="265"/>
      <c r="M565" s="265"/>
      <c r="N565" s="265"/>
      <c r="O565" s="265"/>
      <c r="P565" s="265"/>
      <c r="Q565" s="265"/>
      <c r="R565" s="265"/>
    </row>
    <row r="566" spans="1:21" ht="27.75" customHeight="1">
      <c r="A566" s="240" t="str">
        <f>IF(ISBLANK(D566)," ",495-COUNTBLANK($D$6:D566))</f>
        <v xml:space="preserve"> </v>
      </c>
      <c r="J566" s="263"/>
      <c r="K566" s="264"/>
      <c r="L566" s="265"/>
      <c r="M566" s="265"/>
      <c r="N566" s="265"/>
      <c r="O566" s="265"/>
      <c r="P566" s="265"/>
      <c r="Q566" s="265"/>
      <c r="R566" s="265"/>
    </row>
    <row r="567" spans="1:21" ht="27.75" customHeight="1">
      <c r="A567" s="240" t="str">
        <f>IF(ISBLANK(D567)," ",496-COUNTBLANK($D$6:D567))</f>
        <v xml:space="preserve"> </v>
      </c>
      <c r="J567" s="263"/>
      <c r="K567" s="264"/>
      <c r="L567" s="265"/>
      <c r="M567" s="265"/>
      <c r="N567" s="265"/>
      <c r="O567" s="265"/>
      <c r="P567" s="265"/>
      <c r="Q567" s="265"/>
      <c r="R567" s="265"/>
    </row>
    <row r="568" spans="1:21" ht="27.75" customHeight="1">
      <c r="A568" s="240" t="str">
        <f>IF(ISBLANK(D568)," ",497-COUNTBLANK($D$6:D568))</f>
        <v xml:space="preserve"> </v>
      </c>
      <c r="J568" s="263"/>
      <c r="K568" s="264"/>
      <c r="L568" s="265"/>
      <c r="M568" s="265"/>
      <c r="N568" s="265"/>
      <c r="O568" s="265"/>
      <c r="P568" s="265"/>
      <c r="Q568" s="265"/>
      <c r="R568" s="265"/>
    </row>
    <row r="569" spans="1:21" ht="27.75" customHeight="1">
      <c r="A569" s="240" t="str">
        <f>IF(ISBLANK(D569)," ",498-COUNTBLANK($D$6:D569))</f>
        <v xml:space="preserve"> </v>
      </c>
      <c r="J569" s="263"/>
      <c r="K569" s="264"/>
      <c r="L569" s="265"/>
      <c r="M569" s="265"/>
      <c r="N569" s="265"/>
      <c r="O569" s="265"/>
      <c r="P569" s="265"/>
      <c r="Q569" s="265"/>
      <c r="R569" s="265"/>
    </row>
    <row r="570" spans="1:21" ht="27.75" customHeight="1">
      <c r="A570" s="240" t="str">
        <f>IF(ISBLANK(D570)," ",499-COUNTBLANK($D$6:D570))</f>
        <v xml:space="preserve"> </v>
      </c>
      <c r="J570" s="263"/>
      <c r="K570" s="264"/>
      <c r="L570" s="265"/>
      <c r="M570" s="265"/>
      <c r="N570" s="265"/>
      <c r="O570" s="265"/>
      <c r="P570" s="265"/>
      <c r="Q570" s="265"/>
      <c r="R570" s="265"/>
    </row>
    <row r="571" spans="1:21" ht="27.75" customHeight="1">
      <c r="A571" s="240" t="str">
        <f>IF(ISBLANK(D571)," ",500-COUNTBLANK($D$6:D571))</f>
        <v xml:space="preserve"> </v>
      </c>
      <c r="J571" s="263"/>
      <c r="K571" s="264"/>
      <c r="L571" s="265"/>
      <c r="M571" s="265"/>
      <c r="N571" s="265"/>
      <c r="O571" s="265"/>
      <c r="P571" s="265"/>
      <c r="Q571" s="265"/>
      <c r="R571" s="265"/>
    </row>
    <row r="572" spans="1:21" ht="27.75" customHeight="1">
      <c r="A572" s="240" t="str">
        <f>IF(ISBLANK(D572)," ",501-COUNTBLANK($D$6:D572))</f>
        <v xml:space="preserve"> </v>
      </c>
      <c r="J572" s="263"/>
      <c r="K572" s="264"/>
      <c r="L572" s="265"/>
      <c r="M572" s="265"/>
      <c r="N572" s="265"/>
      <c r="O572" s="265"/>
      <c r="P572" s="265"/>
      <c r="Q572" s="265"/>
      <c r="R572" s="265"/>
    </row>
    <row r="573" spans="1:21" ht="27.75" customHeight="1">
      <c r="A573" s="240" t="str">
        <f>IF(ISBLANK(D573)," ",502-COUNTBLANK($D$6:D573))</f>
        <v xml:space="preserve"> </v>
      </c>
      <c r="J573" s="263"/>
      <c r="K573" s="264"/>
      <c r="L573" s="265"/>
      <c r="M573" s="265"/>
      <c r="N573" s="265"/>
      <c r="O573" s="265"/>
      <c r="P573" s="265"/>
      <c r="Q573" s="265"/>
      <c r="R573" s="265"/>
    </row>
    <row r="574" spans="1:21" ht="27.75" customHeight="1">
      <c r="A574" s="240" t="str">
        <f>IF(ISBLANK(D574)," ",503-COUNTBLANK($D$6:D574))</f>
        <v xml:space="preserve"> </v>
      </c>
      <c r="J574" s="263"/>
      <c r="K574" s="264"/>
      <c r="L574" s="265"/>
      <c r="M574" s="265"/>
      <c r="N574" s="265"/>
      <c r="O574" s="265"/>
      <c r="P574" s="265"/>
      <c r="Q574" s="265"/>
      <c r="R574" s="265"/>
    </row>
    <row r="575" spans="1:21" ht="27.75" customHeight="1">
      <c r="A575" s="240" t="s">
        <v>52</v>
      </c>
      <c r="F575" s="309">
        <f>SUM(F555:F574)</f>
        <v>0</v>
      </c>
      <c r="J575" s="263"/>
      <c r="K575" s="264"/>
      <c r="L575" s="265"/>
      <c r="M575" s="265"/>
      <c r="N575" s="265"/>
      <c r="O575" s="265"/>
      <c r="P575" s="265"/>
      <c r="Q575" s="265"/>
      <c r="R575" s="265"/>
    </row>
    <row r="576" spans="1:21" ht="27.75" customHeight="1">
      <c r="A576" s="240" t="str">
        <f>IF(ISBLANK(D576)," ",505-COUNTBLANK($D$6:D576))</f>
        <v xml:space="preserve"> </v>
      </c>
      <c r="J576" s="263"/>
      <c r="K576" s="264"/>
      <c r="L576" s="265"/>
      <c r="M576" s="265"/>
      <c r="N576" s="265"/>
      <c r="O576" s="265"/>
      <c r="P576" s="265"/>
      <c r="Q576" s="265"/>
      <c r="R576" s="265"/>
    </row>
    <row r="577" spans="1:21" ht="27.75" customHeight="1">
      <c r="A577" s="240" t="str">
        <f>IF(ISBLANK(D577)," ",506-COUNTBLANK($D$6:D577))</f>
        <v xml:space="preserve"> </v>
      </c>
      <c r="J577" s="263"/>
      <c r="K577" s="264"/>
      <c r="L577" s="265"/>
      <c r="M577" s="265"/>
      <c r="N577" s="265"/>
      <c r="O577" s="265"/>
      <c r="P577" s="265"/>
      <c r="Q577" s="265"/>
      <c r="R577" s="265"/>
    </row>
    <row r="578" spans="1:21" ht="27.75" customHeight="1">
      <c r="A578" s="240" t="str">
        <f>IF(ISBLANK(D578)," ",507-COUNTBLANK($D$6:D578))</f>
        <v xml:space="preserve"> </v>
      </c>
      <c r="J578" s="263"/>
      <c r="K578" s="264"/>
      <c r="L578" s="265"/>
      <c r="M578" s="265"/>
      <c r="N578" s="265"/>
      <c r="O578" s="265"/>
      <c r="P578" s="265"/>
      <c r="Q578" s="265"/>
      <c r="R578" s="265"/>
    </row>
    <row r="579" spans="1:21" ht="27.75" customHeight="1">
      <c r="A579" s="240" t="str">
        <f>IF(ISBLANK(D579)," ",508-COUNTBLANK($D$6:D579))</f>
        <v xml:space="preserve"> </v>
      </c>
      <c r="J579" s="263"/>
      <c r="K579" s="266"/>
      <c r="L579" s="265"/>
      <c r="M579" s="265"/>
      <c r="N579" s="265"/>
      <c r="O579" s="265"/>
      <c r="P579" s="265"/>
      <c r="Q579" s="265"/>
      <c r="R579" s="267"/>
    </row>
    <row r="580" spans="1:21" ht="27.75" customHeight="1">
      <c r="A580" s="240" t="str">
        <f>IF(ISBLANK(D580)," ",509-COUNTBLANK($D$6:D580))</f>
        <v xml:space="preserve"> </v>
      </c>
      <c r="J580" s="263"/>
      <c r="K580" s="266"/>
      <c r="L580" s="265"/>
      <c r="M580" s="265"/>
      <c r="N580" s="265"/>
      <c r="O580" s="265"/>
      <c r="P580" s="265"/>
      <c r="Q580" s="265"/>
      <c r="R580" s="267"/>
    </row>
    <row r="581" spans="1:21" ht="27.75" customHeight="1">
      <c r="A581" s="240" t="str">
        <f>IF(ISBLANK(D581)," ",510-COUNTBLANK($D$6:D581))</f>
        <v xml:space="preserve"> </v>
      </c>
      <c r="J581" s="263"/>
      <c r="K581" s="266"/>
      <c r="L581" s="265"/>
      <c r="M581" s="265"/>
      <c r="N581" s="265"/>
      <c r="O581" s="265"/>
      <c r="P581" s="265"/>
      <c r="Q581" s="265"/>
      <c r="R581" s="267"/>
    </row>
    <row r="582" spans="1:21" ht="27.75" customHeight="1">
      <c r="A582" s="240" t="str">
        <f>IF(ISBLANK(D582)," ",511-COUNTBLANK($D$6:D582))</f>
        <v xml:space="preserve"> </v>
      </c>
      <c r="J582" s="263"/>
      <c r="K582" s="266"/>
      <c r="L582" s="265"/>
      <c r="M582" s="265"/>
      <c r="N582" s="265"/>
      <c r="O582" s="265"/>
      <c r="P582" s="265"/>
      <c r="Q582" s="265"/>
      <c r="R582" s="267"/>
    </row>
    <row r="583" spans="1:21" ht="27.75" customHeight="1">
      <c r="A583" s="240" t="str">
        <f>IF(ISBLANK(D583)," ",512-COUNTBLANK($D$6:D583))</f>
        <v xml:space="preserve"> </v>
      </c>
      <c r="J583" s="263"/>
      <c r="K583" s="264"/>
      <c r="L583" s="265"/>
      <c r="M583" s="265"/>
      <c r="N583" s="265"/>
      <c r="O583" s="265"/>
      <c r="P583" s="265"/>
      <c r="Q583" s="265"/>
      <c r="R583" s="284"/>
      <c r="S583" s="265"/>
      <c r="T583" s="265"/>
      <c r="U583" s="265"/>
    </row>
    <row r="584" spans="1:21" ht="27.75" customHeight="1">
      <c r="A584" s="240" t="str">
        <f>IF(ISBLANK(D584)," ",513-COUNTBLANK($D$6:D584))</f>
        <v xml:space="preserve"> </v>
      </c>
      <c r="J584" s="263"/>
      <c r="K584" s="266"/>
      <c r="L584" s="265"/>
      <c r="M584" s="265"/>
      <c r="N584" s="265"/>
      <c r="O584" s="265"/>
      <c r="P584" s="265"/>
      <c r="Q584" s="265"/>
      <c r="R584" s="284"/>
      <c r="S584" s="265"/>
      <c r="T584" s="265"/>
      <c r="U584" s="265"/>
    </row>
    <row r="585" spans="1:21" ht="27.75" customHeight="1">
      <c r="A585" s="240" t="str">
        <f>IF(ISBLANK(D585)," ",514-COUNTBLANK($D$6:D585))</f>
        <v xml:space="preserve"> </v>
      </c>
      <c r="J585" s="263"/>
      <c r="K585" s="264"/>
      <c r="L585" s="265"/>
      <c r="M585" s="265"/>
      <c r="N585" s="265"/>
      <c r="O585" s="265"/>
      <c r="P585" s="265"/>
      <c r="Q585" s="265"/>
      <c r="R585" s="265"/>
    </row>
    <row r="586" spans="1:21" ht="27.75" customHeight="1">
      <c r="A586" s="240" t="str">
        <f>IF(ISBLANK(D586)," ",515-COUNTBLANK($D$6:D586))</f>
        <v xml:space="preserve"> </v>
      </c>
      <c r="J586" s="263"/>
      <c r="K586" s="264"/>
      <c r="L586" s="265"/>
      <c r="M586" s="265"/>
      <c r="N586" s="265"/>
      <c r="O586" s="265"/>
      <c r="P586" s="265"/>
      <c r="Q586" s="265"/>
      <c r="R586" s="265"/>
    </row>
    <row r="587" spans="1:21" ht="27.75" customHeight="1">
      <c r="A587" s="240" t="str">
        <f>IF(ISBLANK(D587)," ",516-COUNTBLANK($D$6:D587))</f>
        <v xml:space="preserve"> </v>
      </c>
      <c r="J587" s="263"/>
      <c r="K587" s="264"/>
      <c r="L587" s="265"/>
      <c r="M587" s="265"/>
      <c r="N587" s="265"/>
      <c r="O587" s="265"/>
      <c r="P587" s="265"/>
      <c r="Q587" s="265"/>
      <c r="R587" s="265"/>
    </row>
    <row r="588" spans="1:21" ht="27.75" customHeight="1">
      <c r="A588" s="240" t="str">
        <f>IF(ISBLANK(D588)," ",517-COUNTBLANK($D$6:D588))</f>
        <v xml:space="preserve"> </v>
      </c>
      <c r="J588" s="263"/>
      <c r="K588" s="264"/>
      <c r="L588" s="265"/>
      <c r="M588" s="265"/>
      <c r="N588" s="265"/>
      <c r="O588" s="265"/>
      <c r="P588" s="265"/>
      <c r="Q588" s="265"/>
      <c r="R588" s="265"/>
    </row>
    <row r="589" spans="1:21" ht="27.75" customHeight="1">
      <c r="A589" s="240" t="str">
        <f>IF(ISBLANK(D589)," ",518-COUNTBLANK($D$6:D589))</f>
        <v xml:space="preserve"> </v>
      </c>
      <c r="J589" s="263"/>
      <c r="K589" s="264"/>
      <c r="L589" s="265"/>
      <c r="M589" s="265"/>
      <c r="N589" s="265"/>
      <c r="O589" s="265"/>
      <c r="P589" s="265"/>
      <c r="Q589" s="265"/>
      <c r="R589" s="265"/>
    </row>
    <row r="590" spans="1:21" ht="27.75" customHeight="1">
      <c r="A590" s="240" t="str">
        <f>IF(ISBLANK(D590)," ",519-COUNTBLANK($D$6:D590))</f>
        <v xml:space="preserve"> </v>
      </c>
      <c r="J590" s="263"/>
      <c r="K590" s="264"/>
      <c r="L590" s="265"/>
      <c r="M590" s="265"/>
      <c r="N590" s="265"/>
      <c r="O590" s="265"/>
      <c r="P590" s="265"/>
      <c r="Q590" s="265"/>
      <c r="R590" s="265"/>
    </row>
    <row r="591" spans="1:21" ht="27.75" customHeight="1">
      <c r="A591" s="240" t="str">
        <f>IF(ISBLANK(D591)," ",520-COUNTBLANK($D$6:D591))</f>
        <v xml:space="preserve"> </v>
      </c>
      <c r="J591" s="263"/>
      <c r="K591" s="264"/>
      <c r="L591" s="265"/>
      <c r="M591" s="265"/>
      <c r="N591" s="265"/>
      <c r="O591" s="265"/>
      <c r="P591" s="265"/>
      <c r="Q591" s="265"/>
      <c r="R591" s="265"/>
    </row>
    <row r="592" spans="1:21" ht="27.75" customHeight="1">
      <c r="A592" s="240" t="str">
        <f>IF(ISBLANK(D592)," ",521-COUNTBLANK($D$6:D592))</f>
        <v xml:space="preserve"> </v>
      </c>
      <c r="J592" s="263"/>
      <c r="K592" s="264"/>
      <c r="L592" s="265"/>
      <c r="M592" s="265"/>
      <c r="N592" s="265"/>
      <c r="O592" s="265"/>
      <c r="P592" s="265"/>
      <c r="Q592" s="265"/>
      <c r="R592" s="265"/>
    </row>
    <row r="593" spans="1:21" ht="27.75" customHeight="1">
      <c r="A593" s="240" t="str">
        <f>IF(ISBLANK(D593)," ",522-COUNTBLANK($D$6:D593))</f>
        <v xml:space="preserve"> </v>
      </c>
      <c r="J593" s="263"/>
      <c r="K593" s="264"/>
      <c r="L593" s="265"/>
      <c r="M593" s="265"/>
      <c r="N593" s="265"/>
      <c r="O593" s="265"/>
      <c r="P593" s="265"/>
      <c r="Q593" s="265"/>
      <c r="R593" s="265"/>
    </row>
    <row r="594" spans="1:21" ht="27.75" customHeight="1">
      <c r="A594" s="240" t="str">
        <f>IF(ISBLANK(D594)," ",523-COUNTBLANK($D$6:D594))</f>
        <v xml:space="preserve"> </v>
      </c>
      <c r="J594" s="263"/>
      <c r="K594" s="264"/>
      <c r="L594" s="265"/>
      <c r="M594" s="265"/>
      <c r="N594" s="265"/>
      <c r="O594" s="265"/>
      <c r="P594" s="265"/>
      <c r="Q594" s="265"/>
      <c r="R594" s="265"/>
    </row>
    <row r="595" spans="1:21" ht="27.75" customHeight="1">
      <c r="A595" s="240" t="str">
        <f>IF(ISBLANK(D595)," ",524-COUNTBLANK($D$6:D595))</f>
        <v xml:space="preserve"> </v>
      </c>
      <c r="J595" s="263"/>
      <c r="K595" s="264"/>
      <c r="L595" s="265"/>
      <c r="M595" s="265"/>
      <c r="N595" s="265"/>
      <c r="O595" s="265"/>
      <c r="P595" s="265"/>
      <c r="Q595" s="265"/>
      <c r="R595" s="265"/>
    </row>
    <row r="596" spans="1:21" ht="27.75" customHeight="1">
      <c r="A596" s="240" t="s">
        <v>52</v>
      </c>
      <c r="F596" s="309">
        <f>SUM(F576:F595)</f>
        <v>0</v>
      </c>
      <c r="J596" s="263"/>
      <c r="K596" s="264"/>
      <c r="L596" s="265"/>
      <c r="M596" s="265"/>
      <c r="N596" s="265"/>
      <c r="O596" s="265"/>
      <c r="P596" s="265"/>
      <c r="Q596" s="265"/>
      <c r="R596" s="265"/>
    </row>
    <row r="597" spans="1:21" ht="27.75" customHeight="1">
      <c r="J597" s="263"/>
      <c r="K597" s="264"/>
      <c r="L597" s="265"/>
      <c r="M597" s="265"/>
      <c r="N597" s="265"/>
      <c r="O597" s="265"/>
      <c r="P597" s="265"/>
      <c r="Q597" s="265"/>
      <c r="R597" s="265"/>
    </row>
    <row r="598" spans="1:21" ht="27.75" customHeight="1">
      <c r="J598" s="263"/>
      <c r="K598" s="264"/>
      <c r="L598" s="265"/>
      <c r="M598" s="265"/>
      <c r="N598" s="265"/>
      <c r="O598" s="265"/>
      <c r="P598" s="265"/>
      <c r="Q598" s="265"/>
      <c r="R598" s="265"/>
    </row>
    <row r="599" spans="1:21" ht="27.75" customHeight="1">
      <c r="J599" s="263"/>
      <c r="K599" s="264"/>
      <c r="L599" s="265"/>
      <c r="M599" s="265"/>
      <c r="N599" s="265"/>
      <c r="O599" s="265"/>
      <c r="P599" s="265"/>
      <c r="Q599" s="265"/>
      <c r="R599" s="265"/>
    </row>
    <row r="600" spans="1:21" ht="27.75" customHeight="1">
      <c r="J600" s="263"/>
      <c r="K600" s="266"/>
      <c r="L600" s="265"/>
      <c r="M600" s="265"/>
      <c r="N600" s="265"/>
      <c r="O600" s="265"/>
      <c r="P600" s="265"/>
      <c r="Q600" s="265"/>
      <c r="R600" s="267"/>
    </row>
    <row r="601" spans="1:21" ht="27.75" customHeight="1">
      <c r="J601" s="263"/>
      <c r="K601" s="266"/>
      <c r="L601" s="265"/>
      <c r="M601" s="265"/>
      <c r="N601" s="265"/>
      <c r="O601" s="265"/>
      <c r="P601" s="265"/>
      <c r="Q601" s="265"/>
      <c r="R601" s="267"/>
    </row>
    <row r="602" spans="1:21" ht="27.75" customHeight="1">
      <c r="J602" s="263"/>
      <c r="K602" s="266"/>
      <c r="L602" s="265"/>
      <c r="M602" s="265"/>
      <c r="N602" s="265"/>
      <c r="O602" s="265"/>
      <c r="P602" s="265"/>
      <c r="Q602" s="265"/>
      <c r="R602" s="267"/>
    </row>
    <row r="603" spans="1:21" ht="27.75" customHeight="1">
      <c r="J603" s="263"/>
      <c r="K603" s="266"/>
      <c r="L603" s="265"/>
      <c r="M603" s="265"/>
      <c r="N603" s="265"/>
      <c r="O603" s="265"/>
      <c r="P603" s="265"/>
      <c r="Q603" s="265"/>
      <c r="R603" s="267"/>
    </row>
    <row r="604" spans="1:21" ht="27.75" customHeight="1">
      <c r="J604" s="263"/>
      <c r="K604" s="264"/>
      <c r="L604" s="265"/>
      <c r="M604" s="265"/>
      <c r="N604" s="265"/>
      <c r="O604" s="265"/>
      <c r="P604" s="265"/>
      <c r="Q604" s="265"/>
      <c r="R604" s="284"/>
      <c r="S604" s="265"/>
      <c r="T604" s="265"/>
      <c r="U604" s="265"/>
    </row>
    <row r="605" spans="1:21" ht="27.75" customHeight="1">
      <c r="J605" s="263"/>
      <c r="K605" s="266"/>
      <c r="L605" s="265"/>
      <c r="M605" s="265"/>
      <c r="N605" s="265"/>
      <c r="O605" s="265"/>
      <c r="P605" s="265"/>
      <c r="Q605" s="265"/>
      <c r="R605" s="284"/>
      <c r="S605" s="265"/>
      <c r="T605" s="265"/>
      <c r="U605" s="265"/>
    </row>
    <row r="606" spans="1:21">
      <c r="K606" s="312"/>
      <c r="L606" s="311"/>
      <c r="M606" s="311"/>
      <c r="N606" s="311"/>
      <c r="O606" s="311"/>
      <c r="P606" s="311"/>
      <c r="Q606" s="311"/>
      <c r="R606" s="311"/>
    </row>
    <row r="607" spans="1:21">
      <c r="K607" s="312"/>
      <c r="L607" s="311"/>
      <c r="M607" s="311"/>
      <c r="N607" s="311"/>
      <c r="O607" s="311"/>
      <c r="P607" s="311"/>
      <c r="Q607" s="311"/>
      <c r="R607" s="311"/>
    </row>
  </sheetData>
  <mergeCells count="6">
    <mergeCell ref="J4:J5"/>
    <mergeCell ref="K4:K5"/>
    <mergeCell ref="B4:C4"/>
    <mergeCell ref="D4:D5"/>
    <mergeCell ref="G4:H4"/>
    <mergeCell ref="I4:I5"/>
  </mergeCells>
  <phoneticPr fontId="5" type="noConversion"/>
  <printOptions horizontalCentered="1" verticalCentered="1"/>
  <pageMargins left="0.19685039370078741" right="0.19685039370078741" top="1.3779527559055118" bottom="0.59055118110236227" header="0.59055118110236227" footer="0.19685039370078741"/>
  <pageSetup paperSize="9"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606"/>
  <sheetViews>
    <sheetView showGridLines="0" showZeros="0" view="pageBreakPreview" zoomScale="85" zoomScaleNormal="40" zoomScaleSheetLayoutView="85" workbookViewId="0">
      <selection activeCell="T13" sqref="T13"/>
    </sheetView>
  </sheetViews>
  <sheetFormatPr defaultRowHeight="11.25"/>
  <cols>
    <col min="1" max="1" width="4.33203125" style="240" customWidth="1"/>
    <col min="2" max="3" width="6.33203125" style="307" customWidth="1"/>
    <col min="4" max="4" width="3.77734375" style="240" customWidth="1"/>
    <col min="5" max="5" width="7.77734375" style="308" customWidth="1"/>
    <col min="6" max="7" width="7.77734375" style="309" customWidth="1"/>
    <col min="8" max="8" width="5.77734375" style="240" customWidth="1"/>
    <col min="9" max="9" width="7.77734375" style="310" hidden="1" customWidth="1"/>
    <col min="10" max="10" width="15.77734375" style="240" hidden="1" customWidth="1"/>
    <col min="11" max="11" width="14.77734375" style="310" customWidth="1"/>
    <col min="12" max="12" width="15.77734375" style="240" customWidth="1"/>
    <col min="13" max="13" width="7.77734375" style="240" customWidth="1"/>
    <col min="14" max="14" width="13.88671875" style="240" customWidth="1"/>
    <col min="15" max="16" width="6.77734375" style="240" customWidth="1"/>
    <col min="17" max="19" width="9.77734375" style="240" customWidth="1"/>
    <col min="20" max="20" width="10.77734375" style="240" customWidth="1"/>
    <col min="21" max="16384" width="8.88671875" style="240"/>
  </cols>
  <sheetData>
    <row r="1" spans="1:20" ht="27" customHeight="1">
      <c r="A1" s="314" t="s">
        <v>139</v>
      </c>
      <c r="B1" s="315"/>
      <c r="C1" s="315"/>
      <c r="D1" s="248"/>
      <c r="E1" s="316"/>
      <c r="F1" s="317"/>
      <c r="G1" s="317"/>
      <c r="H1" s="248"/>
      <c r="I1" s="248"/>
      <c r="J1" s="248"/>
      <c r="K1" s="248"/>
      <c r="L1" s="248"/>
      <c r="M1" s="248"/>
      <c r="N1" s="248"/>
      <c r="O1" s="248"/>
      <c r="P1" s="248"/>
      <c r="Q1" s="239"/>
      <c r="R1" s="239"/>
      <c r="S1" s="239"/>
      <c r="T1" s="239"/>
    </row>
    <row r="2" spans="1:20" ht="19.899999999999999" customHeight="1">
      <c r="A2" s="252"/>
      <c r="B2" s="251"/>
      <c r="C2" s="251"/>
      <c r="D2" s="252"/>
      <c r="E2" s="253"/>
      <c r="F2" s="254"/>
      <c r="G2" s="254"/>
      <c r="H2" s="252"/>
      <c r="I2" s="255"/>
      <c r="J2" s="343"/>
      <c r="K2" s="255"/>
      <c r="L2" s="343"/>
      <c r="M2" s="344" t="s">
        <v>285</v>
      </c>
      <c r="N2" s="345"/>
      <c r="O2" s="345"/>
      <c r="P2" s="345"/>
      <c r="Q2" s="239"/>
      <c r="R2" s="239"/>
      <c r="S2" s="239"/>
      <c r="T2" s="239"/>
    </row>
    <row r="3" spans="1:20" ht="18" customHeight="1">
      <c r="A3" s="444" t="s">
        <v>39</v>
      </c>
      <c r="B3" s="508" t="s">
        <v>40</v>
      </c>
      <c r="C3" s="509"/>
      <c r="D3" s="511" t="s">
        <v>41</v>
      </c>
      <c r="E3" s="445" t="s">
        <v>42</v>
      </c>
      <c r="F3" s="508" t="s">
        <v>1451</v>
      </c>
      <c r="G3" s="510"/>
      <c r="H3" s="509"/>
      <c r="I3" s="508" t="s">
        <v>131</v>
      </c>
      <c r="J3" s="509"/>
      <c r="K3" s="508" t="s">
        <v>1463</v>
      </c>
      <c r="L3" s="509"/>
      <c r="M3" s="446" t="s">
        <v>46</v>
      </c>
      <c r="N3" s="447"/>
      <c r="O3" s="448"/>
      <c r="P3" s="513" t="s">
        <v>31</v>
      </c>
      <c r="Q3" s="258"/>
      <c r="R3" s="258"/>
      <c r="S3" s="258"/>
      <c r="T3" s="258"/>
    </row>
    <row r="4" spans="1:20" ht="18" customHeight="1">
      <c r="A4" s="449" t="s">
        <v>47</v>
      </c>
      <c r="B4" s="450" t="s">
        <v>1438</v>
      </c>
      <c r="C4" s="450" t="s">
        <v>1469</v>
      </c>
      <c r="D4" s="512"/>
      <c r="E4" s="451" t="s">
        <v>59</v>
      </c>
      <c r="F4" s="450" t="s">
        <v>1438</v>
      </c>
      <c r="G4" s="450" t="s">
        <v>141</v>
      </c>
      <c r="H4" s="450" t="s">
        <v>138</v>
      </c>
      <c r="I4" s="450" t="s">
        <v>49</v>
      </c>
      <c r="J4" s="452" t="s">
        <v>50</v>
      </c>
      <c r="K4" s="450" t="s">
        <v>49</v>
      </c>
      <c r="L4" s="452" t="s">
        <v>50</v>
      </c>
      <c r="M4" s="450" t="s">
        <v>49</v>
      </c>
      <c r="N4" s="450" t="s">
        <v>50</v>
      </c>
      <c r="O4" s="453" t="s">
        <v>51</v>
      </c>
      <c r="P4" s="514"/>
      <c r="Q4" s="259"/>
      <c r="R4" s="259"/>
      <c r="S4" s="259"/>
      <c r="T4" s="239"/>
    </row>
    <row r="5" spans="1:20" ht="18" customHeight="1">
      <c r="A5" s="260">
        <v>1</v>
      </c>
      <c r="B5" s="200" t="s">
        <v>286</v>
      </c>
      <c r="C5" s="200" t="s">
        <v>1122</v>
      </c>
      <c r="D5" s="200" t="s">
        <v>146</v>
      </c>
      <c r="E5" s="261">
        <v>80</v>
      </c>
      <c r="F5" s="261">
        <v>80</v>
      </c>
      <c r="G5" s="261">
        <v>80</v>
      </c>
      <c r="H5" s="261">
        <f>G5-F5</f>
        <v>0</v>
      </c>
      <c r="I5" s="201" t="s">
        <v>451</v>
      </c>
      <c r="J5" s="201" t="s">
        <v>452</v>
      </c>
      <c r="K5" s="201" t="s">
        <v>452</v>
      </c>
      <c r="L5" s="201" t="s">
        <v>451</v>
      </c>
      <c r="M5" s="462"/>
      <c r="N5" s="201"/>
      <c r="O5" s="201"/>
      <c r="P5" s="262"/>
      <c r="Q5" s="265"/>
      <c r="R5" s="265"/>
      <c r="S5" s="265"/>
      <c r="T5" s="265"/>
    </row>
    <row r="6" spans="1:20" ht="18" customHeight="1">
      <c r="A6" s="204">
        <v>2</v>
      </c>
      <c r="B6" s="202" t="s">
        <v>416</v>
      </c>
      <c r="C6" s="202" t="s">
        <v>1123</v>
      </c>
      <c r="D6" s="202" t="s">
        <v>412</v>
      </c>
      <c r="E6" s="207">
        <v>164</v>
      </c>
      <c r="F6" s="207">
        <v>165</v>
      </c>
      <c r="G6" s="207">
        <v>165</v>
      </c>
      <c r="H6" s="207">
        <f t="shared" ref="H6:H69" si="0">G6-F6</f>
        <v>0</v>
      </c>
      <c r="I6" s="203" t="s">
        <v>451</v>
      </c>
      <c r="J6" s="203" t="s">
        <v>452</v>
      </c>
      <c r="K6" s="203" t="s">
        <v>452</v>
      </c>
      <c r="L6" s="203" t="s">
        <v>451</v>
      </c>
      <c r="M6" s="463"/>
      <c r="N6" s="203"/>
      <c r="O6" s="203"/>
      <c r="P6" s="205"/>
      <c r="Q6" s="265"/>
      <c r="R6" s="265"/>
      <c r="S6" s="265"/>
      <c r="T6" s="265"/>
    </row>
    <row r="7" spans="1:20" ht="18" customHeight="1">
      <c r="A7" s="204">
        <v>3</v>
      </c>
      <c r="B7" s="202" t="s">
        <v>417</v>
      </c>
      <c r="C7" s="202" t="s">
        <v>1124</v>
      </c>
      <c r="D7" s="202" t="s">
        <v>408</v>
      </c>
      <c r="E7" s="207">
        <v>91</v>
      </c>
      <c r="F7" s="207">
        <v>91</v>
      </c>
      <c r="G7" s="207">
        <v>91</v>
      </c>
      <c r="H7" s="207">
        <f t="shared" si="0"/>
        <v>0</v>
      </c>
      <c r="I7" s="203" t="s">
        <v>451</v>
      </c>
      <c r="J7" s="203" t="s">
        <v>452</v>
      </c>
      <c r="K7" s="203" t="s">
        <v>452</v>
      </c>
      <c r="L7" s="203" t="s">
        <v>451</v>
      </c>
      <c r="M7" s="463"/>
      <c r="N7" s="203"/>
      <c r="O7" s="203"/>
      <c r="P7" s="205"/>
      <c r="Q7" s="265"/>
      <c r="R7" s="265"/>
      <c r="S7" s="265"/>
      <c r="T7" s="265"/>
    </row>
    <row r="8" spans="1:20" ht="18" customHeight="1">
      <c r="A8" s="204">
        <v>4</v>
      </c>
      <c r="B8" s="202" t="s">
        <v>418</v>
      </c>
      <c r="C8" s="202" t="s">
        <v>1125</v>
      </c>
      <c r="D8" s="202" t="s">
        <v>409</v>
      </c>
      <c r="E8" s="207">
        <v>197</v>
      </c>
      <c r="F8" s="207">
        <v>197</v>
      </c>
      <c r="G8" s="207">
        <v>197</v>
      </c>
      <c r="H8" s="207">
        <f t="shared" si="0"/>
        <v>0</v>
      </c>
      <c r="I8" s="203" t="s">
        <v>451</v>
      </c>
      <c r="J8" s="203" t="s">
        <v>452</v>
      </c>
      <c r="K8" s="203" t="s">
        <v>452</v>
      </c>
      <c r="L8" s="203" t="s">
        <v>451</v>
      </c>
      <c r="M8" s="463"/>
      <c r="N8" s="203"/>
      <c r="O8" s="203"/>
      <c r="P8" s="205"/>
      <c r="Q8" s="265"/>
      <c r="R8" s="265"/>
      <c r="S8" s="265"/>
      <c r="T8" s="265"/>
    </row>
    <row r="9" spans="1:20" ht="18" customHeight="1">
      <c r="A9" s="204">
        <v>5</v>
      </c>
      <c r="B9" s="202" t="s">
        <v>287</v>
      </c>
      <c r="C9" s="202" t="s">
        <v>1126</v>
      </c>
      <c r="D9" s="202" t="s">
        <v>142</v>
      </c>
      <c r="E9" s="207">
        <v>1827</v>
      </c>
      <c r="F9" s="207">
        <v>1827</v>
      </c>
      <c r="G9" s="207">
        <v>1827</v>
      </c>
      <c r="H9" s="207">
        <f t="shared" si="0"/>
        <v>0</v>
      </c>
      <c r="I9" s="203" t="s">
        <v>451</v>
      </c>
      <c r="J9" s="203" t="s">
        <v>452</v>
      </c>
      <c r="K9" s="203" t="s">
        <v>452</v>
      </c>
      <c r="L9" s="203" t="s">
        <v>451</v>
      </c>
      <c r="M9" s="463"/>
      <c r="N9" s="203"/>
      <c r="O9" s="203"/>
      <c r="P9" s="205"/>
      <c r="Q9" s="265"/>
      <c r="R9" s="265"/>
      <c r="S9" s="265"/>
      <c r="T9" s="265"/>
    </row>
    <row r="10" spans="1:20" ht="18" customHeight="1">
      <c r="A10" s="204">
        <v>6</v>
      </c>
      <c r="B10" s="202" t="s">
        <v>288</v>
      </c>
      <c r="C10" s="202" t="s">
        <v>1127</v>
      </c>
      <c r="D10" s="202" t="s">
        <v>144</v>
      </c>
      <c r="E10" s="207">
        <v>1105</v>
      </c>
      <c r="F10" s="207">
        <v>1105</v>
      </c>
      <c r="G10" s="207">
        <v>1105</v>
      </c>
      <c r="H10" s="207">
        <f t="shared" si="0"/>
        <v>0</v>
      </c>
      <c r="I10" s="203" t="s">
        <v>451</v>
      </c>
      <c r="J10" s="203" t="s">
        <v>452</v>
      </c>
      <c r="K10" s="203" t="s">
        <v>452</v>
      </c>
      <c r="L10" s="203" t="s">
        <v>451</v>
      </c>
      <c r="M10" s="463"/>
      <c r="N10" s="203"/>
      <c r="O10" s="203"/>
      <c r="P10" s="205"/>
      <c r="Q10" s="265"/>
      <c r="R10" s="265"/>
      <c r="S10" s="265"/>
      <c r="T10" s="265"/>
    </row>
    <row r="11" spans="1:20" ht="18" customHeight="1">
      <c r="A11" s="204">
        <v>7</v>
      </c>
      <c r="B11" s="202" t="s">
        <v>289</v>
      </c>
      <c r="C11" s="202" t="s">
        <v>1128</v>
      </c>
      <c r="D11" s="202" t="s">
        <v>142</v>
      </c>
      <c r="E11" s="207">
        <v>1808</v>
      </c>
      <c r="F11" s="207">
        <v>1808</v>
      </c>
      <c r="G11" s="207">
        <v>1808</v>
      </c>
      <c r="H11" s="207">
        <f t="shared" si="0"/>
        <v>0</v>
      </c>
      <c r="I11" s="203" t="s">
        <v>451</v>
      </c>
      <c r="J11" s="203" t="s">
        <v>452</v>
      </c>
      <c r="K11" s="203" t="s">
        <v>452</v>
      </c>
      <c r="L11" s="203" t="s">
        <v>451</v>
      </c>
      <c r="M11" s="463"/>
      <c r="N11" s="203"/>
      <c r="O11" s="203"/>
      <c r="P11" s="205"/>
      <c r="Q11" s="265"/>
      <c r="R11" s="265"/>
      <c r="S11" s="265"/>
      <c r="T11" s="265"/>
    </row>
    <row r="12" spans="1:20" ht="18" customHeight="1">
      <c r="A12" s="204">
        <v>8</v>
      </c>
      <c r="B12" s="202" t="s">
        <v>290</v>
      </c>
      <c r="C12" s="202" t="s">
        <v>1129</v>
      </c>
      <c r="D12" s="202" t="s">
        <v>142</v>
      </c>
      <c r="E12" s="207">
        <v>6172</v>
      </c>
      <c r="F12" s="207">
        <v>6172</v>
      </c>
      <c r="G12" s="207">
        <v>6172</v>
      </c>
      <c r="H12" s="207">
        <f t="shared" si="0"/>
        <v>0</v>
      </c>
      <c r="I12" s="203" t="s">
        <v>451</v>
      </c>
      <c r="J12" s="203" t="s">
        <v>452</v>
      </c>
      <c r="K12" s="203" t="s">
        <v>452</v>
      </c>
      <c r="L12" s="203" t="s">
        <v>451</v>
      </c>
      <c r="M12" s="463"/>
      <c r="N12" s="203"/>
      <c r="O12" s="203"/>
      <c r="P12" s="205"/>
      <c r="Q12" s="265"/>
      <c r="R12" s="265"/>
      <c r="S12" s="265"/>
      <c r="T12" s="265"/>
    </row>
    <row r="13" spans="1:20" ht="18" customHeight="1">
      <c r="A13" s="204">
        <v>9</v>
      </c>
      <c r="B13" s="202" t="s">
        <v>291</v>
      </c>
      <c r="C13" s="202" t="s">
        <v>1130</v>
      </c>
      <c r="D13" s="202" t="s">
        <v>142</v>
      </c>
      <c r="E13" s="207">
        <v>663</v>
      </c>
      <c r="F13" s="207">
        <v>663</v>
      </c>
      <c r="G13" s="207">
        <v>663</v>
      </c>
      <c r="H13" s="207">
        <f t="shared" si="0"/>
        <v>0</v>
      </c>
      <c r="I13" s="203" t="s">
        <v>451</v>
      </c>
      <c r="J13" s="203" t="s">
        <v>452</v>
      </c>
      <c r="K13" s="203" t="s">
        <v>452</v>
      </c>
      <c r="L13" s="203" t="s">
        <v>451</v>
      </c>
      <c r="M13" s="463"/>
      <c r="N13" s="203"/>
      <c r="O13" s="203"/>
      <c r="P13" s="205"/>
      <c r="Q13" s="265"/>
      <c r="R13" s="265"/>
      <c r="S13" s="265"/>
      <c r="T13" s="267"/>
    </row>
    <row r="14" spans="1:20" ht="18" customHeight="1">
      <c r="A14" s="204">
        <v>10</v>
      </c>
      <c r="B14" s="202" t="s">
        <v>292</v>
      </c>
      <c r="C14" s="202" t="s">
        <v>1131</v>
      </c>
      <c r="D14" s="202" t="s">
        <v>142</v>
      </c>
      <c r="E14" s="207">
        <v>153</v>
      </c>
      <c r="F14" s="207">
        <v>153</v>
      </c>
      <c r="G14" s="207">
        <v>153</v>
      </c>
      <c r="H14" s="207">
        <f t="shared" si="0"/>
        <v>0</v>
      </c>
      <c r="I14" s="203" t="s">
        <v>451</v>
      </c>
      <c r="J14" s="203" t="s">
        <v>452</v>
      </c>
      <c r="K14" s="203" t="s">
        <v>452</v>
      </c>
      <c r="L14" s="203" t="s">
        <v>451</v>
      </c>
      <c r="M14" s="463"/>
      <c r="N14" s="203"/>
      <c r="O14" s="203"/>
      <c r="P14" s="205"/>
      <c r="Q14" s="265"/>
      <c r="R14" s="265"/>
      <c r="S14" s="265"/>
      <c r="T14" s="267"/>
    </row>
    <row r="15" spans="1:20" ht="18" customHeight="1">
      <c r="A15" s="204">
        <v>11</v>
      </c>
      <c r="B15" s="202" t="s">
        <v>293</v>
      </c>
      <c r="C15" s="202" t="s">
        <v>1132</v>
      </c>
      <c r="D15" s="202" t="s">
        <v>142</v>
      </c>
      <c r="E15" s="207">
        <v>22</v>
      </c>
      <c r="F15" s="207">
        <v>22</v>
      </c>
      <c r="G15" s="207">
        <v>22</v>
      </c>
      <c r="H15" s="207">
        <f t="shared" si="0"/>
        <v>0</v>
      </c>
      <c r="I15" s="203" t="s">
        <v>451</v>
      </c>
      <c r="J15" s="203" t="s">
        <v>452</v>
      </c>
      <c r="K15" s="203" t="s">
        <v>452</v>
      </c>
      <c r="L15" s="203" t="s">
        <v>451</v>
      </c>
      <c r="M15" s="463"/>
      <c r="N15" s="203"/>
      <c r="O15" s="203"/>
      <c r="P15" s="205"/>
      <c r="Q15" s="265"/>
      <c r="R15" s="265"/>
      <c r="S15" s="265"/>
      <c r="T15" s="267"/>
    </row>
    <row r="16" spans="1:20" ht="18" customHeight="1">
      <c r="A16" s="204">
        <v>12</v>
      </c>
      <c r="B16" s="202" t="s">
        <v>294</v>
      </c>
      <c r="C16" s="202" t="s">
        <v>1133</v>
      </c>
      <c r="D16" s="202" t="s">
        <v>142</v>
      </c>
      <c r="E16" s="207">
        <v>244</v>
      </c>
      <c r="F16" s="207">
        <v>244</v>
      </c>
      <c r="G16" s="207">
        <v>244</v>
      </c>
      <c r="H16" s="207">
        <f t="shared" si="0"/>
        <v>0</v>
      </c>
      <c r="I16" s="203" t="s">
        <v>451</v>
      </c>
      <c r="J16" s="203" t="s">
        <v>452</v>
      </c>
      <c r="K16" s="203" t="s">
        <v>452</v>
      </c>
      <c r="L16" s="203" t="s">
        <v>451</v>
      </c>
      <c r="M16" s="463"/>
      <c r="N16" s="203"/>
      <c r="O16" s="203"/>
      <c r="P16" s="205"/>
      <c r="Q16" s="265"/>
      <c r="R16" s="265"/>
      <c r="S16" s="265"/>
      <c r="T16" s="267"/>
    </row>
    <row r="17" spans="1:20" ht="18" customHeight="1">
      <c r="A17" s="204">
        <v>13</v>
      </c>
      <c r="B17" s="202" t="s">
        <v>295</v>
      </c>
      <c r="C17" s="202" t="s">
        <v>1134</v>
      </c>
      <c r="D17" s="202" t="s">
        <v>142</v>
      </c>
      <c r="E17" s="207">
        <v>394</v>
      </c>
      <c r="F17" s="207">
        <v>394</v>
      </c>
      <c r="G17" s="207">
        <v>394</v>
      </c>
      <c r="H17" s="207">
        <f t="shared" si="0"/>
        <v>0</v>
      </c>
      <c r="I17" s="203" t="s">
        <v>451</v>
      </c>
      <c r="J17" s="203" t="s">
        <v>452</v>
      </c>
      <c r="K17" s="203" t="s">
        <v>452</v>
      </c>
      <c r="L17" s="203" t="s">
        <v>451</v>
      </c>
      <c r="M17" s="463"/>
      <c r="N17" s="203"/>
      <c r="O17" s="203"/>
      <c r="P17" s="205"/>
      <c r="Q17" s="265"/>
      <c r="R17" s="265"/>
      <c r="S17" s="265"/>
      <c r="T17" s="267"/>
    </row>
    <row r="18" spans="1:20" ht="18" customHeight="1">
      <c r="A18" s="204">
        <v>14</v>
      </c>
      <c r="B18" s="202" t="s">
        <v>296</v>
      </c>
      <c r="C18" s="202" t="s">
        <v>1135</v>
      </c>
      <c r="D18" s="202" t="s">
        <v>142</v>
      </c>
      <c r="E18" s="207">
        <v>532</v>
      </c>
      <c r="F18" s="207">
        <v>532</v>
      </c>
      <c r="G18" s="207">
        <v>532</v>
      </c>
      <c r="H18" s="207">
        <f t="shared" si="0"/>
        <v>0</v>
      </c>
      <c r="I18" s="203" t="s">
        <v>451</v>
      </c>
      <c r="J18" s="203" t="s">
        <v>452</v>
      </c>
      <c r="K18" s="203" t="s">
        <v>452</v>
      </c>
      <c r="L18" s="203" t="s">
        <v>451</v>
      </c>
      <c r="M18" s="463"/>
      <c r="N18" s="203"/>
      <c r="O18" s="203"/>
      <c r="P18" s="205"/>
      <c r="Q18" s="265"/>
      <c r="R18" s="265"/>
      <c r="S18" s="265"/>
      <c r="T18" s="267"/>
    </row>
    <row r="19" spans="1:20" ht="18" customHeight="1">
      <c r="A19" s="204">
        <v>15</v>
      </c>
      <c r="B19" s="202" t="s">
        <v>297</v>
      </c>
      <c r="C19" s="202" t="s">
        <v>1136</v>
      </c>
      <c r="D19" s="202" t="s">
        <v>160</v>
      </c>
      <c r="E19" s="207">
        <v>150</v>
      </c>
      <c r="F19" s="207">
        <v>150</v>
      </c>
      <c r="G19" s="207">
        <v>150</v>
      </c>
      <c r="H19" s="207">
        <f t="shared" si="0"/>
        <v>0</v>
      </c>
      <c r="I19" s="203" t="s">
        <v>451</v>
      </c>
      <c r="J19" s="203" t="s">
        <v>452</v>
      </c>
      <c r="K19" s="203" t="s">
        <v>452</v>
      </c>
      <c r="L19" s="203" t="s">
        <v>451</v>
      </c>
      <c r="M19" s="463"/>
      <c r="N19" s="203"/>
      <c r="O19" s="203"/>
      <c r="P19" s="205"/>
      <c r="Q19" s="265"/>
      <c r="R19" s="265"/>
      <c r="S19" s="265"/>
      <c r="T19" s="267"/>
    </row>
    <row r="20" spans="1:20" ht="18" customHeight="1">
      <c r="A20" s="204">
        <v>16</v>
      </c>
      <c r="B20" s="202" t="s">
        <v>298</v>
      </c>
      <c r="C20" s="202" t="s">
        <v>1137</v>
      </c>
      <c r="D20" s="202" t="s">
        <v>160</v>
      </c>
      <c r="E20" s="207">
        <v>4079</v>
      </c>
      <c r="F20" s="207">
        <v>4079</v>
      </c>
      <c r="G20" s="207">
        <v>4079</v>
      </c>
      <c r="H20" s="207">
        <f t="shared" si="0"/>
        <v>0</v>
      </c>
      <c r="I20" s="203" t="s">
        <v>451</v>
      </c>
      <c r="J20" s="203" t="s">
        <v>452</v>
      </c>
      <c r="K20" s="203" t="s">
        <v>452</v>
      </c>
      <c r="L20" s="203" t="s">
        <v>451</v>
      </c>
      <c r="M20" s="463"/>
      <c r="N20" s="203"/>
      <c r="O20" s="203"/>
      <c r="P20" s="205"/>
      <c r="Q20" s="265"/>
      <c r="R20" s="265"/>
      <c r="S20" s="265"/>
      <c r="T20" s="267"/>
    </row>
    <row r="21" spans="1:20" ht="18" customHeight="1">
      <c r="A21" s="204">
        <v>17</v>
      </c>
      <c r="B21" s="202" t="s">
        <v>299</v>
      </c>
      <c r="C21" s="202" t="s">
        <v>1138</v>
      </c>
      <c r="D21" s="202" t="s">
        <v>155</v>
      </c>
      <c r="E21" s="207">
        <v>10</v>
      </c>
      <c r="F21" s="207">
        <v>10</v>
      </c>
      <c r="G21" s="207">
        <v>10</v>
      </c>
      <c r="H21" s="207">
        <f t="shared" si="0"/>
        <v>0</v>
      </c>
      <c r="I21" s="203" t="s">
        <v>451</v>
      </c>
      <c r="J21" s="203" t="s">
        <v>452</v>
      </c>
      <c r="K21" s="203" t="s">
        <v>452</v>
      </c>
      <c r="L21" s="203" t="s">
        <v>451</v>
      </c>
      <c r="M21" s="463"/>
      <c r="N21" s="203"/>
      <c r="O21" s="203"/>
      <c r="P21" s="205"/>
      <c r="Q21" s="265"/>
      <c r="R21" s="265"/>
      <c r="S21" s="265"/>
      <c r="T21" s="267"/>
    </row>
    <row r="22" spans="1:20" ht="18" customHeight="1">
      <c r="A22" s="204">
        <v>18</v>
      </c>
      <c r="B22" s="202" t="s">
        <v>300</v>
      </c>
      <c r="C22" s="202" t="s">
        <v>1139</v>
      </c>
      <c r="D22" s="202" t="s">
        <v>160</v>
      </c>
      <c r="E22" s="207">
        <v>7876</v>
      </c>
      <c r="F22" s="207">
        <v>7876</v>
      </c>
      <c r="G22" s="207">
        <v>7876</v>
      </c>
      <c r="H22" s="207">
        <f t="shared" si="0"/>
        <v>0</v>
      </c>
      <c r="I22" s="203" t="s">
        <v>451</v>
      </c>
      <c r="J22" s="203" t="s">
        <v>452</v>
      </c>
      <c r="K22" s="203" t="s">
        <v>452</v>
      </c>
      <c r="L22" s="203" t="s">
        <v>451</v>
      </c>
      <c r="M22" s="463"/>
      <c r="N22" s="203"/>
      <c r="O22" s="203"/>
      <c r="P22" s="205"/>
      <c r="Q22" s="265"/>
      <c r="R22" s="265"/>
      <c r="S22" s="265"/>
      <c r="T22" s="267"/>
    </row>
    <row r="23" spans="1:20" ht="18" customHeight="1">
      <c r="A23" s="204">
        <v>19</v>
      </c>
      <c r="B23" s="202" t="s">
        <v>301</v>
      </c>
      <c r="C23" s="202" t="s">
        <v>1140</v>
      </c>
      <c r="D23" s="202" t="s">
        <v>160</v>
      </c>
      <c r="E23" s="207">
        <v>132</v>
      </c>
      <c r="F23" s="207">
        <v>132</v>
      </c>
      <c r="G23" s="207">
        <v>132</v>
      </c>
      <c r="H23" s="207">
        <f t="shared" si="0"/>
        <v>0</v>
      </c>
      <c r="I23" s="203" t="s">
        <v>451</v>
      </c>
      <c r="J23" s="203" t="s">
        <v>452</v>
      </c>
      <c r="K23" s="203" t="s">
        <v>452</v>
      </c>
      <c r="L23" s="203" t="s">
        <v>451</v>
      </c>
      <c r="M23" s="463"/>
      <c r="N23" s="203"/>
      <c r="O23" s="203"/>
      <c r="P23" s="205"/>
      <c r="Q23" s="265"/>
      <c r="R23" s="265"/>
      <c r="S23" s="265"/>
      <c r="T23" s="267"/>
    </row>
    <row r="24" spans="1:20" ht="18" customHeight="1">
      <c r="A24" s="204">
        <v>20</v>
      </c>
      <c r="B24" s="202" t="s">
        <v>302</v>
      </c>
      <c r="C24" s="202" t="s">
        <v>1141</v>
      </c>
      <c r="D24" s="202" t="s">
        <v>160</v>
      </c>
      <c r="E24" s="207">
        <v>2635</v>
      </c>
      <c r="F24" s="207">
        <v>2635</v>
      </c>
      <c r="G24" s="207">
        <v>2635</v>
      </c>
      <c r="H24" s="207">
        <f t="shared" si="0"/>
        <v>0</v>
      </c>
      <c r="I24" s="203" t="s">
        <v>451</v>
      </c>
      <c r="J24" s="203" t="s">
        <v>452</v>
      </c>
      <c r="K24" s="203" t="s">
        <v>452</v>
      </c>
      <c r="L24" s="203" t="s">
        <v>451</v>
      </c>
      <c r="M24" s="463"/>
      <c r="N24" s="203"/>
      <c r="O24" s="268"/>
      <c r="P24" s="269"/>
      <c r="Q24" s="265"/>
      <c r="R24" s="265"/>
      <c r="S24" s="265"/>
      <c r="T24" s="267"/>
    </row>
    <row r="25" spans="1:20" ht="18" customHeight="1">
      <c r="A25" s="204">
        <v>21</v>
      </c>
      <c r="B25" s="202" t="s">
        <v>303</v>
      </c>
      <c r="C25" s="202" t="s">
        <v>1142</v>
      </c>
      <c r="D25" s="202" t="s">
        <v>160</v>
      </c>
      <c r="E25" s="207">
        <v>4039</v>
      </c>
      <c r="F25" s="207">
        <v>4039</v>
      </c>
      <c r="G25" s="207">
        <v>4039</v>
      </c>
      <c r="H25" s="207">
        <f t="shared" si="0"/>
        <v>0</v>
      </c>
      <c r="I25" s="203" t="s">
        <v>451</v>
      </c>
      <c r="J25" s="203" t="s">
        <v>452</v>
      </c>
      <c r="K25" s="203" t="s">
        <v>452</v>
      </c>
      <c r="L25" s="203" t="s">
        <v>451</v>
      </c>
      <c r="M25" s="463"/>
      <c r="N25" s="203"/>
      <c r="O25" s="203"/>
      <c r="P25" s="205"/>
      <c r="Q25" s="265"/>
      <c r="R25" s="265"/>
      <c r="S25" s="265"/>
      <c r="T25" s="267"/>
    </row>
    <row r="26" spans="1:20" ht="18" customHeight="1">
      <c r="A26" s="204">
        <v>22</v>
      </c>
      <c r="B26" s="202" t="s">
        <v>304</v>
      </c>
      <c r="C26" s="202" t="s">
        <v>1143</v>
      </c>
      <c r="D26" s="202" t="s">
        <v>160</v>
      </c>
      <c r="E26" s="207">
        <v>368</v>
      </c>
      <c r="F26" s="207">
        <v>368</v>
      </c>
      <c r="G26" s="207">
        <v>368</v>
      </c>
      <c r="H26" s="207">
        <f t="shared" si="0"/>
        <v>0</v>
      </c>
      <c r="I26" s="203" t="s">
        <v>451</v>
      </c>
      <c r="J26" s="203" t="s">
        <v>452</v>
      </c>
      <c r="K26" s="203" t="s">
        <v>452</v>
      </c>
      <c r="L26" s="203" t="s">
        <v>451</v>
      </c>
      <c r="M26" s="463"/>
      <c r="N26" s="203"/>
      <c r="O26" s="203"/>
      <c r="P26" s="205"/>
      <c r="Q26" s="265"/>
      <c r="R26" s="265"/>
      <c r="S26" s="265"/>
      <c r="T26" s="267"/>
    </row>
    <row r="27" spans="1:20" ht="18" customHeight="1">
      <c r="A27" s="204">
        <v>23</v>
      </c>
      <c r="B27" s="202" t="s">
        <v>305</v>
      </c>
      <c r="C27" s="202" t="s">
        <v>1144</v>
      </c>
      <c r="D27" s="202" t="s">
        <v>160</v>
      </c>
      <c r="E27" s="207">
        <v>1251</v>
      </c>
      <c r="F27" s="207">
        <v>1251</v>
      </c>
      <c r="G27" s="207">
        <v>1251</v>
      </c>
      <c r="H27" s="207">
        <f t="shared" si="0"/>
        <v>0</v>
      </c>
      <c r="I27" s="203" t="s">
        <v>451</v>
      </c>
      <c r="J27" s="203" t="s">
        <v>452</v>
      </c>
      <c r="K27" s="203" t="s">
        <v>452</v>
      </c>
      <c r="L27" s="203" t="s">
        <v>451</v>
      </c>
      <c r="M27" s="463"/>
      <c r="N27" s="203"/>
      <c r="O27" s="203"/>
      <c r="P27" s="205"/>
      <c r="Q27" s="265"/>
      <c r="R27" s="265"/>
      <c r="S27" s="265"/>
      <c r="T27" s="267"/>
    </row>
    <row r="28" spans="1:20" ht="18" customHeight="1">
      <c r="A28" s="204">
        <v>24</v>
      </c>
      <c r="B28" s="202" t="s">
        <v>306</v>
      </c>
      <c r="C28" s="202" t="s">
        <v>1145</v>
      </c>
      <c r="D28" s="202" t="s">
        <v>160</v>
      </c>
      <c r="E28" s="207">
        <v>219</v>
      </c>
      <c r="F28" s="207">
        <v>219</v>
      </c>
      <c r="G28" s="207">
        <v>219</v>
      </c>
      <c r="H28" s="207">
        <f t="shared" si="0"/>
        <v>0</v>
      </c>
      <c r="I28" s="203" t="s">
        <v>1269</v>
      </c>
      <c r="J28" s="203" t="s">
        <v>1270</v>
      </c>
      <c r="K28" s="203" t="s">
        <v>452</v>
      </c>
      <c r="L28" s="203" t="s">
        <v>451</v>
      </c>
      <c r="M28" s="463"/>
      <c r="N28" s="203"/>
      <c r="O28" s="203"/>
      <c r="P28" s="205"/>
      <c r="Q28" s="265"/>
      <c r="R28" s="265"/>
      <c r="S28" s="265"/>
      <c r="T28" s="267"/>
    </row>
    <row r="29" spans="1:20" ht="18" customHeight="1">
      <c r="A29" s="204">
        <v>25</v>
      </c>
      <c r="B29" s="202" t="s">
        <v>307</v>
      </c>
      <c r="C29" s="202" t="s">
        <v>1146</v>
      </c>
      <c r="D29" s="202" t="s">
        <v>151</v>
      </c>
      <c r="E29" s="207">
        <v>62</v>
      </c>
      <c r="F29" s="207">
        <v>62</v>
      </c>
      <c r="G29" s="207">
        <v>62</v>
      </c>
      <c r="H29" s="207">
        <f t="shared" si="0"/>
        <v>0</v>
      </c>
      <c r="I29" s="203" t="s">
        <v>451</v>
      </c>
      <c r="J29" s="203" t="s">
        <v>452</v>
      </c>
      <c r="K29" s="203" t="s">
        <v>452</v>
      </c>
      <c r="L29" s="203" t="s">
        <v>451</v>
      </c>
      <c r="M29" s="463"/>
      <c r="N29" s="203"/>
      <c r="O29" s="203"/>
      <c r="P29" s="205"/>
      <c r="Q29" s="265"/>
      <c r="R29" s="265"/>
      <c r="S29" s="265"/>
      <c r="T29" s="267"/>
    </row>
    <row r="30" spans="1:20" s="333" customFormat="1" ht="18" customHeight="1">
      <c r="A30" s="204">
        <v>26</v>
      </c>
      <c r="B30" s="202" t="s">
        <v>308</v>
      </c>
      <c r="C30" s="202" t="s">
        <v>1147</v>
      </c>
      <c r="D30" s="202" t="s">
        <v>160</v>
      </c>
      <c r="E30" s="207">
        <v>4119</v>
      </c>
      <c r="F30" s="207">
        <v>2505</v>
      </c>
      <c r="G30" s="207">
        <v>2505</v>
      </c>
      <c r="H30" s="207">
        <f t="shared" si="0"/>
        <v>0</v>
      </c>
      <c r="I30" s="203" t="s">
        <v>1271</v>
      </c>
      <c r="J30" s="203" t="s">
        <v>1270</v>
      </c>
      <c r="K30" s="203" t="s">
        <v>452</v>
      </c>
      <c r="L30" s="203" t="s">
        <v>451</v>
      </c>
      <c r="M30" s="463"/>
      <c r="N30" s="203"/>
      <c r="O30" s="203"/>
      <c r="P30" s="205"/>
      <c r="Q30" s="331"/>
      <c r="R30" s="331"/>
      <c r="S30" s="331"/>
      <c r="T30" s="332"/>
    </row>
    <row r="31" spans="1:20" ht="18" customHeight="1">
      <c r="A31" s="204">
        <v>27</v>
      </c>
      <c r="B31" s="202" t="s">
        <v>309</v>
      </c>
      <c r="C31" s="202" t="s">
        <v>1148</v>
      </c>
      <c r="D31" s="202" t="s">
        <v>155</v>
      </c>
      <c r="E31" s="207">
        <v>92</v>
      </c>
      <c r="F31" s="207">
        <v>92</v>
      </c>
      <c r="G31" s="207">
        <v>92</v>
      </c>
      <c r="H31" s="207">
        <f t="shared" si="0"/>
        <v>0</v>
      </c>
      <c r="I31" s="203" t="s">
        <v>451</v>
      </c>
      <c r="J31" s="203" t="s">
        <v>452</v>
      </c>
      <c r="K31" s="203" t="s">
        <v>452</v>
      </c>
      <c r="L31" s="203" t="s">
        <v>451</v>
      </c>
      <c r="M31" s="463"/>
      <c r="N31" s="203"/>
      <c r="O31" s="203"/>
      <c r="P31" s="205"/>
      <c r="Q31" s="265"/>
      <c r="R31" s="265"/>
      <c r="S31" s="265"/>
      <c r="T31" s="267"/>
    </row>
    <row r="32" spans="1:20" ht="18" customHeight="1">
      <c r="A32" s="204">
        <v>28</v>
      </c>
      <c r="B32" s="202" t="s">
        <v>310</v>
      </c>
      <c r="C32" s="202" t="s">
        <v>1149</v>
      </c>
      <c r="D32" s="202" t="s">
        <v>155</v>
      </c>
      <c r="E32" s="207">
        <v>83</v>
      </c>
      <c r="F32" s="207">
        <v>83</v>
      </c>
      <c r="G32" s="207">
        <v>83</v>
      </c>
      <c r="H32" s="207">
        <f t="shared" si="0"/>
        <v>0</v>
      </c>
      <c r="I32" s="203" t="s">
        <v>451</v>
      </c>
      <c r="J32" s="203" t="s">
        <v>452</v>
      </c>
      <c r="K32" s="203" t="s">
        <v>452</v>
      </c>
      <c r="L32" s="203" t="s">
        <v>451</v>
      </c>
      <c r="M32" s="463"/>
      <c r="N32" s="203"/>
      <c r="O32" s="203"/>
      <c r="P32" s="205"/>
      <c r="Q32" s="265"/>
      <c r="R32" s="265"/>
      <c r="S32" s="265"/>
      <c r="T32" s="267"/>
    </row>
    <row r="33" spans="1:20" ht="18" customHeight="1">
      <c r="A33" s="204">
        <v>29</v>
      </c>
      <c r="B33" s="202" t="s">
        <v>311</v>
      </c>
      <c r="C33" s="202" t="s">
        <v>1150</v>
      </c>
      <c r="D33" s="202" t="s">
        <v>155</v>
      </c>
      <c r="E33" s="207">
        <v>67</v>
      </c>
      <c r="F33" s="207">
        <v>67</v>
      </c>
      <c r="G33" s="207">
        <v>67</v>
      </c>
      <c r="H33" s="207">
        <f t="shared" si="0"/>
        <v>0</v>
      </c>
      <c r="I33" s="203" t="s">
        <v>451</v>
      </c>
      <c r="J33" s="203" t="s">
        <v>452</v>
      </c>
      <c r="K33" s="203" t="s">
        <v>452</v>
      </c>
      <c r="L33" s="203" t="s">
        <v>451</v>
      </c>
      <c r="M33" s="463"/>
      <c r="N33" s="203"/>
      <c r="O33" s="203"/>
      <c r="P33" s="205"/>
      <c r="Q33" s="265"/>
      <c r="R33" s="265"/>
      <c r="S33" s="265"/>
      <c r="T33" s="267"/>
    </row>
    <row r="34" spans="1:20" ht="18" customHeight="1">
      <c r="A34" s="204">
        <v>30</v>
      </c>
      <c r="B34" s="202" t="s">
        <v>312</v>
      </c>
      <c r="C34" s="202" t="s">
        <v>1151</v>
      </c>
      <c r="D34" s="202" t="s">
        <v>155</v>
      </c>
      <c r="E34" s="207">
        <v>175</v>
      </c>
      <c r="F34" s="207">
        <v>175</v>
      </c>
      <c r="G34" s="207">
        <v>175</v>
      </c>
      <c r="H34" s="207">
        <f t="shared" si="0"/>
        <v>0</v>
      </c>
      <c r="I34" s="203" t="s">
        <v>451</v>
      </c>
      <c r="J34" s="203" t="s">
        <v>452</v>
      </c>
      <c r="K34" s="203" t="s">
        <v>452</v>
      </c>
      <c r="L34" s="203" t="s">
        <v>451</v>
      </c>
      <c r="M34" s="463"/>
      <c r="N34" s="203"/>
      <c r="O34" s="203"/>
      <c r="P34" s="205"/>
      <c r="Q34" s="265"/>
      <c r="R34" s="265"/>
      <c r="S34" s="265"/>
      <c r="T34" s="267"/>
    </row>
    <row r="35" spans="1:20" ht="18" customHeight="1">
      <c r="A35" s="204">
        <v>31</v>
      </c>
      <c r="B35" s="202" t="s">
        <v>313</v>
      </c>
      <c r="C35" s="202" t="s">
        <v>1152</v>
      </c>
      <c r="D35" s="202" t="s">
        <v>155</v>
      </c>
      <c r="E35" s="207">
        <v>1088</v>
      </c>
      <c r="F35" s="207">
        <v>1088</v>
      </c>
      <c r="G35" s="207">
        <v>1088</v>
      </c>
      <c r="H35" s="207">
        <f t="shared" si="0"/>
        <v>0</v>
      </c>
      <c r="I35" s="203" t="s">
        <v>451</v>
      </c>
      <c r="J35" s="203" t="s">
        <v>452</v>
      </c>
      <c r="K35" s="203" t="s">
        <v>452</v>
      </c>
      <c r="L35" s="203" t="s">
        <v>451</v>
      </c>
      <c r="M35" s="463"/>
      <c r="N35" s="203"/>
      <c r="O35" s="203"/>
      <c r="P35" s="205"/>
      <c r="Q35" s="265"/>
      <c r="R35" s="265"/>
      <c r="S35" s="265"/>
      <c r="T35" s="267"/>
    </row>
    <row r="36" spans="1:20" ht="18" customHeight="1">
      <c r="A36" s="204">
        <v>33</v>
      </c>
      <c r="B36" s="202" t="s">
        <v>314</v>
      </c>
      <c r="C36" s="202" t="s">
        <v>1153</v>
      </c>
      <c r="D36" s="202" t="s">
        <v>155</v>
      </c>
      <c r="E36" s="207">
        <v>618</v>
      </c>
      <c r="F36" s="207">
        <v>618</v>
      </c>
      <c r="G36" s="207">
        <v>618</v>
      </c>
      <c r="H36" s="207">
        <f t="shared" si="0"/>
        <v>0</v>
      </c>
      <c r="I36" s="203" t="s">
        <v>451</v>
      </c>
      <c r="J36" s="203" t="s">
        <v>452</v>
      </c>
      <c r="K36" s="203" t="s">
        <v>452</v>
      </c>
      <c r="L36" s="203" t="s">
        <v>451</v>
      </c>
      <c r="M36" s="463"/>
      <c r="N36" s="203"/>
      <c r="O36" s="203"/>
      <c r="P36" s="205"/>
      <c r="Q36" s="265"/>
      <c r="R36" s="265"/>
      <c r="S36" s="265"/>
      <c r="T36" s="267"/>
    </row>
    <row r="37" spans="1:20" ht="18" customHeight="1">
      <c r="A37" s="204">
        <v>34</v>
      </c>
      <c r="B37" s="202" t="s">
        <v>315</v>
      </c>
      <c r="C37" s="202" t="s">
        <v>1154</v>
      </c>
      <c r="D37" s="202" t="s">
        <v>155</v>
      </c>
      <c r="E37" s="207">
        <v>130</v>
      </c>
      <c r="F37" s="207">
        <v>130</v>
      </c>
      <c r="G37" s="207">
        <v>130</v>
      </c>
      <c r="H37" s="207">
        <f t="shared" si="0"/>
        <v>0</v>
      </c>
      <c r="I37" s="203" t="s">
        <v>451</v>
      </c>
      <c r="J37" s="203" t="s">
        <v>452</v>
      </c>
      <c r="K37" s="203" t="s">
        <v>452</v>
      </c>
      <c r="L37" s="203" t="s">
        <v>451</v>
      </c>
      <c r="M37" s="463"/>
      <c r="N37" s="203"/>
      <c r="O37" s="203"/>
      <c r="P37" s="205"/>
      <c r="Q37" s="265"/>
      <c r="R37" s="265"/>
      <c r="S37" s="265"/>
      <c r="T37" s="267"/>
    </row>
    <row r="38" spans="1:20" ht="18" customHeight="1">
      <c r="A38" s="204">
        <v>35</v>
      </c>
      <c r="B38" s="202" t="s">
        <v>316</v>
      </c>
      <c r="C38" s="202" t="s">
        <v>1155</v>
      </c>
      <c r="D38" s="202" t="s">
        <v>151</v>
      </c>
      <c r="E38" s="207">
        <v>379</v>
      </c>
      <c r="F38" s="207">
        <v>379</v>
      </c>
      <c r="G38" s="207">
        <v>379</v>
      </c>
      <c r="H38" s="207">
        <f t="shared" si="0"/>
        <v>0</v>
      </c>
      <c r="I38" s="203" t="s">
        <v>451</v>
      </c>
      <c r="J38" s="203" t="s">
        <v>452</v>
      </c>
      <c r="K38" s="203" t="s">
        <v>452</v>
      </c>
      <c r="L38" s="203" t="s">
        <v>451</v>
      </c>
      <c r="M38" s="463"/>
      <c r="N38" s="203"/>
      <c r="O38" s="203"/>
      <c r="P38" s="205"/>
      <c r="Q38" s="265"/>
      <c r="R38" s="265"/>
      <c r="S38" s="265"/>
      <c r="T38" s="267"/>
    </row>
    <row r="39" spans="1:20" ht="18" customHeight="1">
      <c r="A39" s="204">
        <v>36</v>
      </c>
      <c r="B39" s="202" t="s">
        <v>317</v>
      </c>
      <c r="C39" s="202" t="s">
        <v>1156</v>
      </c>
      <c r="D39" s="202" t="s">
        <v>160</v>
      </c>
      <c r="E39" s="207">
        <v>50</v>
      </c>
      <c r="F39" s="207">
        <v>50</v>
      </c>
      <c r="G39" s="207">
        <v>50</v>
      </c>
      <c r="H39" s="207">
        <f t="shared" si="0"/>
        <v>0</v>
      </c>
      <c r="I39" s="203" t="s">
        <v>451</v>
      </c>
      <c r="J39" s="203" t="s">
        <v>452</v>
      </c>
      <c r="K39" s="203" t="s">
        <v>452</v>
      </c>
      <c r="L39" s="203" t="s">
        <v>451</v>
      </c>
      <c r="M39" s="463"/>
      <c r="N39" s="203"/>
      <c r="O39" s="203"/>
      <c r="P39" s="205"/>
      <c r="Q39" s="265"/>
      <c r="R39" s="265"/>
      <c r="S39" s="265"/>
      <c r="T39" s="267"/>
    </row>
    <row r="40" spans="1:20" ht="18" customHeight="1">
      <c r="A40" s="204">
        <v>37</v>
      </c>
      <c r="B40" s="202" t="s">
        <v>318</v>
      </c>
      <c r="C40" s="202" t="s">
        <v>1157</v>
      </c>
      <c r="D40" s="202" t="s">
        <v>160</v>
      </c>
      <c r="E40" s="207">
        <v>1468</v>
      </c>
      <c r="F40" s="207">
        <v>1468</v>
      </c>
      <c r="G40" s="207">
        <v>1468</v>
      </c>
      <c r="H40" s="207">
        <f t="shared" si="0"/>
        <v>0</v>
      </c>
      <c r="I40" s="203" t="s">
        <v>511</v>
      </c>
      <c r="J40" s="203" t="s">
        <v>1272</v>
      </c>
      <c r="K40" s="203" t="s">
        <v>1272</v>
      </c>
      <c r="L40" s="203" t="s">
        <v>511</v>
      </c>
      <c r="M40" s="463"/>
      <c r="N40" s="203"/>
      <c r="O40" s="203"/>
      <c r="P40" s="205"/>
      <c r="Q40" s="265"/>
      <c r="R40" s="265"/>
      <c r="S40" s="265"/>
      <c r="T40" s="267"/>
    </row>
    <row r="41" spans="1:20" ht="18" customHeight="1">
      <c r="A41" s="204">
        <v>38</v>
      </c>
      <c r="B41" s="202" t="s">
        <v>319</v>
      </c>
      <c r="C41" s="202" t="s">
        <v>1158</v>
      </c>
      <c r="D41" s="202" t="s">
        <v>151</v>
      </c>
      <c r="E41" s="207">
        <v>604</v>
      </c>
      <c r="F41" s="207">
        <v>604</v>
      </c>
      <c r="G41" s="207">
        <v>604</v>
      </c>
      <c r="H41" s="207">
        <f t="shared" si="0"/>
        <v>0</v>
      </c>
      <c r="I41" s="203" t="s">
        <v>451</v>
      </c>
      <c r="J41" s="203" t="s">
        <v>452</v>
      </c>
      <c r="K41" s="203" t="s">
        <v>452</v>
      </c>
      <c r="L41" s="203" t="s">
        <v>451</v>
      </c>
      <c r="M41" s="463"/>
      <c r="N41" s="203"/>
      <c r="O41" s="203"/>
      <c r="P41" s="205"/>
      <c r="Q41" s="265"/>
      <c r="R41" s="265"/>
      <c r="S41" s="265"/>
      <c r="T41" s="267"/>
    </row>
    <row r="42" spans="1:20" ht="18" customHeight="1">
      <c r="A42" s="204">
        <v>40</v>
      </c>
      <c r="B42" s="202" t="s">
        <v>320</v>
      </c>
      <c r="C42" s="202" t="s">
        <v>1159</v>
      </c>
      <c r="D42" s="202" t="s">
        <v>160</v>
      </c>
      <c r="E42" s="207">
        <v>17</v>
      </c>
      <c r="F42" s="207">
        <v>17</v>
      </c>
      <c r="G42" s="207">
        <v>17</v>
      </c>
      <c r="H42" s="207">
        <f t="shared" si="0"/>
        <v>0</v>
      </c>
      <c r="I42" s="203" t="s">
        <v>511</v>
      </c>
      <c r="J42" s="203" t="s">
        <v>1272</v>
      </c>
      <c r="K42" s="203" t="s">
        <v>1272</v>
      </c>
      <c r="L42" s="203" t="s">
        <v>511</v>
      </c>
      <c r="M42" s="463"/>
      <c r="N42" s="203"/>
      <c r="O42" s="203"/>
      <c r="P42" s="205"/>
      <c r="Q42" s="265"/>
      <c r="R42" s="265"/>
      <c r="S42" s="265"/>
      <c r="T42" s="267"/>
    </row>
    <row r="43" spans="1:20" ht="18" customHeight="1">
      <c r="A43" s="204">
        <v>41</v>
      </c>
      <c r="B43" s="202" t="s">
        <v>321</v>
      </c>
      <c r="C43" s="202" t="s">
        <v>1160</v>
      </c>
      <c r="D43" s="202" t="s">
        <v>160</v>
      </c>
      <c r="E43" s="207">
        <v>843</v>
      </c>
      <c r="F43" s="207">
        <v>843</v>
      </c>
      <c r="G43" s="207">
        <v>843</v>
      </c>
      <c r="H43" s="207">
        <f t="shared" si="0"/>
        <v>0</v>
      </c>
      <c r="I43" s="203" t="s">
        <v>451</v>
      </c>
      <c r="J43" s="203" t="s">
        <v>452</v>
      </c>
      <c r="K43" s="203" t="s">
        <v>452</v>
      </c>
      <c r="L43" s="203" t="s">
        <v>451</v>
      </c>
      <c r="M43" s="463"/>
      <c r="N43" s="203"/>
      <c r="O43" s="203"/>
      <c r="P43" s="205"/>
      <c r="Q43" s="265"/>
      <c r="R43" s="265"/>
      <c r="S43" s="265"/>
      <c r="T43" s="267"/>
    </row>
    <row r="44" spans="1:20" ht="18" customHeight="1">
      <c r="A44" s="204">
        <v>42</v>
      </c>
      <c r="B44" s="202" t="s">
        <v>322</v>
      </c>
      <c r="C44" s="202" t="s">
        <v>1161</v>
      </c>
      <c r="D44" s="202" t="s">
        <v>160</v>
      </c>
      <c r="E44" s="207">
        <v>171</v>
      </c>
      <c r="F44" s="207">
        <v>171</v>
      </c>
      <c r="G44" s="207">
        <v>171</v>
      </c>
      <c r="H44" s="207">
        <f t="shared" si="0"/>
        <v>0</v>
      </c>
      <c r="I44" s="203" t="s">
        <v>451</v>
      </c>
      <c r="J44" s="203" t="s">
        <v>452</v>
      </c>
      <c r="K44" s="203" t="s">
        <v>452</v>
      </c>
      <c r="L44" s="203" t="s">
        <v>451</v>
      </c>
      <c r="M44" s="463"/>
      <c r="N44" s="203"/>
      <c r="O44" s="203"/>
      <c r="P44" s="205"/>
      <c r="Q44" s="265"/>
      <c r="R44" s="265"/>
      <c r="S44" s="265"/>
      <c r="T44" s="267"/>
    </row>
    <row r="45" spans="1:20" ht="18" customHeight="1">
      <c r="A45" s="204">
        <v>43</v>
      </c>
      <c r="B45" s="202" t="s">
        <v>323</v>
      </c>
      <c r="C45" s="202" t="s">
        <v>1162</v>
      </c>
      <c r="D45" s="202" t="s">
        <v>155</v>
      </c>
      <c r="E45" s="207">
        <v>1083</v>
      </c>
      <c r="F45" s="275">
        <v>1083</v>
      </c>
      <c r="G45" s="275">
        <v>1083</v>
      </c>
      <c r="H45" s="207">
        <f t="shared" si="0"/>
        <v>0</v>
      </c>
      <c r="I45" s="203" t="s">
        <v>451</v>
      </c>
      <c r="J45" s="203" t="s">
        <v>452</v>
      </c>
      <c r="K45" s="203" t="s">
        <v>452</v>
      </c>
      <c r="L45" s="203" t="s">
        <v>451</v>
      </c>
      <c r="M45" s="463"/>
      <c r="N45" s="203"/>
      <c r="O45" s="203"/>
      <c r="P45" s="205"/>
      <c r="Q45" s="265"/>
      <c r="R45" s="265"/>
      <c r="S45" s="265"/>
      <c r="T45" s="267"/>
    </row>
    <row r="46" spans="1:20" ht="18" customHeight="1">
      <c r="A46" s="204">
        <v>44</v>
      </c>
      <c r="B46" s="202" t="s">
        <v>324</v>
      </c>
      <c r="C46" s="202" t="s">
        <v>1163</v>
      </c>
      <c r="D46" s="202" t="s">
        <v>155</v>
      </c>
      <c r="E46" s="207">
        <v>1460</v>
      </c>
      <c r="F46" s="207">
        <v>1460</v>
      </c>
      <c r="G46" s="207">
        <v>1460</v>
      </c>
      <c r="H46" s="207">
        <f t="shared" si="0"/>
        <v>0</v>
      </c>
      <c r="I46" s="203" t="s">
        <v>451</v>
      </c>
      <c r="J46" s="203" t="s">
        <v>452</v>
      </c>
      <c r="K46" s="203" t="s">
        <v>452</v>
      </c>
      <c r="L46" s="203" t="s">
        <v>451</v>
      </c>
      <c r="M46" s="463"/>
      <c r="N46" s="203"/>
      <c r="O46" s="203"/>
      <c r="P46" s="205"/>
      <c r="Q46" s="265"/>
      <c r="R46" s="265"/>
      <c r="S46" s="265"/>
      <c r="T46" s="267"/>
    </row>
    <row r="47" spans="1:20" ht="18" customHeight="1">
      <c r="A47" s="204">
        <v>46</v>
      </c>
      <c r="B47" s="202" t="s">
        <v>325</v>
      </c>
      <c r="C47" s="202" t="s">
        <v>1164</v>
      </c>
      <c r="D47" s="202" t="s">
        <v>155</v>
      </c>
      <c r="E47" s="207">
        <v>44</v>
      </c>
      <c r="F47" s="207">
        <v>44</v>
      </c>
      <c r="G47" s="207">
        <v>44</v>
      </c>
      <c r="H47" s="207">
        <f t="shared" si="0"/>
        <v>0</v>
      </c>
      <c r="I47" s="203" t="s">
        <v>451</v>
      </c>
      <c r="J47" s="203" t="s">
        <v>452</v>
      </c>
      <c r="K47" s="203" t="s">
        <v>452</v>
      </c>
      <c r="L47" s="203" t="s">
        <v>451</v>
      </c>
      <c r="M47" s="463"/>
      <c r="N47" s="203"/>
      <c r="O47" s="203"/>
      <c r="P47" s="205"/>
      <c r="Q47" s="265"/>
      <c r="R47" s="265"/>
      <c r="S47" s="265"/>
      <c r="T47" s="267"/>
    </row>
    <row r="48" spans="1:20" ht="18" customHeight="1">
      <c r="A48" s="204">
        <v>47</v>
      </c>
      <c r="B48" s="202" t="s">
        <v>326</v>
      </c>
      <c r="C48" s="202" t="s">
        <v>1165</v>
      </c>
      <c r="D48" s="202" t="s">
        <v>155</v>
      </c>
      <c r="E48" s="207">
        <v>183</v>
      </c>
      <c r="F48" s="207">
        <v>183</v>
      </c>
      <c r="G48" s="207">
        <v>183</v>
      </c>
      <c r="H48" s="207">
        <f t="shared" si="0"/>
        <v>0</v>
      </c>
      <c r="I48" s="203" t="s">
        <v>451</v>
      </c>
      <c r="J48" s="203" t="s">
        <v>452</v>
      </c>
      <c r="K48" s="203" t="s">
        <v>452</v>
      </c>
      <c r="L48" s="203" t="s">
        <v>451</v>
      </c>
      <c r="M48" s="463"/>
      <c r="N48" s="203"/>
      <c r="O48" s="203"/>
      <c r="P48" s="205"/>
      <c r="Q48" s="265"/>
      <c r="R48" s="265"/>
      <c r="S48" s="265"/>
      <c r="T48" s="267"/>
    </row>
    <row r="49" spans="1:20" ht="18" customHeight="1">
      <c r="A49" s="204">
        <v>48</v>
      </c>
      <c r="B49" s="202" t="s">
        <v>327</v>
      </c>
      <c r="C49" s="202" t="s">
        <v>1166</v>
      </c>
      <c r="D49" s="202" t="s">
        <v>155</v>
      </c>
      <c r="E49" s="207">
        <v>1701</v>
      </c>
      <c r="F49" s="207">
        <v>1701</v>
      </c>
      <c r="G49" s="207">
        <v>1701</v>
      </c>
      <c r="H49" s="207">
        <f t="shared" si="0"/>
        <v>0</v>
      </c>
      <c r="I49" s="203" t="s">
        <v>451</v>
      </c>
      <c r="J49" s="203" t="s">
        <v>452</v>
      </c>
      <c r="K49" s="203" t="s">
        <v>452</v>
      </c>
      <c r="L49" s="203" t="s">
        <v>451</v>
      </c>
      <c r="M49" s="463"/>
      <c r="N49" s="203"/>
      <c r="O49" s="203"/>
      <c r="P49" s="205"/>
      <c r="Q49" s="265"/>
      <c r="R49" s="265"/>
      <c r="S49" s="265"/>
      <c r="T49" s="267"/>
    </row>
    <row r="50" spans="1:20" ht="18" customHeight="1">
      <c r="A50" s="204">
        <v>49</v>
      </c>
      <c r="B50" s="202" t="s">
        <v>328</v>
      </c>
      <c r="C50" s="202" t="s">
        <v>1167</v>
      </c>
      <c r="D50" s="202" t="s">
        <v>329</v>
      </c>
      <c r="E50" s="207">
        <v>546</v>
      </c>
      <c r="F50" s="207">
        <v>546</v>
      </c>
      <c r="G50" s="207">
        <v>546</v>
      </c>
      <c r="H50" s="207">
        <f t="shared" si="0"/>
        <v>0</v>
      </c>
      <c r="I50" s="203" t="s">
        <v>511</v>
      </c>
      <c r="J50" s="203" t="s">
        <v>514</v>
      </c>
      <c r="K50" s="203" t="s">
        <v>514</v>
      </c>
      <c r="L50" s="203" t="s">
        <v>511</v>
      </c>
      <c r="M50" s="463"/>
      <c r="N50" s="203"/>
      <c r="O50" s="203"/>
      <c r="P50" s="205"/>
      <c r="Q50" s="265"/>
      <c r="R50" s="265"/>
      <c r="S50" s="265"/>
      <c r="T50" s="267"/>
    </row>
    <row r="51" spans="1:20" ht="18" customHeight="1">
      <c r="A51" s="204">
        <v>50</v>
      </c>
      <c r="B51" s="202" t="s">
        <v>330</v>
      </c>
      <c r="C51" s="202" t="s">
        <v>1168</v>
      </c>
      <c r="D51" s="202" t="s">
        <v>150</v>
      </c>
      <c r="E51" s="207">
        <v>2433</v>
      </c>
      <c r="F51" s="207">
        <v>2433</v>
      </c>
      <c r="G51" s="207">
        <v>2433</v>
      </c>
      <c r="H51" s="207">
        <f t="shared" si="0"/>
        <v>0</v>
      </c>
      <c r="I51" s="203" t="s">
        <v>451</v>
      </c>
      <c r="J51" s="203" t="s">
        <v>452</v>
      </c>
      <c r="K51" s="203" t="s">
        <v>452</v>
      </c>
      <c r="L51" s="203" t="s">
        <v>451</v>
      </c>
      <c r="M51" s="463"/>
      <c r="N51" s="203"/>
      <c r="O51" s="203"/>
      <c r="P51" s="205"/>
      <c r="Q51" s="265"/>
      <c r="R51" s="265"/>
      <c r="S51" s="265"/>
      <c r="T51" s="267"/>
    </row>
    <row r="52" spans="1:20" ht="18" customHeight="1">
      <c r="A52" s="204">
        <v>51</v>
      </c>
      <c r="B52" s="202" t="s">
        <v>331</v>
      </c>
      <c r="C52" s="202" t="s">
        <v>1169</v>
      </c>
      <c r="D52" s="202" t="s">
        <v>160</v>
      </c>
      <c r="E52" s="207">
        <v>517</v>
      </c>
      <c r="F52" s="207">
        <v>517</v>
      </c>
      <c r="G52" s="207">
        <v>517</v>
      </c>
      <c r="H52" s="207">
        <f t="shared" si="0"/>
        <v>0</v>
      </c>
      <c r="I52" s="203" t="s">
        <v>451</v>
      </c>
      <c r="J52" s="203" t="s">
        <v>537</v>
      </c>
      <c r="K52" s="203" t="s">
        <v>537</v>
      </c>
      <c r="L52" s="203" t="s">
        <v>451</v>
      </c>
      <c r="M52" s="463"/>
      <c r="N52" s="203"/>
      <c r="O52" s="203"/>
      <c r="P52" s="276"/>
      <c r="Q52" s="265"/>
      <c r="R52" s="265"/>
      <c r="S52" s="265"/>
      <c r="T52" s="267"/>
    </row>
    <row r="53" spans="1:20" ht="18" customHeight="1">
      <c r="A53" s="204">
        <v>52</v>
      </c>
      <c r="B53" s="202" t="s">
        <v>332</v>
      </c>
      <c r="C53" s="202" t="s">
        <v>1170</v>
      </c>
      <c r="D53" s="202" t="s">
        <v>160</v>
      </c>
      <c r="E53" s="207">
        <v>63</v>
      </c>
      <c r="F53" s="207">
        <v>63</v>
      </c>
      <c r="G53" s="207">
        <v>63</v>
      </c>
      <c r="H53" s="207">
        <f t="shared" si="0"/>
        <v>0</v>
      </c>
      <c r="I53" s="203" t="s">
        <v>451</v>
      </c>
      <c r="J53" s="203" t="s">
        <v>452</v>
      </c>
      <c r="K53" s="203" t="s">
        <v>452</v>
      </c>
      <c r="L53" s="203" t="s">
        <v>451</v>
      </c>
      <c r="M53" s="463"/>
      <c r="N53" s="203"/>
      <c r="O53" s="203"/>
      <c r="P53" s="276"/>
      <c r="Q53" s="265"/>
      <c r="R53" s="265"/>
      <c r="S53" s="265"/>
      <c r="T53" s="267"/>
    </row>
    <row r="54" spans="1:20" ht="18" customHeight="1">
      <c r="A54" s="204">
        <v>53</v>
      </c>
      <c r="B54" s="202" t="s">
        <v>333</v>
      </c>
      <c r="C54" s="202" t="s">
        <v>1171</v>
      </c>
      <c r="D54" s="202" t="s">
        <v>160</v>
      </c>
      <c r="E54" s="207">
        <v>1710</v>
      </c>
      <c r="F54" s="207">
        <v>1710</v>
      </c>
      <c r="G54" s="207">
        <v>1710</v>
      </c>
      <c r="H54" s="207">
        <f t="shared" si="0"/>
        <v>0</v>
      </c>
      <c r="I54" s="203" t="s">
        <v>511</v>
      </c>
      <c r="J54" s="203" t="s">
        <v>1272</v>
      </c>
      <c r="K54" s="203" t="s">
        <v>1272</v>
      </c>
      <c r="L54" s="203" t="s">
        <v>511</v>
      </c>
      <c r="M54" s="463"/>
      <c r="N54" s="203"/>
      <c r="O54" s="203"/>
      <c r="P54" s="276"/>
      <c r="Q54" s="265"/>
      <c r="R54" s="265"/>
      <c r="S54" s="265"/>
      <c r="T54" s="267"/>
    </row>
    <row r="55" spans="1:20" ht="18" customHeight="1">
      <c r="A55" s="204">
        <v>54</v>
      </c>
      <c r="B55" s="202" t="s">
        <v>334</v>
      </c>
      <c r="C55" s="202" t="s">
        <v>1172</v>
      </c>
      <c r="D55" s="202" t="s">
        <v>160</v>
      </c>
      <c r="E55" s="207">
        <v>602</v>
      </c>
      <c r="F55" s="207">
        <v>602</v>
      </c>
      <c r="G55" s="207">
        <v>602</v>
      </c>
      <c r="H55" s="207">
        <f t="shared" si="0"/>
        <v>0</v>
      </c>
      <c r="I55" s="203" t="s">
        <v>451</v>
      </c>
      <c r="J55" s="203" t="s">
        <v>452</v>
      </c>
      <c r="K55" s="203" t="s">
        <v>452</v>
      </c>
      <c r="L55" s="203" t="s">
        <v>451</v>
      </c>
      <c r="M55" s="463"/>
      <c r="N55" s="203"/>
      <c r="O55" s="203"/>
      <c r="P55" s="276"/>
      <c r="Q55" s="265"/>
      <c r="R55" s="265"/>
      <c r="S55" s="265"/>
      <c r="T55" s="267"/>
    </row>
    <row r="56" spans="1:20" ht="18" customHeight="1">
      <c r="A56" s="204">
        <v>55</v>
      </c>
      <c r="B56" s="202" t="s">
        <v>335</v>
      </c>
      <c r="C56" s="202" t="s">
        <v>1173</v>
      </c>
      <c r="D56" s="202" t="s">
        <v>151</v>
      </c>
      <c r="E56" s="207">
        <v>130</v>
      </c>
      <c r="F56" s="207">
        <v>130</v>
      </c>
      <c r="G56" s="207">
        <v>130</v>
      </c>
      <c r="H56" s="207">
        <f t="shared" si="0"/>
        <v>0</v>
      </c>
      <c r="I56" s="203" t="s">
        <v>451</v>
      </c>
      <c r="J56" s="203" t="s">
        <v>452</v>
      </c>
      <c r="K56" s="203" t="s">
        <v>452</v>
      </c>
      <c r="L56" s="203" t="s">
        <v>451</v>
      </c>
      <c r="M56" s="463"/>
      <c r="N56" s="203"/>
      <c r="O56" s="203"/>
      <c r="P56" s="276"/>
      <c r="Q56" s="265"/>
      <c r="R56" s="265"/>
      <c r="S56" s="265"/>
      <c r="T56" s="267"/>
    </row>
    <row r="57" spans="1:20" ht="18" customHeight="1">
      <c r="A57" s="204">
        <v>56</v>
      </c>
      <c r="B57" s="202" t="s">
        <v>336</v>
      </c>
      <c r="C57" s="202" t="s">
        <v>1174</v>
      </c>
      <c r="D57" s="202" t="s">
        <v>155</v>
      </c>
      <c r="E57" s="207">
        <v>1775</v>
      </c>
      <c r="F57" s="207">
        <v>1775</v>
      </c>
      <c r="G57" s="207">
        <v>1775</v>
      </c>
      <c r="H57" s="207">
        <f t="shared" si="0"/>
        <v>0</v>
      </c>
      <c r="I57" s="203" t="s">
        <v>451</v>
      </c>
      <c r="J57" s="203" t="s">
        <v>452</v>
      </c>
      <c r="K57" s="203" t="s">
        <v>452</v>
      </c>
      <c r="L57" s="203" t="s">
        <v>451</v>
      </c>
      <c r="M57" s="463"/>
      <c r="N57" s="203"/>
      <c r="O57" s="203"/>
      <c r="P57" s="276"/>
      <c r="Q57" s="265"/>
      <c r="R57" s="265"/>
      <c r="S57" s="265"/>
      <c r="T57" s="267"/>
    </row>
    <row r="58" spans="1:20" ht="18" customHeight="1">
      <c r="A58" s="204">
        <v>57</v>
      </c>
      <c r="B58" s="202" t="s">
        <v>414</v>
      </c>
      <c r="C58" s="202" t="s">
        <v>1175</v>
      </c>
      <c r="D58" s="202" t="s">
        <v>155</v>
      </c>
      <c r="E58" s="207">
        <v>2266</v>
      </c>
      <c r="F58" s="207">
        <v>2266</v>
      </c>
      <c r="G58" s="207">
        <v>2266</v>
      </c>
      <c r="H58" s="207">
        <f t="shared" si="0"/>
        <v>0</v>
      </c>
      <c r="I58" s="203" t="s">
        <v>451</v>
      </c>
      <c r="J58" s="203" t="s">
        <v>452</v>
      </c>
      <c r="K58" s="203" t="s">
        <v>452</v>
      </c>
      <c r="L58" s="203" t="s">
        <v>451</v>
      </c>
      <c r="M58" s="463"/>
      <c r="N58" s="203"/>
      <c r="O58" s="203"/>
      <c r="P58" s="276"/>
      <c r="Q58" s="265"/>
      <c r="R58" s="265"/>
      <c r="S58" s="265"/>
      <c r="T58" s="267"/>
    </row>
    <row r="59" spans="1:20" ht="18" customHeight="1">
      <c r="A59" s="204">
        <v>58</v>
      </c>
      <c r="B59" s="202" t="s">
        <v>337</v>
      </c>
      <c r="C59" s="202" t="s">
        <v>1176</v>
      </c>
      <c r="D59" s="202" t="s">
        <v>155</v>
      </c>
      <c r="E59" s="207">
        <v>17</v>
      </c>
      <c r="F59" s="207">
        <v>17</v>
      </c>
      <c r="G59" s="207">
        <v>17</v>
      </c>
      <c r="H59" s="207">
        <f t="shared" si="0"/>
        <v>0</v>
      </c>
      <c r="I59" s="203" t="s">
        <v>451</v>
      </c>
      <c r="J59" s="203" t="s">
        <v>452</v>
      </c>
      <c r="K59" s="203" t="s">
        <v>452</v>
      </c>
      <c r="L59" s="203" t="s">
        <v>451</v>
      </c>
      <c r="M59" s="463"/>
      <c r="N59" s="203"/>
      <c r="O59" s="203"/>
      <c r="P59" s="276"/>
      <c r="Q59" s="265"/>
      <c r="R59" s="265"/>
      <c r="S59" s="265"/>
      <c r="T59" s="267"/>
    </row>
    <row r="60" spans="1:20" ht="18" customHeight="1">
      <c r="A60" s="204">
        <v>59</v>
      </c>
      <c r="B60" s="202" t="s">
        <v>338</v>
      </c>
      <c r="C60" s="202" t="s">
        <v>1177</v>
      </c>
      <c r="D60" s="202" t="s">
        <v>155</v>
      </c>
      <c r="E60" s="207">
        <v>65</v>
      </c>
      <c r="F60" s="207">
        <v>65</v>
      </c>
      <c r="G60" s="207">
        <v>65</v>
      </c>
      <c r="H60" s="207">
        <f t="shared" si="0"/>
        <v>0</v>
      </c>
      <c r="I60" s="203" t="s">
        <v>451</v>
      </c>
      <c r="J60" s="203" t="s">
        <v>452</v>
      </c>
      <c r="K60" s="203" t="s">
        <v>452</v>
      </c>
      <c r="L60" s="203" t="s">
        <v>451</v>
      </c>
      <c r="M60" s="463"/>
      <c r="N60" s="203"/>
      <c r="O60" s="203"/>
      <c r="P60" s="276"/>
      <c r="Q60" s="265"/>
      <c r="R60" s="265"/>
      <c r="S60" s="265"/>
      <c r="T60" s="267"/>
    </row>
    <row r="61" spans="1:20" ht="18" customHeight="1">
      <c r="A61" s="204">
        <v>60</v>
      </c>
      <c r="B61" s="202" t="s">
        <v>339</v>
      </c>
      <c r="C61" s="202" t="s">
        <v>1178</v>
      </c>
      <c r="D61" s="202" t="s">
        <v>152</v>
      </c>
      <c r="E61" s="207">
        <v>189</v>
      </c>
      <c r="F61" s="207">
        <v>189</v>
      </c>
      <c r="G61" s="207">
        <v>189</v>
      </c>
      <c r="H61" s="207">
        <f t="shared" si="0"/>
        <v>0</v>
      </c>
      <c r="I61" s="203" t="s">
        <v>511</v>
      </c>
      <c r="J61" s="203" t="s">
        <v>514</v>
      </c>
      <c r="K61" s="203" t="s">
        <v>514</v>
      </c>
      <c r="L61" s="203" t="s">
        <v>511</v>
      </c>
      <c r="M61" s="463"/>
      <c r="N61" s="203"/>
      <c r="O61" s="203"/>
      <c r="P61" s="276"/>
      <c r="Q61" s="265"/>
      <c r="R61" s="265"/>
      <c r="S61" s="265"/>
      <c r="T61" s="267"/>
    </row>
    <row r="62" spans="1:20" ht="18" customHeight="1">
      <c r="A62" s="204">
        <v>61</v>
      </c>
      <c r="B62" s="202" t="s">
        <v>340</v>
      </c>
      <c r="C62" s="202" t="s">
        <v>1179</v>
      </c>
      <c r="D62" s="202" t="s">
        <v>150</v>
      </c>
      <c r="E62" s="207">
        <v>139</v>
      </c>
      <c r="F62" s="207">
        <v>139</v>
      </c>
      <c r="G62" s="207">
        <v>139</v>
      </c>
      <c r="H62" s="207">
        <f t="shared" si="0"/>
        <v>0</v>
      </c>
      <c r="I62" s="203" t="s">
        <v>451</v>
      </c>
      <c r="J62" s="203" t="s">
        <v>452</v>
      </c>
      <c r="K62" s="203" t="s">
        <v>452</v>
      </c>
      <c r="L62" s="203" t="s">
        <v>451</v>
      </c>
      <c r="M62" s="463"/>
      <c r="N62" s="203"/>
      <c r="O62" s="203"/>
      <c r="P62" s="276"/>
      <c r="Q62" s="265"/>
      <c r="R62" s="265"/>
      <c r="S62" s="265"/>
      <c r="T62" s="267"/>
    </row>
    <row r="63" spans="1:20" ht="18" customHeight="1">
      <c r="A63" s="204">
        <v>63</v>
      </c>
      <c r="B63" s="202" t="s">
        <v>341</v>
      </c>
      <c r="C63" s="202" t="s">
        <v>1180</v>
      </c>
      <c r="D63" s="202" t="s">
        <v>150</v>
      </c>
      <c r="E63" s="207">
        <v>76</v>
      </c>
      <c r="F63" s="207">
        <v>76</v>
      </c>
      <c r="G63" s="207">
        <v>76</v>
      </c>
      <c r="H63" s="207">
        <f t="shared" si="0"/>
        <v>0</v>
      </c>
      <c r="I63" s="203" t="s">
        <v>451</v>
      </c>
      <c r="J63" s="203" t="s">
        <v>452</v>
      </c>
      <c r="K63" s="203" t="s">
        <v>452</v>
      </c>
      <c r="L63" s="203" t="s">
        <v>451</v>
      </c>
      <c r="M63" s="463"/>
      <c r="N63" s="203"/>
      <c r="O63" s="203"/>
      <c r="P63" s="276"/>
      <c r="Q63" s="265"/>
      <c r="R63" s="265"/>
      <c r="S63" s="265"/>
      <c r="T63" s="267"/>
    </row>
    <row r="64" spans="1:20" ht="18" customHeight="1">
      <c r="A64" s="204">
        <v>64</v>
      </c>
      <c r="B64" s="202" t="s">
        <v>342</v>
      </c>
      <c r="C64" s="202" t="s">
        <v>1181</v>
      </c>
      <c r="D64" s="202" t="s">
        <v>150</v>
      </c>
      <c r="E64" s="207">
        <v>29</v>
      </c>
      <c r="F64" s="207">
        <v>29</v>
      </c>
      <c r="G64" s="207">
        <v>29</v>
      </c>
      <c r="H64" s="207">
        <f t="shared" si="0"/>
        <v>0</v>
      </c>
      <c r="I64" s="203" t="s">
        <v>451</v>
      </c>
      <c r="J64" s="203" t="s">
        <v>452</v>
      </c>
      <c r="K64" s="203" t="s">
        <v>452</v>
      </c>
      <c r="L64" s="203" t="s">
        <v>451</v>
      </c>
      <c r="M64" s="463"/>
      <c r="N64" s="203"/>
      <c r="O64" s="203"/>
      <c r="P64" s="276"/>
      <c r="Q64" s="265"/>
      <c r="R64" s="265"/>
      <c r="S64" s="265"/>
      <c r="T64" s="267"/>
    </row>
    <row r="65" spans="1:20" ht="18" customHeight="1">
      <c r="A65" s="204">
        <v>65</v>
      </c>
      <c r="B65" s="202" t="s">
        <v>343</v>
      </c>
      <c r="C65" s="202" t="s">
        <v>1182</v>
      </c>
      <c r="D65" s="202" t="s">
        <v>150</v>
      </c>
      <c r="E65" s="207">
        <v>2315</v>
      </c>
      <c r="F65" s="207">
        <v>2315</v>
      </c>
      <c r="G65" s="207">
        <v>2315</v>
      </c>
      <c r="H65" s="207">
        <f t="shared" si="0"/>
        <v>0</v>
      </c>
      <c r="I65" s="203" t="s">
        <v>451</v>
      </c>
      <c r="J65" s="203" t="s">
        <v>452</v>
      </c>
      <c r="K65" s="203" t="s">
        <v>452</v>
      </c>
      <c r="L65" s="203" t="s">
        <v>451</v>
      </c>
      <c r="M65" s="463"/>
      <c r="N65" s="203"/>
      <c r="O65" s="203"/>
      <c r="P65" s="276"/>
      <c r="Q65" s="265"/>
      <c r="R65" s="265"/>
      <c r="S65" s="265"/>
      <c r="T65" s="267"/>
    </row>
    <row r="66" spans="1:20" ht="18" customHeight="1">
      <c r="A66" s="204">
        <v>67</v>
      </c>
      <c r="B66" s="202" t="s">
        <v>344</v>
      </c>
      <c r="C66" s="202" t="s">
        <v>1183</v>
      </c>
      <c r="D66" s="202" t="s">
        <v>82</v>
      </c>
      <c r="E66" s="207">
        <v>6617</v>
      </c>
      <c r="F66" s="207">
        <v>6617</v>
      </c>
      <c r="G66" s="207">
        <v>6617</v>
      </c>
      <c r="H66" s="207">
        <f t="shared" si="0"/>
        <v>0</v>
      </c>
      <c r="I66" s="203" t="s">
        <v>451</v>
      </c>
      <c r="J66" s="203" t="s">
        <v>452</v>
      </c>
      <c r="K66" s="203" t="s">
        <v>452</v>
      </c>
      <c r="L66" s="203" t="s">
        <v>451</v>
      </c>
      <c r="M66" s="463"/>
      <c r="N66" s="203"/>
      <c r="O66" s="203"/>
      <c r="P66" s="276"/>
      <c r="Q66" s="265"/>
      <c r="R66" s="265"/>
      <c r="S66" s="265"/>
      <c r="T66" s="267"/>
    </row>
    <row r="67" spans="1:20" ht="18" customHeight="1">
      <c r="A67" s="204">
        <v>68</v>
      </c>
      <c r="B67" s="202" t="s">
        <v>345</v>
      </c>
      <c r="C67" s="202" t="s">
        <v>1184</v>
      </c>
      <c r="D67" s="202" t="s">
        <v>82</v>
      </c>
      <c r="E67" s="207">
        <v>18</v>
      </c>
      <c r="F67" s="207">
        <v>18</v>
      </c>
      <c r="G67" s="207">
        <v>18</v>
      </c>
      <c r="H67" s="207">
        <f t="shared" si="0"/>
        <v>0</v>
      </c>
      <c r="I67" s="203" t="s">
        <v>451</v>
      </c>
      <c r="J67" s="203" t="s">
        <v>452</v>
      </c>
      <c r="K67" s="203" t="s">
        <v>452</v>
      </c>
      <c r="L67" s="203" t="s">
        <v>451</v>
      </c>
      <c r="M67" s="463"/>
      <c r="N67" s="203"/>
      <c r="O67" s="203"/>
      <c r="P67" s="276"/>
      <c r="Q67" s="265"/>
      <c r="R67" s="265"/>
      <c r="S67" s="265"/>
      <c r="T67" s="267"/>
    </row>
    <row r="68" spans="1:20" ht="18" customHeight="1">
      <c r="A68" s="204">
        <v>69</v>
      </c>
      <c r="B68" s="202" t="s">
        <v>346</v>
      </c>
      <c r="C68" s="202" t="s">
        <v>1185</v>
      </c>
      <c r="D68" s="202" t="s">
        <v>82</v>
      </c>
      <c r="E68" s="207">
        <v>601</v>
      </c>
      <c r="F68" s="207">
        <v>601</v>
      </c>
      <c r="G68" s="207">
        <v>601</v>
      </c>
      <c r="H68" s="207">
        <f t="shared" si="0"/>
        <v>0</v>
      </c>
      <c r="I68" s="203" t="s">
        <v>451</v>
      </c>
      <c r="J68" s="203" t="s">
        <v>452</v>
      </c>
      <c r="K68" s="203" t="s">
        <v>452</v>
      </c>
      <c r="L68" s="203" t="s">
        <v>451</v>
      </c>
      <c r="M68" s="463"/>
      <c r="N68" s="203"/>
      <c r="O68" s="203"/>
      <c r="P68" s="276"/>
      <c r="Q68" s="265"/>
      <c r="R68" s="265"/>
      <c r="S68" s="265"/>
      <c r="T68" s="267"/>
    </row>
    <row r="69" spans="1:20" ht="18" customHeight="1">
      <c r="A69" s="204">
        <v>70</v>
      </c>
      <c r="B69" s="202" t="s">
        <v>347</v>
      </c>
      <c r="C69" s="202" t="s">
        <v>1186</v>
      </c>
      <c r="D69" s="202" t="s">
        <v>82</v>
      </c>
      <c r="E69" s="207">
        <v>3228</v>
      </c>
      <c r="F69" s="207">
        <v>3228</v>
      </c>
      <c r="G69" s="207">
        <v>3228</v>
      </c>
      <c r="H69" s="207">
        <f t="shared" si="0"/>
        <v>0</v>
      </c>
      <c r="I69" s="203" t="s">
        <v>451</v>
      </c>
      <c r="J69" s="203" t="s">
        <v>452</v>
      </c>
      <c r="K69" s="203" t="s">
        <v>452</v>
      </c>
      <c r="L69" s="203" t="s">
        <v>451</v>
      </c>
      <c r="M69" s="463"/>
      <c r="N69" s="203"/>
      <c r="O69" s="203"/>
      <c r="P69" s="276"/>
      <c r="Q69" s="265"/>
      <c r="R69" s="265"/>
      <c r="S69" s="265"/>
      <c r="T69" s="267"/>
    </row>
    <row r="70" spans="1:20" ht="18" customHeight="1">
      <c r="A70" s="204">
        <v>71</v>
      </c>
      <c r="B70" s="202" t="s">
        <v>348</v>
      </c>
      <c r="C70" s="202" t="s">
        <v>1187</v>
      </c>
      <c r="D70" s="202" t="s">
        <v>82</v>
      </c>
      <c r="E70" s="207">
        <v>6580</v>
      </c>
      <c r="F70" s="207">
        <v>6580</v>
      </c>
      <c r="G70" s="207">
        <v>6580</v>
      </c>
      <c r="H70" s="207">
        <f t="shared" ref="H70:H133" si="1">G70-F70</f>
        <v>0</v>
      </c>
      <c r="I70" s="203" t="s">
        <v>451</v>
      </c>
      <c r="J70" s="203" t="s">
        <v>452</v>
      </c>
      <c r="K70" s="203" t="s">
        <v>452</v>
      </c>
      <c r="L70" s="203" t="s">
        <v>451</v>
      </c>
      <c r="M70" s="463"/>
      <c r="N70" s="203"/>
      <c r="O70" s="203"/>
      <c r="P70" s="276"/>
      <c r="Q70" s="265"/>
      <c r="R70" s="265"/>
      <c r="S70" s="265"/>
      <c r="T70" s="267"/>
    </row>
    <row r="71" spans="1:20" ht="18" customHeight="1">
      <c r="A71" s="204">
        <v>72</v>
      </c>
      <c r="B71" s="202" t="s">
        <v>349</v>
      </c>
      <c r="C71" s="202" t="s">
        <v>1188</v>
      </c>
      <c r="D71" s="202" t="s">
        <v>155</v>
      </c>
      <c r="E71" s="207">
        <v>65</v>
      </c>
      <c r="F71" s="207">
        <v>65</v>
      </c>
      <c r="G71" s="207">
        <v>65</v>
      </c>
      <c r="H71" s="207">
        <f t="shared" si="1"/>
        <v>0</v>
      </c>
      <c r="I71" s="203" t="s">
        <v>451</v>
      </c>
      <c r="J71" s="203" t="s">
        <v>452</v>
      </c>
      <c r="K71" s="203" t="s">
        <v>452</v>
      </c>
      <c r="L71" s="203" t="s">
        <v>451</v>
      </c>
      <c r="M71" s="463"/>
      <c r="N71" s="203"/>
      <c r="O71" s="203"/>
      <c r="P71" s="276"/>
      <c r="Q71" s="265"/>
      <c r="R71" s="265"/>
      <c r="S71" s="265"/>
      <c r="T71" s="267"/>
    </row>
    <row r="72" spans="1:20" ht="18" customHeight="1">
      <c r="A72" s="204">
        <v>73</v>
      </c>
      <c r="B72" s="202" t="s">
        <v>350</v>
      </c>
      <c r="C72" s="202" t="s">
        <v>1189</v>
      </c>
      <c r="D72" s="202" t="s">
        <v>152</v>
      </c>
      <c r="E72" s="207">
        <v>71</v>
      </c>
      <c r="F72" s="207">
        <v>71</v>
      </c>
      <c r="G72" s="207">
        <v>71</v>
      </c>
      <c r="H72" s="207">
        <f t="shared" si="1"/>
        <v>0</v>
      </c>
      <c r="I72" s="203" t="s">
        <v>451</v>
      </c>
      <c r="J72" s="203" t="s">
        <v>452</v>
      </c>
      <c r="K72" s="203" t="s">
        <v>452</v>
      </c>
      <c r="L72" s="203" t="s">
        <v>451</v>
      </c>
      <c r="M72" s="463"/>
      <c r="N72" s="203"/>
      <c r="O72" s="203"/>
      <c r="P72" s="276"/>
      <c r="Q72" s="265"/>
      <c r="R72" s="265"/>
      <c r="S72" s="265"/>
      <c r="T72" s="267"/>
    </row>
    <row r="73" spans="1:20" ht="18" customHeight="1">
      <c r="A73" s="204">
        <v>74</v>
      </c>
      <c r="B73" s="202" t="s">
        <v>351</v>
      </c>
      <c r="C73" s="202" t="s">
        <v>1190</v>
      </c>
      <c r="D73" s="202" t="s">
        <v>152</v>
      </c>
      <c r="E73" s="207">
        <v>57</v>
      </c>
      <c r="F73" s="207">
        <v>57</v>
      </c>
      <c r="G73" s="207">
        <v>57</v>
      </c>
      <c r="H73" s="207">
        <f t="shared" si="1"/>
        <v>0</v>
      </c>
      <c r="I73" s="203" t="s">
        <v>451</v>
      </c>
      <c r="J73" s="203" t="s">
        <v>452</v>
      </c>
      <c r="K73" s="203" t="s">
        <v>452</v>
      </c>
      <c r="L73" s="203" t="s">
        <v>451</v>
      </c>
      <c r="M73" s="463"/>
      <c r="N73" s="203"/>
      <c r="O73" s="203"/>
      <c r="P73" s="276"/>
      <c r="Q73" s="265"/>
      <c r="R73" s="265"/>
      <c r="S73" s="265"/>
      <c r="T73" s="267"/>
    </row>
    <row r="74" spans="1:20" ht="18" customHeight="1">
      <c r="A74" s="204">
        <v>75</v>
      </c>
      <c r="B74" s="202" t="s">
        <v>352</v>
      </c>
      <c r="C74" s="202" t="s">
        <v>1191</v>
      </c>
      <c r="D74" s="202" t="s">
        <v>160</v>
      </c>
      <c r="E74" s="207">
        <v>994</v>
      </c>
      <c r="F74" s="207">
        <v>994</v>
      </c>
      <c r="G74" s="207">
        <v>994</v>
      </c>
      <c r="H74" s="207">
        <f t="shared" si="1"/>
        <v>0</v>
      </c>
      <c r="I74" s="203" t="s">
        <v>451</v>
      </c>
      <c r="J74" s="203" t="s">
        <v>452</v>
      </c>
      <c r="K74" s="203" t="s">
        <v>452</v>
      </c>
      <c r="L74" s="203" t="s">
        <v>451</v>
      </c>
      <c r="M74" s="463"/>
      <c r="N74" s="203"/>
      <c r="O74" s="203"/>
      <c r="P74" s="276"/>
      <c r="Q74" s="265"/>
      <c r="R74" s="265"/>
      <c r="S74" s="265"/>
      <c r="T74" s="267"/>
    </row>
    <row r="75" spans="1:20" ht="18" customHeight="1">
      <c r="A75" s="204">
        <v>77</v>
      </c>
      <c r="B75" s="202" t="s">
        <v>353</v>
      </c>
      <c r="C75" s="202" t="s">
        <v>1192</v>
      </c>
      <c r="D75" s="202" t="s">
        <v>155</v>
      </c>
      <c r="E75" s="207">
        <v>78</v>
      </c>
      <c r="F75" s="207">
        <v>78</v>
      </c>
      <c r="G75" s="207">
        <v>78</v>
      </c>
      <c r="H75" s="207">
        <f t="shared" si="1"/>
        <v>0</v>
      </c>
      <c r="I75" s="203" t="s">
        <v>451</v>
      </c>
      <c r="J75" s="203" t="s">
        <v>452</v>
      </c>
      <c r="K75" s="203" t="s">
        <v>452</v>
      </c>
      <c r="L75" s="203" t="s">
        <v>451</v>
      </c>
      <c r="M75" s="463"/>
      <c r="N75" s="203"/>
      <c r="O75" s="203"/>
      <c r="P75" s="276"/>
      <c r="Q75" s="265"/>
      <c r="R75" s="265"/>
      <c r="S75" s="265"/>
      <c r="T75" s="267"/>
    </row>
    <row r="76" spans="1:20" ht="18" customHeight="1">
      <c r="A76" s="204">
        <v>78</v>
      </c>
      <c r="B76" s="202" t="s">
        <v>354</v>
      </c>
      <c r="C76" s="202" t="s">
        <v>1193</v>
      </c>
      <c r="D76" s="202" t="s">
        <v>152</v>
      </c>
      <c r="E76" s="207">
        <v>479</v>
      </c>
      <c r="F76" s="207">
        <v>63</v>
      </c>
      <c r="G76" s="207">
        <v>63</v>
      </c>
      <c r="H76" s="207">
        <f t="shared" si="1"/>
        <v>0</v>
      </c>
      <c r="I76" s="203" t="s">
        <v>451</v>
      </c>
      <c r="J76" s="203" t="s">
        <v>452</v>
      </c>
      <c r="K76" s="203" t="s">
        <v>452</v>
      </c>
      <c r="L76" s="203" t="s">
        <v>451</v>
      </c>
      <c r="M76" s="463"/>
      <c r="N76" s="203"/>
      <c r="O76" s="203"/>
      <c r="P76" s="276"/>
      <c r="Q76" s="265"/>
      <c r="R76" s="265"/>
      <c r="S76" s="265"/>
      <c r="T76" s="267"/>
    </row>
    <row r="77" spans="1:20" ht="18" customHeight="1">
      <c r="A77" s="204">
        <v>79</v>
      </c>
      <c r="B77" s="202" t="s">
        <v>355</v>
      </c>
      <c r="C77" s="202" t="s">
        <v>1194</v>
      </c>
      <c r="D77" s="202" t="s">
        <v>152</v>
      </c>
      <c r="E77" s="207">
        <v>13</v>
      </c>
      <c r="F77" s="207">
        <v>3</v>
      </c>
      <c r="G77" s="207">
        <v>3</v>
      </c>
      <c r="H77" s="207">
        <f t="shared" si="1"/>
        <v>0</v>
      </c>
      <c r="I77" s="203" t="s">
        <v>451</v>
      </c>
      <c r="J77" s="203" t="s">
        <v>452</v>
      </c>
      <c r="K77" s="203" t="s">
        <v>452</v>
      </c>
      <c r="L77" s="203" t="s">
        <v>451</v>
      </c>
      <c r="M77" s="463"/>
      <c r="N77" s="203"/>
      <c r="O77" s="203"/>
      <c r="P77" s="276"/>
      <c r="Q77" s="265"/>
      <c r="R77" s="265"/>
      <c r="S77" s="265"/>
      <c r="T77" s="267"/>
    </row>
    <row r="78" spans="1:20" ht="18" customHeight="1">
      <c r="A78" s="204">
        <v>80</v>
      </c>
      <c r="B78" s="202" t="s">
        <v>356</v>
      </c>
      <c r="C78" s="202" t="s">
        <v>1058</v>
      </c>
      <c r="D78" s="202" t="s">
        <v>152</v>
      </c>
      <c r="E78" s="207">
        <v>112</v>
      </c>
      <c r="F78" s="207">
        <v>3</v>
      </c>
      <c r="G78" s="207">
        <v>3</v>
      </c>
      <c r="H78" s="207">
        <f t="shared" si="1"/>
        <v>0</v>
      </c>
      <c r="I78" s="203" t="s">
        <v>451</v>
      </c>
      <c r="J78" s="203" t="s">
        <v>452</v>
      </c>
      <c r="K78" s="203" t="s">
        <v>452</v>
      </c>
      <c r="L78" s="203" t="s">
        <v>451</v>
      </c>
      <c r="M78" s="463"/>
      <c r="N78" s="203"/>
      <c r="O78" s="203"/>
      <c r="P78" s="276"/>
      <c r="Q78" s="265"/>
      <c r="R78" s="265"/>
      <c r="S78" s="265"/>
      <c r="T78" s="267"/>
    </row>
    <row r="79" spans="1:20" ht="18" customHeight="1">
      <c r="A79" s="204">
        <v>81</v>
      </c>
      <c r="B79" s="202" t="s">
        <v>357</v>
      </c>
      <c r="C79" s="202" t="s">
        <v>1195</v>
      </c>
      <c r="D79" s="202" t="s">
        <v>152</v>
      </c>
      <c r="E79" s="207">
        <v>15</v>
      </c>
      <c r="F79" s="207">
        <v>15</v>
      </c>
      <c r="G79" s="207">
        <v>15</v>
      </c>
      <c r="H79" s="207">
        <f t="shared" si="1"/>
        <v>0</v>
      </c>
      <c r="I79" s="203" t="s">
        <v>451</v>
      </c>
      <c r="J79" s="203" t="s">
        <v>452</v>
      </c>
      <c r="K79" s="203" t="s">
        <v>452</v>
      </c>
      <c r="L79" s="203" t="s">
        <v>451</v>
      </c>
      <c r="M79" s="463"/>
      <c r="N79" s="203"/>
      <c r="O79" s="203"/>
      <c r="P79" s="276"/>
      <c r="Q79" s="265"/>
      <c r="R79" s="265"/>
      <c r="S79" s="265"/>
      <c r="T79" s="267"/>
    </row>
    <row r="80" spans="1:20" ht="18" customHeight="1">
      <c r="A80" s="204">
        <v>82</v>
      </c>
      <c r="B80" s="202" t="s">
        <v>358</v>
      </c>
      <c r="C80" s="202" t="s">
        <v>1196</v>
      </c>
      <c r="D80" s="202" t="s">
        <v>160</v>
      </c>
      <c r="E80" s="207">
        <v>99</v>
      </c>
      <c r="F80" s="207">
        <v>99</v>
      </c>
      <c r="G80" s="207">
        <v>99</v>
      </c>
      <c r="H80" s="207">
        <f t="shared" si="1"/>
        <v>0</v>
      </c>
      <c r="I80" s="203" t="s">
        <v>451</v>
      </c>
      <c r="J80" s="203" t="s">
        <v>452</v>
      </c>
      <c r="K80" s="203" t="s">
        <v>452</v>
      </c>
      <c r="L80" s="203" t="s">
        <v>451</v>
      </c>
      <c r="M80" s="463"/>
      <c r="N80" s="203"/>
      <c r="O80" s="203"/>
      <c r="P80" s="276"/>
      <c r="Q80" s="265"/>
      <c r="R80" s="265"/>
      <c r="S80" s="265"/>
      <c r="T80" s="267"/>
    </row>
    <row r="81" spans="1:20" ht="18" customHeight="1">
      <c r="A81" s="204">
        <v>83</v>
      </c>
      <c r="B81" s="202" t="s">
        <v>359</v>
      </c>
      <c r="C81" s="202" t="s">
        <v>1197</v>
      </c>
      <c r="D81" s="202" t="s">
        <v>151</v>
      </c>
      <c r="E81" s="207">
        <v>213</v>
      </c>
      <c r="F81" s="207">
        <v>213</v>
      </c>
      <c r="G81" s="207">
        <v>213</v>
      </c>
      <c r="H81" s="207">
        <f t="shared" si="1"/>
        <v>0</v>
      </c>
      <c r="I81" s="203" t="s">
        <v>451</v>
      </c>
      <c r="J81" s="203" t="s">
        <v>452</v>
      </c>
      <c r="K81" s="203" t="s">
        <v>452</v>
      </c>
      <c r="L81" s="203" t="s">
        <v>451</v>
      </c>
      <c r="M81" s="463"/>
      <c r="N81" s="203"/>
      <c r="O81" s="203"/>
      <c r="P81" s="276"/>
      <c r="Q81" s="265"/>
      <c r="R81" s="265"/>
      <c r="S81" s="265"/>
      <c r="T81" s="267"/>
    </row>
    <row r="82" spans="1:20" ht="18" customHeight="1">
      <c r="A82" s="204">
        <v>84</v>
      </c>
      <c r="B82" s="202" t="s">
        <v>360</v>
      </c>
      <c r="C82" s="202" t="s">
        <v>965</v>
      </c>
      <c r="D82" s="202" t="s">
        <v>151</v>
      </c>
      <c r="E82" s="207">
        <v>223</v>
      </c>
      <c r="F82" s="207">
        <v>223</v>
      </c>
      <c r="G82" s="207">
        <v>223</v>
      </c>
      <c r="H82" s="207">
        <f t="shared" si="1"/>
        <v>0</v>
      </c>
      <c r="I82" s="203" t="s">
        <v>451</v>
      </c>
      <c r="J82" s="203" t="s">
        <v>452</v>
      </c>
      <c r="K82" s="203" t="s">
        <v>452</v>
      </c>
      <c r="L82" s="203" t="s">
        <v>451</v>
      </c>
      <c r="M82" s="463"/>
      <c r="N82" s="203"/>
      <c r="O82" s="203"/>
      <c r="P82" s="276"/>
      <c r="Q82" s="265"/>
      <c r="R82" s="265"/>
      <c r="S82" s="265"/>
      <c r="T82" s="267"/>
    </row>
    <row r="83" spans="1:20" ht="18" customHeight="1">
      <c r="A83" s="204">
        <v>85</v>
      </c>
      <c r="B83" s="202" t="s">
        <v>361</v>
      </c>
      <c r="C83" s="202" t="s">
        <v>1198</v>
      </c>
      <c r="D83" s="202" t="s">
        <v>152</v>
      </c>
      <c r="E83" s="281">
        <v>368</v>
      </c>
      <c r="F83" s="275">
        <v>368</v>
      </c>
      <c r="G83" s="275">
        <v>368</v>
      </c>
      <c r="H83" s="207">
        <f t="shared" si="1"/>
        <v>0</v>
      </c>
      <c r="I83" s="203" t="s">
        <v>451</v>
      </c>
      <c r="J83" s="203" t="s">
        <v>452</v>
      </c>
      <c r="K83" s="203" t="s">
        <v>452</v>
      </c>
      <c r="L83" s="203" t="s">
        <v>451</v>
      </c>
      <c r="M83" s="463"/>
      <c r="N83" s="203"/>
      <c r="O83" s="203"/>
      <c r="P83" s="276"/>
      <c r="Q83" s="265"/>
      <c r="R83" s="265"/>
      <c r="S83" s="265"/>
      <c r="T83" s="267"/>
    </row>
    <row r="84" spans="1:20" ht="18" customHeight="1">
      <c r="A84" s="204">
        <v>86</v>
      </c>
      <c r="B84" s="202" t="s">
        <v>362</v>
      </c>
      <c r="C84" s="202" t="s">
        <v>1199</v>
      </c>
      <c r="D84" s="202" t="s">
        <v>151</v>
      </c>
      <c r="E84" s="281">
        <v>26</v>
      </c>
      <c r="F84" s="275">
        <v>26</v>
      </c>
      <c r="G84" s="275">
        <v>26</v>
      </c>
      <c r="H84" s="207">
        <f t="shared" si="1"/>
        <v>0</v>
      </c>
      <c r="I84" s="203" t="s">
        <v>451</v>
      </c>
      <c r="J84" s="203" t="s">
        <v>452</v>
      </c>
      <c r="K84" s="203" t="s">
        <v>452</v>
      </c>
      <c r="L84" s="203" t="s">
        <v>451</v>
      </c>
      <c r="M84" s="463"/>
      <c r="N84" s="203"/>
      <c r="O84" s="203"/>
      <c r="P84" s="276"/>
      <c r="Q84" s="265"/>
      <c r="R84" s="265"/>
      <c r="S84" s="265"/>
      <c r="T84" s="267"/>
    </row>
    <row r="85" spans="1:20" ht="18" customHeight="1">
      <c r="A85" s="204">
        <v>87</v>
      </c>
      <c r="B85" s="202" t="s">
        <v>363</v>
      </c>
      <c r="C85" s="202" t="s">
        <v>1200</v>
      </c>
      <c r="D85" s="202" t="s">
        <v>152</v>
      </c>
      <c r="E85" s="207">
        <v>351</v>
      </c>
      <c r="F85" s="207">
        <v>351</v>
      </c>
      <c r="G85" s="207">
        <v>351</v>
      </c>
      <c r="H85" s="207">
        <f t="shared" si="1"/>
        <v>0</v>
      </c>
      <c r="I85" s="203" t="s">
        <v>451</v>
      </c>
      <c r="J85" s="203" t="s">
        <v>452</v>
      </c>
      <c r="K85" s="203" t="s">
        <v>452</v>
      </c>
      <c r="L85" s="203" t="s">
        <v>451</v>
      </c>
      <c r="M85" s="463"/>
      <c r="N85" s="203"/>
      <c r="O85" s="203"/>
      <c r="P85" s="276"/>
      <c r="Q85" s="265"/>
      <c r="R85" s="265"/>
      <c r="S85" s="265"/>
      <c r="T85" s="267"/>
    </row>
    <row r="86" spans="1:20" ht="18" customHeight="1">
      <c r="A86" s="204">
        <v>88</v>
      </c>
      <c r="B86" s="202" t="s">
        <v>364</v>
      </c>
      <c r="C86" s="202" t="s">
        <v>1201</v>
      </c>
      <c r="D86" s="202" t="s">
        <v>152</v>
      </c>
      <c r="E86" s="207">
        <v>400</v>
      </c>
      <c r="F86" s="207">
        <v>231</v>
      </c>
      <c r="G86" s="207">
        <v>231</v>
      </c>
      <c r="H86" s="207">
        <f t="shared" si="1"/>
        <v>0</v>
      </c>
      <c r="I86" s="203" t="s">
        <v>511</v>
      </c>
      <c r="J86" s="203" t="s">
        <v>514</v>
      </c>
      <c r="K86" s="203" t="s">
        <v>514</v>
      </c>
      <c r="L86" s="203" t="s">
        <v>511</v>
      </c>
      <c r="M86" s="463"/>
      <c r="N86" s="203"/>
      <c r="O86" s="203"/>
      <c r="P86" s="276"/>
      <c r="Q86" s="265"/>
      <c r="R86" s="265"/>
      <c r="S86" s="265"/>
      <c r="T86" s="267"/>
    </row>
    <row r="87" spans="1:20" ht="18" customHeight="1">
      <c r="A87" s="204">
        <v>89</v>
      </c>
      <c r="B87" s="202" t="s">
        <v>365</v>
      </c>
      <c r="C87" s="202" t="s">
        <v>1202</v>
      </c>
      <c r="D87" s="202" t="s">
        <v>154</v>
      </c>
      <c r="E87" s="207">
        <v>158</v>
      </c>
      <c r="F87" s="207">
        <v>158</v>
      </c>
      <c r="G87" s="207">
        <v>158</v>
      </c>
      <c r="H87" s="207">
        <f t="shared" si="1"/>
        <v>0</v>
      </c>
      <c r="I87" s="203" t="s">
        <v>451</v>
      </c>
      <c r="J87" s="203" t="s">
        <v>452</v>
      </c>
      <c r="K87" s="203" t="s">
        <v>452</v>
      </c>
      <c r="L87" s="203" t="s">
        <v>451</v>
      </c>
      <c r="M87" s="463"/>
      <c r="N87" s="203"/>
      <c r="O87" s="203"/>
      <c r="P87" s="276"/>
      <c r="Q87" s="265"/>
      <c r="R87" s="265"/>
      <c r="S87" s="265"/>
      <c r="T87" s="267"/>
    </row>
    <row r="88" spans="1:20" ht="18" customHeight="1">
      <c r="A88" s="204">
        <v>90</v>
      </c>
      <c r="B88" s="202" t="s">
        <v>366</v>
      </c>
      <c r="C88" s="202" t="s">
        <v>1203</v>
      </c>
      <c r="D88" s="202" t="s">
        <v>152</v>
      </c>
      <c r="E88" s="207">
        <v>36</v>
      </c>
      <c r="F88" s="207">
        <v>36</v>
      </c>
      <c r="G88" s="207">
        <v>36</v>
      </c>
      <c r="H88" s="207">
        <f t="shared" si="1"/>
        <v>0</v>
      </c>
      <c r="I88" s="203" t="s">
        <v>511</v>
      </c>
      <c r="J88" s="203" t="s">
        <v>514</v>
      </c>
      <c r="K88" s="203" t="s">
        <v>514</v>
      </c>
      <c r="L88" s="203" t="s">
        <v>511</v>
      </c>
      <c r="M88" s="463"/>
      <c r="N88" s="203"/>
      <c r="O88" s="203"/>
      <c r="P88" s="276"/>
      <c r="Q88" s="265"/>
      <c r="R88" s="265"/>
      <c r="S88" s="265"/>
      <c r="T88" s="267"/>
    </row>
    <row r="89" spans="1:20" ht="18" customHeight="1">
      <c r="A89" s="204">
        <v>91</v>
      </c>
      <c r="B89" s="202" t="s">
        <v>367</v>
      </c>
      <c r="C89" s="202" t="s">
        <v>1204</v>
      </c>
      <c r="D89" s="202" t="s">
        <v>151</v>
      </c>
      <c r="E89" s="207">
        <v>682</v>
      </c>
      <c r="F89" s="207">
        <v>225</v>
      </c>
      <c r="G89" s="207">
        <v>225</v>
      </c>
      <c r="H89" s="207">
        <f t="shared" si="1"/>
        <v>0</v>
      </c>
      <c r="I89" s="203" t="s">
        <v>451</v>
      </c>
      <c r="J89" s="203" t="s">
        <v>452</v>
      </c>
      <c r="K89" s="203" t="s">
        <v>452</v>
      </c>
      <c r="L89" s="203" t="s">
        <v>451</v>
      </c>
      <c r="M89" s="463"/>
      <c r="N89" s="203"/>
      <c r="O89" s="203"/>
      <c r="P89" s="276"/>
      <c r="Q89" s="265"/>
      <c r="R89" s="265"/>
      <c r="S89" s="265"/>
      <c r="T89" s="267"/>
    </row>
    <row r="90" spans="1:20" ht="18" customHeight="1">
      <c r="A90" s="204">
        <v>92</v>
      </c>
      <c r="B90" s="202" t="s">
        <v>368</v>
      </c>
      <c r="C90" s="202" t="s">
        <v>1205</v>
      </c>
      <c r="D90" s="202" t="s">
        <v>152</v>
      </c>
      <c r="E90" s="207">
        <v>33</v>
      </c>
      <c r="F90" s="207">
        <v>33</v>
      </c>
      <c r="G90" s="207">
        <v>33</v>
      </c>
      <c r="H90" s="207">
        <f t="shared" si="1"/>
        <v>0</v>
      </c>
      <c r="I90" s="203" t="s">
        <v>511</v>
      </c>
      <c r="J90" s="203" t="s">
        <v>514</v>
      </c>
      <c r="K90" s="203" t="s">
        <v>514</v>
      </c>
      <c r="L90" s="203" t="s">
        <v>511</v>
      </c>
      <c r="M90" s="463"/>
      <c r="N90" s="203"/>
      <c r="O90" s="203"/>
      <c r="P90" s="276"/>
      <c r="Q90" s="265"/>
      <c r="R90" s="265"/>
      <c r="S90" s="265"/>
      <c r="T90" s="267"/>
    </row>
    <row r="91" spans="1:20" ht="18" customHeight="1">
      <c r="A91" s="204">
        <v>93</v>
      </c>
      <c r="B91" s="202" t="s">
        <v>369</v>
      </c>
      <c r="C91" s="202" t="s">
        <v>1206</v>
      </c>
      <c r="D91" s="202" t="s">
        <v>151</v>
      </c>
      <c r="E91" s="207">
        <v>17</v>
      </c>
      <c r="F91" s="207">
        <v>17</v>
      </c>
      <c r="G91" s="207">
        <v>17</v>
      </c>
      <c r="H91" s="207">
        <f t="shared" si="1"/>
        <v>0</v>
      </c>
      <c r="I91" s="203" t="s">
        <v>451</v>
      </c>
      <c r="J91" s="203" t="s">
        <v>452</v>
      </c>
      <c r="K91" s="203" t="s">
        <v>452</v>
      </c>
      <c r="L91" s="203" t="s">
        <v>451</v>
      </c>
      <c r="M91" s="463"/>
      <c r="N91" s="203"/>
      <c r="O91" s="203"/>
      <c r="P91" s="276"/>
      <c r="Q91" s="265"/>
      <c r="R91" s="265"/>
      <c r="S91" s="265"/>
      <c r="T91" s="267"/>
    </row>
    <row r="92" spans="1:20" ht="18" customHeight="1">
      <c r="A92" s="204">
        <v>94</v>
      </c>
      <c r="B92" s="202" t="s">
        <v>370</v>
      </c>
      <c r="C92" s="202" t="s">
        <v>1207</v>
      </c>
      <c r="D92" s="202" t="s">
        <v>150</v>
      </c>
      <c r="E92" s="207">
        <v>292</v>
      </c>
      <c r="F92" s="207">
        <v>292</v>
      </c>
      <c r="G92" s="207">
        <v>292</v>
      </c>
      <c r="H92" s="207">
        <f t="shared" si="1"/>
        <v>0</v>
      </c>
      <c r="I92" s="203" t="s">
        <v>451</v>
      </c>
      <c r="J92" s="203" t="s">
        <v>452</v>
      </c>
      <c r="K92" s="203" t="s">
        <v>452</v>
      </c>
      <c r="L92" s="203" t="s">
        <v>451</v>
      </c>
      <c r="M92" s="463"/>
      <c r="N92" s="203"/>
      <c r="O92" s="203"/>
      <c r="P92" s="276"/>
      <c r="Q92" s="265"/>
      <c r="R92" s="265"/>
      <c r="S92" s="265"/>
      <c r="T92" s="267"/>
    </row>
    <row r="93" spans="1:20" ht="18" customHeight="1">
      <c r="A93" s="204">
        <v>95</v>
      </c>
      <c r="B93" s="202" t="s">
        <v>371</v>
      </c>
      <c r="C93" s="202" t="s">
        <v>1208</v>
      </c>
      <c r="D93" s="202" t="s">
        <v>150</v>
      </c>
      <c r="E93" s="207">
        <v>23</v>
      </c>
      <c r="F93" s="207">
        <v>23</v>
      </c>
      <c r="G93" s="207">
        <v>23</v>
      </c>
      <c r="H93" s="207">
        <f t="shared" si="1"/>
        <v>0</v>
      </c>
      <c r="I93" s="203" t="s">
        <v>451</v>
      </c>
      <c r="J93" s="203" t="s">
        <v>452</v>
      </c>
      <c r="K93" s="203" t="s">
        <v>452</v>
      </c>
      <c r="L93" s="203" t="s">
        <v>451</v>
      </c>
      <c r="M93" s="463"/>
      <c r="N93" s="203"/>
      <c r="O93" s="203"/>
      <c r="P93" s="276"/>
      <c r="Q93" s="265"/>
      <c r="R93" s="265"/>
      <c r="S93" s="265"/>
      <c r="T93" s="267"/>
    </row>
    <row r="94" spans="1:20" ht="18" customHeight="1">
      <c r="A94" s="204">
        <v>96</v>
      </c>
      <c r="B94" s="202" t="s">
        <v>372</v>
      </c>
      <c r="C94" s="202" t="s">
        <v>1209</v>
      </c>
      <c r="D94" s="202" t="s">
        <v>151</v>
      </c>
      <c r="E94" s="207">
        <v>387</v>
      </c>
      <c r="F94" s="207">
        <v>387</v>
      </c>
      <c r="G94" s="207">
        <v>387</v>
      </c>
      <c r="H94" s="207">
        <f t="shared" si="1"/>
        <v>0</v>
      </c>
      <c r="I94" s="203" t="s">
        <v>451</v>
      </c>
      <c r="J94" s="203" t="s">
        <v>452</v>
      </c>
      <c r="K94" s="203" t="s">
        <v>452</v>
      </c>
      <c r="L94" s="203" t="s">
        <v>451</v>
      </c>
      <c r="M94" s="463"/>
      <c r="N94" s="203"/>
      <c r="O94" s="203"/>
      <c r="P94" s="276"/>
      <c r="Q94" s="265"/>
      <c r="R94" s="265"/>
      <c r="S94" s="265"/>
      <c r="T94" s="267"/>
    </row>
    <row r="95" spans="1:20" ht="18" customHeight="1">
      <c r="A95" s="204">
        <v>97</v>
      </c>
      <c r="B95" s="202" t="s">
        <v>373</v>
      </c>
      <c r="C95" s="202" t="s">
        <v>1210</v>
      </c>
      <c r="D95" s="202" t="s">
        <v>151</v>
      </c>
      <c r="E95" s="207">
        <v>33</v>
      </c>
      <c r="F95" s="207">
        <v>33</v>
      </c>
      <c r="G95" s="207">
        <v>33</v>
      </c>
      <c r="H95" s="207">
        <f t="shared" si="1"/>
        <v>0</v>
      </c>
      <c r="I95" s="203" t="s">
        <v>451</v>
      </c>
      <c r="J95" s="203" t="s">
        <v>452</v>
      </c>
      <c r="K95" s="203" t="s">
        <v>452</v>
      </c>
      <c r="L95" s="203" t="s">
        <v>451</v>
      </c>
      <c r="M95" s="463"/>
      <c r="N95" s="203"/>
      <c r="O95" s="203"/>
      <c r="P95" s="276"/>
      <c r="Q95" s="265"/>
      <c r="R95" s="265"/>
      <c r="S95" s="265"/>
      <c r="T95" s="267"/>
    </row>
    <row r="96" spans="1:20" ht="18" customHeight="1">
      <c r="A96" s="204">
        <v>98</v>
      </c>
      <c r="B96" s="202" t="s">
        <v>374</v>
      </c>
      <c r="C96" s="202" t="s">
        <v>1211</v>
      </c>
      <c r="D96" s="202" t="s">
        <v>151</v>
      </c>
      <c r="E96" s="207">
        <v>330</v>
      </c>
      <c r="F96" s="207">
        <v>330</v>
      </c>
      <c r="G96" s="207">
        <v>330</v>
      </c>
      <c r="H96" s="207">
        <f t="shared" si="1"/>
        <v>0</v>
      </c>
      <c r="I96" s="203" t="s">
        <v>451</v>
      </c>
      <c r="J96" s="203" t="s">
        <v>452</v>
      </c>
      <c r="K96" s="203" t="s">
        <v>452</v>
      </c>
      <c r="L96" s="203" t="s">
        <v>451</v>
      </c>
      <c r="M96" s="463"/>
      <c r="N96" s="203"/>
      <c r="O96" s="203"/>
      <c r="P96" s="276"/>
      <c r="Q96" s="265"/>
      <c r="R96" s="265"/>
      <c r="S96" s="265"/>
      <c r="T96" s="267"/>
    </row>
    <row r="97" spans="1:20" ht="18" customHeight="1">
      <c r="A97" s="204">
        <v>99</v>
      </c>
      <c r="B97" s="202" t="s">
        <v>375</v>
      </c>
      <c r="C97" s="202" t="s">
        <v>1212</v>
      </c>
      <c r="D97" s="202" t="s">
        <v>151</v>
      </c>
      <c r="E97" s="207">
        <v>15</v>
      </c>
      <c r="F97" s="207">
        <v>15</v>
      </c>
      <c r="G97" s="207">
        <v>15</v>
      </c>
      <c r="H97" s="207">
        <f t="shared" si="1"/>
        <v>0</v>
      </c>
      <c r="I97" s="203" t="s">
        <v>451</v>
      </c>
      <c r="J97" s="203" t="s">
        <v>452</v>
      </c>
      <c r="K97" s="203" t="s">
        <v>452</v>
      </c>
      <c r="L97" s="203" t="s">
        <v>451</v>
      </c>
      <c r="M97" s="463"/>
      <c r="N97" s="203"/>
      <c r="O97" s="203"/>
      <c r="P97" s="276"/>
      <c r="Q97" s="265"/>
      <c r="R97" s="265"/>
      <c r="S97" s="265"/>
      <c r="T97" s="267"/>
    </row>
    <row r="98" spans="1:20" ht="18" customHeight="1">
      <c r="A98" s="204">
        <v>100</v>
      </c>
      <c r="B98" s="202" t="s">
        <v>376</v>
      </c>
      <c r="C98" s="202" t="s">
        <v>1213</v>
      </c>
      <c r="D98" s="202" t="s">
        <v>151</v>
      </c>
      <c r="E98" s="207">
        <v>140</v>
      </c>
      <c r="F98" s="207">
        <v>140</v>
      </c>
      <c r="G98" s="207">
        <v>140</v>
      </c>
      <c r="H98" s="207">
        <f t="shared" si="1"/>
        <v>0</v>
      </c>
      <c r="I98" s="203" t="s">
        <v>451</v>
      </c>
      <c r="J98" s="203" t="s">
        <v>452</v>
      </c>
      <c r="K98" s="203" t="s">
        <v>452</v>
      </c>
      <c r="L98" s="203" t="s">
        <v>451</v>
      </c>
      <c r="M98" s="463"/>
      <c r="N98" s="203"/>
      <c r="O98" s="203"/>
      <c r="P98" s="276"/>
      <c r="Q98" s="265"/>
      <c r="R98" s="265"/>
      <c r="S98" s="265"/>
      <c r="T98" s="267"/>
    </row>
    <row r="99" spans="1:20" ht="18" customHeight="1">
      <c r="A99" s="204">
        <v>101</v>
      </c>
      <c r="B99" s="202" t="s">
        <v>377</v>
      </c>
      <c r="C99" s="202" t="s">
        <v>1214</v>
      </c>
      <c r="D99" s="202" t="s">
        <v>160</v>
      </c>
      <c r="E99" s="207">
        <v>43</v>
      </c>
      <c r="F99" s="207">
        <v>43</v>
      </c>
      <c r="G99" s="207">
        <v>43</v>
      </c>
      <c r="H99" s="207">
        <f t="shared" si="1"/>
        <v>0</v>
      </c>
      <c r="I99" s="203" t="s">
        <v>451</v>
      </c>
      <c r="J99" s="203" t="s">
        <v>452</v>
      </c>
      <c r="K99" s="203" t="s">
        <v>452</v>
      </c>
      <c r="L99" s="203" t="s">
        <v>451</v>
      </c>
      <c r="M99" s="463"/>
      <c r="N99" s="203"/>
      <c r="O99" s="203"/>
      <c r="P99" s="276"/>
      <c r="Q99" s="265"/>
      <c r="R99" s="265"/>
      <c r="S99" s="265"/>
      <c r="T99" s="267"/>
    </row>
    <row r="100" spans="1:20" ht="18" customHeight="1">
      <c r="A100" s="204">
        <v>102</v>
      </c>
      <c r="B100" s="202" t="s">
        <v>378</v>
      </c>
      <c r="C100" s="202" t="s">
        <v>1215</v>
      </c>
      <c r="D100" s="202" t="s">
        <v>152</v>
      </c>
      <c r="E100" s="207">
        <v>110</v>
      </c>
      <c r="F100" s="207">
        <v>110</v>
      </c>
      <c r="G100" s="207">
        <v>110</v>
      </c>
      <c r="H100" s="207">
        <f t="shared" si="1"/>
        <v>0</v>
      </c>
      <c r="I100" s="203" t="s">
        <v>451</v>
      </c>
      <c r="J100" s="203" t="s">
        <v>452</v>
      </c>
      <c r="K100" s="203" t="s">
        <v>452</v>
      </c>
      <c r="L100" s="203" t="s">
        <v>451</v>
      </c>
      <c r="M100" s="463"/>
      <c r="N100" s="203"/>
      <c r="O100" s="203"/>
      <c r="P100" s="276"/>
      <c r="Q100" s="265"/>
      <c r="R100" s="265"/>
      <c r="S100" s="265"/>
      <c r="T100" s="267"/>
    </row>
    <row r="101" spans="1:20" ht="18" customHeight="1">
      <c r="A101" s="204">
        <v>103</v>
      </c>
      <c r="B101" s="202" t="s">
        <v>379</v>
      </c>
      <c r="C101" s="202" t="s">
        <v>1216</v>
      </c>
      <c r="D101" s="202" t="s">
        <v>160</v>
      </c>
      <c r="E101" s="207">
        <v>28</v>
      </c>
      <c r="F101" s="207">
        <v>28</v>
      </c>
      <c r="G101" s="207">
        <v>28</v>
      </c>
      <c r="H101" s="207">
        <f t="shared" si="1"/>
        <v>0</v>
      </c>
      <c r="I101" s="203" t="s">
        <v>451</v>
      </c>
      <c r="J101" s="203" t="s">
        <v>452</v>
      </c>
      <c r="K101" s="203" t="s">
        <v>452</v>
      </c>
      <c r="L101" s="203" t="s">
        <v>451</v>
      </c>
      <c r="M101" s="463"/>
      <c r="N101" s="203"/>
      <c r="O101" s="203"/>
      <c r="P101" s="276"/>
      <c r="Q101" s="265"/>
      <c r="R101" s="265"/>
      <c r="S101" s="265"/>
      <c r="T101" s="267"/>
    </row>
    <row r="102" spans="1:20" ht="18" customHeight="1">
      <c r="A102" s="204">
        <v>104</v>
      </c>
      <c r="B102" s="202" t="s">
        <v>380</v>
      </c>
      <c r="C102" s="202" t="s">
        <v>1217</v>
      </c>
      <c r="D102" s="202" t="s">
        <v>151</v>
      </c>
      <c r="E102" s="207">
        <v>214</v>
      </c>
      <c r="F102" s="207">
        <v>214</v>
      </c>
      <c r="G102" s="207">
        <v>214</v>
      </c>
      <c r="H102" s="207">
        <f t="shared" si="1"/>
        <v>0</v>
      </c>
      <c r="I102" s="203" t="s">
        <v>451</v>
      </c>
      <c r="J102" s="203" t="s">
        <v>452</v>
      </c>
      <c r="K102" s="203" t="s">
        <v>452</v>
      </c>
      <c r="L102" s="203" t="s">
        <v>451</v>
      </c>
      <c r="M102" s="463"/>
      <c r="N102" s="203"/>
      <c r="O102" s="203"/>
      <c r="P102" s="276"/>
      <c r="Q102" s="265"/>
      <c r="R102" s="265"/>
      <c r="S102" s="265"/>
      <c r="T102" s="267"/>
    </row>
    <row r="103" spans="1:20" ht="18" customHeight="1">
      <c r="A103" s="204">
        <v>105</v>
      </c>
      <c r="B103" s="202" t="s">
        <v>381</v>
      </c>
      <c r="C103" s="202" t="s">
        <v>1218</v>
      </c>
      <c r="D103" s="202" t="s">
        <v>160</v>
      </c>
      <c r="E103" s="207">
        <v>265</v>
      </c>
      <c r="F103" s="207">
        <v>265</v>
      </c>
      <c r="G103" s="207">
        <v>265</v>
      </c>
      <c r="H103" s="207">
        <f t="shared" si="1"/>
        <v>0</v>
      </c>
      <c r="I103" s="203" t="s">
        <v>451</v>
      </c>
      <c r="J103" s="203" t="s">
        <v>452</v>
      </c>
      <c r="K103" s="203" t="s">
        <v>452</v>
      </c>
      <c r="L103" s="203" t="s">
        <v>451</v>
      </c>
      <c r="M103" s="463"/>
      <c r="N103" s="203"/>
      <c r="O103" s="203"/>
      <c r="P103" s="276"/>
      <c r="Q103" s="265"/>
      <c r="R103" s="265"/>
      <c r="S103" s="265"/>
      <c r="T103" s="267"/>
    </row>
    <row r="104" spans="1:20" ht="18" customHeight="1">
      <c r="A104" s="204">
        <v>106</v>
      </c>
      <c r="B104" s="202" t="s">
        <v>382</v>
      </c>
      <c r="C104" s="202" t="s">
        <v>1219</v>
      </c>
      <c r="D104" s="202" t="s">
        <v>152</v>
      </c>
      <c r="E104" s="207">
        <v>370</v>
      </c>
      <c r="F104" s="207">
        <v>370</v>
      </c>
      <c r="G104" s="207">
        <v>370</v>
      </c>
      <c r="H104" s="207">
        <f t="shared" si="1"/>
        <v>0</v>
      </c>
      <c r="I104" s="203" t="s">
        <v>451</v>
      </c>
      <c r="J104" s="203" t="s">
        <v>452</v>
      </c>
      <c r="K104" s="203" t="s">
        <v>452</v>
      </c>
      <c r="L104" s="203" t="s">
        <v>451</v>
      </c>
      <c r="M104" s="463"/>
      <c r="N104" s="203"/>
      <c r="O104" s="203"/>
      <c r="P104" s="276"/>
      <c r="Q104" s="265"/>
      <c r="R104" s="265"/>
      <c r="S104" s="265"/>
      <c r="T104" s="267"/>
    </row>
    <row r="105" spans="1:20" ht="18" customHeight="1">
      <c r="A105" s="204">
        <v>107</v>
      </c>
      <c r="B105" s="202" t="s">
        <v>383</v>
      </c>
      <c r="C105" s="202" t="s">
        <v>1220</v>
      </c>
      <c r="D105" s="202" t="s">
        <v>151</v>
      </c>
      <c r="E105" s="207">
        <v>2422</v>
      </c>
      <c r="F105" s="207">
        <v>2422</v>
      </c>
      <c r="G105" s="207">
        <v>2422</v>
      </c>
      <c r="H105" s="207">
        <f t="shared" si="1"/>
        <v>0</v>
      </c>
      <c r="I105" s="203" t="s">
        <v>451</v>
      </c>
      <c r="J105" s="203" t="s">
        <v>452</v>
      </c>
      <c r="K105" s="203" t="s">
        <v>452</v>
      </c>
      <c r="L105" s="203" t="s">
        <v>451</v>
      </c>
      <c r="M105" s="463"/>
      <c r="N105" s="203"/>
      <c r="O105" s="203"/>
      <c r="P105" s="276"/>
      <c r="Q105" s="265"/>
      <c r="R105" s="265"/>
      <c r="S105" s="265"/>
      <c r="T105" s="267"/>
    </row>
    <row r="106" spans="1:20" ht="18" customHeight="1">
      <c r="A106" s="204">
        <v>108</v>
      </c>
      <c r="B106" s="202" t="s">
        <v>384</v>
      </c>
      <c r="C106" s="202" t="s">
        <v>1221</v>
      </c>
      <c r="D106" s="202" t="s">
        <v>152</v>
      </c>
      <c r="E106" s="207">
        <v>770</v>
      </c>
      <c r="F106" s="207">
        <v>489</v>
      </c>
      <c r="G106" s="207">
        <v>489</v>
      </c>
      <c r="H106" s="207">
        <f t="shared" si="1"/>
        <v>0</v>
      </c>
      <c r="I106" s="203" t="s">
        <v>451</v>
      </c>
      <c r="J106" s="203" t="s">
        <v>452</v>
      </c>
      <c r="K106" s="203" t="s">
        <v>452</v>
      </c>
      <c r="L106" s="203" t="s">
        <v>451</v>
      </c>
      <c r="M106" s="463"/>
      <c r="N106" s="203"/>
      <c r="O106" s="203"/>
      <c r="P106" s="205"/>
      <c r="Q106" s="265"/>
      <c r="R106" s="265"/>
      <c r="S106" s="265"/>
      <c r="T106" s="267"/>
    </row>
    <row r="107" spans="1:20" ht="18" customHeight="1">
      <c r="A107" s="204">
        <v>109</v>
      </c>
      <c r="B107" s="202" t="s">
        <v>406</v>
      </c>
      <c r="C107" s="202" t="s">
        <v>1222</v>
      </c>
      <c r="D107" s="202" t="s">
        <v>91</v>
      </c>
      <c r="E107" s="207">
        <v>285</v>
      </c>
      <c r="F107" s="207">
        <v>285</v>
      </c>
      <c r="G107" s="207">
        <v>285</v>
      </c>
      <c r="H107" s="207">
        <f t="shared" si="1"/>
        <v>0</v>
      </c>
      <c r="I107" s="203" t="s">
        <v>451</v>
      </c>
      <c r="J107" s="203" t="s">
        <v>452</v>
      </c>
      <c r="K107" s="203" t="s">
        <v>452</v>
      </c>
      <c r="L107" s="203" t="s">
        <v>451</v>
      </c>
      <c r="M107" s="463"/>
      <c r="N107" s="203"/>
      <c r="O107" s="203"/>
      <c r="P107" s="205"/>
      <c r="Q107" s="265"/>
      <c r="R107" s="265"/>
      <c r="S107" s="265"/>
      <c r="T107" s="267"/>
    </row>
    <row r="108" spans="1:20" ht="18" customHeight="1">
      <c r="A108" s="204">
        <v>110</v>
      </c>
      <c r="B108" s="202" t="s">
        <v>385</v>
      </c>
      <c r="C108" s="202" t="s">
        <v>1223</v>
      </c>
      <c r="D108" s="202" t="s">
        <v>79</v>
      </c>
      <c r="E108" s="207">
        <v>196</v>
      </c>
      <c r="F108" s="207">
        <v>196</v>
      </c>
      <c r="G108" s="207">
        <v>196</v>
      </c>
      <c r="H108" s="207">
        <f t="shared" si="1"/>
        <v>0</v>
      </c>
      <c r="I108" s="203" t="s">
        <v>451</v>
      </c>
      <c r="J108" s="203" t="s">
        <v>452</v>
      </c>
      <c r="K108" s="203" t="s">
        <v>452</v>
      </c>
      <c r="L108" s="203" t="s">
        <v>451</v>
      </c>
      <c r="M108" s="463"/>
      <c r="N108" s="203"/>
      <c r="O108" s="203"/>
      <c r="P108" s="205"/>
      <c r="Q108" s="265"/>
      <c r="R108" s="265"/>
      <c r="S108" s="265"/>
      <c r="T108" s="265"/>
    </row>
    <row r="109" spans="1:20" ht="18" customHeight="1">
      <c r="A109" s="204">
        <v>111</v>
      </c>
      <c r="B109" s="202" t="s">
        <v>386</v>
      </c>
      <c r="C109" s="202" t="s">
        <v>1057</v>
      </c>
      <c r="D109" s="202" t="s">
        <v>79</v>
      </c>
      <c r="E109" s="207">
        <v>592</v>
      </c>
      <c r="F109" s="207">
        <v>592</v>
      </c>
      <c r="G109" s="207">
        <v>592</v>
      </c>
      <c r="H109" s="207">
        <f t="shared" si="1"/>
        <v>0</v>
      </c>
      <c r="I109" s="203" t="s">
        <v>451</v>
      </c>
      <c r="J109" s="203" t="s">
        <v>452</v>
      </c>
      <c r="K109" s="203" t="s">
        <v>452</v>
      </c>
      <c r="L109" s="203" t="s">
        <v>451</v>
      </c>
      <c r="M109" s="463"/>
      <c r="N109" s="203"/>
      <c r="O109" s="203"/>
      <c r="P109" s="205"/>
      <c r="Q109" s="265"/>
      <c r="R109" s="265"/>
      <c r="S109" s="265"/>
      <c r="T109" s="265"/>
    </row>
    <row r="110" spans="1:20" ht="18" customHeight="1">
      <c r="A110" s="204">
        <v>112</v>
      </c>
      <c r="B110" s="202" t="s">
        <v>387</v>
      </c>
      <c r="C110" s="202" t="s">
        <v>1224</v>
      </c>
      <c r="D110" s="202" t="s">
        <v>79</v>
      </c>
      <c r="E110" s="207">
        <v>1602</v>
      </c>
      <c r="F110" s="207">
        <v>68</v>
      </c>
      <c r="G110" s="207">
        <v>68</v>
      </c>
      <c r="H110" s="207">
        <f t="shared" si="1"/>
        <v>0</v>
      </c>
      <c r="I110" s="203" t="s">
        <v>451</v>
      </c>
      <c r="J110" s="203" t="s">
        <v>452</v>
      </c>
      <c r="K110" s="203" t="s">
        <v>452</v>
      </c>
      <c r="L110" s="203" t="s">
        <v>451</v>
      </c>
      <c r="M110" s="463"/>
      <c r="N110" s="203"/>
      <c r="O110" s="203"/>
      <c r="P110" s="205"/>
      <c r="Q110" s="265"/>
      <c r="R110" s="265"/>
      <c r="S110" s="265"/>
      <c r="T110" s="265"/>
    </row>
    <row r="111" spans="1:20" ht="18" customHeight="1">
      <c r="A111" s="204">
        <v>113</v>
      </c>
      <c r="B111" s="202" t="s">
        <v>388</v>
      </c>
      <c r="C111" s="202" t="s">
        <v>1225</v>
      </c>
      <c r="D111" s="202" t="s">
        <v>91</v>
      </c>
      <c r="E111" s="207">
        <v>31</v>
      </c>
      <c r="F111" s="207">
        <v>31</v>
      </c>
      <c r="G111" s="207">
        <v>31</v>
      </c>
      <c r="H111" s="207">
        <f t="shared" si="1"/>
        <v>0</v>
      </c>
      <c r="I111" s="203" t="s">
        <v>451</v>
      </c>
      <c r="J111" s="203" t="s">
        <v>452</v>
      </c>
      <c r="K111" s="203" t="s">
        <v>452</v>
      </c>
      <c r="L111" s="203" t="s">
        <v>451</v>
      </c>
      <c r="M111" s="463"/>
      <c r="N111" s="203"/>
      <c r="O111" s="203"/>
      <c r="P111" s="205"/>
      <c r="Q111" s="265"/>
      <c r="R111" s="265"/>
      <c r="S111" s="265"/>
      <c r="T111" s="265"/>
    </row>
    <row r="112" spans="1:20" ht="18" customHeight="1">
      <c r="A112" s="204">
        <v>114</v>
      </c>
      <c r="B112" s="202" t="s">
        <v>389</v>
      </c>
      <c r="C112" s="202" t="s">
        <v>1226</v>
      </c>
      <c r="D112" s="202" t="s">
        <v>110</v>
      </c>
      <c r="E112" s="207">
        <v>32</v>
      </c>
      <c r="F112" s="207">
        <v>32</v>
      </c>
      <c r="G112" s="207">
        <v>32</v>
      </c>
      <c r="H112" s="207">
        <f t="shared" si="1"/>
        <v>0</v>
      </c>
      <c r="I112" s="203" t="s">
        <v>451</v>
      </c>
      <c r="J112" s="203" t="s">
        <v>452</v>
      </c>
      <c r="K112" s="203" t="s">
        <v>452</v>
      </c>
      <c r="L112" s="203" t="s">
        <v>451</v>
      </c>
      <c r="M112" s="463"/>
      <c r="N112" s="203"/>
      <c r="O112" s="203"/>
      <c r="P112" s="205"/>
      <c r="Q112" s="265"/>
      <c r="R112" s="265"/>
      <c r="S112" s="265"/>
      <c r="T112" s="265"/>
    </row>
    <row r="113" spans="1:23" s="443" customFormat="1" ht="18" customHeight="1">
      <c r="A113" s="437">
        <v>115</v>
      </c>
      <c r="B113" s="438" t="s">
        <v>390</v>
      </c>
      <c r="C113" s="438" t="s">
        <v>1227</v>
      </c>
      <c r="D113" s="438" t="s">
        <v>92</v>
      </c>
      <c r="E113" s="439">
        <v>2344</v>
      </c>
      <c r="F113" s="439">
        <v>63</v>
      </c>
      <c r="G113" s="439">
        <v>63</v>
      </c>
      <c r="H113" s="439">
        <f t="shared" si="1"/>
        <v>0</v>
      </c>
      <c r="I113" s="440" t="s">
        <v>451</v>
      </c>
      <c r="J113" s="440" t="s">
        <v>452</v>
      </c>
      <c r="K113" s="440" t="s">
        <v>452</v>
      </c>
      <c r="L113" s="440" t="s">
        <v>451</v>
      </c>
      <c r="M113" s="440"/>
      <c r="N113" s="440"/>
      <c r="O113" s="440"/>
      <c r="P113" s="441"/>
      <c r="Q113" s="442"/>
      <c r="R113" s="442"/>
      <c r="S113" s="442"/>
      <c r="T113" s="442"/>
    </row>
    <row r="114" spans="1:23" s="443" customFormat="1" ht="18" customHeight="1">
      <c r="A114" s="437">
        <v>116</v>
      </c>
      <c r="B114" s="438" t="s">
        <v>391</v>
      </c>
      <c r="C114" s="438" t="s">
        <v>1228</v>
      </c>
      <c r="D114" s="438" t="s">
        <v>79</v>
      </c>
      <c r="E114" s="439">
        <v>606</v>
      </c>
      <c r="F114" s="439">
        <v>53</v>
      </c>
      <c r="G114" s="439">
        <v>53</v>
      </c>
      <c r="H114" s="439">
        <f t="shared" si="1"/>
        <v>0</v>
      </c>
      <c r="I114" s="440" t="s">
        <v>511</v>
      </c>
      <c r="J114" s="440" t="s">
        <v>514</v>
      </c>
      <c r="K114" s="440" t="s">
        <v>514</v>
      </c>
      <c r="L114" s="440" t="s">
        <v>511</v>
      </c>
      <c r="M114" s="440"/>
      <c r="N114" s="440"/>
      <c r="O114" s="440"/>
      <c r="P114" s="441"/>
      <c r="Q114" s="442"/>
      <c r="R114" s="442"/>
      <c r="S114" s="442"/>
      <c r="T114" s="442"/>
    </row>
    <row r="115" spans="1:23" s="443" customFormat="1" ht="18" customHeight="1">
      <c r="A115" s="437">
        <v>117</v>
      </c>
      <c r="B115" s="438" t="s">
        <v>392</v>
      </c>
      <c r="C115" s="438" t="s">
        <v>1229</v>
      </c>
      <c r="D115" s="438" t="s">
        <v>79</v>
      </c>
      <c r="E115" s="439">
        <v>401</v>
      </c>
      <c r="F115" s="439">
        <v>24</v>
      </c>
      <c r="G115" s="439">
        <v>24</v>
      </c>
      <c r="H115" s="439">
        <f t="shared" si="1"/>
        <v>0</v>
      </c>
      <c r="I115" s="440" t="s">
        <v>511</v>
      </c>
      <c r="J115" s="440" t="s">
        <v>514</v>
      </c>
      <c r="K115" s="440" t="s">
        <v>514</v>
      </c>
      <c r="L115" s="440" t="s">
        <v>511</v>
      </c>
      <c r="M115" s="440"/>
      <c r="N115" s="440"/>
      <c r="O115" s="440"/>
      <c r="P115" s="441"/>
      <c r="Q115" s="442"/>
      <c r="R115" s="442"/>
      <c r="S115" s="442"/>
      <c r="T115" s="442"/>
    </row>
    <row r="116" spans="1:23" s="443" customFormat="1" ht="18" customHeight="1">
      <c r="A116" s="437">
        <v>118</v>
      </c>
      <c r="B116" s="438" t="s">
        <v>393</v>
      </c>
      <c r="C116" s="438" t="s">
        <v>1230</v>
      </c>
      <c r="D116" s="438" t="s">
        <v>79</v>
      </c>
      <c r="E116" s="439">
        <v>394</v>
      </c>
      <c r="F116" s="439">
        <v>394</v>
      </c>
      <c r="G116" s="439">
        <v>394</v>
      </c>
      <c r="H116" s="439">
        <f t="shared" si="1"/>
        <v>0</v>
      </c>
      <c r="I116" s="440" t="s">
        <v>511</v>
      </c>
      <c r="J116" s="440" t="s">
        <v>514</v>
      </c>
      <c r="K116" s="440" t="s">
        <v>514</v>
      </c>
      <c r="L116" s="440" t="s">
        <v>511</v>
      </c>
      <c r="M116" s="440"/>
      <c r="N116" s="440"/>
      <c r="O116" s="440"/>
      <c r="P116" s="441"/>
      <c r="Q116" s="442"/>
      <c r="R116" s="442"/>
      <c r="S116" s="442"/>
      <c r="T116" s="442"/>
    </row>
    <row r="117" spans="1:23" s="443" customFormat="1" ht="18" customHeight="1">
      <c r="A117" s="437">
        <v>119</v>
      </c>
      <c r="B117" s="438" t="s">
        <v>394</v>
      </c>
      <c r="C117" s="438" t="s">
        <v>1231</v>
      </c>
      <c r="D117" s="438" t="s">
        <v>92</v>
      </c>
      <c r="E117" s="439">
        <v>2099</v>
      </c>
      <c r="F117" s="439">
        <v>1136</v>
      </c>
      <c r="G117" s="439">
        <v>1136</v>
      </c>
      <c r="H117" s="439">
        <f t="shared" si="1"/>
        <v>0</v>
      </c>
      <c r="I117" s="440" t="s">
        <v>451</v>
      </c>
      <c r="J117" s="440" t="s">
        <v>452</v>
      </c>
      <c r="K117" s="440" t="s">
        <v>452</v>
      </c>
      <c r="L117" s="440" t="s">
        <v>451</v>
      </c>
      <c r="M117" s="440"/>
      <c r="N117" s="440"/>
      <c r="O117" s="440"/>
      <c r="P117" s="441"/>
      <c r="Q117" s="442"/>
      <c r="R117" s="442"/>
      <c r="S117" s="442"/>
      <c r="T117" s="442"/>
    </row>
    <row r="118" spans="1:23" s="443" customFormat="1" ht="18" customHeight="1">
      <c r="A118" s="437">
        <v>120</v>
      </c>
      <c r="B118" s="438" t="s">
        <v>395</v>
      </c>
      <c r="C118" s="438" t="s">
        <v>1232</v>
      </c>
      <c r="D118" s="438" t="s">
        <v>92</v>
      </c>
      <c r="E118" s="439">
        <v>85</v>
      </c>
      <c r="F118" s="439">
        <v>85</v>
      </c>
      <c r="G118" s="439">
        <v>85</v>
      </c>
      <c r="H118" s="439">
        <f t="shared" si="1"/>
        <v>0</v>
      </c>
      <c r="I118" s="440" t="s">
        <v>451</v>
      </c>
      <c r="J118" s="440" t="s">
        <v>452</v>
      </c>
      <c r="K118" s="440" t="s">
        <v>452</v>
      </c>
      <c r="L118" s="440" t="s">
        <v>451</v>
      </c>
      <c r="M118" s="440"/>
      <c r="N118" s="440"/>
      <c r="O118" s="440"/>
      <c r="P118" s="441"/>
      <c r="Q118" s="442"/>
      <c r="R118" s="442"/>
      <c r="S118" s="442"/>
      <c r="T118" s="442"/>
    </row>
    <row r="119" spans="1:23" s="443" customFormat="1" ht="18" customHeight="1">
      <c r="A119" s="437">
        <v>121</v>
      </c>
      <c r="B119" s="438" t="s">
        <v>396</v>
      </c>
      <c r="C119" s="438" t="s">
        <v>1233</v>
      </c>
      <c r="D119" s="438" t="s">
        <v>92</v>
      </c>
      <c r="E119" s="439">
        <v>601</v>
      </c>
      <c r="F119" s="439">
        <v>601</v>
      </c>
      <c r="G119" s="439">
        <v>601</v>
      </c>
      <c r="H119" s="439">
        <f t="shared" si="1"/>
        <v>0</v>
      </c>
      <c r="I119" s="440" t="s">
        <v>451</v>
      </c>
      <c r="J119" s="440" t="s">
        <v>452</v>
      </c>
      <c r="K119" s="440" t="s">
        <v>452</v>
      </c>
      <c r="L119" s="440" t="s">
        <v>451</v>
      </c>
      <c r="M119" s="440"/>
      <c r="N119" s="440"/>
      <c r="O119" s="440"/>
      <c r="P119" s="441"/>
      <c r="Q119" s="442"/>
      <c r="R119" s="442"/>
      <c r="S119" s="442"/>
      <c r="T119" s="442"/>
    </row>
    <row r="120" spans="1:23" ht="18" customHeight="1">
      <c r="A120" s="204">
        <v>122</v>
      </c>
      <c r="B120" s="202" t="s">
        <v>397</v>
      </c>
      <c r="C120" s="202" t="s">
        <v>1234</v>
      </c>
      <c r="D120" s="202" t="s">
        <v>79</v>
      </c>
      <c r="E120" s="207">
        <v>172</v>
      </c>
      <c r="F120" s="207">
        <v>172</v>
      </c>
      <c r="G120" s="207">
        <v>172</v>
      </c>
      <c r="H120" s="207">
        <f t="shared" si="1"/>
        <v>0</v>
      </c>
      <c r="I120" s="203" t="s">
        <v>451</v>
      </c>
      <c r="J120" s="203" t="s">
        <v>452</v>
      </c>
      <c r="K120" s="203" t="s">
        <v>452</v>
      </c>
      <c r="L120" s="203" t="s">
        <v>451</v>
      </c>
      <c r="M120" s="463"/>
      <c r="N120" s="203"/>
      <c r="O120" s="203"/>
      <c r="P120" s="205"/>
      <c r="Q120" s="265"/>
      <c r="R120" s="265"/>
      <c r="S120" s="265"/>
      <c r="T120" s="265"/>
    </row>
    <row r="121" spans="1:23" ht="18" customHeight="1">
      <c r="A121" s="204">
        <v>123</v>
      </c>
      <c r="B121" s="202" t="s">
        <v>398</v>
      </c>
      <c r="C121" s="202" t="s">
        <v>1235</v>
      </c>
      <c r="D121" s="202" t="s">
        <v>91</v>
      </c>
      <c r="E121" s="207">
        <v>104</v>
      </c>
      <c r="F121" s="207">
        <v>104</v>
      </c>
      <c r="G121" s="207">
        <v>104</v>
      </c>
      <c r="H121" s="207">
        <f t="shared" si="1"/>
        <v>0</v>
      </c>
      <c r="I121" s="203" t="s">
        <v>451</v>
      </c>
      <c r="J121" s="203" t="s">
        <v>452</v>
      </c>
      <c r="K121" s="203" t="s">
        <v>452</v>
      </c>
      <c r="L121" s="203" t="s">
        <v>451</v>
      </c>
      <c r="M121" s="463"/>
      <c r="N121" s="203"/>
      <c r="O121" s="203"/>
      <c r="P121" s="205"/>
      <c r="Q121" s="265"/>
      <c r="R121" s="265"/>
      <c r="S121" s="265"/>
      <c r="T121" s="265"/>
    </row>
    <row r="122" spans="1:23" ht="18" customHeight="1">
      <c r="A122" s="204">
        <v>124</v>
      </c>
      <c r="B122" s="202" t="s">
        <v>407</v>
      </c>
      <c r="C122" s="202" t="s">
        <v>1236</v>
      </c>
      <c r="D122" s="202" t="s">
        <v>91</v>
      </c>
      <c r="E122" s="207">
        <v>83</v>
      </c>
      <c r="F122" s="207">
        <v>83</v>
      </c>
      <c r="G122" s="207">
        <v>83</v>
      </c>
      <c r="H122" s="207">
        <f t="shared" si="1"/>
        <v>0</v>
      </c>
      <c r="I122" s="203" t="s">
        <v>451</v>
      </c>
      <c r="J122" s="203" t="s">
        <v>452</v>
      </c>
      <c r="K122" s="203" t="s">
        <v>452</v>
      </c>
      <c r="L122" s="203" t="s">
        <v>451</v>
      </c>
      <c r="M122" s="463"/>
      <c r="N122" s="203"/>
      <c r="O122" s="203"/>
      <c r="P122" s="205"/>
      <c r="Q122" s="265"/>
      <c r="R122" s="265"/>
      <c r="S122" s="265"/>
      <c r="T122" s="265"/>
    </row>
    <row r="123" spans="1:23" ht="18" customHeight="1">
      <c r="A123" s="204">
        <v>125</v>
      </c>
      <c r="B123" s="202" t="s">
        <v>399</v>
      </c>
      <c r="C123" s="202" t="s">
        <v>1237</v>
      </c>
      <c r="D123" s="202" t="s">
        <v>79</v>
      </c>
      <c r="E123" s="207">
        <v>122</v>
      </c>
      <c r="F123" s="207">
        <v>122</v>
      </c>
      <c r="G123" s="207">
        <v>122</v>
      </c>
      <c r="H123" s="207">
        <f t="shared" si="1"/>
        <v>0</v>
      </c>
      <c r="I123" s="203" t="s">
        <v>451</v>
      </c>
      <c r="J123" s="203" t="s">
        <v>452</v>
      </c>
      <c r="K123" s="203" t="s">
        <v>452</v>
      </c>
      <c r="L123" s="203" t="s">
        <v>451</v>
      </c>
      <c r="M123" s="463"/>
      <c r="N123" s="203"/>
      <c r="O123" s="203"/>
      <c r="P123" s="205"/>
      <c r="Q123" s="265"/>
      <c r="R123" s="265"/>
      <c r="S123" s="265"/>
      <c r="T123" s="267"/>
    </row>
    <row r="124" spans="1:23" ht="18" customHeight="1">
      <c r="A124" s="204">
        <v>126</v>
      </c>
      <c r="B124" s="202" t="s">
        <v>400</v>
      </c>
      <c r="C124" s="202" t="s">
        <v>1238</v>
      </c>
      <c r="D124" s="202" t="s">
        <v>79</v>
      </c>
      <c r="E124" s="207">
        <v>15</v>
      </c>
      <c r="F124" s="207">
        <v>15</v>
      </c>
      <c r="G124" s="207">
        <v>15</v>
      </c>
      <c r="H124" s="207">
        <f t="shared" si="1"/>
        <v>0</v>
      </c>
      <c r="I124" s="203" t="s">
        <v>511</v>
      </c>
      <c r="J124" s="203" t="s">
        <v>514</v>
      </c>
      <c r="K124" s="203" t="s">
        <v>514</v>
      </c>
      <c r="L124" s="203" t="s">
        <v>511</v>
      </c>
      <c r="M124" s="463"/>
      <c r="N124" s="203"/>
      <c r="O124" s="203"/>
      <c r="P124" s="205"/>
      <c r="Q124" s="265"/>
      <c r="R124" s="265"/>
      <c r="S124" s="265"/>
      <c r="T124" s="267"/>
    </row>
    <row r="125" spans="1:23" ht="18" customHeight="1">
      <c r="A125" s="204">
        <v>127</v>
      </c>
      <c r="B125" s="202" t="s">
        <v>401</v>
      </c>
      <c r="C125" s="202" t="s">
        <v>1239</v>
      </c>
      <c r="D125" s="202" t="s">
        <v>79</v>
      </c>
      <c r="E125" s="207">
        <v>813</v>
      </c>
      <c r="F125" s="207">
        <v>813</v>
      </c>
      <c r="G125" s="207">
        <v>813</v>
      </c>
      <c r="H125" s="207">
        <f t="shared" si="1"/>
        <v>0</v>
      </c>
      <c r="I125" s="203" t="s">
        <v>451</v>
      </c>
      <c r="J125" s="203" t="s">
        <v>452</v>
      </c>
      <c r="K125" s="203" t="s">
        <v>452</v>
      </c>
      <c r="L125" s="203" t="s">
        <v>451</v>
      </c>
      <c r="M125" s="463"/>
      <c r="N125" s="203"/>
      <c r="O125" s="203"/>
      <c r="P125" s="205"/>
      <c r="Q125" s="265"/>
      <c r="R125" s="265"/>
      <c r="S125" s="265"/>
      <c r="T125" s="267"/>
    </row>
    <row r="126" spans="1:23" ht="18" customHeight="1">
      <c r="A126" s="204">
        <v>128</v>
      </c>
      <c r="B126" s="202" t="s">
        <v>402</v>
      </c>
      <c r="C126" s="202" t="s">
        <v>1240</v>
      </c>
      <c r="D126" s="202" t="s">
        <v>80</v>
      </c>
      <c r="E126" s="207">
        <v>264</v>
      </c>
      <c r="F126" s="207">
        <v>264</v>
      </c>
      <c r="G126" s="207">
        <v>264</v>
      </c>
      <c r="H126" s="207">
        <f t="shared" si="1"/>
        <v>0</v>
      </c>
      <c r="I126" s="203" t="s">
        <v>451</v>
      </c>
      <c r="J126" s="203" t="s">
        <v>452</v>
      </c>
      <c r="K126" s="203" t="s">
        <v>452</v>
      </c>
      <c r="L126" s="203" t="s">
        <v>451</v>
      </c>
      <c r="M126" s="463"/>
      <c r="N126" s="203"/>
      <c r="O126" s="203"/>
      <c r="P126" s="205"/>
      <c r="Q126" s="265"/>
      <c r="R126" s="265"/>
      <c r="S126" s="265"/>
      <c r="T126" s="267"/>
    </row>
    <row r="127" spans="1:23" ht="18" customHeight="1">
      <c r="A127" s="204">
        <v>129</v>
      </c>
      <c r="B127" s="202" t="s">
        <v>403</v>
      </c>
      <c r="C127" s="202" t="s">
        <v>1241</v>
      </c>
      <c r="D127" s="202" t="s">
        <v>80</v>
      </c>
      <c r="E127" s="207">
        <v>6</v>
      </c>
      <c r="F127" s="207">
        <v>6</v>
      </c>
      <c r="G127" s="207">
        <v>6</v>
      </c>
      <c r="H127" s="207">
        <f t="shared" si="1"/>
        <v>0</v>
      </c>
      <c r="I127" s="203" t="s">
        <v>451</v>
      </c>
      <c r="J127" s="203" t="s">
        <v>452</v>
      </c>
      <c r="K127" s="203" t="s">
        <v>452</v>
      </c>
      <c r="L127" s="203" t="s">
        <v>451</v>
      </c>
      <c r="M127" s="463"/>
      <c r="N127" s="203"/>
      <c r="O127" s="203"/>
      <c r="P127" s="205"/>
      <c r="Q127" s="265"/>
      <c r="R127" s="265"/>
      <c r="S127" s="265"/>
      <c r="T127" s="284"/>
      <c r="U127" s="265"/>
      <c r="V127" s="265"/>
      <c r="W127" s="265"/>
    </row>
    <row r="128" spans="1:23" ht="18" customHeight="1">
      <c r="A128" s="204">
        <v>130</v>
      </c>
      <c r="B128" s="202" t="s">
        <v>404</v>
      </c>
      <c r="C128" s="202" t="s">
        <v>1242</v>
      </c>
      <c r="D128" s="202" t="s">
        <v>80</v>
      </c>
      <c r="E128" s="207">
        <v>2</v>
      </c>
      <c r="F128" s="207">
        <v>2</v>
      </c>
      <c r="G128" s="207">
        <v>2</v>
      </c>
      <c r="H128" s="207">
        <f t="shared" si="1"/>
        <v>0</v>
      </c>
      <c r="I128" s="203" t="s">
        <v>451</v>
      </c>
      <c r="J128" s="203" t="s">
        <v>452</v>
      </c>
      <c r="K128" s="203" t="s">
        <v>452</v>
      </c>
      <c r="L128" s="203" t="s">
        <v>451</v>
      </c>
      <c r="M128" s="463"/>
      <c r="N128" s="203"/>
      <c r="O128" s="203"/>
      <c r="P128" s="205"/>
      <c r="Q128" s="265"/>
      <c r="R128" s="265"/>
      <c r="S128" s="265"/>
      <c r="T128" s="265"/>
    </row>
    <row r="129" spans="1:20" ht="18" customHeight="1">
      <c r="A129" s="204">
        <v>131</v>
      </c>
      <c r="B129" s="202" t="s">
        <v>125</v>
      </c>
      <c r="C129" s="202" t="s">
        <v>681</v>
      </c>
      <c r="D129" s="202" t="s">
        <v>80</v>
      </c>
      <c r="E129" s="207">
        <v>2</v>
      </c>
      <c r="F129" s="207">
        <v>2</v>
      </c>
      <c r="G129" s="207">
        <v>2</v>
      </c>
      <c r="H129" s="207">
        <f t="shared" si="1"/>
        <v>0</v>
      </c>
      <c r="I129" s="203" t="s">
        <v>451</v>
      </c>
      <c r="J129" s="203" t="s">
        <v>452</v>
      </c>
      <c r="K129" s="203" t="s">
        <v>452</v>
      </c>
      <c r="L129" s="203" t="s">
        <v>451</v>
      </c>
      <c r="M129" s="463"/>
      <c r="N129" s="203"/>
      <c r="O129" s="203"/>
      <c r="P129" s="205"/>
      <c r="Q129" s="265"/>
      <c r="R129" s="265"/>
      <c r="S129" s="265"/>
      <c r="T129" s="265"/>
    </row>
    <row r="130" spans="1:20" ht="18" customHeight="1">
      <c r="A130" s="204">
        <v>132</v>
      </c>
      <c r="B130" s="202" t="s">
        <v>100</v>
      </c>
      <c r="C130" s="202" t="s">
        <v>1243</v>
      </c>
      <c r="D130" s="202" t="s">
        <v>79</v>
      </c>
      <c r="E130" s="207">
        <v>37</v>
      </c>
      <c r="F130" s="207">
        <v>37</v>
      </c>
      <c r="G130" s="207">
        <v>37</v>
      </c>
      <c r="H130" s="207">
        <f t="shared" si="1"/>
        <v>0</v>
      </c>
      <c r="I130" s="203" t="s">
        <v>511</v>
      </c>
      <c r="J130" s="203" t="s">
        <v>514</v>
      </c>
      <c r="K130" s="203" t="s">
        <v>514</v>
      </c>
      <c r="L130" s="203" t="s">
        <v>511</v>
      </c>
      <c r="M130" s="463"/>
      <c r="N130" s="203"/>
      <c r="O130" s="203"/>
      <c r="P130" s="205"/>
      <c r="Q130" s="265"/>
      <c r="R130" s="265"/>
      <c r="S130" s="265"/>
      <c r="T130" s="265"/>
    </row>
    <row r="131" spans="1:20" ht="18" customHeight="1">
      <c r="A131" s="204">
        <v>133</v>
      </c>
      <c r="B131" s="202" t="s">
        <v>420</v>
      </c>
      <c r="C131" s="202" t="s">
        <v>685</v>
      </c>
      <c r="D131" s="202" t="s">
        <v>80</v>
      </c>
      <c r="E131" s="207">
        <v>183</v>
      </c>
      <c r="F131" s="207">
        <v>95</v>
      </c>
      <c r="G131" s="207">
        <v>95</v>
      </c>
      <c r="H131" s="207">
        <f t="shared" si="1"/>
        <v>0</v>
      </c>
      <c r="I131" s="203" t="s">
        <v>451</v>
      </c>
      <c r="J131" s="203" t="s">
        <v>452</v>
      </c>
      <c r="K131" s="203" t="s">
        <v>452</v>
      </c>
      <c r="L131" s="203" t="s">
        <v>451</v>
      </c>
      <c r="M131" s="463"/>
      <c r="N131" s="203"/>
      <c r="O131" s="203"/>
      <c r="P131" s="205"/>
      <c r="Q131" s="265"/>
      <c r="R131" s="265"/>
      <c r="S131" s="265"/>
      <c r="T131" s="265"/>
    </row>
    <row r="132" spans="1:20" ht="18" customHeight="1">
      <c r="A132" s="204">
        <v>134</v>
      </c>
      <c r="B132" s="202" t="s">
        <v>421</v>
      </c>
      <c r="C132" s="202" t="s">
        <v>687</v>
      </c>
      <c r="D132" s="202" t="s">
        <v>80</v>
      </c>
      <c r="E132" s="207">
        <v>13</v>
      </c>
      <c r="F132" s="207">
        <v>13</v>
      </c>
      <c r="G132" s="207">
        <v>13</v>
      </c>
      <c r="H132" s="207">
        <f t="shared" si="1"/>
        <v>0</v>
      </c>
      <c r="I132" s="203" t="s">
        <v>451</v>
      </c>
      <c r="J132" s="203" t="s">
        <v>452</v>
      </c>
      <c r="K132" s="203" t="s">
        <v>452</v>
      </c>
      <c r="L132" s="203" t="s">
        <v>451</v>
      </c>
      <c r="M132" s="463"/>
      <c r="N132" s="203"/>
      <c r="O132" s="203"/>
      <c r="P132" s="205"/>
      <c r="Q132" s="265"/>
      <c r="R132" s="265"/>
      <c r="S132" s="265"/>
      <c r="T132" s="265"/>
    </row>
    <row r="133" spans="1:20" ht="18" customHeight="1">
      <c r="A133" s="204">
        <v>135</v>
      </c>
      <c r="B133" s="202" t="s">
        <v>436</v>
      </c>
      <c r="C133" s="202" t="s">
        <v>1244</v>
      </c>
      <c r="D133" s="202" t="s">
        <v>80</v>
      </c>
      <c r="E133" s="207">
        <v>646</v>
      </c>
      <c r="F133" s="207">
        <v>285</v>
      </c>
      <c r="G133" s="207">
        <v>285</v>
      </c>
      <c r="H133" s="207">
        <f t="shared" si="1"/>
        <v>0</v>
      </c>
      <c r="I133" s="203" t="s">
        <v>451</v>
      </c>
      <c r="J133" s="203" t="s">
        <v>452</v>
      </c>
      <c r="K133" s="203" t="s">
        <v>452</v>
      </c>
      <c r="L133" s="203" t="s">
        <v>451</v>
      </c>
      <c r="M133" s="463"/>
      <c r="N133" s="203"/>
      <c r="O133" s="203"/>
      <c r="P133" s="205"/>
      <c r="Q133" s="265"/>
      <c r="R133" s="265"/>
      <c r="S133" s="265"/>
      <c r="T133" s="265"/>
    </row>
    <row r="134" spans="1:20" ht="18" customHeight="1">
      <c r="A134" s="204">
        <v>136</v>
      </c>
      <c r="B134" s="202" t="s">
        <v>101</v>
      </c>
      <c r="C134" s="202" t="s">
        <v>1245</v>
      </c>
      <c r="D134" s="202" t="s">
        <v>79</v>
      </c>
      <c r="E134" s="207">
        <v>136</v>
      </c>
      <c r="F134" s="207">
        <v>13</v>
      </c>
      <c r="G134" s="207">
        <v>13</v>
      </c>
      <c r="H134" s="207">
        <f t="shared" ref="H134:H161" si="2">G134-F134</f>
        <v>0</v>
      </c>
      <c r="I134" s="203" t="s">
        <v>451</v>
      </c>
      <c r="J134" s="203" t="s">
        <v>452</v>
      </c>
      <c r="K134" s="203" t="s">
        <v>452</v>
      </c>
      <c r="L134" s="203" t="s">
        <v>451</v>
      </c>
      <c r="M134" s="463"/>
      <c r="N134" s="203"/>
      <c r="O134" s="203"/>
      <c r="P134" s="205"/>
      <c r="Q134" s="265"/>
      <c r="R134" s="265"/>
      <c r="S134" s="265"/>
      <c r="T134" s="265"/>
    </row>
    <row r="135" spans="1:20" ht="18" customHeight="1">
      <c r="A135" s="204">
        <v>137</v>
      </c>
      <c r="B135" s="202" t="s">
        <v>102</v>
      </c>
      <c r="C135" s="202" t="s">
        <v>1246</v>
      </c>
      <c r="D135" s="202" t="s">
        <v>79</v>
      </c>
      <c r="E135" s="207">
        <v>164</v>
      </c>
      <c r="F135" s="207">
        <v>5</v>
      </c>
      <c r="G135" s="207">
        <v>5</v>
      </c>
      <c r="H135" s="207">
        <f t="shared" si="2"/>
        <v>0</v>
      </c>
      <c r="I135" s="203" t="s">
        <v>451</v>
      </c>
      <c r="J135" s="203" t="s">
        <v>452</v>
      </c>
      <c r="K135" s="203" t="s">
        <v>452</v>
      </c>
      <c r="L135" s="203" t="s">
        <v>451</v>
      </c>
      <c r="M135" s="463"/>
      <c r="N135" s="203"/>
      <c r="O135" s="203"/>
      <c r="P135" s="205"/>
      <c r="Q135" s="265"/>
      <c r="R135" s="265"/>
      <c r="S135" s="265"/>
      <c r="T135" s="265"/>
    </row>
    <row r="136" spans="1:20" ht="18" customHeight="1">
      <c r="A136" s="204">
        <v>138</v>
      </c>
      <c r="B136" s="202" t="s">
        <v>103</v>
      </c>
      <c r="C136" s="202" t="s">
        <v>1247</v>
      </c>
      <c r="D136" s="202" t="s">
        <v>79</v>
      </c>
      <c r="E136" s="207">
        <v>298</v>
      </c>
      <c r="F136" s="207">
        <v>302</v>
      </c>
      <c r="G136" s="207">
        <v>302</v>
      </c>
      <c r="H136" s="207">
        <f t="shared" si="2"/>
        <v>0</v>
      </c>
      <c r="I136" s="203" t="s">
        <v>451</v>
      </c>
      <c r="J136" s="203" t="s">
        <v>452</v>
      </c>
      <c r="K136" s="203" t="s">
        <v>452</v>
      </c>
      <c r="L136" s="203" t="s">
        <v>451</v>
      </c>
      <c r="M136" s="463"/>
      <c r="N136" s="203"/>
      <c r="O136" s="203"/>
      <c r="P136" s="205"/>
      <c r="Q136" s="265"/>
      <c r="R136" s="265"/>
      <c r="S136" s="265"/>
      <c r="T136" s="265"/>
    </row>
    <row r="137" spans="1:20" ht="18" customHeight="1">
      <c r="A137" s="204">
        <v>139</v>
      </c>
      <c r="B137" s="202" t="s">
        <v>104</v>
      </c>
      <c r="C137" s="202" t="s">
        <v>1248</v>
      </c>
      <c r="D137" s="202" t="s">
        <v>79</v>
      </c>
      <c r="E137" s="207">
        <v>140</v>
      </c>
      <c r="F137" s="207">
        <v>127</v>
      </c>
      <c r="G137" s="207">
        <v>127</v>
      </c>
      <c r="H137" s="207">
        <f t="shared" si="2"/>
        <v>0</v>
      </c>
      <c r="I137" s="203" t="s">
        <v>511</v>
      </c>
      <c r="J137" s="203" t="s">
        <v>514</v>
      </c>
      <c r="K137" s="203" t="s">
        <v>514</v>
      </c>
      <c r="L137" s="203" t="s">
        <v>511</v>
      </c>
      <c r="M137" s="463"/>
      <c r="N137" s="203"/>
      <c r="O137" s="203"/>
      <c r="P137" s="205"/>
      <c r="Q137" s="265"/>
      <c r="R137" s="265"/>
      <c r="S137" s="265"/>
      <c r="T137" s="265"/>
    </row>
    <row r="138" spans="1:20" ht="18" customHeight="1">
      <c r="A138" s="204">
        <v>140</v>
      </c>
      <c r="B138" s="202" t="s">
        <v>105</v>
      </c>
      <c r="C138" s="202" t="s">
        <v>1249</v>
      </c>
      <c r="D138" s="202" t="s">
        <v>90</v>
      </c>
      <c r="E138" s="207">
        <v>170</v>
      </c>
      <c r="F138" s="207">
        <v>147</v>
      </c>
      <c r="G138" s="207">
        <v>147</v>
      </c>
      <c r="H138" s="207">
        <f t="shared" si="2"/>
        <v>0</v>
      </c>
      <c r="I138" s="203" t="s">
        <v>451</v>
      </c>
      <c r="J138" s="203" t="s">
        <v>452</v>
      </c>
      <c r="K138" s="203" t="s">
        <v>452</v>
      </c>
      <c r="L138" s="203" t="s">
        <v>451</v>
      </c>
      <c r="M138" s="463"/>
      <c r="N138" s="203"/>
      <c r="O138" s="203"/>
      <c r="P138" s="205"/>
      <c r="Q138" s="265"/>
      <c r="R138" s="265"/>
      <c r="S138" s="265"/>
      <c r="T138" s="265"/>
    </row>
    <row r="139" spans="1:20" ht="18" customHeight="1">
      <c r="A139" s="204">
        <v>141</v>
      </c>
      <c r="B139" s="202" t="s">
        <v>106</v>
      </c>
      <c r="C139" s="202" t="s">
        <v>1250</v>
      </c>
      <c r="D139" s="202" t="s">
        <v>90</v>
      </c>
      <c r="E139" s="207">
        <v>156</v>
      </c>
      <c r="F139" s="207">
        <v>156</v>
      </c>
      <c r="G139" s="207">
        <v>156</v>
      </c>
      <c r="H139" s="207">
        <f t="shared" si="2"/>
        <v>0</v>
      </c>
      <c r="I139" s="203" t="s">
        <v>451</v>
      </c>
      <c r="J139" s="203" t="s">
        <v>452</v>
      </c>
      <c r="K139" s="203" t="s">
        <v>452</v>
      </c>
      <c r="L139" s="203" t="s">
        <v>451</v>
      </c>
      <c r="M139" s="463"/>
      <c r="N139" s="203"/>
      <c r="O139" s="203"/>
      <c r="P139" s="205"/>
      <c r="Q139" s="265"/>
      <c r="R139" s="265"/>
      <c r="S139" s="265"/>
      <c r="T139" s="265"/>
    </row>
    <row r="140" spans="1:20" ht="18" customHeight="1">
      <c r="A140" s="204">
        <v>142</v>
      </c>
      <c r="B140" s="202" t="s">
        <v>355</v>
      </c>
      <c r="C140" s="202" t="s">
        <v>1194</v>
      </c>
      <c r="D140" s="202" t="s">
        <v>79</v>
      </c>
      <c r="E140" s="207">
        <v>13</v>
      </c>
      <c r="F140" s="207">
        <v>10</v>
      </c>
      <c r="G140" s="207">
        <v>10</v>
      </c>
      <c r="H140" s="207">
        <f t="shared" si="2"/>
        <v>0</v>
      </c>
      <c r="I140" s="203" t="s">
        <v>451</v>
      </c>
      <c r="J140" s="203" t="s">
        <v>452</v>
      </c>
      <c r="K140" s="203" t="s">
        <v>452</v>
      </c>
      <c r="L140" s="203" t="s">
        <v>451</v>
      </c>
      <c r="M140" s="463"/>
      <c r="N140" s="203"/>
      <c r="O140" s="203"/>
      <c r="P140" s="205"/>
      <c r="Q140" s="265"/>
      <c r="R140" s="265"/>
      <c r="S140" s="265"/>
      <c r="T140" s="265"/>
    </row>
    <row r="141" spans="1:20" ht="18" customHeight="1">
      <c r="A141" s="204">
        <v>143</v>
      </c>
      <c r="B141" s="202" t="s">
        <v>437</v>
      </c>
      <c r="C141" s="202" t="s">
        <v>1251</v>
      </c>
      <c r="D141" s="202" t="s">
        <v>90</v>
      </c>
      <c r="E141" s="207">
        <v>391</v>
      </c>
      <c r="F141" s="207">
        <v>391</v>
      </c>
      <c r="G141" s="207">
        <v>391</v>
      </c>
      <c r="H141" s="207">
        <f t="shared" si="2"/>
        <v>0</v>
      </c>
      <c r="I141" s="203" t="s">
        <v>451</v>
      </c>
      <c r="J141" s="203" t="s">
        <v>452</v>
      </c>
      <c r="K141" s="203" t="s">
        <v>452</v>
      </c>
      <c r="L141" s="203" t="s">
        <v>451</v>
      </c>
      <c r="M141" s="463"/>
      <c r="N141" s="203"/>
      <c r="O141" s="203"/>
      <c r="P141" s="205"/>
      <c r="Q141" s="265"/>
      <c r="R141" s="265"/>
      <c r="S141" s="265"/>
      <c r="T141" s="265"/>
    </row>
    <row r="142" spans="1:20" ht="18" customHeight="1">
      <c r="A142" s="204">
        <v>144</v>
      </c>
      <c r="B142" s="202" t="s">
        <v>83</v>
      </c>
      <c r="C142" s="202" t="s">
        <v>1193</v>
      </c>
      <c r="D142" s="202" t="s">
        <v>79</v>
      </c>
      <c r="E142" s="207">
        <v>479</v>
      </c>
      <c r="F142" s="207">
        <v>130</v>
      </c>
      <c r="G142" s="207">
        <v>130</v>
      </c>
      <c r="H142" s="207">
        <f t="shared" si="2"/>
        <v>0</v>
      </c>
      <c r="I142" s="203" t="s">
        <v>451</v>
      </c>
      <c r="J142" s="203" t="s">
        <v>452</v>
      </c>
      <c r="K142" s="203" t="s">
        <v>452</v>
      </c>
      <c r="L142" s="203" t="s">
        <v>451</v>
      </c>
      <c r="M142" s="463"/>
      <c r="N142" s="203"/>
      <c r="O142" s="203"/>
      <c r="P142" s="205"/>
      <c r="Q142" s="265"/>
      <c r="R142" s="265"/>
      <c r="S142" s="265"/>
      <c r="T142" s="265"/>
    </row>
    <row r="143" spans="1:20" ht="18" customHeight="1">
      <c r="A143" s="204">
        <v>145</v>
      </c>
      <c r="B143" s="202" t="s">
        <v>364</v>
      </c>
      <c r="C143" s="202" t="s">
        <v>1201</v>
      </c>
      <c r="D143" s="202" t="s">
        <v>79</v>
      </c>
      <c r="E143" s="207">
        <v>400</v>
      </c>
      <c r="F143" s="207">
        <v>169</v>
      </c>
      <c r="G143" s="207">
        <v>169</v>
      </c>
      <c r="H143" s="207">
        <f t="shared" si="2"/>
        <v>0</v>
      </c>
      <c r="I143" s="203" t="s">
        <v>511</v>
      </c>
      <c r="J143" s="203" t="s">
        <v>514</v>
      </c>
      <c r="K143" s="203" t="s">
        <v>514</v>
      </c>
      <c r="L143" s="203" t="s">
        <v>511</v>
      </c>
      <c r="M143" s="463"/>
      <c r="N143" s="203"/>
      <c r="O143" s="203"/>
      <c r="P143" s="205"/>
      <c r="Q143" s="265"/>
      <c r="R143" s="265"/>
      <c r="S143" s="265"/>
      <c r="T143" s="267"/>
    </row>
    <row r="144" spans="1:20" ht="18" customHeight="1">
      <c r="A144" s="204">
        <v>146</v>
      </c>
      <c r="B144" s="202" t="s">
        <v>438</v>
      </c>
      <c r="C144" s="202" t="s">
        <v>1252</v>
      </c>
      <c r="D144" s="202" t="s">
        <v>79</v>
      </c>
      <c r="E144" s="207">
        <v>66</v>
      </c>
      <c r="F144" s="207">
        <v>66</v>
      </c>
      <c r="G144" s="207">
        <v>66</v>
      </c>
      <c r="H144" s="207">
        <f t="shared" si="2"/>
        <v>0</v>
      </c>
      <c r="I144" s="203" t="s">
        <v>451</v>
      </c>
      <c r="J144" s="203" t="s">
        <v>452</v>
      </c>
      <c r="K144" s="203" t="s">
        <v>452</v>
      </c>
      <c r="L144" s="203" t="s">
        <v>451</v>
      </c>
      <c r="M144" s="463"/>
      <c r="N144" s="203"/>
      <c r="O144" s="203"/>
      <c r="P144" s="205"/>
      <c r="Q144" s="265"/>
      <c r="R144" s="265"/>
      <c r="S144" s="265"/>
      <c r="T144" s="267"/>
    </row>
    <row r="145" spans="1:23" ht="18" customHeight="1">
      <c r="A145" s="204">
        <v>147</v>
      </c>
      <c r="B145" s="202" t="s">
        <v>107</v>
      </c>
      <c r="C145" s="202" t="s">
        <v>1253</v>
      </c>
      <c r="D145" s="202" t="s">
        <v>91</v>
      </c>
      <c r="E145" s="207">
        <v>52</v>
      </c>
      <c r="F145" s="207">
        <v>52</v>
      </c>
      <c r="G145" s="207">
        <v>52</v>
      </c>
      <c r="H145" s="207">
        <f t="shared" si="2"/>
        <v>0</v>
      </c>
      <c r="I145" s="203" t="s">
        <v>451</v>
      </c>
      <c r="J145" s="203" t="s">
        <v>452</v>
      </c>
      <c r="K145" s="203" t="s">
        <v>452</v>
      </c>
      <c r="L145" s="203" t="s">
        <v>451</v>
      </c>
      <c r="M145" s="463"/>
      <c r="N145" s="203"/>
      <c r="O145" s="203"/>
      <c r="P145" s="205"/>
      <c r="Q145" s="265"/>
      <c r="R145" s="265"/>
      <c r="S145" s="265"/>
      <c r="T145" s="267"/>
    </row>
    <row r="146" spans="1:23" ht="18" customHeight="1">
      <c r="A146" s="204">
        <v>148</v>
      </c>
      <c r="B146" s="202" t="s">
        <v>108</v>
      </c>
      <c r="C146" s="202" t="s">
        <v>1254</v>
      </c>
      <c r="D146" s="202" t="s">
        <v>91</v>
      </c>
      <c r="E146" s="207">
        <v>5</v>
      </c>
      <c r="F146" s="207">
        <v>5</v>
      </c>
      <c r="G146" s="207">
        <v>5</v>
      </c>
      <c r="H146" s="207">
        <f t="shared" si="2"/>
        <v>0</v>
      </c>
      <c r="I146" s="203" t="s">
        <v>451</v>
      </c>
      <c r="J146" s="203" t="s">
        <v>452</v>
      </c>
      <c r="K146" s="203" t="s">
        <v>452</v>
      </c>
      <c r="L146" s="203" t="s">
        <v>451</v>
      </c>
      <c r="M146" s="463"/>
      <c r="N146" s="203"/>
      <c r="O146" s="203"/>
      <c r="P146" s="205"/>
      <c r="Q146" s="265"/>
      <c r="R146" s="265"/>
      <c r="S146" s="265"/>
      <c r="T146" s="267"/>
    </row>
    <row r="147" spans="1:23" ht="18" customHeight="1">
      <c r="A147" s="204">
        <v>149</v>
      </c>
      <c r="B147" s="202" t="s">
        <v>387</v>
      </c>
      <c r="C147" s="202" t="s">
        <v>1224</v>
      </c>
      <c r="D147" s="202" t="s">
        <v>79</v>
      </c>
      <c r="E147" s="207">
        <v>1602</v>
      </c>
      <c r="F147" s="207">
        <v>952</v>
      </c>
      <c r="G147" s="207">
        <v>952</v>
      </c>
      <c r="H147" s="207">
        <f t="shared" si="2"/>
        <v>0</v>
      </c>
      <c r="I147" s="203" t="s">
        <v>451</v>
      </c>
      <c r="J147" s="203" t="s">
        <v>452</v>
      </c>
      <c r="K147" s="203" t="s">
        <v>452</v>
      </c>
      <c r="L147" s="203" t="s">
        <v>451</v>
      </c>
      <c r="M147" s="463"/>
      <c r="N147" s="203"/>
      <c r="O147" s="203"/>
      <c r="P147" s="205"/>
      <c r="Q147" s="265"/>
      <c r="R147" s="265"/>
      <c r="S147" s="265"/>
      <c r="T147" s="284"/>
      <c r="U147" s="265"/>
      <c r="V147" s="265"/>
      <c r="W147" s="265"/>
    </row>
    <row r="148" spans="1:23" ht="18" customHeight="1">
      <c r="A148" s="204">
        <v>150</v>
      </c>
      <c r="B148" s="202" t="s">
        <v>109</v>
      </c>
      <c r="C148" s="202" t="s">
        <v>1255</v>
      </c>
      <c r="D148" s="202" t="s">
        <v>110</v>
      </c>
      <c r="E148" s="207">
        <v>466</v>
      </c>
      <c r="F148" s="207">
        <v>466</v>
      </c>
      <c r="G148" s="207">
        <v>466</v>
      </c>
      <c r="H148" s="207">
        <f t="shared" si="2"/>
        <v>0</v>
      </c>
      <c r="I148" s="203" t="s">
        <v>451</v>
      </c>
      <c r="J148" s="203" t="s">
        <v>452</v>
      </c>
      <c r="K148" s="203" t="s">
        <v>452</v>
      </c>
      <c r="L148" s="203" t="s">
        <v>451</v>
      </c>
      <c r="M148" s="463"/>
      <c r="N148" s="203"/>
      <c r="O148" s="203"/>
      <c r="P148" s="205"/>
      <c r="Q148" s="265"/>
      <c r="R148" s="265"/>
      <c r="S148" s="265"/>
      <c r="T148" s="265"/>
    </row>
    <row r="149" spans="1:23" ht="18" customHeight="1">
      <c r="A149" s="204">
        <v>151</v>
      </c>
      <c r="B149" s="202" t="s">
        <v>439</v>
      </c>
      <c r="C149" s="202" t="s">
        <v>1256</v>
      </c>
      <c r="D149" s="202" t="s">
        <v>79</v>
      </c>
      <c r="E149" s="207">
        <v>675</v>
      </c>
      <c r="F149" s="207">
        <v>610</v>
      </c>
      <c r="G149" s="207">
        <v>610</v>
      </c>
      <c r="H149" s="207">
        <f t="shared" si="2"/>
        <v>0</v>
      </c>
      <c r="I149" s="203" t="s">
        <v>451</v>
      </c>
      <c r="J149" s="203" t="s">
        <v>452</v>
      </c>
      <c r="K149" s="203" t="s">
        <v>452</v>
      </c>
      <c r="L149" s="203" t="s">
        <v>451</v>
      </c>
      <c r="M149" s="463"/>
      <c r="N149" s="203"/>
      <c r="O149" s="203"/>
      <c r="P149" s="205"/>
      <c r="Q149" s="265"/>
      <c r="R149" s="265"/>
      <c r="S149" s="265"/>
      <c r="T149" s="265"/>
    </row>
    <row r="150" spans="1:23" ht="18" customHeight="1">
      <c r="A150" s="204">
        <v>152</v>
      </c>
      <c r="B150" s="202" t="s">
        <v>111</v>
      </c>
      <c r="C150" s="202" t="s">
        <v>1257</v>
      </c>
      <c r="D150" s="202" t="s">
        <v>110</v>
      </c>
      <c r="E150" s="207">
        <v>261</v>
      </c>
      <c r="F150" s="207">
        <v>261</v>
      </c>
      <c r="G150" s="207">
        <v>261</v>
      </c>
      <c r="H150" s="207">
        <f t="shared" si="2"/>
        <v>0</v>
      </c>
      <c r="I150" s="203" t="s">
        <v>451</v>
      </c>
      <c r="J150" s="203" t="s">
        <v>452</v>
      </c>
      <c r="K150" s="203" t="s">
        <v>452</v>
      </c>
      <c r="L150" s="203" t="s">
        <v>451</v>
      </c>
      <c r="M150" s="463"/>
      <c r="N150" s="203"/>
      <c r="O150" s="203"/>
      <c r="P150" s="205"/>
      <c r="Q150" s="265"/>
      <c r="R150" s="265"/>
      <c r="S150" s="265"/>
      <c r="T150" s="265"/>
    </row>
    <row r="151" spans="1:23" ht="18" customHeight="1">
      <c r="A151" s="204">
        <v>153</v>
      </c>
      <c r="B151" s="202" t="s">
        <v>112</v>
      </c>
      <c r="C151" s="202" t="s">
        <v>1258</v>
      </c>
      <c r="D151" s="202" t="s">
        <v>110</v>
      </c>
      <c r="E151" s="207">
        <v>1104</v>
      </c>
      <c r="F151" s="207">
        <v>72</v>
      </c>
      <c r="G151" s="207">
        <v>72</v>
      </c>
      <c r="H151" s="207">
        <f t="shared" si="2"/>
        <v>0</v>
      </c>
      <c r="I151" s="203" t="s">
        <v>451</v>
      </c>
      <c r="J151" s="203" t="s">
        <v>452</v>
      </c>
      <c r="K151" s="203" t="s">
        <v>452</v>
      </c>
      <c r="L151" s="203" t="s">
        <v>451</v>
      </c>
      <c r="M151" s="463"/>
      <c r="N151" s="203"/>
      <c r="O151" s="203"/>
      <c r="P151" s="205"/>
      <c r="Q151" s="265"/>
      <c r="R151" s="265"/>
      <c r="S151" s="265"/>
      <c r="T151" s="265"/>
    </row>
    <row r="152" spans="1:23" ht="18" customHeight="1">
      <c r="A152" s="204">
        <v>154</v>
      </c>
      <c r="B152" s="202" t="s">
        <v>113</v>
      </c>
      <c r="C152" s="202" t="s">
        <v>1259</v>
      </c>
      <c r="D152" s="202" t="s">
        <v>110</v>
      </c>
      <c r="E152" s="207">
        <v>1362</v>
      </c>
      <c r="F152" s="207">
        <v>218</v>
      </c>
      <c r="G152" s="207">
        <v>218</v>
      </c>
      <c r="H152" s="207">
        <f t="shared" si="2"/>
        <v>0</v>
      </c>
      <c r="I152" s="203" t="s">
        <v>451</v>
      </c>
      <c r="J152" s="203" t="s">
        <v>452</v>
      </c>
      <c r="K152" s="203" t="s">
        <v>452</v>
      </c>
      <c r="L152" s="203" t="s">
        <v>451</v>
      </c>
      <c r="M152" s="463"/>
      <c r="N152" s="203"/>
      <c r="O152" s="203"/>
      <c r="P152" s="205"/>
      <c r="Q152" s="265"/>
      <c r="R152" s="265"/>
      <c r="S152" s="265"/>
      <c r="T152" s="265"/>
    </row>
    <row r="153" spans="1:23" ht="18" customHeight="1">
      <c r="A153" s="204">
        <v>155</v>
      </c>
      <c r="B153" s="202" t="s">
        <v>440</v>
      </c>
      <c r="C153" s="202" t="s">
        <v>1260</v>
      </c>
      <c r="D153" s="202" t="s">
        <v>110</v>
      </c>
      <c r="E153" s="207">
        <v>863</v>
      </c>
      <c r="F153" s="207">
        <v>127</v>
      </c>
      <c r="G153" s="207">
        <v>127</v>
      </c>
      <c r="H153" s="207">
        <f t="shared" si="2"/>
        <v>0</v>
      </c>
      <c r="I153" s="203" t="s">
        <v>451</v>
      </c>
      <c r="J153" s="203" t="s">
        <v>452</v>
      </c>
      <c r="K153" s="203" t="s">
        <v>452</v>
      </c>
      <c r="L153" s="203" t="s">
        <v>451</v>
      </c>
      <c r="M153" s="463"/>
      <c r="N153" s="203"/>
      <c r="O153" s="203"/>
      <c r="P153" s="205"/>
      <c r="Q153" s="265"/>
      <c r="R153" s="265"/>
      <c r="S153" s="265"/>
      <c r="T153" s="265"/>
    </row>
    <row r="154" spans="1:23" ht="18" customHeight="1">
      <c r="A154" s="204">
        <v>156</v>
      </c>
      <c r="B154" s="202" t="s">
        <v>127</v>
      </c>
      <c r="C154" s="202" t="s">
        <v>1261</v>
      </c>
      <c r="D154" s="202" t="s">
        <v>79</v>
      </c>
      <c r="E154" s="207">
        <v>1266</v>
      </c>
      <c r="F154" s="207">
        <v>111</v>
      </c>
      <c r="G154" s="207">
        <v>111</v>
      </c>
      <c r="H154" s="207">
        <f t="shared" si="2"/>
        <v>0</v>
      </c>
      <c r="I154" s="203" t="s">
        <v>511</v>
      </c>
      <c r="J154" s="203" t="s">
        <v>514</v>
      </c>
      <c r="K154" s="203" t="s">
        <v>514</v>
      </c>
      <c r="L154" s="203" t="s">
        <v>511</v>
      </c>
      <c r="M154" s="463"/>
      <c r="N154" s="203"/>
      <c r="O154" s="203"/>
      <c r="P154" s="205"/>
      <c r="Q154" s="265"/>
      <c r="R154" s="265"/>
      <c r="S154" s="265"/>
      <c r="T154" s="265"/>
    </row>
    <row r="155" spans="1:23" ht="18" customHeight="1">
      <c r="A155" s="204">
        <v>157</v>
      </c>
      <c r="B155" s="202" t="s">
        <v>128</v>
      </c>
      <c r="C155" s="202" t="s">
        <v>1262</v>
      </c>
      <c r="D155" s="202" t="s">
        <v>79</v>
      </c>
      <c r="E155" s="207">
        <v>783</v>
      </c>
      <c r="F155" s="207">
        <v>57</v>
      </c>
      <c r="G155" s="207">
        <v>57</v>
      </c>
      <c r="H155" s="207">
        <f t="shared" si="2"/>
        <v>0</v>
      </c>
      <c r="I155" s="203" t="s">
        <v>451</v>
      </c>
      <c r="J155" s="203" t="s">
        <v>452</v>
      </c>
      <c r="K155" s="203" t="s">
        <v>452</v>
      </c>
      <c r="L155" s="203" t="s">
        <v>451</v>
      </c>
      <c r="M155" s="463"/>
      <c r="N155" s="203"/>
      <c r="O155" s="203"/>
      <c r="P155" s="205"/>
      <c r="Q155" s="265"/>
      <c r="R155" s="265"/>
      <c r="S155" s="265"/>
      <c r="T155" s="265"/>
    </row>
    <row r="156" spans="1:23" ht="18" customHeight="1">
      <c r="A156" s="204">
        <v>158</v>
      </c>
      <c r="B156" s="202" t="s">
        <v>441</v>
      </c>
      <c r="C156" s="202" t="s">
        <v>1263</v>
      </c>
      <c r="D156" s="202" t="s">
        <v>90</v>
      </c>
      <c r="E156" s="207">
        <v>1806</v>
      </c>
      <c r="F156" s="207">
        <v>41</v>
      </c>
      <c r="G156" s="207">
        <v>41</v>
      </c>
      <c r="H156" s="207">
        <f t="shared" si="2"/>
        <v>0</v>
      </c>
      <c r="I156" s="203" t="s">
        <v>451</v>
      </c>
      <c r="J156" s="203" t="s">
        <v>452</v>
      </c>
      <c r="K156" s="203" t="s">
        <v>452</v>
      </c>
      <c r="L156" s="203" t="s">
        <v>451</v>
      </c>
      <c r="M156" s="463"/>
      <c r="N156" s="203"/>
      <c r="O156" s="203"/>
      <c r="P156" s="205"/>
      <c r="Q156" s="265"/>
      <c r="R156" s="265"/>
      <c r="S156" s="265"/>
      <c r="T156" s="265"/>
    </row>
    <row r="157" spans="1:23" ht="18" customHeight="1">
      <c r="A157" s="204">
        <v>159</v>
      </c>
      <c r="B157" s="202" t="s">
        <v>442</v>
      </c>
      <c r="C157" s="202" t="s">
        <v>1264</v>
      </c>
      <c r="D157" s="202" t="s">
        <v>90</v>
      </c>
      <c r="E157" s="207">
        <v>403</v>
      </c>
      <c r="F157" s="207">
        <v>123</v>
      </c>
      <c r="G157" s="207">
        <v>123</v>
      </c>
      <c r="H157" s="207">
        <f t="shared" si="2"/>
        <v>0</v>
      </c>
      <c r="I157" s="203" t="s">
        <v>451</v>
      </c>
      <c r="J157" s="203" t="s">
        <v>452</v>
      </c>
      <c r="K157" s="203" t="s">
        <v>452</v>
      </c>
      <c r="L157" s="203" t="s">
        <v>451</v>
      </c>
      <c r="M157" s="463"/>
      <c r="N157" s="203"/>
      <c r="O157" s="203"/>
      <c r="P157" s="205"/>
      <c r="Q157" s="265"/>
      <c r="R157" s="265"/>
      <c r="S157" s="265"/>
      <c r="T157" s="265"/>
    </row>
    <row r="158" spans="1:23" ht="18" customHeight="1">
      <c r="A158" s="204">
        <v>160</v>
      </c>
      <c r="B158" s="202" t="s">
        <v>443</v>
      </c>
      <c r="C158" s="202" t="s">
        <v>1265</v>
      </c>
      <c r="D158" s="202" t="s">
        <v>90</v>
      </c>
      <c r="E158" s="207">
        <v>1241</v>
      </c>
      <c r="F158" s="207">
        <v>153</v>
      </c>
      <c r="G158" s="207">
        <v>153</v>
      </c>
      <c r="H158" s="207">
        <f t="shared" si="2"/>
        <v>0</v>
      </c>
      <c r="I158" s="203" t="s">
        <v>451</v>
      </c>
      <c r="J158" s="203" t="s">
        <v>452</v>
      </c>
      <c r="K158" s="203" t="s">
        <v>452</v>
      </c>
      <c r="L158" s="203" t="s">
        <v>451</v>
      </c>
      <c r="M158" s="463"/>
      <c r="N158" s="203"/>
      <c r="O158" s="203"/>
      <c r="P158" s="205"/>
      <c r="Q158" s="265"/>
      <c r="R158" s="265"/>
      <c r="S158" s="265"/>
      <c r="T158" s="265"/>
    </row>
    <row r="159" spans="1:23" ht="18" customHeight="1">
      <c r="A159" s="204">
        <v>161</v>
      </c>
      <c r="B159" s="202" t="s">
        <v>444</v>
      </c>
      <c r="C159" s="202" t="s">
        <v>1266</v>
      </c>
      <c r="D159" s="202" t="s">
        <v>90</v>
      </c>
      <c r="E159" s="207">
        <v>1083</v>
      </c>
      <c r="F159" s="207">
        <v>16</v>
      </c>
      <c r="G159" s="207">
        <v>16</v>
      </c>
      <c r="H159" s="207">
        <f t="shared" si="2"/>
        <v>0</v>
      </c>
      <c r="I159" s="203" t="s">
        <v>451</v>
      </c>
      <c r="J159" s="203" t="s">
        <v>452</v>
      </c>
      <c r="K159" s="203" t="s">
        <v>452</v>
      </c>
      <c r="L159" s="203" t="s">
        <v>451</v>
      </c>
      <c r="M159" s="463"/>
      <c r="N159" s="203"/>
      <c r="O159" s="203"/>
      <c r="P159" s="205"/>
      <c r="Q159" s="265"/>
      <c r="R159" s="265"/>
      <c r="S159" s="265"/>
      <c r="T159" s="265"/>
    </row>
    <row r="160" spans="1:23" ht="18" customHeight="1">
      <c r="A160" s="204">
        <v>162</v>
      </c>
      <c r="B160" s="202" t="s">
        <v>445</v>
      </c>
      <c r="C160" s="202" t="s">
        <v>1267</v>
      </c>
      <c r="D160" s="202" t="s">
        <v>92</v>
      </c>
      <c r="E160" s="207">
        <v>513</v>
      </c>
      <c r="F160" s="207">
        <v>513</v>
      </c>
      <c r="G160" s="207">
        <v>513</v>
      </c>
      <c r="H160" s="207">
        <f t="shared" si="2"/>
        <v>0</v>
      </c>
      <c r="I160" s="203" t="s">
        <v>451</v>
      </c>
      <c r="J160" s="203" t="s">
        <v>452</v>
      </c>
      <c r="K160" s="203" t="s">
        <v>452</v>
      </c>
      <c r="L160" s="203" t="s">
        <v>451</v>
      </c>
      <c r="M160" s="463"/>
      <c r="N160" s="203"/>
      <c r="O160" s="203"/>
      <c r="P160" s="205"/>
      <c r="Q160" s="265"/>
      <c r="R160" s="265"/>
      <c r="S160" s="265"/>
      <c r="T160" s="265"/>
    </row>
    <row r="161" spans="1:23" ht="18" customHeight="1">
      <c r="A161" s="204">
        <v>163</v>
      </c>
      <c r="B161" s="202" t="s">
        <v>413</v>
      </c>
      <c r="C161" s="202" t="s">
        <v>1268</v>
      </c>
      <c r="D161" s="202" t="s">
        <v>91</v>
      </c>
      <c r="E161" s="207">
        <v>20</v>
      </c>
      <c r="F161" s="207">
        <v>20</v>
      </c>
      <c r="G161" s="207">
        <v>20</v>
      </c>
      <c r="H161" s="207">
        <f t="shared" si="2"/>
        <v>0</v>
      </c>
      <c r="I161" s="203" t="s">
        <v>451</v>
      </c>
      <c r="J161" s="203" t="s">
        <v>452</v>
      </c>
      <c r="K161" s="203" t="s">
        <v>452</v>
      </c>
      <c r="L161" s="203" t="s">
        <v>451</v>
      </c>
      <c r="M161" s="463"/>
      <c r="N161" s="203"/>
      <c r="O161" s="203"/>
      <c r="P161" s="205"/>
      <c r="Q161" s="265"/>
      <c r="R161" s="265"/>
      <c r="S161" s="265"/>
      <c r="T161" s="265"/>
    </row>
    <row r="162" spans="1:23" ht="18" customHeight="1">
      <c r="A162" s="278" t="str">
        <f>IF(ISBLANK(D162)," ",92-COUNTBLANK($D$5:D162))</f>
        <v xml:space="preserve"> </v>
      </c>
      <c r="B162" s="202"/>
      <c r="C162" s="202"/>
      <c r="D162" s="202"/>
      <c r="E162" s="207"/>
      <c r="F162" s="207"/>
      <c r="G162" s="207"/>
      <c r="H162" s="207"/>
      <c r="I162" s="203"/>
      <c r="J162" s="203"/>
      <c r="K162" s="203"/>
      <c r="L162" s="203"/>
      <c r="M162" s="203"/>
      <c r="N162" s="203"/>
      <c r="O162" s="203"/>
      <c r="P162" s="205"/>
      <c r="Q162" s="265"/>
      <c r="R162" s="265"/>
      <c r="S162" s="265"/>
      <c r="T162" s="284"/>
      <c r="U162" s="265"/>
      <c r="V162" s="265"/>
      <c r="W162" s="265"/>
    </row>
    <row r="163" spans="1:23" ht="18" customHeight="1">
      <c r="A163" s="270" t="s">
        <v>126</v>
      </c>
      <c r="B163" s="271"/>
      <c r="C163" s="271"/>
      <c r="D163" s="271"/>
      <c r="E163" s="272"/>
      <c r="F163" s="319">
        <f>SUM(F5:F162)</f>
        <v>96327</v>
      </c>
      <c r="G163" s="319">
        <f>SUM(G5:G162)</f>
        <v>96327</v>
      </c>
      <c r="H163" s="319">
        <f>G163-F163</f>
        <v>0</v>
      </c>
      <c r="I163" s="282"/>
      <c r="J163" s="282"/>
      <c r="K163" s="282"/>
      <c r="L163" s="282"/>
      <c r="M163" s="282"/>
      <c r="N163" s="282"/>
      <c r="O163" s="282"/>
      <c r="P163" s="283"/>
      <c r="Q163" s="265"/>
      <c r="R163" s="265"/>
      <c r="S163" s="265"/>
      <c r="T163" s="284"/>
      <c r="U163" s="265"/>
      <c r="V163" s="265"/>
      <c r="W163" s="265"/>
    </row>
    <row r="164" spans="1:23" ht="30" customHeight="1">
      <c r="A164" s="204" t="str">
        <f>IF(ISBLANK(D164)," ",94-COUNTBLANK($D$5:D164))</f>
        <v xml:space="preserve"> </v>
      </c>
      <c r="B164" s="202"/>
      <c r="C164" s="202"/>
      <c r="D164" s="202"/>
      <c r="E164" s="300"/>
      <c r="F164" s="210"/>
      <c r="G164" s="210"/>
      <c r="H164" s="210"/>
      <c r="I164" s="203"/>
      <c r="J164" s="203"/>
      <c r="K164" s="203"/>
      <c r="L164" s="203"/>
      <c r="M164" s="203"/>
      <c r="N164" s="203"/>
      <c r="O164" s="205"/>
      <c r="P164" s="291"/>
      <c r="Q164" s="265"/>
      <c r="R164" s="265"/>
      <c r="S164" s="265"/>
      <c r="T164" s="265"/>
    </row>
    <row r="165" spans="1:23" ht="30" customHeight="1">
      <c r="A165" s="204" t="str">
        <f>IF(ISBLANK(D165)," ",95-COUNTBLANK($D$5:D165))</f>
        <v xml:space="preserve"> </v>
      </c>
      <c r="B165" s="202"/>
      <c r="C165" s="202"/>
      <c r="D165" s="202"/>
      <c r="E165" s="300"/>
      <c r="F165" s="210"/>
      <c r="G165" s="210"/>
      <c r="H165" s="210"/>
      <c r="I165" s="203"/>
      <c r="J165" s="203"/>
      <c r="K165" s="203"/>
      <c r="L165" s="203"/>
      <c r="M165" s="203"/>
      <c r="N165" s="203"/>
      <c r="O165" s="205"/>
      <c r="P165" s="291"/>
      <c r="Q165" s="265"/>
      <c r="R165" s="265"/>
      <c r="S165" s="265"/>
      <c r="T165" s="265"/>
    </row>
    <row r="166" spans="1:23" ht="30" customHeight="1">
      <c r="A166" s="204" t="str">
        <f>IF(ISBLANK(D166)," ",96-COUNTBLANK($D$5:D166))</f>
        <v xml:space="preserve"> </v>
      </c>
      <c r="B166" s="202"/>
      <c r="C166" s="202"/>
      <c r="D166" s="202"/>
      <c r="E166" s="300"/>
      <c r="F166" s="210"/>
      <c r="G166" s="210"/>
      <c r="H166" s="210"/>
      <c r="I166" s="203"/>
      <c r="J166" s="203"/>
      <c r="K166" s="203"/>
      <c r="L166" s="203"/>
      <c r="M166" s="203"/>
      <c r="N166" s="203"/>
      <c r="O166" s="205"/>
      <c r="P166" s="291"/>
      <c r="Q166" s="265"/>
      <c r="R166" s="265"/>
      <c r="S166" s="265"/>
      <c r="T166" s="265"/>
    </row>
    <row r="167" spans="1:23" ht="30" customHeight="1">
      <c r="A167" s="204" t="str">
        <f>IF(ISBLANK(D167)," ",97-COUNTBLANK($D$5:D167))</f>
        <v xml:space="preserve"> </v>
      </c>
      <c r="B167" s="202"/>
      <c r="C167" s="202"/>
      <c r="D167" s="202"/>
      <c r="E167" s="300"/>
      <c r="F167" s="210"/>
      <c r="G167" s="210"/>
      <c r="H167" s="210"/>
      <c r="I167" s="203"/>
      <c r="J167" s="203"/>
      <c r="K167" s="203"/>
      <c r="L167" s="203"/>
      <c r="M167" s="203"/>
      <c r="N167" s="203"/>
      <c r="O167" s="205"/>
      <c r="P167" s="291"/>
      <c r="Q167" s="265"/>
      <c r="R167" s="265"/>
      <c r="S167" s="265"/>
      <c r="T167" s="265"/>
    </row>
    <row r="168" spans="1:23" ht="30" customHeight="1">
      <c r="A168" s="204" t="str">
        <f>IF(ISBLANK(D168)," ",98-COUNTBLANK($D$5:D168))</f>
        <v xml:space="preserve"> </v>
      </c>
      <c r="B168" s="202"/>
      <c r="C168" s="202"/>
      <c r="D168" s="202"/>
      <c r="E168" s="300"/>
      <c r="F168" s="210"/>
      <c r="G168" s="210"/>
      <c r="H168" s="210"/>
      <c r="I168" s="203"/>
      <c r="J168" s="203"/>
      <c r="K168" s="203"/>
      <c r="L168" s="203"/>
      <c r="M168" s="203"/>
      <c r="N168" s="203"/>
      <c r="O168" s="205"/>
      <c r="P168" s="291"/>
      <c r="Q168" s="265"/>
      <c r="R168" s="265"/>
      <c r="S168" s="265"/>
      <c r="T168" s="265"/>
    </row>
    <row r="169" spans="1:23" ht="30" customHeight="1">
      <c r="A169" s="204" t="str">
        <f>IF(ISBLANK(D169)," ",99-COUNTBLANK($D$5:D169))</f>
        <v xml:space="preserve"> </v>
      </c>
      <c r="B169" s="202"/>
      <c r="C169" s="202"/>
      <c r="D169" s="202"/>
      <c r="E169" s="300"/>
      <c r="F169" s="210"/>
      <c r="G169" s="210"/>
      <c r="H169" s="210"/>
      <c r="I169" s="203"/>
      <c r="J169" s="203"/>
      <c r="K169" s="203"/>
      <c r="L169" s="203"/>
      <c r="M169" s="203"/>
      <c r="N169" s="203"/>
      <c r="O169" s="205"/>
      <c r="P169" s="291"/>
      <c r="Q169" s="265"/>
      <c r="R169" s="265"/>
      <c r="S169" s="265"/>
      <c r="T169" s="265"/>
    </row>
    <row r="170" spans="1:23" ht="30" customHeight="1">
      <c r="A170" s="204" t="str">
        <f>IF(ISBLANK(D170)," ",100-COUNTBLANK($D$5:D170))</f>
        <v xml:space="preserve"> </v>
      </c>
      <c r="B170" s="202"/>
      <c r="C170" s="202"/>
      <c r="D170" s="202"/>
      <c r="E170" s="300"/>
      <c r="F170" s="210"/>
      <c r="G170" s="210"/>
      <c r="H170" s="210"/>
      <c r="I170" s="203"/>
      <c r="J170" s="203"/>
      <c r="K170" s="203"/>
      <c r="L170" s="203"/>
      <c r="M170" s="203"/>
      <c r="N170" s="203"/>
      <c r="O170" s="205"/>
      <c r="P170" s="291"/>
      <c r="Q170" s="265"/>
      <c r="R170" s="265"/>
      <c r="S170" s="265"/>
      <c r="T170" s="265"/>
    </row>
    <row r="171" spans="1:23" ht="30" customHeight="1">
      <c r="A171" s="204" t="str">
        <f>IF(ISBLANK(D171)," ",101-COUNTBLANK($D$5:D171))</f>
        <v xml:space="preserve"> </v>
      </c>
      <c r="B171" s="202"/>
      <c r="C171" s="202"/>
      <c r="D171" s="202"/>
      <c r="E171" s="300"/>
      <c r="F171" s="210"/>
      <c r="G171" s="210"/>
      <c r="H171" s="210"/>
      <c r="I171" s="203"/>
      <c r="J171" s="203"/>
      <c r="K171" s="203"/>
      <c r="L171" s="203"/>
      <c r="M171" s="203"/>
      <c r="N171" s="203"/>
      <c r="O171" s="205"/>
      <c r="P171" s="291"/>
      <c r="Q171" s="265"/>
      <c r="R171" s="265"/>
      <c r="S171" s="265"/>
      <c r="T171" s="265"/>
    </row>
    <row r="172" spans="1:23" ht="30" customHeight="1">
      <c r="A172" s="204" t="str">
        <f>IF(ISBLANK(D172)," ",102-COUNTBLANK($D$5:D172))</f>
        <v xml:space="preserve"> </v>
      </c>
      <c r="B172" s="202"/>
      <c r="C172" s="202"/>
      <c r="D172" s="202"/>
      <c r="E172" s="300"/>
      <c r="F172" s="210"/>
      <c r="G172" s="210"/>
      <c r="H172" s="210"/>
      <c r="I172" s="203"/>
      <c r="J172" s="203"/>
      <c r="K172" s="203"/>
      <c r="L172" s="203"/>
      <c r="M172" s="203"/>
      <c r="N172" s="203"/>
      <c r="O172" s="205"/>
      <c r="P172" s="291"/>
      <c r="Q172" s="265"/>
      <c r="R172" s="265"/>
      <c r="S172" s="265"/>
      <c r="T172" s="265"/>
    </row>
    <row r="173" spans="1:23" ht="30" customHeight="1">
      <c r="A173" s="204" t="str">
        <f>IF(ISBLANK(D173)," ",103-COUNTBLANK($D$5:D173))</f>
        <v xml:space="preserve"> </v>
      </c>
      <c r="B173" s="202"/>
      <c r="C173" s="202"/>
      <c r="D173" s="202"/>
      <c r="E173" s="300"/>
      <c r="F173" s="210"/>
      <c r="G173" s="210"/>
      <c r="H173" s="210"/>
      <c r="I173" s="203"/>
      <c r="J173" s="203"/>
      <c r="K173" s="203"/>
      <c r="L173" s="203"/>
      <c r="M173" s="203"/>
      <c r="N173" s="203"/>
      <c r="O173" s="205"/>
      <c r="P173" s="291"/>
      <c r="Q173" s="265"/>
      <c r="R173" s="265"/>
      <c r="S173" s="265"/>
      <c r="T173" s="265"/>
    </row>
    <row r="174" spans="1:23" ht="30" customHeight="1">
      <c r="A174" s="204" t="str">
        <f>IF(ISBLANK(D174)," ",104-COUNTBLANK($D$5:D174))</f>
        <v xml:space="preserve"> </v>
      </c>
      <c r="B174" s="202"/>
      <c r="C174" s="202"/>
      <c r="D174" s="202"/>
      <c r="E174" s="300"/>
      <c r="F174" s="210"/>
      <c r="G174" s="210"/>
      <c r="H174" s="210"/>
      <c r="I174" s="203"/>
      <c r="J174" s="203"/>
      <c r="K174" s="203"/>
      <c r="L174" s="203"/>
      <c r="M174" s="203"/>
      <c r="N174" s="203"/>
      <c r="O174" s="205"/>
      <c r="P174" s="291"/>
      <c r="Q174" s="265"/>
      <c r="R174" s="265"/>
      <c r="S174" s="265"/>
      <c r="T174" s="265"/>
    </row>
    <row r="175" spans="1:23" ht="30" customHeight="1">
      <c r="A175" s="204" t="s">
        <v>52</v>
      </c>
      <c r="B175" s="202"/>
      <c r="C175" s="202"/>
      <c r="D175" s="202"/>
      <c r="E175" s="300"/>
      <c r="F175" s="210">
        <f>SUM(F146:F174)</f>
        <v>100072</v>
      </c>
      <c r="G175" s="210"/>
      <c r="H175" s="210"/>
      <c r="I175" s="203"/>
      <c r="J175" s="203"/>
      <c r="K175" s="203"/>
      <c r="L175" s="203"/>
      <c r="M175" s="203"/>
      <c r="N175" s="203"/>
      <c r="O175" s="205"/>
      <c r="P175" s="291"/>
      <c r="Q175" s="265"/>
      <c r="R175" s="265"/>
      <c r="S175" s="265"/>
      <c r="T175" s="265"/>
    </row>
    <row r="176" spans="1:23" ht="30" customHeight="1">
      <c r="A176" s="204" t="str">
        <f>IF(ISBLANK(D176)," ",106-COUNTBLANK($D$5:D176))</f>
        <v xml:space="preserve"> </v>
      </c>
      <c r="B176" s="202"/>
      <c r="C176" s="202"/>
      <c r="D176" s="202"/>
      <c r="E176" s="300"/>
      <c r="F176" s="210"/>
      <c r="G176" s="210"/>
      <c r="H176" s="210"/>
      <c r="I176" s="203"/>
      <c r="J176" s="203"/>
      <c r="K176" s="203"/>
      <c r="L176" s="203"/>
      <c r="M176" s="203"/>
      <c r="N176" s="203"/>
      <c r="O176" s="205"/>
      <c r="P176" s="291"/>
      <c r="Q176" s="265"/>
      <c r="R176" s="265"/>
      <c r="S176" s="265"/>
      <c r="T176" s="265"/>
    </row>
    <row r="177" spans="1:23" ht="30" customHeight="1">
      <c r="A177" s="204" t="str">
        <f>IF(ISBLANK(D177)," ",107-COUNTBLANK($D$5:D177))</f>
        <v xml:space="preserve"> </v>
      </c>
      <c r="B177" s="202"/>
      <c r="C177" s="202"/>
      <c r="D177" s="202"/>
      <c r="E177" s="300"/>
      <c r="F177" s="210"/>
      <c r="G177" s="210"/>
      <c r="H177" s="210"/>
      <c r="I177" s="203"/>
      <c r="J177" s="203"/>
      <c r="K177" s="203"/>
      <c r="L177" s="203"/>
      <c r="M177" s="203"/>
      <c r="N177" s="203"/>
      <c r="O177" s="205"/>
      <c r="P177" s="291"/>
      <c r="Q177" s="265"/>
      <c r="R177" s="265"/>
      <c r="S177" s="265"/>
      <c r="T177" s="265"/>
    </row>
    <row r="178" spans="1:23" ht="30" customHeight="1">
      <c r="A178" s="204" t="str">
        <f>IF(ISBLANK(D178)," ",108-COUNTBLANK($D$5:D178))</f>
        <v xml:space="preserve"> </v>
      </c>
      <c r="B178" s="202"/>
      <c r="C178" s="202"/>
      <c r="D178" s="202"/>
      <c r="E178" s="300"/>
      <c r="F178" s="210"/>
      <c r="G178" s="210"/>
      <c r="H178" s="210"/>
      <c r="I178" s="203"/>
      <c r="J178" s="203"/>
      <c r="K178" s="203"/>
      <c r="L178" s="203"/>
      <c r="M178" s="203"/>
      <c r="N178" s="203"/>
      <c r="O178" s="205"/>
      <c r="P178" s="291"/>
      <c r="Q178" s="265"/>
      <c r="R178" s="265"/>
      <c r="S178" s="265"/>
      <c r="T178" s="265"/>
    </row>
    <row r="179" spans="1:23" ht="30" customHeight="1">
      <c r="A179" s="204" t="str">
        <f>IF(ISBLANK(D179)," ",109-COUNTBLANK($D$5:D179))</f>
        <v xml:space="preserve"> </v>
      </c>
      <c r="B179" s="202"/>
      <c r="C179" s="202"/>
      <c r="D179" s="202"/>
      <c r="E179" s="300"/>
      <c r="F179" s="210"/>
      <c r="G179" s="210"/>
      <c r="H179" s="210"/>
      <c r="I179" s="203"/>
      <c r="J179" s="203"/>
      <c r="K179" s="203"/>
      <c r="L179" s="203"/>
      <c r="M179" s="203"/>
      <c r="N179" s="203"/>
      <c r="O179" s="205"/>
      <c r="P179" s="291"/>
      <c r="Q179" s="265"/>
      <c r="R179" s="265"/>
      <c r="S179" s="265"/>
      <c r="T179" s="267"/>
    </row>
    <row r="180" spans="1:23" ht="30" customHeight="1">
      <c r="A180" s="204" t="str">
        <f>IF(ISBLANK(D180)," ",110-COUNTBLANK($D$5:D180))</f>
        <v xml:space="preserve"> </v>
      </c>
      <c r="B180" s="202"/>
      <c r="C180" s="202"/>
      <c r="D180" s="202"/>
      <c r="E180" s="300"/>
      <c r="F180" s="210"/>
      <c r="G180" s="210"/>
      <c r="H180" s="210"/>
      <c r="I180" s="203"/>
      <c r="J180" s="203"/>
      <c r="K180" s="203"/>
      <c r="L180" s="203"/>
      <c r="M180" s="203"/>
      <c r="N180" s="203"/>
      <c r="O180" s="205"/>
      <c r="P180" s="291"/>
      <c r="Q180" s="265"/>
      <c r="R180" s="265"/>
      <c r="S180" s="265"/>
      <c r="T180" s="267"/>
    </row>
    <row r="181" spans="1:23" ht="30" customHeight="1">
      <c r="A181" s="204" t="str">
        <f>IF(ISBLANK(D181)," ",111-COUNTBLANK($D$5:D181))</f>
        <v xml:space="preserve"> </v>
      </c>
      <c r="B181" s="202"/>
      <c r="C181" s="202"/>
      <c r="D181" s="202"/>
      <c r="E181" s="300"/>
      <c r="F181" s="210"/>
      <c r="G181" s="210"/>
      <c r="H181" s="210"/>
      <c r="I181" s="203"/>
      <c r="J181" s="203"/>
      <c r="K181" s="203"/>
      <c r="L181" s="203"/>
      <c r="M181" s="203"/>
      <c r="N181" s="203"/>
      <c r="O181" s="205"/>
      <c r="P181" s="291"/>
      <c r="Q181" s="265"/>
      <c r="R181" s="265"/>
      <c r="S181" s="265"/>
      <c r="T181" s="267"/>
    </row>
    <row r="182" spans="1:23" ht="30" customHeight="1">
      <c r="A182" s="204" t="str">
        <f>IF(ISBLANK(D182)," ",112-COUNTBLANK($D$5:D182))</f>
        <v xml:space="preserve"> </v>
      </c>
      <c r="B182" s="202"/>
      <c r="C182" s="202"/>
      <c r="D182" s="202"/>
      <c r="E182" s="300"/>
      <c r="F182" s="210"/>
      <c r="G182" s="210"/>
      <c r="H182" s="210"/>
      <c r="I182" s="203"/>
      <c r="J182" s="203"/>
      <c r="K182" s="203"/>
      <c r="L182" s="203"/>
      <c r="M182" s="203"/>
      <c r="N182" s="203"/>
      <c r="O182" s="205"/>
      <c r="P182" s="291"/>
      <c r="Q182" s="265"/>
      <c r="R182" s="265"/>
      <c r="S182" s="265"/>
      <c r="T182" s="267"/>
    </row>
    <row r="183" spans="1:23" ht="30" customHeight="1">
      <c r="A183" s="304" t="str">
        <f>IF(ISBLANK(D183)," ",113-COUNTBLANK($D$5:D183))</f>
        <v xml:space="preserve"> </v>
      </c>
      <c r="B183" s="296"/>
      <c r="C183" s="305"/>
      <c r="D183" s="306"/>
      <c r="E183" s="297"/>
      <c r="F183" s="298"/>
      <c r="G183" s="298"/>
      <c r="H183" s="298"/>
      <c r="I183" s="282"/>
      <c r="J183" s="282"/>
      <c r="K183" s="282"/>
      <c r="L183" s="282"/>
      <c r="M183" s="282"/>
      <c r="N183" s="282"/>
      <c r="O183" s="283"/>
      <c r="P183" s="303"/>
      <c r="Q183" s="265"/>
      <c r="R183" s="265"/>
      <c r="S183" s="265"/>
      <c r="T183" s="284"/>
      <c r="U183" s="265"/>
      <c r="V183" s="265"/>
      <c r="W183" s="265"/>
    </row>
    <row r="184" spans="1:23" ht="30" customHeight="1">
      <c r="A184" s="260" t="str">
        <f>IF(ISBLANK(D184)," ",114-COUNTBLANK($D$5:D184))</f>
        <v xml:space="preserve"> </v>
      </c>
      <c r="B184" s="200"/>
      <c r="C184" s="200"/>
      <c r="D184" s="200"/>
      <c r="E184" s="299"/>
      <c r="F184" s="209"/>
      <c r="G184" s="209"/>
      <c r="H184" s="209"/>
      <c r="I184" s="201"/>
      <c r="J184" s="201"/>
      <c r="K184" s="201"/>
      <c r="L184" s="201"/>
      <c r="M184" s="201"/>
      <c r="N184" s="201"/>
      <c r="O184" s="262"/>
      <c r="P184" s="291"/>
      <c r="Q184" s="265"/>
      <c r="R184" s="265"/>
      <c r="S184" s="265"/>
      <c r="T184" s="284"/>
      <c r="U184" s="265"/>
      <c r="V184" s="265"/>
      <c r="W184" s="265"/>
    </row>
    <row r="185" spans="1:23" ht="30" customHeight="1">
      <c r="A185" s="204" t="str">
        <f>IF(ISBLANK(D185)," ",115-COUNTBLANK($D$5:D185))</f>
        <v xml:space="preserve"> </v>
      </c>
      <c r="B185" s="202"/>
      <c r="C185" s="202"/>
      <c r="D185" s="202"/>
      <c r="E185" s="300"/>
      <c r="F185" s="210"/>
      <c r="G185" s="210"/>
      <c r="H185" s="210"/>
      <c r="I185" s="203"/>
      <c r="J185" s="203"/>
      <c r="K185" s="203"/>
      <c r="L185" s="203"/>
      <c r="M185" s="203"/>
      <c r="N185" s="203"/>
      <c r="O185" s="205"/>
      <c r="P185" s="291"/>
      <c r="Q185" s="265"/>
      <c r="R185" s="265"/>
      <c r="S185" s="265"/>
      <c r="T185" s="265"/>
    </row>
    <row r="186" spans="1:23" ht="30" customHeight="1">
      <c r="A186" s="204" t="str">
        <f>IF(ISBLANK(D186)," ",116-COUNTBLANK($D$5:D186))</f>
        <v xml:space="preserve"> </v>
      </c>
      <c r="B186" s="202"/>
      <c r="C186" s="202"/>
      <c r="D186" s="202"/>
      <c r="E186" s="300"/>
      <c r="F186" s="210"/>
      <c r="G186" s="210"/>
      <c r="H186" s="210"/>
      <c r="I186" s="203"/>
      <c r="J186" s="203"/>
      <c r="K186" s="203"/>
      <c r="L186" s="203"/>
      <c r="M186" s="203"/>
      <c r="N186" s="203"/>
      <c r="O186" s="205"/>
      <c r="P186" s="291"/>
      <c r="Q186" s="265"/>
      <c r="R186" s="265"/>
      <c r="S186" s="265"/>
      <c r="T186" s="265"/>
    </row>
    <row r="187" spans="1:23" ht="30" customHeight="1">
      <c r="A187" s="204" t="str">
        <f>IF(ISBLANK(D187)," ",117-COUNTBLANK($D$5:D187))</f>
        <v xml:space="preserve"> </v>
      </c>
      <c r="B187" s="202"/>
      <c r="C187" s="202"/>
      <c r="D187" s="202"/>
      <c r="E187" s="300"/>
      <c r="F187" s="210"/>
      <c r="G187" s="210"/>
      <c r="H187" s="210"/>
      <c r="I187" s="203"/>
      <c r="J187" s="203"/>
      <c r="K187" s="203"/>
      <c r="L187" s="203"/>
      <c r="M187" s="203"/>
      <c r="N187" s="203"/>
      <c r="O187" s="205"/>
      <c r="P187" s="291"/>
      <c r="Q187" s="265"/>
      <c r="R187" s="265"/>
      <c r="S187" s="265"/>
      <c r="T187" s="265"/>
    </row>
    <row r="188" spans="1:23" ht="30" customHeight="1">
      <c r="A188" s="204" t="str">
        <f>IF(ISBLANK(D188)," ",118-COUNTBLANK($D$5:D188))</f>
        <v xml:space="preserve"> </v>
      </c>
      <c r="B188" s="202"/>
      <c r="C188" s="202"/>
      <c r="D188" s="202"/>
      <c r="E188" s="300"/>
      <c r="F188" s="210"/>
      <c r="G188" s="210"/>
      <c r="H188" s="210"/>
      <c r="I188" s="203"/>
      <c r="J188" s="203"/>
      <c r="K188" s="203"/>
      <c r="L188" s="203"/>
      <c r="M188" s="203"/>
      <c r="N188" s="203"/>
      <c r="O188" s="205"/>
      <c r="P188" s="291"/>
      <c r="Q188" s="265"/>
      <c r="R188" s="265"/>
      <c r="S188" s="265"/>
      <c r="T188" s="265"/>
    </row>
    <row r="189" spans="1:23" ht="30" customHeight="1">
      <c r="A189" s="204" t="str">
        <f>IF(ISBLANK(D189)," ",119-COUNTBLANK($D$5:D189))</f>
        <v xml:space="preserve"> </v>
      </c>
      <c r="B189" s="202"/>
      <c r="C189" s="202"/>
      <c r="D189" s="202"/>
      <c r="E189" s="300"/>
      <c r="F189" s="210"/>
      <c r="G189" s="210"/>
      <c r="H189" s="210"/>
      <c r="I189" s="203"/>
      <c r="J189" s="203"/>
      <c r="K189" s="203"/>
      <c r="L189" s="203"/>
      <c r="M189" s="203"/>
      <c r="N189" s="203"/>
      <c r="O189" s="205"/>
      <c r="P189" s="291"/>
      <c r="Q189" s="265"/>
      <c r="R189" s="265"/>
      <c r="S189" s="265"/>
      <c r="T189" s="265"/>
    </row>
    <row r="190" spans="1:23" ht="30" customHeight="1">
      <c r="A190" s="204" t="str">
        <f>IF(ISBLANK(D190)," ",120-COUNTBLANK($D$5:D190))</f>
        <v xml:space="preserve"> </v>
      </c>
      <c r="B190" s="202"/>
      <c r="C190" s="202"/>
      <c r="D190" s="202"/>
      <c r="E190" s="300"/>
      <c r="F190" s="210"/>
      <c r="G190" s="210"/>
      <c r="H190" s="210"/>
      <c r="I190" s="203"/>
      <c r="J190" s="203"/>
      <c r="K190" s="203"/>
      <c r="L190" s="203"/>
      <c r="M190" s="203"/>
      <c r="N190" s="203"/>
      <c r="O190" s="205"/>
      <c r="P190" s="291"/>
      <c r="Q190" s="265"/>
      <c r="R190" s="265"/>
      <c r="S190" s="265"/>
      <c r="T190" s="265"/>
    </row>
    <row r="191" spans="1:23" ht="30" customHeight="1">
      <c r="A191" s="204" t="str">
        <f>IF(ISBLANK(D191)," ",121-COUNTBLANK($D$5:D191))</f>
        <v xml:space="preserve"> </v>
      </c>
      <c r="B191" s="202"/>
      <c r="C191" s="202"/>
      <c r="D191" s="202"/>
      <c r="E191" s="300"/>
      <c r="F191" s="210"/>
      <c r="G191" s="210"/>
      <c r="H191" s="210"/>
      <c r="I191" s="203"/>
      <c r="J191" s="203"/>
      <c r="K191" s="203"/>
      <c r="L191" s="203"/>
      <c r="M191" s="203"/>
      <c r="N191" s="203"/>
      <c r="O191" s="205"/>
      <c r="P191" s="291"/>
      <c r="Q191" s="265"/>
      <c r="R191" s="265"/>
      <c r="S191" s="265"/>
      <c r="T191" s="265"/>
    </row>
    <row r="192" spans="1:23" ht="30" customHeight="1">
      <c r="A192" s="204" t="str">
        <f>IF(ISBLANK(D192)," ",122-COUNTBLANK($D$5:D192))</f>
        <v xml:space="preserve"> </v>
      </c>
      <c r="B192" s="202"/>
      <c r="C192" s="202"/>
      <c r="D192" s="202"/>
      <c r="E192" s="300"/>
      <c r="F192" s="210"/>
      <c r="G192" s="210"/>
      <c r="H192" s="210"/>
      <c r="I192" s="203"/>
      <c r="J192" s="203"/>
      <c r="K192" s="203"/>
      <c r="L192" s="203"/>
      <c r="M192" s="203"/>
      <c r="N192" s="203"/>
      <c r="O192" s="205"/>
      <c r="P192" s="291"/>
      <c r="Q192" s="265"/>
      <c r="R192" s="265"/>
      <c r="S192" s="265"/>
      <c r="T192" s="265"/>
    </row>
    <row r="193" spans="1:23" ht="30" customHeight="1">
      <c r="A193" s="204" t="str">
        <f>IF(ISBLANK(D193)," ",123-COUNTBLANK($D$5:D193))</f>
        <v xml:space="preserve"> </v>
      </c>
      <c r="B193" s="202"/>
      <c r="C193" s="202"/>
      <c r="D193" s="202"/>
      <c r="E193" s="300"/>
      <c r="F193" s="210"/>
      <c r="G193" s="210"/>
      <c r="H193" s="210"/>
      <c r="I193" s="203"/>
      <c r="J193" s="203"/>
      <c r="K193" s="203"/>
      <c r="L193" s="203"/>
      <c r="M193" s="203"/>
      <c r="N193" s="203"/>
      <c r="O193" s="205"/>
      <c r="P193" s="291"/>
      <c r="Q193" s="265"/>
      <c r="R193" s="265"/>
      <c r="S193" s="265"/>
      <c r="T193" s="265"/>
    </row>
    <row r="194" spans="1:23" ht="30" customHeight="1">
      <c r="A194" s="204" t="str">
        <f>IF(ISBLANK(D194)," ",124-COUNTBLANK($D$5:D194))</f>
        <v xml:space="preserve"> </v>
      </c>
      <c r="B194" s="202"/>
      <c r="C194" s="202"/>
      <c r="D194" s="202"/>
      <c r="E194" s="300"/>
      <c r="F194" s="210"/>
      <c r="G194" s="210"/>
      <c r="H194" s="210"/>
      <c r="I194" s="203"/>
      <c r="J194" s="203"/>
      <c r="K194" s="203"/>
      <c r="L194" s="203"/>
      <c r="M194" s="203"/>
      <c r="N194" s="203"/>
      <c r="O194" s="205"/>
      <c r="P194" s="291"/>
      <c r="Q194" s="265"/>
      <c r="R194" s="265"/>
      <c r="S194" s="265"/>
      <c r="T194" s="265"/>
    </row>
    <row r="195" spans="1:23" ht="30" customHeight="1">
      <c r="A195" s="204" t="str">
        <f>IF(ISBLANK(D195)," ",125-COUNTBLANK($D$5:D195))</f>
        <v xml:space="preserve"> </v>
      </c>
      <c r="B195" s="202"/>
      <c r="C195" s="202"/>
      <c r="D195" s="202"/>
      <c r="E195" s="300"/>
      <c r="F195" s="210"/>
      <c r="G195" s="210"/>
      <c r="H195" s="210"/>
      <c r="I195" s="203"/>
      <c r="J195" s="203"/>
      <c r="K195" s="203"/>
      <c r="L195" s="203"/>
      <c r="M195" s="203"/>
      <c r="N195" s="203"/>
      <c r="O195" s="205"/>
      <c r="P195" s="291"/>
      <c r="Q195" s="265"/>
      <c r="R195" s="265"/>
      <c r="S195" s="265"/>
      <c r="T195" s="265"/>
    </row>
    <row r="196" spans="1:23" ht="30" customHeight="1">
      <c r="A196" s="204" t="s">
        <v>52</v>
      </c>
      <c r="B196" s="202"/>
      <c r="C196" s="202"/>
      <c r="D196" s="202"/>
      <c r="E196" s="300"/>
      <c r="F196" s="210">
        <f>SUM(F176:F195)</f>
        <v>0</v>
      </c>
      <c r="G196" s="210"/>
      <c r="H196" s="210"/>
      <c r="I196" s="203"/>
      <c r="J196" s="203"/>
      <c r="K196" s="203"/>
      <c r="L196" s="203"/>
      <c r="M196" s="203"/>
      <c r="N196" s="203"/>
      <c r="O196" s="205"/>
      <c r="P196" s="291"/>
      <c r="Q196" s="265"/>
      <c r="R196" s="265"/>
      <c r="S196" s="265"/>
      <c r="T196" s="265"/>
    </row>
    <row r="197" spans="1:23" ht="30" customHeight="1">
      <c r="A197" s="204" t="str">
        <f>IF(ISBLANK(D197)," ",127-COUNTBLANK($D$5:D197))</f>
        <v xml:space="preserve"> </v>
      </c>
      <c r="B197" s="202"/>
      <c r="C197" s="202"/>
      <c r="D197" s="202"/>
      <c r="E197" s="300"/>
      <c r="F197" s="210"/>
      <c r="G197" s="210"/>
      <c r="H197" s="210"/>
      <c r="I197" s="203"/>
      <c r="J197" s="203"/>
      <c r="K197" s="203"/>
      <c r="L197" s="203"/>
      <c r="M197" s="203"/>
      <c r="N197" s="203"/>
      <c r="O197" s="205"/>
      <c r="P197" s="291"/>
      <c r="Q197" s="265"/>
      <c r="R197" s="265"/>
      <c r="S197" s="265"/>
      <c r="T197" s="265"/>
    </row>
    <row r="198" spans="1:23" ht="30" customHeight="1">
      <c r="A198" s="204" t="str">
        <f>IF(ISBLANK(D198)," ",128-COUNTBLANK($D$5:D198))</f>
        <v xml:space="preserve"> </v>
      </c>
      <c r="B198" s="202"/>
      <c r="C198" s="202"/>
      <c r="D198" s="202"/>
      <c r="E198" s="300"/>
      <c r="F198" s="210"/>
      <c r="G198" s="210"/>
      <c r="H198" s="210"/>
      <c r="I198" s="203"/>
      <c r="J198" s="203"/>
      <c r="K198" s="203"/>
      <c r="L198" s="203"/>
      <c r="M198" s="203"/>
      <c r="N198" s="203"/>
      <c r="O198" s="205"/>
      <c r="P198" s="291"/>
      <c r="Q198" s="265"/>
      <c r="R198" s="265"/>
      <c r="S198" s="265"/>
      <c r="T198" s="265"/>
    </row>
    <row r="199" spans="1:23" ht="30" customHeight="1">
      <c r="A199" s="204" t="str">
        <f>IF(ISBLANK(D199)," ",129-COUNTBLANK($D$5:D199))</f>
        <v xml:space="preserve"> </v>
      </c>
      <c r="B199" s="202"/>
      <c r="C199" s="202"/>
      <c r="D199" s="202"/>
      <c r="E199" s="300"/>
      <c r="F199" s="210"/>
      <c r="G199" s="210"/>
      <c r="H199" s="210"/>
      <c r="I199" s="203"/>
      <c r="J199" s="203"/>
      <c r="K199" s="203"/>
      <c r="L199" s="203"/>
      <c r="M199" s="203"/>
      <c r="N199" s="203"/>
      <c r="O199" s="205"/>
      <c r="P199" s="291"/>
      <c r="Q199" s="265"/>
      <c r="R199" s="265"/>
      <c r="S199" s="265"/>
      <c r="T199" s="265"/>
    </row>
    <row r="200" spans="1:23" ht="30" customHeight="1">
      <c r="A200" s="204" t="str">
        <f>IF(ISBLANK(D200)," ",130-COUNTBLANK($D$5:D200))</f>
        <v xml:space="preserve"> </v>
      </c>
      <c r="B200" s="202"/>
      <c r="C200" s="202"/>
      <c r="D200" s="202"/>
      <c r="E200" s="300"/>
      <c r="F200" s="210"/>
      <c r="G200" s="210"/>
      <c r="H200" s="210"/>
      <c r="I200" s="203"/>
      <c r="J200" s="203"/>
      <c r="K200" s="203"/>
      <c r="L200" s="203"/>
      <c r="M200" s="203"/>
      <c r="N200" s="203"/>
      <c r="O200" s="205"/>
      <c r="P200" s="291"/>
      <c r="Q200" s="265"/>
      <c r="R200" s="265"/>
      <c r="S200" s="265"/>
      <c r="T200" s="267"/>
    </row>
    <row r="201" spans="1:23" ht="30" customHeight="1">
      <c r="A201" s="204" t="str">
        <f>IF(ISBLANK(D201)," ",131-COUNTBLANK($D$5:D201))</f>
        <v xml:space="preserve"> </v>
      </c>
      <c r="B201" s="202"/>
      <c r="C201" s="202"/>
      <c r="D201" s="202"/>
      <c r="E201" s="300"/>
      <c r="F201" s="210"/>
      <c r="G201" s="210"/>
      <c r="H201" s="210"/>
      <c r="I201" s="203"/>
      <c r="J201" s="203"/>
      <c r="K201" s="203"/>
      <c r="L201" s="203"/>
      <c r="M201" s="203"/>
      <c r="N201" s="203"/>
      <c r="O201" s="205"/>
      <c r="P201" s="291"/>
      <c r="Q201" s="265"/>
      <c r="R201" s="265"/>
      <c r="S201" s="265"/>
      <c r="T201" s="267"/>
    </row>
    <row r="202" spans="1:23" ht="30" customHeight="1">
      <c r="A202" s="204" t="str">
        <f>IF(ISBLANK(D202)," ",132-COUNTBLANK($D$5:D202))</f>
        <v xml:space="preserve"> </v>
      </c>
      <c r="B202" s="202"/>
      <c r="C202" s="202"/>
      <c r="D202" s="202"/>
      <c r="E202" s="300"/>
      <c r="F202" s="210"/>
      <c r="G202" s="210"/>
      <c r="H202" s="210"/>
      <c r="I202" s="203"/>
      <c r="J202" s="203"/>
      <c r="K202" s="203"/>
      <c r="L202" s="203"/>
      <c r="M202" s="203"/>
      <c r="N202" s="203"/>
      <c r="O202" s="205"/>
      <c r="P202" s="291"/>
      <c r="Q202" s="265"/>
      <c r="R202" s="265"/>
      <c r="S202" s="265"/>
      <c r="T202" s="267"/>
    </row>
    <row r="203" spans="1:23" ht="30" customHeight="1">
      <c r="A203" s="204" t="str">
        <f>IF(ISBLANK(D203)," ",133-COUNTBLANK($D$5:D203))</f>
        <v xml:space="preserve"> </v>
      </c>
      <c r="B203" s="202"/>
      <c r="C203" s="202"/>
      <c r="D203" s="202"/>
      <c r="E203" s="300"/>
      <c r="F203" s="210"/>
      <c r="G203" s="210"/>
      <c r="H203" s="210"/>
      <c r="I203" s="203"/>
      <c r="J203" s="203"/>
      <c r="K203" s="203"/>
      <c r="L203" s="203"/>
      <c r="M203" s="203"/>
      <c r="N203" s="203"/>
      <c r="O203" s="205"/>
      <c r="P203" s="291"/>
      <c r="Q203" s="265"/>
      <c r="R203" s="265"/>
      <c r="S203" s="265"/>
      <c r="T203" s="267"/>
    </row>
    <row r="204" spans="1:23" ht="30" customHeight="1">
      <c r="A204" s="304" t="str">
        <f>IF(ISBLANK(D204)," ",134-COUNTBLANK($D$5:D204))</f>
        <v xml:space="preserve"> </v>
      </c>
      <c r="B204" s="296"/>
      <c r="C204" s="305"/>
      <c r="D204" s="306"/>
      <c r="E204" s="297"/>
      <c r="F204" s="298"/>
      <c r="G204" s="298"/>
      <c r="H204" s="298"/>
      <c r="I204" s="282"/>
      <c r="J204" s="282"/>
      <c r="K204" s="282"/>
      <c r="L204" s="282"/>
      <c r="M204" s="282"/>
      <c r="N204" s="282"/>
      <c r="O204" s="283"/>
      <c r="P204" s="303"/>
      <c r="Q204" s="265"/>
      <c r="R204" s="265"/>
      <c r="S204" s="265"/>
      <c r="T204" s="284"/>
      <c r="U204" s="265"/>
      <c r="V204" s="265"/>
      <c r="W204" s="265"/>
    </row>
    <row r="205" spans="1:23" ht="30" customHeight="1">
      <c r="A205" s="260" t="str">
        <f>IF(ISBLANK(D205)," ",135-COUNTBLANK($D$5:D205))</f>
        <v xml:space="preserve"> </v>
      </c>
      <c r="B205" s="200"/>
      <c r="C205" s="200"/>
      <c r="D205" s="200"/>
      <c r="E205" s="299"/>
      <c r="F205" s="209"/>
      <c r="G205" s="209"/>
      <c r="H205" s="209"/>
      <c r="I205" s="201"/>
      <c r="J205" s="201"/>
      <c r="K205" s="201"/>
      <c r="L205" s="201"/>
      <c r="M205" s="201"/>
      <c r="N205" s="201"/>
      <c r="O205" s="262"/>
      <c r="P205" s="291"/>
      <c r="Q205" s="265"/>
      <c r="R205" s="265"/>
      <c r="S205" s="265"/>
      <c r="T205" s="284"/>
      <c r="U205" s="265"/>
      <c r="V205" s="265"/>
      <c r="W205" s="265"/>
    </row>
    <row r="206" spans="1:23" ht="30" customHeight="1">
      <c r="A206" s="204" t="str">
        <f>IF(ISBLANK(D206)," ",136-COUNTBLANK($D$5:D206))</f>
        <v xml:space="preserve"> </v>
      </c>
      <c r="B206" s="202"/>
      <c r="C206" s="202"/>
      <c r="D206" s="202"/>
      <c r="E206" s="300"/>
      <c r="F206" s="210"/>
      <c r="G206" s="210"/>
      <c r="H206" s="210"/>
      <c r="I206" s="203"/>
      <c r="J206" s="203"/>
      <c r="K206" s="203"/>
      <c r="L206" s="203"/>
      <c r="M206" s="203"/>
      <c r="N206" s="203"/>
      <c r="O206" s="205"/>
      <c r="P206" s="291"/>
      <c r="Q206" s="265"/>
      <c r="R206" s="265"/>
      <c r="S206" s="265"/>
      <c r="T206" s="265"/>
    </row>
    <row r="207" spans="1:23" ht="30" customHeight="1">
      <c r="A207" s="204" t="str">
        <f>IF(ISBLANK(D207)," ",137-COUNTBLANK($D$5:D207))</f>
        <v xml:space="preserve"> </v>
      </c>
      <c r="B207" s="202"/>
      <c r="C207" s="202"/>
      <c r="D207" s="202"/>
      <c r="E207" s="300"/>
      <c r="F207" s="210"/>
      <c r="G207" s="210"/>
      <c r="H207" s="210"/>
      <c r="I207" s="203"/>
      <c r="J207" s="203"/>
      <c r="K207" s="203"/>
      <c r="L207" s="203"/>
      <c r="M207" s="203"/>
      <c r="N207" s="203"/>
      <c r="O207" s="205"/>
      <c r="P207" s="291"/>
      <c r="Q207" s="265"/>
      <c r="R207" s="265"/>
      <c r="S207" s="265"/>
      <c r="T207" s="265"/>
    </row>
    <row r="208" spans="1:23" ht="30" customHeight="1">
      <c r="A208" s="204" t="str">
        <f>IF(ISBLANK(D208)," ",138-COUNTBLANK($D$5:D208))</f>
        <v xml:space="preserve"> </v>
      </c>
      <c r="B208" s="202"/>
      <c r="C208" s="202"/>
      <c r="D208" s="202"/>
      <c r="E208" s="300"/>
      <c r="F208" s="210"/>
      <c r="G208" s="210"/>
      <c r="H208" s="210"/>
      <c r="I208" s="203"/>
      <c r="J208" s="203"/>
      <c r="K208" s="203"/>
      <c r="L208" s="203"/>
      <c r="M208" s="203"/>
      <c r="N208" s="203"/>
      <c r="O208" s="205"/>
      <c r="P208" s="291"/>
      <c r="Q208" s="265"/>
      <c r="R208" s="265"/>
      <c r="S208" s="265"/>
      <c r="T208" s="265"/>
    </row>
    <row r="209" spans="1:20" ht="30" customHeight="1">
      <c r="A209" s="204" t="str">
        <f>IF(ISBLANK(D209)," ",139-COUNTBLANK($D$5:D209))</f>
        <v xml:space="preserve"> </v>
      </c>
      <c r="B209" s="202"/>
      <c r="C209" s="202"/>
      <c r="D209" s="202"/>
      <c r="E209" s="300"/>
      <c r="F209" s="210"/>
      <c r="G209" s="210"/>
      <c r="H209" s="210"/>
      <c r="I209" s="203"/>
      <c r="J209" s="203"/>
      <c r="K209" s="203"/>
      <c r="L209" s="203"/>
      <c r="M209" s="203"/>
      <c r="N209" s="203"/>
      <c r="O209" s="205"/>
      <c r="P209" s="291"/>
      <c r="Q209" s="265"/>
      <c r="R209" s="265"/>
      <c r="S209" s="265"/>
      <c r="T209" s="265"/>
    </row>
    <row r="210" spans="1:20" ht="30" customHeight="1">
      <c r="A210" s="204" t="str">
        <f>IF(ISBLANK(D210)," ",140-COUNTBLANK($D$5:D210))</f>
        <v xml:space="preserve"> </v>
      </c>
      <c r="B210" s="202"/>
      <c r="C210" s="202"/>
      <c r="D210" s="202"/>
      <c r="E210" s="300"/>
      <c r="F210" s="210"/>
      <c r="G210" s="210"/>
      <c r="H210" s="210"/>
      <c r="I210" s="203"/>
      <c r="J210" s="203"/>
      <c r="K210" s="203"/>
      <c r="L210" s="203"/>
      <c r="M210" s="203"/>
      <c r="N210" s="203"/>
      <c r="O210" s="205"/>
      <c r="P210" s="291"/>
      <c r="Q210" s="265"/>
      <c r="R210" s="265"/>
      <c r="S210" s="265"/>
      <c r="T210" s="265"/>
    </row>
    <row r="211" spans="1:20" ht="30" customHeight="1">
      <c r="A211" s="204" t="str">
        <f>IF(ISBLANK(D211)," ",141-COUNTBLANK($D$5:D211))</f>
        <v xml:space="preserve"> </v>
      </c>
      <c r="B211" s="202"/>
      <c r="C211" s="202"/>
      <c r="D211" s="202"/>
      <c r="E211" s="300"/>
      <c r="F211" s="210"/>
      <c r="G211" s="210"/>
      <c r="H211" s="210"/>
      <c r="I211" s="203"/>
      <c r="J211" s="203"/>
      <c r="K211" s="203"/>
      <c r="L211" s="203"/>
      <c r="M211" s="203"/>
      <c r="N211" s="203"/>
      <c r="O211" s="205"/>
      <c r="P211" s="291"/>
      <c r="Q211" s="265"/>
      <c r="R211" s="265"/>
      <c r="S211" s="265"/>
      <c r="T211" s="265"/>
    </row>
    <row r="212" spans="1:20" ht="30" customHeight="1">
      <c r="A212" s="204" t="str">
        <f>IF(ISBLANK(D212)," ",142-COUNTBLANK($D$5:D212))</f>
        <v xml:space="preserve"> </v>
      </c>
      <c r="B212" s="202"/>
      <c r="C212" s="202"/>
      <c r="D212" s="202"/>
      <c r="E212" s="300"/>
      <c r="F212" s="210"/>
      <c r="G212" s="210"/>
      <c r="H212" s="210"/>
      <c r="I212" s="203"/>
      <c r="J212" s="203"/>
      <c r="K212" s="203"/>
      <c r="L212" s="203"/>
      <c r="M212" s="203"/>
      <c r="N212" s="203"/>
      <c r="O212" s="205"/>
      <c r="P212" s="291"/>
      <c r="Q212" s="265"/>
      <c r="R212" s="265"/>
      <c r="S212" s="265"/>
      <c r="T212" s="265"/>
    </row>
    <row r="213" spans="1:20" ht="30" customHeight="1">
      <c r="A213" s="204" t="str">
        <f>IF(ISBLANK(D213)," ",143-COUNTBLANK($D$5:D213))</f>
        <v xml:space="preserve"> </v>
      </c>
      <c r="B213" s="202"/>
      <c r="C213" s="202"/>
      <c r="D213" s="202"/>
      <c r="E213" s="300"/>
      <c r="F213" s="210"/>
      <c r="G213" s="210"/>
      <c r="H213" s="210"/>
      <c r="I213" s="203"/>
      <c r="J213" s="203"/>
      <c r="K213" s="203"/>
      <c r="L213" s="203"/>
      <c r="M213" s="203"/>
      <c r="N213" s="203"/>
      <c r="O213" s="205"/>
      <c r="P213" s="291"/>
      <c r="Q213" s="265"/>
      <c r="R213" s="265"/>
      <c r="S213" s="265"/>
      <c r="T213" s="265"/>
    </row>
    <row r="214" spans="1:20" ht="30" customHeight="1">
      <c r="A214" s="204" t="str">
        <f>IF(ISBLANK(D214)," ",144-COUNTBLANK($D$5:D214))</f>
        <v xml:space="preserve"> </v>
      </c>
      <c r="B214" s="202"/>
      <c r="C214" s="202"/>
      <c r="D214" s="202"/>
      <c r="E214" s="300"/>
      <c r="F214" s="210"/>
      <c r="G214" s="210"/>
      <c r="H214" s="210"/>
      <c r="I214" s="203"/>
      <c r="J214" s="203"/>
      <c r="K214" s="203"/>
      <c r="L214" s="203"/>
      <c r="M214" s="203"/>
      <c r="N214" s="203"/>
      <c r="O214" s="205"/>
      <c r="P214" s="291"/>
      <c r="Q214" s="265"/>
      <c r="R214" s="265"/>
      <c r="S214" s="265"/>
      <c r="T214" s="265"/>
    </row>
    <row r="215" spans="1:20" ht="30" customHeight="1">
      <c r="A215" s="204" t="str">
        <f>IF(ISBLANK(D215)," ",145-COUNTBLANK($D$5:D215))</f>
        <v xml:space="preserve"> </v>
      </c>
      <c r="B215" s="202"/>
      <c r="C215" s="202"/>
      <c r="D215" s="202"/>
      <c r="E215" s="300"/>
      <c r="F215" s="210"/>
      <c r="G215" s="210"/>
      <c r="H215" s="210"/>
      <c r="I215" s="203"/>
      <c r="J215" s="203"/>
      <c r="K215" s="203"/>
      <c r="L215" s="203"/>
      <c r="M215" s="203"/>
      <c r="N215" s="203"/>
      <c r="O215" s="205"/>
      <c r="P215" s="291"/>
      <c r="Q215" s="265"/>
      <c r="R215" s="265"/>
      <c r="S215" s="265"/>
      <c r="T215" s="265"/>
    </row>
    <row r="216" spans="1:20" ht="30" customHeight="1">
      <c r="A216" s="204" t="str">
        <f>IF(ISBLANK(D216)," ",146-COUNTBLANK($D$5:D216))</f>
        <v xml:space="preserve"> </v>
      </c>
      <c r="B216" s="202"/>
      <c r="C216" s="202"/>
      <c r="D216" s="202"/>
      <c r="E216" s="300"/>
      <c r="F216" s="210"/>
      <c r="G216" s="210"/>
      <c r="H216" s="210"/>
      <c r="I216" s="203"/>
      <c r="J216" s="203"/>
      <c r="K216" s="203"/>
      <c r="L216" s="203"/>
      <c r="M216" s="203"/>
      <c r="N216" s="203"/>
      <c r="O216" s="205"/>
      <c r="P216" s="291"/>
      <c r="Q216" s="265"/>
      <c r="R216" s="265"/>
      <c r="S216" s="265"/>
      <c r="T216" s="265"/>
    </row>
    <row r="217" spans="1:20" ht="30" customHeight="1">
      <c r="A217" s="204" t="s">
        <v>52</v>
      </c>
      <c r="B217" s="202"/>
      <c r="C217" s="202"/>
      <c r="D217" s="202"/>
      <c r="E217" s="300"/>
      <c r="F217" s="210">
        <f>SUM(F197:F216)</f>
        <v>0</v>
      </c>
      <c r="G217" s="210"/>
      <c r="H217" s="210"/>
      <c r="I217" s="203"/>
      <c r="J217" s="203"/>
      <c r="K217" s="203"/>
      <c r="L217" s="203"/>
      <c r="M217" s="203"/>
      <c r="N217" s="203"/>
      <c r="O217" s="205"/>
      <c r="P217" s="291"/>
      <c r="Q217" s="265"/>
      <c r="R217" s="265"/>
      <c r="S217" s="265"/>
      <c r="T217" s="265"/>
    </row>
    <row r="218" spans="1:20" ht="30" customHeight="1">
      <c r="A218" s="204" t="str">
        <f>IF(ISBLANK(D218)," ",148-COUNTBLANK($D$5:D218))</f>
        <v xml:space="preserve"> </v>
      </c>
      <c r="B218" s="202"/>
      <c r="C218" s="202"/>
      <c r="D218" s="202"/>
      <c r="E218" s="300"/>
      <c r="F218" s="210"/>
      <c r="G218" s="210"/>
      <c r="H218" s="210"/>
      <c r="I218" s="203"/>
      <c r="J218" s="203"/>
      <c r="K218" s="203"/>
      <c r="L218" s="203"/>
      <c r="M218" s="203"/>
      <c r="N218" s="203"/>
      <c r="O218" s="205"/>
      <c r="P218" s="291"/>
      <c r="Q218" s="265"/>
      <c r="R218" s="265"/>
      <c r="S218" s="265"/>
      <c r="T218" s="265"/>
    </row>
    <row r="219" spans="1:20" ht="30" customHeight="1">
      <c r="A219" s="204" t="str">
        <f>IF(ISBLANK(D219)," ",149-COUNTBLANK($D$5:D219))</f>
        <v xml:space="preserve"> </v>
      </c>
      <c r="B219" s="202"/>
      <c r="C219" s="202"/>
      <c r="D219" s="202"/>
      <c r="E219" s="300"/>
      <c r="F219" s="210"/>
      <c r="G219" s="210"/>
      <c r="H219" s="210"/>
      <c r="I219" s="203"/>
      <c r="J219" s="203"/>
      <c r="K219" s="203"/>
      <c r="L219" s="203"/>
      <c r="M219" s="203"/>
      <c r="N219" s="203"/>
      <c r="O219" s="205"/>
      <c r="P219" s="291"/>
      <c r="Q219" s="265"/>
      <c r="R219" s="265"/>
      <c r="S219" s="265"/>
      <c r="T219" s="265"/>
    </row>
    <row r="220" spans="1:20" ht="30" customHeight="1">
      <c r="A220" s="204" t="str">
        <f>IF(ISBLANK(D220)," ",150-COUNTBLANK($D$5:D220))</f>
        <v xml:space="preserve"> </v>
      </c>
      <c r="B220" s="202"/>
      <c r="C220" s="202"/>
      <c r="D220" s="202"/>
      <c r="E220" s="300"/>
      <c r="F220" s="210"/>
      <c r="G220" s="210"/>
      <c r="H220" s="210"/>
      <c r="I220" s="203"/>
      <c r="J220" s="203"/>
      <c r="K220" s="203"/>
      <c r="L220" s="203"/>
      <c r="M220" s="203"/>
      <c r="N220" s="203"/>
      <c r="O220" s="205"/>
      <c r="P220" s="291"/>
      <c r="Q220" s="265"/>
      <c r="R220" s="265"/>
      <c r="S220" s="265"/>
      <c r="T220" s="265"/>
    </row>
    <row r="221" spans="1:20" ht="30" customHeight="1">
      <c r="A221" s="204" t="str">
        <f>IF(ISBLANK(D221)," ",151-COUNTBLANK($D$5:D221))</f>
        <v xml:space="preserve"> </v>
      </c>
      <c r="B221" s="202"/>
      <c r="C221" s="202"/>
      <c r="D221" s="202"/>
      <c r="E221" s="300"/>
      <c r="F221" s="210"/>
      <c r="G221" s="210"/>
      <c r="H221" s="210"/>
      <c r="I221" s="203"/>
      <c r="J221" s="203"/>
      <c r="K221" s="203"/>
      <c r="L221" s="203"/>
      <c r="M221" s="203"/>
      <c r="N221" s="203"/>
      <c r="O221" s="205"/>
      <c r="P221" s="291"/>
      <c r="Q221" s="265"/>
      <c r="R221" s="265"/>
      <c r="S221" s="265"/>
      <c r="T221" s="267"/>
    </row>
    <row r="222" spans="1:20" ht="30" customHeight="1">
      <c r="A222" s="204" t="str">
        <f>IF(ISBLANK(D222)," ",152-COUNTBLANK($D$5:D222))</f>
        <v xml:space="preserve"> </v>
      </c>
      <c r="B222" s="202"/>
      <c r="C222" s="202"/>
      <c r="D222" s="202"/>
      <c r="E222" s="300"/>
      <c r="F222" s="210"/>
      <c r="G222" s="210"/>
      <c r="H222" s="210"/>
      <c r="I222" s="203"/>
      <c r="J222" s="203"/>
      <c r="K222" s="203"/>
      <c r="L222" s="203"/>
      <c r="M222" s="203"/>
      <c r="N222" s="203"/>
      <c r="O222" s="205"/>
      <c r="P222" s="291"/>
      <c r="Q222" s="265"/>
      <c r="R222" s="265"/>
      <c r="S222" s="265"/>
      <c r="T222" s="267"/>
    </row>
    <row r="223" spans="1:20" ht="30" customHeight="1">
      <c r="A223" s="204" t="str">
        <f>IF(ISBLANK(D223)," ",153-COUNTBLANK($D$5:D223))</f>
        <v xml:space="preserve"> </v>
      </c>
      <c r="B223" s="202"/>
      <c r="C223" s="202"/>
      <c r="D223" s="202"/>
      <c r="E223" s="300"/>
      <c r="F223" s="210"/>
      <c r="G223" s="210"/>
      <c r="H223" s="210"/>
      <c r="I223" s="203"/>
      <c r="J223" s="203"/>
      <c r="K223" s="203"/>
      <c r="L223" s="203"/>
      <c r="M223" s="203"/>
      <c r="N223" s="203"/>
      <c r="O223" s="205"/>
      <c r="P223" s="291"/>
      <c r="Q223" s="265"/>
      <c r="R223" s="265"/>
      <c r="S223" s="265"/>
      <c r="T223" s="267"/>
    </row>
    <row r="224" spans="1:20" ht="30" customHeight="1">
      <c r="A224" s="204" t="str">
        <f>IF(ISBLANK(D224)," ",154-COUNTBLANK($D$5:D224))</f>
        <v xml:space="preserve"> </v>
      </c>
      <c r="B224" s="202"/>
      <c r="C224" s="202"/>
      <c r="D224" s="202"/>
      <c r="E224" s="300"/>
      <c r="F224" s="210"/>
      <c r="G224" s="210"/>
      <c r="H224" s="210"/>
      <c r="I224" s="203"/>
      <c r="J224" s="203"/>
      <c r="K224" s="203"/>
      <c r="L224" s="203"/>
      <c r="M224" s="203"/>
      <c r="N224" s="203"/>
      <c r="O224" s="205"/>
      <c r="P224" s="291"/>
      <c r="Q224" s="265"/>
      <c r="R224" s="265"/>
      <c r="S224" s="265"/>
      <c r="T224" s="267"/>
    </row>
    <row r="225" spans="1:23" ht="30" customHeight="1">
      <c r="A225" s="304" t="str">
        <f>IF(ISBLANK(D225)," ",155-COUNTBLANK($D$5:D225))</f>
        <v xml:space="preserve"> </v>
      </c>
      <c r="B225" s="296"/>
      <c r="C225" s="305"/>
      <c r="D225" s="306"/>
      <c r="E225" s="297"/>
      <c r="F225" s="298"/>
      <c r="G225" s="298"/>
      <c r="H225" s="298"/>
      <c r="I225" s="282"/>
      <c r="J225" s="282"/>
      <c r="K225" s="282"/>
      <c r="L225" s="282"/>
      <c r="M225" s="282"/>
      <c r="N225" s="282"/>
      <c r="O225" s="283"/>
      <c r="P225" s="303"/>
      <c r="Q225" s="265"/>
      <c r="R225" s="265"/>
      <c r="S225" s="265"/>
      <c r="T225" s="284"/>
      <c r="U225" s="265"/>
      <c r="V225" s="265"/>
      <c r="W225" s="265"/>
    </row>
    <row r="226" spans="1:23" ht="30" customHeight="1">
      <c r="A226" s="260" t="str">
        <f>IF(ISBLANK(D226)," ",156-COUNTBLANK($D$5:D226))</f>
        <v xml:space="preserve"> </v>
      </c>
      <c r="B226" s="200"/>
      <c r="C226" s="200"/>
      <c r="D226" s="200"/>
      <c r="E226" s="299"/>
      <c r="F226" s="209"/>
      <c r="G226" s="209"/>
      <c r="H226" s="209"/>
      <c r="I226" s="201"/>
      <c r="J226" s="201"/>
      <c r="K226" s="201"/>
      <c r="L226" s="201"/>
      <c r="M226" s="201"/>
      <c r="N226" s="201"/>
      <c r="O226" s="262"/>
      <c r="P226" s="291"/>
      <c r="Q226" s="265"/>
      <c r="R226" s="265"/>
      <c r="S226" s="265"/>
      <c r="T226" s="284"/>
      <c r="U226" s="265"/>
      <c r="V226" s="265"/>
      <c r="W226" s="265"/>
    </row>
    <row r="227" spans="1:23" ht="30" customHeight="1">
      <c r="A227" s="204" t="str">
        <f>IF(ISBLANK(D227)," ",157-COUNTBLANK($D$5:D227))</f>
        <v xml:space="preserve"> </v>
      </c>
      <c r="B227" s="202"/>
      <c r="C227" s="202"/>
      <c r="D227" s="202"/>
      <c r="E227" s="300"/>
      <c r="F227" s="210"/>
      <c r="G227" s="210"/>
      <c r="H227" s="210"/>
      <c r="I227" s="203"/>
      <c r="J227" s="203"/>
      <c r="K227" s="203"/>
      <c r="L227" s="203"/>
      <c r="M227" s="203"/>
      <c r="N227" s="203"/>
      <c r="O227" s="205"/>
      <c r="P227" s="291"/>
      <c r="Q227" s="265"/>
      <c r="R227" s="265"/>
      <c r="S227" s="265"/>
      <c r="T227" s="265"/>
    </row>
    <row r="228" spans="1:23" ht="30" customHeight="1">
      <c r="A228" s="204" t="str">
        <f>IF(ISBLANK(D228)," ",158-COUNTBLANK($D$5:D228))</f>
        <v xml:space="preserve"> </v>
      </c>
      <c r="B228" s="202"/>
      <c r="C228" s="202"/>
      <c r="D228" s="202"/>
      <c r="E228" s="300"/>
      <c r="F228" s="210"/>
      <c r="G228" s="210"/>
      <c r="H228" s="210"/>
      <c r="I228" s="203"/>
      <c r="J228" s="203"/>
      <c r="K228" s="203"/>
      <c r="L228" s="203"/>
      <c r="M228" s="203"/>
      <c r="N228" s="203"/>
      <c r="O228" s="205"/>
      <c r="P228" s="291"/>
      <c r="Q228" s="265"/>
      <c r="R228" s="265"/>
      <c r="S228" s="265"/>
      <c r="T228" s="265"/>
    </row>
    <row r="229" spans="1:23" ht="30" customHeight="1">
      <c r="A229" s="204" t="str">
        <f>IF(ISBLANK(D229)," ",159-COUNTBLANK($D$5:D229))</f>
        <v xml:space="preserve"> </v>
      </c>
      <c r="B229" s="202"/>
      <c r="C229" s="202"/>
      <c r="D229" s="202"/>
      <c r="E229" s="300"/>
      <c r="F229" s="210"/>
      <c r="G229" s="210"/>
      <c r="H229" s="210"/>
      <c r="I229" s="203"/>
      <c r="J229" s="203"/>
      <c r="K229" s="203"/>
      <c r="L229" s="203"/>
      <c r="M229" s="203"/>
      <c r="N229" s="203"/>
      <c r="O229" s="205"/>
      <c r="P229" s="291"/>
      <c r="Q229" s="265"/>
      <c r="R229" s="265"/>
      <c r="S229" s="265"/>
      <c r="T229" s="265"/>
    </row>
    <row r="230" spans="1:23" ht="30" customHeight="1">
      <c r="A230" s="204" t="str">
        <f>IF(ISBLANK(D230)," ",160-COUNTBLANK($D$5:D230))</f>
        <v xml:space="preserve"> </v>
      </c>
      <c r="B230" s="202"/>
      <c r="C230" s="202"/>
      <c r="D230" s="202"/>
      <c r="E230" s="300"/>
      <c r="F230" s="210"/>
      <c r="G230" s="210"/>
      <c r="H230" s="210"/>
      <c r="I230" s="203"/>
      <c r="J230" s="203"/>
      <c r="K230" s="203"/>
      <c r="L230" s="203"/>
      <c r="M230" s="203"/>
      <c r="N230" s="203"/>
      <c r="O230" s="205"/>
      <c r="P230" s="291"/>
      <c r="Q230" s="265"/>
      <c r="R230" s="265"/>
      <c r="S230" s="265"/>
      <c r="T230" s="265"/>
    </row>
    <row r="231" spans="1:23" ht="30" customHeight="1">
      <c r="A231" s="204" t="str">
        <f>IF(ISBLANK(D231)," ",161-COUNTBLANK($D$5:D231))</f>
        <v xml:space="preserve"> </v>
      </c>
      <c r="B231" s="202"/>
      <c r="C231" s="202"/>
      <c r="D231" s="202"/>
      <c r="E231" s="300"/>
      <c r="F231" s="210"/>
      <c r="G231" s="210"/>
      <c r="H231" s="210"/>
      <c r="I231" s="203"/>
      <c r="J231" s="203"/>
      <c r="K231" s="203"/>
      <c r="L231" s="203"/>
      <c r="M231" s="203"/>
      <c r="N231" s="203"/>
      <c r="O231" s="205"/>
      <c r="P231" s="291"/>
      <c r="Q231" s="265"/>
      <c r="R231" s="265"/>
      <c r="S231" s="265"/>
      <c r="T231" s="265"/>
    </row>
    <row r="232" spans="1:23" ht="30" customHeight="1">
      <c r="A232" s="204" t="str">
        <f>IF(ISBLANK(D232)," ",162-COUNTBLANK($D$5:D232))</f>
        <v xml:space="preserve"> </v>
      </c>
      <c r="B232" s="202"/>
      <c r="C232" s="202"/>
      <c r="D232" s="202"/>
      <c r="E232" s="300"/>
      <c r="F232" s="210"/>
      <c r="G232" s="210"/>
      <c r="H232" s="210"/>
      <c r="I232" s="203"/>
      <c r="J232" s="203"/>
      <c r="K232" s="203"/>
      <c r="L232" s="203"/>
      <c r="M232" s="203"/>
      <c r="N232" s="203"/>
      <c r="O232" s="205"/>
      <c r="P232" s="291"/>
      <c r="Q232" s="265"/>
      <c r="R232" s="265"/>
      <c r="S232" s="265"/>
      <c r="T232" s="265"/>
    </row>
    <row r="233" spans="1:23" ht="30" customHeight="1">
      <c r="A233" s="204" t="str">
        <f>IF(ISBLANK(D233)," ",163-COUNTBLANK($D$5:D233))</f>
        <v xml:space="preserve"> </v>
      </c>
      <c r="B233" s="202"/>
      <c r="C233" s="202"/>
      <c r="D233" s="202"/>
      <c r="E233" s="300"/>
      <c r="F233" s="210"/>
      <c r="G233" s="210"/>
      <c r="H233" s="210"/>
      <c r="I233" s="203"/>
      <c r="J233" s="203"/>
      <c r="K233" s="203"/>
      <c r="L233" s="203"/>
      <c r="M233" s="203"/>
      <c r="N233" s="203"/>
      <c r="O233" s="205"/>
      <c r="P233" s="291"/>
      <c r="Q233" s="265"/>
      <c r="R233" s="265"/>
      <c r="S233" s="265"/>
      <c r="T233" s="265"/>
    </row>
    <row r="234" spans="1:23" ht="30" customHeight="1">
      <c r="A234" s="204" t="str">
        <f>IF(ISBLANK(D234)," ",164-COUNTBLANK($D$5:D234))</f>
        <v xml:space="preserve"> </v>
      </c>
      <c r="B234" s="202"/>
      <c r="C234" s="202"/>
      <c r="D234" s="202"/>
      <c r="E234" s="300"/>
      <c r="F234" s="210"/>
      <c r="G234" s="210"/>
      <c r="H234" s="210"/>
      <c r="I234" s="203"/>
      <c r="J234" s="203"/>
      <c r="K234" s="203"/>
      <c r="L234" s="203"/>
      <c r="M234" s="203"/>
      <c r="N234" s="203"/>
      <c r="O234" s="205"/>
      <c r="P234" s="291"/>
      <c r="Q234" s="265"/>
      <c r="R234" s="265"/>
      <c r="S234" s="265"/>
      <c r="T234" s="265"/>
    </row>
    <row r="235" spans="1:23" ht="30" customHeight="1">
      <c r="A235" s="204" t="str">
        <f>IF(ISBLANK(D235)," ",165-COUNTBLANK($D$5:D235))</f>
        <v xml:space="preserve"> </v>
      </c>
      <c r="B235" s="202"/>
      <c r="C235" s="202"/>
      <c r="D235" s="202"/>
      <c r="E235" s="300"/>
      <c r="F235" s="210"/>
      <c r="G235" s="210"/>
      <c r="H235" s="210"/>
      <c r="I235" s="203"/>
      <c r="J235" s="203"/>
      <c r="K235" s="203"/>
      <c r="L235" s="203"/>
      <c r="M235" s="203"/>
      <c r="N235" s="203"/>
      <c r="O235" s="205"/>
      <c r="P235" s="291"/>
      <c r="Q235" s="265"/>
      <c r="R235" s="265"/>
      <c r="S235" s="265"/>
      <c r="T235" s="265"/>
    </row>
    <row r="236" spans="1:23" ht="30" customHeight="1">
      <c r="A236" s="204" t="str">
        <f>IF(ISBLANK(D236)," ",166-COUNTBLANK($D$5:D236))</f>
        <v xml:space="preserve"> </v>
      </c>
      <c r="B236" s="202"/>
      <c r="C236" s="202"/>
      <c r="D236" s="202"/>
      <c r="E236" s="300"/>
      <c r="F236" s="210"/>
      <c r="G236" s="210"/>
      <c r="H236" s="210"/>
      <c r="I236" s="203"/>
      <c r="J236" s="203"/>
      <c r="K236" s="203"/>
      <c r="L236" s="203"/>
      <c r="M236" s="203"/>
      <c r="N236" s="203"/>
      <c r="O236" s="205"/>
      <c r="P236" s="291"/>
      <c r="Q236" s="265"/>
      <c r="R236" s="265"/>
      <c r="S236" s="265"/>
      <c r="T236" s="265"/>
    </row>
    <row r="237" spans="1:23" ht="30" customHeight="1">
      <c r="A237" s="204" t="str">
        <f>IF(ISBLANK(D237)," ",167-COUNTBLANK($D$5:D237))</f>
        <v xml:space="preserve"> </v>
      </c>
      <c r="B237" s="202"/>
      <c r="C237" s="202"/>
      <c r="D237" s="202"/>
      <c r="E237" s="300"/>
      <c r="F237" s="210"/>
      <c r="G237" s="210"/>
      <c r="H237" s="210"/>
      <c r="I237" s="203"/>
      <c r="J237" s="203"/>
      <c r="K237" s="203"/>
      <c r="L237" s="203"/>
      <c r="M237" s="203"/>
      <c r="N237" s="203"/>
      <c r="O237" s="205"/>
      <c r="P237" s="291"/>
      <c r="Q237" s="265"/>
      <c r="R237" s="265"/>
      <c r="S237" s="265"/>
      <c r="T237" s="265"/>
    </row>
    <row r="238" spans="1:23" ht="30" customHeight="1">
      <c r="A238" s="204" t="s">
        <v>52</v>
      </c>
      <c r="B238" s="202"/>
      <c r="C238" s="202"/>
      <c r="D238" s="202"/>
      <c r="E238" s="300"/>
      <c r="F238" s="210">
        <f>SUM(F218:F237)</f>
        <v>0</v>
      </c>
      <c r="G238" s="210"/>
      <c r="H238" s="210"/>
      <c r="I238" s="203"/>
      <c r="J238" s="203"/>
      <c r="K238" s="203"/>
      <c r="L238" s="203"/>
      <c r="M238" s="203"/>
      <c r="N238" s="203"/>
      <c r="O238" s="205"/>
      <c r="P238" s="291"/>
      <c r="Q238" s="265"/>
      <c r="R238" s="265"/>
      <c r="S238" s="265"/>
      <c r="T238" s="265"/>
    </row>
    <row r="239" spans="1:23" ht="30" customHeight="1">
      <c r="A239" s="204" t="str">
        <f>IF(ISBLANK(D239)," ",169-COUNTBLANK($D$5:D239))</f>
        <v xml:space="preserve"> </v>
      </c>
      <c r="B239" s="202"/>
      <c r="C239" s="202"/>
      <c r="D239" s="202"/>
      <c r="E239" s="300"/>
      <c r="F239" s="210"/>
      <c r="G239" s="210"/>
      <c r="H239" s="210"/>
      <c r="I239" s="203"/>
      <c r="J239" s="203"/>
      <c r="K239" s="203"/>
      <c r="L239" s="203"/>
      <c r="M239" s="203"/>
      <c r="N239" s="203"/>
      <c r="O239" s="205"/>
      <c r="P239" s="291"/>
      <c r="Q239" s="265"/>
      <c r="R239" s="265"/>
      <c r="S239" s="265"/>
      <c r="T239" s="265"/>
    </row>
    <row r="240" spans="1:23" ht="30" customHeight="1">
      <c r="A240" s="204" t="str">
        <f>IF(ISBLANK(D240)," ",170-COUNTBLANK($D$5:D240))</f>
        <v xml:space="preserve"> </v>
      </c>
      <c r="B240" s="202"/>
      <c r="C240" s="202"/>
      <c r="D240" s="202"/>
      <c r="E240" s="300"/>
      <c r="F240" s="210"/>
      <c r="G240" s="210"/>
      <c r="H240" s="210"/>
      <c r="I240" s="203"/>
      <c r="J240" s="203"/>
      <c r="K240" s="203"/>
      <c r="L240" s="203"/>
      <c r="M240" s="203"/>
      <c r="N240" s="203"/>
      <c r="O240" s="205"/>
      <c r="P240" s="291"/>
      <c r="Q240" s="265"/>
      <c r="R240" s="265"/>
      <c r="S240" s="265"/>
      <c r="T240" s="265"/>
    </row>
    <row r="241" spans="1:23" ht="30" customHeight="1">
      <c r="A241" s="204" t="str">
        <f>IF(ISBLANK(D241)," ",171-COUNTBLANK($D$5:D241))</f>
        <v xml:space="preserve"> </v>
      </c>
      <c r="B241" s="202"/>
      <c r="C241" s="202"/>
      <c r="D241" s="202"/>
      <c r="E241" s="300"/>
      <c r="F241" s="210"/>
      <c r="G241" s="210"/>
      <c r="H241" s="210"/>
      <c r="I241" s="203"/>
      <c r="J241" s="203"/>
      <c r="K241" s="203"/>
      <c r="L241" s="203"/>
      <c r="M241" s="203"/>
      <c r="N241" s="203"/>
      <c r="O241" s="205"/>
      <c r="P241" s="291"/>
      <c r="Q241" s="265"/>
      <c r="R241" s="265"/>
      <c r="S241" s="265"/>
      <c r="T241" s="265"/>
    </row>
    <row r="242" spans="1:23" ht="30" customHeight="1">
      <c r="A242" s="204" t="str">
        <f>IF(ISBLANK(D242)," ",172-COUNTBLANK($D$5:D242))</f>
        <v xml:space="preserve"> </v>
      </c>
      <c r="B242" s="202"/>
      <c r="C242" s="202"/>
      <c r="D242" s="202"/>
      <c r="E242" s="300"/>
      <c r="F242" s="210"/>
      <c r="G242" s="210"/>
      <c r="H242" s="210"/>
      <c r="I242" s="203"/>
      <c r="J242" s="203"/>
      <c r="K242" s="203"/>
      <c r="L242" s="203"/>
      <c r="M242" s="203"/>
      <c r="N242" s="203"/>
      <c r="O242" s="205"/>
      <c r="P242" s="291"/>
      <c r="Q242" s="265"/>
      <c r="R242" s="265"/>
      <c r="S242" s="265"/>
      <c r="T242" s="267"/>
    </row>
    <row r="243" spans="1:23" ht="30" customHeight="1">
      <c r="A243" s="204" t="str">
        <f>IF(ISBLANK(D243)," ",173-COUNTBLANK($D$5:D243))</f>
        <v xml:space="preserve"> </v>
      </c>
      <c r="B243" s="202"/>
      <c r="C243" s="202"/>
      <c r="D243" s="202"/>
      <c r="E243" s="300"/>
      <c r="F243" s="210"/>
      <c r="G243" s="210"/>
      <c r="H243" s="210"/>
      <c r="I243" s="203"/>
      <c r="J243" s="203"/>
      <c r="K243" s="203"/>
      <c r="L243" s="203"/>
      <c r="M243" s="203"/>
      <c r="N243" s="203"/>
      <c r="O243" s="205"/>
      <c r="P243" s="291"/>
      <c r="Q243" s="265"/>
      <c r="R243" s="265"/>
      <c r="S243" s="265"/>
      <c r="T243" s="267"/>
    </row>
    <row r="244" spans="1:23" ht="30" customHeight="1">
      <c r="A244" s="204" t="str">
        <f>IF(ISBLANK(D244)," ",174-COUNTBLANK($D$5:D244))</f>
        <v xml:space="preserve"> </v>
      </c>
      <c r="B244" s="202"/>
      <c r="C244" s="202"/>
      <c r="D244" s="202"/>
      <c r="E244" s="300"/>
      <c r="F244" s="210"/>
      <c r="G244" s="210"/>
      <c r="H244" s="210"/>
      <c r="I244" s="203"/>
      <c r="J244" s="203"/>
      <c r="K244" s="203"/>
      <c r="L244" s="203"/>
      <c r="M244" s="203"/>
      <c r="N244" s="203"/>
      <c r="O244" s="205"/>
      <c r="P244" s="291"/>
      <c r="Q244" s="265"/>
      <c r="R244" s="265"/>
      <c r="S244" s="265"/>
      <c r="T244" s="267"/>
    </row>
    <row r="245" spans="1:23" ht="30" customHeight="1">
      <c r="A245" s="204" t="str">
        <f>IF(ISBLANK(D245)," ",175-COUNTBLANK($D$5:D245))</f>
        <v xml:space="preserve"> </v>
      </c>
      <c r="B245" s="202"/>
      <c r="C245" s="202"/>
      <c r="D245" s="202"/>
      <c r="E245" s="300"/>
      <c r="F245" s="210"/>
      <c r="G245" s="210"/>
      <c r="H245" s="210"/>
      <c r="I245" s="203"/>
      <c r="J245" s="203"/>
      <c r="K245" s="203"/>
      <c r="L245" s="203"/>
      <c r="M245" s="203"/>
      <c r="N245" s="203"/>
      <c r="O245" s="205"/>
      <c r="P245" s="291"/>
      <c r="Q245" s="265"/>
      <c r="R245" s="265"/>
      <c r="S245" s="265"/>
      <c r="T245" s="267"/>
    </row>
    <row r="246" spans="1:23" ht="30" customHeight="1">
      <c r="A246" s="304" t="str">
        <f>IF(ISBLANK(D246)," ",176-COUNTBLANK($D$5:D246))</f>
        <v xml:space="preserve"> </v>
      </c>
      <c r="B246" s="296"/>
      <c r="C246" s="305"/>
      <c r="D246" s="306"/>
      <c r="E246" s="297"/>
      <c r="F246" s="298"/>
      <c r="G246" s="298"/>
      <c r="H246" s="298"/>
      <c r="I246" s="282"/>
      <c r="J246" s="282"/>
      <c r="K246" s="282"/>
      <c r="L246" s="282"/>
      <c r="M246" s="282"/>
      <c r="N246" s="282"/>
      <c r="O246" s="283"/>
      <c r="P246" s="303"/>
      <c r="Q246" s="265"/>
      <c r="R246" s="265"/>
      <c r="S246" s="265"/>
      <c r="T246" s="284"/>
      <c r="U246" s="265"/>
      <c r="V246" s="265"/>
      <c r="W246" s="265"/>
    </row>
    <row r="247" spans="1:23" ht="30" customHeight="1">
      <c r="A247" s="260" t="str">
        <f>IF(ISBLANK(D247)," ",177-COUNTBLANK($D$5:D247))</f>
        <v xml:space="preserve"> </v>
      </c>
      <c r="B247" s="200"/>
      <c r="C247" s="200"/>
      <c r="D247" s="200"/>
      <c r="E247" s="299"/>
      <c r="F247" s="209"/>
      <c r="G247" s="209"/>
      <c r="H247" s="209"/>
      <c r="I247" s="201"/>
      <c r="J247" s="201"/>
      <c r="K247" s="201"/>
      <c r="L247" s="201"/>
      <c r="M247" s="201"/>
      <c r="N247" s="201"/>
      <c r="O247" s="262"/>
      <c r="P247" s="291"/>
      <c r="Q247" s="265"/>
      <c r="R247" s="265"/>
      <c r="S247" s="265"/>
      <c r="T247" s="284"/>
      <c r="U247" s="265"/>
      <c r="V247" s="265"/>
      <c r="W247" s="265"/>
    </row>
    <row r="248" spans="1:23" ht="30" customHeight="1">
      <c r="A248" s="204" t="str">
        <f>IF(ISBLANK(D248)," ",178-COUNTBLANK($D$5:D248))</f>
        <v xml:space="preserve"> </v>
      </c>
      <c r="B248" s="202"/>
      <c r="C248" s="202"/>
      <c r="D248" s="202"/>
      <c r="E248" s="300"/>
      <c r="F248" s="210"/>
      <c r="G248" s="210"/>
      <c r="H248" s="210"/>
      <c r="I248" s="203"/>
      <c r="J248" s="203"/>
      <c r="K248" s="203"/>
      <c r="L248" s="203"/>
      <c r="M248" s="203"/>
      <c r="N248" s="203"/>
      <c r="O248" s="205"/>
      <c r="P248" s="291"/>
      <c r="Q248" s="265"/>
      <c r="R248" s="265"/>
      <c r="S248" s="265"/>
      <c r="T248" s="265"/>
    </row>
    <row r="249" spans="1:23" ht="30" customHeight="1">
      <c r="A249" s="204" t="str">
        <f>IF(ISBLANK(D249)," ",179-COUNTBLANK($D$5:D249))</f>
        <v xml:space="preserve"> </v>
      </c>
      <c r="B249" s="202"/>
      <c r="C249" s="202"/>
      <c r="D249" s="202"/>
      <c r="E249" s="300"/>
      <c r="F249" s="210"/>
      <c r="G249" s="210"/>
      <c r="H249" s="210"/>
      <c r="I249" s="203"/>
      <c r="J249" s="203"/>
      <c r="K249" s="203"/>
      <c r="L249" s="203"/>
      <c r="M249" s="203"/>
      <c r="N249" s="203"/>
      <c r="O249" s="205"/>
      <c r="P249" s="291"/>
      <c r="Q249" s="265"/>
      <c r="R249" s="265"/>
      <c r="S249" s="265"/>
      <c r="T249" s="265"/>
    </row>
    <row r="250" spans="1:23" ht="30" customHeight="1">
      <c r="A250" s="204" t="str">
        <f>IF(ISBLANK(D250)," ",180-COUNTBLANK($D$5:D250))</f>
        <v xml:space="preserve"> </v>
      </c>
      <c r="B250" s="202"/>
      <c r="C250" s="202"/>
      <c r="D250" s="202"/>
      <c r="E250" s="300"/>
      <c r="F250" s="210"/>
      <c r="G250" s="210"/>
      <c r="H250" s="210"/>
      <c r="I250" s="203"/>
      <c r="J250" s="203"/>
      <c r="K250" s="203"/>
      <c r="L250" s="203"/>
      <c r="M250" s="203"/>
      <c r="N250" s="203"/>
      <c r="O250" s="205"/>
      <c r="P250" s="291"/>
      <c r="Q250" s="265"/>
      <c r="R250" s="265"/>
      <c r="S250" s="265"/>
      <c r="T250" s="265"/>
    </row>
    <row r="251" spans="1:23" ht="30" customHeight="1">
      <c r="A251" s="204" t="str">
        <f>IF(ISBLANK(D251)," ",181-COUNTBLANK($D$5:D251))</f>
        <v xml:space="preserve"> </v>
      </c>
      <c r="B251" s="202"/>
      <c r="C251" s="202"/>
      <c r="D251" s="202"/>
      <c r="E251" s="300"/>
      <c r="F251" s="210"/>
      <c r="G251" s="210"/>
      <c r="H251" s="210"/>
      <c r="I251" s="203"/>
      <c r="J251" s="203"/>
      <c r="K251" s="203"/>
      <c r="L251" s="203"/>
      <c r="M251" s="203"/>
      <c r="N251" s="203"/>
      <c r="O251" s="205"/>
      <c r="P251" s="291"/>
      <c r="Q251" s="265"/>
      <c r="R251" s="265"/>
      <c r="S251" s="265"/>
      <c r="T251" s="265"/>
    </row>
    <row r="252" spans="1:23" ht="30" customHeight="1">
      <c r="A252" s="204" t="str">
        <f>IF(ISBLANK(D252)," ",182-COUNTBLANK($D$5:D252))</f>
        <v xml:space="preserve"> </v>
      </c>
      <c r="B252" s="202"/>
      <c r="C252" s="202"/>
      <c r="D252" s="202"/>
      <c r="E252" s="300"/>
      <c r="F252" s="210"/>
      <c r="G252" s="210"/>
      <c r="H252" s="210"/>
      <c r="I252" s="203"/>
      <c r="J252" s="203"/>
      <c r="K252" s="203"/>
      <c r="L252" s="203"/>
      <c r="M252" s="203"/>
      <c r="N252" s="203"/>
      <c r="O252" s="205"/>
      <c r="P252" s="291"/>
      <c r="Q252" s="265"/>
      <c r="R252" s="265"/>
      <c r="S252" s="265"/>
      <c r="T252" s="265"/>
    </row>
    <row r="253" spans="1:23" ht="30" customHeight="1">
      <c r="A253" s="204" t="str">
        <f>IF(ISBLANK(D253)," ",183-COUNTBLANK($D$5:D253))</f>
        <v xml:space="preserve"> </v>
      </c>
      <c r="B253" s="202"/>
      <c r="C253" s="202"/>
      <c r="D253" s="202"/>
      <c r="E253" s="300"/>
      <c r="F253" s="210"/>
      <c r="G253" s="210"/>
      <c r="H253" s="210"/>
      <c r="I253" s="203"/>
      <c r="J253" s="203"/>
      <c r="K253" s="203"/>
      <c r="L253" s="203"/>
      <c r="M253" s="203"/>
      <c r="N253" s="203"/>
      <c r="O253" s="205"/>
      <c r="P253" s="291"/>
      <c r="Q253" s="265"/>
      <c r="R253" s="265"/>
      <c r="S253" s="265"/>
      <c r="T253" s="265"/>
    </row>
    <row r="254" spans="1:23" ht="30" customHeight="1">
      <c r="A254" s="204" t="str">
        <f>IF(ISBLANK(D254)," ",184-COUNTBLANK($D$5:D254))</f>
        <v xml:space="preserve"> </v>
      </c>
      <c r="B254" s="202"/>
      <c r="C254" s="202"/>
      <c r="D254" s="202"/>
      <c r="E254" s="300"/>
      <c r="F254" s="210"/>
      <c r="G254" s="210"/>
      <c r="H254" s="210"/>
      <c r="I254" s="203"/>
      <c r="J254" s="203"/>
      <c r="K254" s="203"/>
      <c r="L254" s="203"/>
      <c r="M254" s="203"/>
      <c r="N254" s="203"/>
      <c r="O254" s="205"/>
      <c r="P254" s="291"/>
      <c r="Q254" s="265"/>
      <c r="R254" s="265"/>
      <c r="S254" s="265"/>
      <c r="T254" s="265"/>
    </row>
    <row r="255" spans="1:23" ht="30" customHeight="1">
      <c r="A255" s="204" t="str">
        <f>IF(ISBLANK(D255)," ",185-COUNTBLANK($D$5:D255))</f>
        <v xml:space="preserve"> </v>
      </c>
      <c r="B255" s="202"/>
      <c r="C255" s="202"/>
      <c r="D255" s="202"/>
      <c r="E255" s="300"/>
      <c r="F255" s="210"/>
      <c r="G255" s="210"/>
      <c r="H255" s="210"/>
      <c r="I255" s="203"/>
      <c r="J255" s="203"/>
      <c r="K255" s="203"/>
      <c r="L255" s="203"/>
      <c r="M255" s="203"/>
      <c r="N255" s="203"/>
      <c r="O255" s="205"/>
      <c r="P255" s="291"/>
      <c r="Q255" s="265"/>
      <c r="R255" s="265"/>
      <c r="S255" s="265"/>
      <c r="T255" s="265"/>
    </row>
    <row r="256" spans="1:23" ht="30" customHeight="1">
      <c r="A256" s="204" t="str">
        <f>IF(ISBLANK(D256)," ",186-COUNTBLANK($D$5:D256))</f>
        <v xml:space="preserve"> </v>
      </c>
      <c r="B256" s="202"/>
      <c r="C256" s="202"/>
      <c r="D256" s="202"/>
      <c r="E256" s="300"/>
      <c r="F256" s="210"/>
      <c r="G256" s="210"/>
      <c r="H256" s="210"/>
      <c r="I256" s="203"/>
      <c r="J256" s="203"/>
      <c r="K256" s="203"/>
      <c r="L256" s="203"/>
      <c r="M256" s="203"/>
      <c r="N256" s="203"/>
      <c r="O256" s="205"/>
      <c r="P256" s="291"/>
      <c r="Q256" s="265"/>
      <c r="R256" s="265"/>
      <c r="S256" s="265"/>
      <c r="T256" s="265"/>
    </row>
    <row r="257" spans="1:23" ht="30" customHeight="1">
      <c r="A257" s="204" t="str">
        <f>IF(ISBLANK(D257)," ",187-COUNTBLANK($D$5:D257))</f>
        <v xml:space="preserve"> </v>
      </c>
      <c r="B257" s="202"/>
      <c r="C257" s="202"/>
      <c r="D257" s="202"/>
      <c r="E257" s="300"/>
      <c r="F257" s="210"/>
      <c r="G257" s="210"/>
      <c r="H257" s="210"/>
      <c r="I257" s="203"/>
      <c r="J257" s="203"/>
      <c r="K257" s="203"/>
      <c r="L257" s="203"/>
      <c r="M257" s="203"/>
      <c r="N257" s="203"/>
      <c r="O257" s="205"/>
      <c r="P257" s="291"/>
      <c r="Q257" s="265"/>
      <c r="R257" s="265"/>
      <c r="S257" s="265"/>
      <c r="T257" s="265"/>
    </row>
    <row r="258" spans="1:23" ht="30" customHeight="1">
      <c r="A258" s="204" t="str">
        <f>IF(ISBLANK(D258)," ",188-COUNTBLANK($D$5:D258))</f>
        <v xml:space="preserve"> </v>
      </c>
      <c r="B258" s="202"/>
      <c r="C258" s="202"/>
      <c r="D258" s="202"/>
      <c r="E258" s="300"/>
      <c r="F258" s="210"/>
      <c r="G258" s="210"/>
      <c r="H258" s="210"/>
      <c r="I258" s="203"/>
      <c r="J258" s="203"/>
      <c r="K258" s="203"/>
      <c r="L258" s="203"/>
      <c r="M258" s="203"/>
      <c r="N258" s="203"/>
      <c r="O258" s="205"/>
      <c r="P258" s="291"/>
      <c r="Q258" s="265"/>
      <c r="R258" s="265"/>
      <c r="S258" s="265"/>
      <c r="T258" s="265"/>
    </row>
    <row r="259" spans="1:23" ht="30" customHeight="1">
      <c r="A259" s="204" t="s">
        <v>52</v>
      </c>
      <c r="B259" s="202"/>
      <c r="C259" s="202"/>
      <c r="D259" s="202"/>
      <c r="E259" s="300"/>
      <c r="F259" s="210">
        <f>SUM(F239:F258)</f>
        <v>0</v>
      </c>
      <c r="G259" s="210"/>
      <c r="H259" s="210"/>
      <c r="I259" s="203"/>
      <c r="J259" s="203"/>
      <c r="K259" s="203"/>
      <c r="L259" s="203"/>
      <c r="M259" s="203"/>
      <c r="N259" s="203"/>
      <c r="O259" s="205"/>
      <c r="P259" s="291"/>
      <c r="Q259" s="265"/>
      <c r="R259" s="265"/>
      <c r="S259" s="265"/>
      <c r="T259" s="265"/>
    </row>
    <row r="260" spans="1:23" ht="30" customHeight="1">
      <c r="A260" s="204" t="str">
        <f>IF(ISBLANK(D260)," ",190-COUNTBLANK($D$5:D260))</f>
        <v xml:space="preserve"> </v>
      </c>
      <c r="B260" s="202"/>
      <c r="C260" s="202"/>
      <c r="D260" s="202"/>
      <c r="E260" s="300"/>
      <c r="F260" s="210"/>
      <c r="G260" s="210"/>
      <c r="H260" s="210"/>
      <c r="I260" s="203"/>
      <c r="J260" s="203"/>
      <c r="K260" s="203"/>
      <c r="L260" s="203"/>
      <c r="M260" s="203"/>
      <c r="N260" s="203"/>
      <c r="O260" s="205"/>
      <c r="P260" s="291"/>
      <c r="Q260" s="265"/>
      <c r="R260" s="265"/>
      <c r="S260" s="265"/>
      <c r="T260" s="265"/>
    </row>
    <row r="261" spans="1:23" ht="30" customHeight="1">
      <c r="A261" s="204" t="str">
        <f>IF(ISBLANK(D261)," ",191-COUNTBLANK($D$5:D261))</f>
        <v xml:space="preserve"> </v>
      </c>
      <c r="B261" s="202"/>
      <c r="C261" s="202"/>
      <c r="D261" s="202"/>
      <c r="E261" s="300"/>
      <c r="F261" s="210"/>
      <c r="G261" s="210"/>
      <c r="H261" s="210"/>
      <c r="I261" s="203"/>
      <c r="J261" s="203"/>
      <c r="K261" s="203"/>
      <c r="L261" s="203"/>
      <c r="M261" s="203"/>
      <c r="N261" s="203"/>
      <c r="O261" s="205"/>
      <c r="P261" s="291"/>
      <c r="Q261" s="265"/>
      <c r="R261" s="265"/>
      <c r="S261" s="265"/>
      <c r="T261" s="265"/>
    </row>
    <row r="262" spans="1:23" ht="30" customHeight="1">
      <c r="A262" s="204" t="str">
        <f>IF(ISBLANK(D262)," ",192-COUNTBLANK($D$5:D262))</f>
        <v xml:space="preserve"> </v>
      </c>
      <c r="B262" s="202"/>
      <c r="C262" s="202"/>
      <c r="D262" s="202"/>
      <c r="E262" s="300"/>
      <c r="F262" s="210"/>
      <c r="G262" s="210"/>
      <c r="H262" s="210"/>
      <c r="I262" s="203"/>
      <c r="J262" s="203"/>
      <c r="K262" s="203"/>
      <c r="L262" s="203"/>
      <c r="M262" s="203"/>
      <c r="N262" s="203"/>
      <c r="O262" s="205"/>
      <c r="P262" s="291"/>
      <c r="Q262" s="265"/>
      <c r="R262" s="265"/>
      <c r="S262" s="265"/>
      <c r="T262" s="265"/>
    </row>
    <row r="263" spans="1:23" ht="30" customHeight="1">
      <c r="A263" s="204" t="str">
        <f>IF(ISBLANK(D263)," ",193-COUNTBLANK($D$5:D263))</f>
        <v xml:space="preserve"> </v>
      </c>
      <c r="B263" s="202"/>
      <c r="C263" s="202"/>
      <c r="D263" s="202"/>
      <c r="E263" s="300"/>
      <c r="F263" s="210"/>
      <c r="G263" s="210"/>
      <c r="H263" s="210"/>
      <c r="I263" s="203"/>
      <c r="J263" s="203"/>
      <c r="K263" s="203"/>
      <c r="L263" s="203"/>
      <c r="M263" s="203"/>
      <c r="N263" s="203"/>
      <c r="O263" s="205"/>
      <c r="P263" s="291"/>
      <c r="Q263" s="265"/>
      <c r="R263" s="265"/>
      <c r="S263" s="265"/>
      <c r="T263" s="267"/>
    </row>
    <row r="264" spans="1:23" ht="30" customHeight="1">
      <c r="A264" s="204" t="str">
        <f>IF(ISBLANK(D264)," ",194-COUNTBLANK($D$5:D264))</f>
        <v xml:space="preserve"> </v>
      </c>
      <c r="B264" s="202"/>
      <c r="C264" s="202"/>
      <c r="D264" s="202"/>
      <c r="E264" s="300"/>
      <c r="F264" s="210"/>
      <c r="G264" s="210"/>
      <c r="H264" s="210"/>
      <c r="I264" s="203"/>
      <c r="J264" s="203"/>
      <c r="K264" s="203"/>
      <c r="L264" s="203"/>
      <c r="M264" s="203"/>
      <c r="N264" s="203"/>
      <c r="O264" s="205"/>
      <c r="P264" s="291"/>
      <c r="Q264" s="265"/>
      <c r="R264" s="265"/>
      <c r="S264" s="265"/>
      <c r="T264" s="267"/>
    </row>
    <row r="265" spans="1:23" ht="30" customHeight="1">
      <c r="A265" s="204" t="str">
        <f>IF(ISBLANK(D265)," ",195-COUNTBLANK($D$5:D265))</f>
        <v xml:space="preserve"> </v>
      </c>
      <c r="B265" s="202"/>
      <c r="C265" s="202"/>
      <c r="D265" s="202"/>
      <c r="E265" s="300"/>
      <c r="F265" s="210"/>
      <c r="G265" s="210"/>
      <c r="H265" s="210"/>
      <c r="I265" s="203"/>
      <c r="J265" s="203"/>
      <c r="K265" s="203"/>
      <c r="L265" s="203"/>
      <c r="M265" s="203"/>
      <c r="N265" s="203"/>
      <c r="O265" s="205"/>
      <c r="P265" s="291"/>
      <c r="Q265" s="265"/>
      <c r="R265" s="265"/>
      <c r="S265" s="265"/>
      <c r="T265" s="267"/>
    </row>
    <row r="266" spans="1:23" ht="30" customHeight="1">
      <c r="A266" s="204" t="str">
        <f>IF(ISBLANK(D266)," ",196-COUNTBLANK($D$5:D266))</f>
        <v xml:space="preserve"> </v>
      </c>
      <c r="B266" s="202"/>
      <c r="C266" s="202"/>
      <c r="D266" s="202"/>
      <c r="E266" s="300"/>
      <c r="F266" s="210"/>
      <c r="G266" s="210"/>
      <c r="H266" s="210"/>
      <c r="I266" s="203"/>
      <c r="J266" s="203"/>
      <c r="K266" s="203"/>
      <c r="L266" s="203"/>
      <c r="M266" s="203"/>
      <c r="N266" s="203"/>
      <c r="O266" s="205"/>
      <c r="P266" s="291"/>
      <c r="Q266" s="265"/>
      <c r="R266" s="265"/>
      <c r="S266" s="265"/>
      <c r="T266" s="267"/>
    </row>
    <row r="267" spans="1:23" ht="30" customHeight="1">
      <c r="A267" s="304" t="str">
        <f>IF(ISBLANK(D267)," ",197-COUNTBLANK($D$5:D267))</f>
        <v xml:space="preserve"> </v>
      </c>
      <c r="B267" s="296"/>
      <c r="C267" s="305"/>
      <c r="D267" s="306"/>
      <c r="E267" s="297"/>
      <c r="F267" s="298"/>
      <c r="G267" s="298"/>
      <c r="H267" s="298"/>
      <c r="I267" s="282"/>
      <c r="J267" s="282"/>
      <c r="K267" s="282"/>
      <c r="L267" s="282"/>
      <c r="M267" s="282"/>
      <c r="N267" s="282"/>
      <c r="O267" s="283"/>
      <c r="P267" s="303"/>
      <c r="Q267" s="265"/>
      <c r="R267" s="265"/>
      <c r="S267" s="265"/>
      <c r="T267" s="284"/>
      <c r="U267" s="265"/>
      <c r="V267" s="265"/>
      <c r="W267" s="265"/>
    </row>
    <row r="268" spans="1:23" ht="30" customHeight="1">
      <c r="A268" s="260" t="str">
        <f>IF(ISBLANK(D268)," ",198-COUNTBLANK($D$5:D268))</f>
        <v xml:space="preserve"> </v>
      </c>
      <c r="B268" s="200"/>
      <c r="C268" s="200"/>
      <c r="D268" s="200"/>
      <c r="E268" s="299"/>
      <c r="F268" s="209"/>
      <c r="G268" s="209"/>
      <c r="H268" s="209"/>
      <c r="I268" s="201"/>
      <c r="J268" s="201"/>
      <c r="K268" s="201"/>
      <c r="L268" s="201"/>
      <c r="M268" s="201"/>
      <c r="N268" s="201"/>
      <c r="O268" s="262"/>
      <c r="P268" s="291"/>
      <c r="Q268" s="265"/>
      <c r="R268" s="265"/>
      <c r="S268" s="265"/>
      <c r="T268" s="284"/>
      <c r="U268" s="265"/>
      <c r="V268" s="265"/>
      <c r="W268" s="265"/>
    </row>
    <row r="269" spans="1:23" ht="30" customHeight="1">
      <c r="A269" s="204" t="str">
        <f>IF(ISBLANK(D269)," ",199-COUNTBLANK($D$5:D269))</f>
        <v xml:space="preserve"> </v>
      </c>
      <c r="B269" s="202"/>
      <c r="C269" s="202"/>
      <c r="D269" s="202"/>
      <c r="E269" s="300"/>
      <c r="F269" s="210"/>
      <c r="G269" s="210"/>
      <c r="H269" s="210"/>
      <c r="I269" s="203"/>
      <c r="J269" s="203"/>
      <c r="K269" s="203"/>
      <c r="L269" s="203"/>
      <c r="M269" s="203"/>
      <c r="N269" s="203"/>
      <c r="O269" s="205"/>
      <c r="P269" s="291"/>
      <c r="Q269" s="265"/>
      <c r="R269" s="265"/>
      <c r="S269" s="265"/>
      <c r="T269" s="265"/>
    </row>
    <row r="270" spans="1:23" ht="30" customHeight="1">
      <c r="A270" s="204" t="str">
        <f>IF(ISBLANK(D270)," ",200-COUNTBLANK($D$5:D270))</f>
        <v xml:space="preserve"> </v>
      </c>
      <c r="B270" s="202"/>
      <c r="C270" s="202"/>
      <c r="D270" s="202"/>
      <c r="E270" s="300"/>
      <c r="F270" s="210"/>
      <c r="G270" s="210"/>
      <c r="H270" s="210"/>
      <c r="I270" s="203"/>
      <c r="J270" s="203"/>
      <c r="K270" s="203"/>
      <c r="L270" s="203"/>
      <c r="M270" s="203"/>
      <c r="N270" s="203"/>
      <c r="O270" s="205"/>
      <c r="P270" s="291"/>
      <c r="Q270" s="265"/>
      <c r="R270" s="265"/>
      <c r="S270" s="265"/>
      <c r="T270" s="265"/>
    </row>
    <row r="271" spans="1:23" ht="30" customHeight="1">
      <c r="A271" s="204" t="str">
        <f>IF(ISBLANK(D271)," ",201-COUNTBLANK($D$5:D271))</f>
        <v xml:space="preserve"> </v>
      </c>
      <c r="B271" s="202"/>
      <c r="C271" s="202"/>
      <c r="D271" s="202"/>
      <c r="E271" s="300"/>
      <c r="F271" s="210"/>
      <c r="G271" s="210"/>
      <c r="H271" s="210"/>
      <c r="I271" s="203"/>
      <c r="J271" s="203"/>
      <c r="K271" s="203"/>
      <c r="L271" s="203"/>
      <c r="M271" s="203"/>
      <c r="N271" s="203"/>
      <c r="O271" s="205"/>
      <c r="P271" s="291"/>
      <c r="Q271" s="265"/>
      <c r="R271" s="265"/>
      <c r="S271" s="265"/>
      <c r="T271" s="265"/>
    </row>
    <row r="272" spans="1:23" ht="30" customHeight="1">
      <c r="A272" s="204" t="str">
        <f>IF(ISBLANK(D272)," ",202-COUNTBLANK($D$5:D272))</f>
        <v xml:space="preserve"> </v>
      </c>
      <c r="B272" s="202"/>
      <c r="C272" s="202"/>
      <c r="D272" s="202"/>
      <c r="E272" s="300"/>
      <c r="F272" s="210"/>
      <c r="G272" s="210"/>
      <c r="H272" s="210"/>
      <c r="I272" s="203"/>
      <c r="J272" s="203"/>
      <c r="K272" s="203"/>
      <c r="L272" s="203"/>
      <c r="M272" s="203"/>
      <c r="N272" s="203"/>
      <c r="O272" s="205"/>
      <c r="P272" s="291"/>
      <c r="Q272" s="265"/>
      <c r="R272" s="265"/>
      <c r="S272" s="265"/>
      <c r="T272" s="265"/>
    </row>
    <row r="273" spans="1:23" ht="30" customHeight="1">
      <c r="A273" s="204" t="str">
        <f>IF(ISBLANK(D273)," ",203-COUNTBLANK($D$5:D273))</f>
        <v xml:space="preserve"> </v>
      </c>
      <c r="B273" s="202"/>
      <c r="C273" s="202"/>
      <c r="D273" s="202"/>
      <c r="E273" s="300"/>
      <c r="F273" s="210"/>
      <c r="G273" s="210"/>
      <c r="H273" s="210"/>
      <c r="I273" s="203"/>
      <c r="J273" s="203"/>
      <c r="K273" s="203"/>
      <c r="L273" s="203"/>
      <c r="M273" s="203"/>
      <c r="N273" s="203"/>
      <c r="O273" s="205"/>
      <c r="P273" s="291"/>
      <c r="Q273" s="265"/>
      <c r="R273" s="265"/>
      <c r="S273" s="265"/>
      <c r="T273" s="265"/>
    </row>
    <row r="274" spans="1:23" ht="30" customHeight="1">
      <c r="A274" s="204" t="str">
        <f>IF(ISBLANK(D274)," ",204-COUNTBLANK($D$5:D274))</f>
        <v xml:space="preserve"> </v>
      </c>
      <c r="B274" s="202"/>
      <c r="C274" s="202"/>
      <c r="D274" s="202"/>
      <c r="E274" s="300"/>
      <c r="F274" s="210"/>
      <c r="G274" s="210"/>
      <c r="H274" s="210"/>
      <c r="I274" s="203"/>
      <c r="J274" s="203"/>
      <c r="K274" s="203"/>
      <c r="L274" s="203"/>
      <c r="M274" s="203"/>
      <c r="N274" s="203"/>
      <c r="O274" s="205"/>
      <c r="P274" s="291"/>
      <c r="Q274" s="265"/>
      <c r="R274" s="265"/>
      <c r="S274" s="265"/>
      <c r="T274" s="265"/>
    </row>
    <row r="275" spans="1:23" ht="30" customHeight="1">
      <c r="A275" s="204" t="str">
        <f>IF(ISBLANK(D275)," ",205-COUNTBLANK($D$5:D275))</f>
        <v xml:space="preserve"> </v>
      </c>
      <c r="B275" s="202"/>
      <c r="C275" s="202"/>
      <c r="D275" s="202"/>
      <c r="E275" s="300"/>
      <c r="F275" s="210"/>
      <c r="G275" s="210"/>
      <c r="H275" s="210"/>
      <c r="I275" s="203"/>
      <c r="J275" s="203"/>
      <c r="K275" s="203"/>
      <c r="L275" s="203"/>
      <c r="M275" s="203"/>
      <c r="N275" s="203"/>
      <c r="O275" s="205"/>
      <c r="P275" s="291"/>
      <c r="Q275" s="265"/>
      <c r="R275" s="265"/>
      <c r="S275" s="265"/>
      <c r="T275" s="265"/>
    </row>
    <row r="276" spans="1:23" ht="30" customHeight="1">
      <c r="A276" s="204" t="str">
        <f>IF(ISBLANK(D276)," ",206-COUNTBLANK($D$5:D276))</f>
        <v xml:space="preserve"> </v>
      </c>
      <c r="B276" s="202"/>
      <c r="C276" s="202"/>
      <c r="D276" s="202"/>
      <c r="E276" s="300"/>
      <c r="F276" s="210"/>
      <c r="G276" s="210"/>
      <c r="H276" s="210"/>
      <c r="I276" s="203"/>
      <c r="J276" s="203"/>
      <c r="K276" s="203"/>
      <c r="L276" s="203"/>
      <c r="M276" s="203"/>
      <c r="N276" s="203"/>
      <c r="O276" s="205"/>
      <c r="P276" s="291"/>
      <c r="Q276" s="265"/>
      <c r="R276" s="265"/>
      <c r="S276" s="265"/>
      <c r="T276" s="265"/>
    </row>
    <row r="277" spans="1:23" ht="30" customHeight="1">
      <c r="A277" s="204" t="str">
        <f>IF(ISBLANK(D277)," ",207-COUNTBLANK($D$5:D277))</f>
        <v xml:space="preserve"> </v>
      </c>
      <c r="B277" s="202"/>
      <c r="C277" s="202"/>
      <c r="D277" s="202"/>
      <c r="E277" s="300"/>
      <c r="F277" s="210"/>
      <c r="G277" s="210"/>
      <c r="H277" s="210"/>
      <c r="I277" s="203"/>
      <c r="J277" s="203"/>
      <c r="K277" s="203"/>
      <c r="L277" s="203"/>
      <c r="M277" s="203"/>
      <c r="N277" s="203"/>
      <c r="O277" s="205"/>
      <c r="P277" s="291"/>
      <c r="Q277" s="265"/>
      <c r="R277" s="265"/>
      <c r="S277" s="265"/>
      <c r="T277" s="265"/>
    </row>
    <row r="278" spans="1:23" ht="30" customHeight="1">
      <c r="A278" s="204" t="str">
        <f>IF(ISBLANK(D278)," ",208-COUNTBLANK($D$5:D278))</f>
        <v xml:space="preserve"> </v>
      </c>
      <c r="B278" s="202"/>
      <c r="C278" s="202"/>
      <c r="D278" s="202"/>
      <c r="E278" s="300"/>
      <c r="F278" s="210"/>
      <c r="G278" s="210"/>
      <c r="H278" s="210"/>
      <c r="I278" s="203"/>
      <c r="J278" s="203"/>
      <c r="K278" s="203"/>
      <c r="L278" s="203"/>
      <c r="M278" s="203"/>
      <c r="N278" s="203"/>
      <c r="O278" s="205"/>
      <c r="P278" s="291"/>
      <c r="Q278" s="265"/>
      <c r="R278" s="265"/>
      <c r="S278" s="265"/>
      <c r="T278" s="265"/>
    </row>
    <row r="279" spans="1:23" ht="30" customHeight="1">
      <c r="A279" s="204" t="str">
        <f>IF(ISBLANK(D279)," ",209-COUNTBLANK($D$5:D279))</f>
        <v xml:space="preserve"> </v>
      </c>
      <c r="B279" s="202"/>
      <c r="C279" s="202"/>
      <c r="D279" s="202"/>
      <c r="E279" s="300"/>
      <c r="F279" s="210"/>
      <c r="G279" s="210"/>
      <c r="H279" s="210"/>
      <c r="I279" s="203"/>
      <c r="J279" s="203"/>
      <c r="K279" s="203"/>
      <c r="L279" s="203"/>
      <c r="M279" s="203"/>
      <c r="N279" s="203"/>
      <c r="O279" s="205"/>
      <c r="P279" s="291"/>
      <c r="Q279" s="265"/>
      <c r="R279" s="265"/>
      <c r="S279" s="265"/>
      <c r="T279" s="265"/>
    </row>
    <row r="280" spans="1:23" ht="30" customHeight="1">
      <c r="A280" s="204" t="s">
        <v>52</v>
      </c>
      <c r="B280" s="202"/>
      <c r="C280" s="202"/>
      <c r="D280" s="202"/>
      <c r="E280" s="300"/>
      <c r="F280" s="210">
        <f>SUM(F260:F279)</f>
        <v>0</v>
      </c>
      <c r="G280" s="210"/>
      <c r="H280" s="210"/>
      <c r="I280" s="203"/>
      <c r="J280" s="203"/>
      <c r="K280" s="203"/>
      <c r="L280" s="203"/>
      <c r="M280" s="203"/>
      <c r="N280" s="203"/>
      <c r="O280" s="205"/>
      <c r="P280" s="291"/>
      <c r="Q280" s="265"/>
      <c r="R280" s="265"/>
      <c r="S280" s="265"/>
      <c r="T280" s="265"/>
    </row>
    <row r="281" spans="1:23" ht="30" customHeight="1">
      <c r="A281" s="204" t="str">
        <f>IF(ISBLANK(D281)," ",211-COUNTBLANK($D$5:D281))</f>
        <v xml:space="preserve"> </v>
      </c>
      <c r="B281" s="202"/>
      <c r="C281" s="202"/>
      <c r="D281" s="202"/>
      <c r="E281" s="300"/>
      <c r="F281" s="210"/>
      <c r="G281" s="210"/>
      <c r="H281" s="210"/>
      <c r="I281" s="203"/>
      <c r="J281" s="203"/>
      <c r="K281" s="203"/>
      <c r="L281" s="203"/>
      <c r="M281" s="203"/>
      <c r="N281" s="203"/>
      <c r="O281" s="205"/>
      <c r="P281" s="291"/>
      <c r="Q281" s="265"/>
      <c r="R281" s="265"/>
      <c r="S281" s="265"/>
      <c r="T281" s="265"/>
    </row>
    <row r="282" spans="1:23" ht="30" customHeight="1">
      <c r="A282" s="204" t="str">
        <f>IF(ISBLANK(D282)," ",212-COUNTBLANK($D$5:D282))</f>
        <v xml:space="preserve"> </v>
      </c>
      <c r="B282" s="202"/>
      <c r="C282" s="202"/>
      <c r="D282" s="202"/>
      <c r="E282" s="300"/>
      <c r="F282" s="210"/>
      <c r="G282" s="210"/>
      <c r="H282" s="203"/>
      <c r="I282" s="203"/>
      <c r="J282" s="203"/>
      <c r="K282" s="203"/>
      <c r="L282" s="203"/>
      <c r="M282" s="203"/>
      <c r="N282" s="203"/>
      <c r="O282" s="205"/>
      <c r="P282" s="291"/>
      <c r="Q282" s="265"/>
      <c r="R282" s="265"/>
      <c r="S282" s="265"/>
      <c r="T282" s="265"/>
    </row>
    <row r="283" spans="1:23" ht="30" customHeight="1">
      <c r="A283" s="204" t="str">
        <f>IF(ISBLANK(D283)," ",213-COUNTBLANK($D$5:D283))</f>
        <v xml:space="preserve"> </v>
      </c>
      <c r="B283" s="202"/>
      <c r="C283" s="202"/>
      <c r="D283" s="202"/>
      <c r="E283" s="300"/>
      <c r="F283" s="210"/>
      <c r="G283" s="210"/>
      <c r="H283" s="203"/>
      <c r="I283" s="203"/>
      <c r="J283" s="203"/>
      <c r="K283" s="203"/>
      <c r="L283" s="203"/>
      <c r="M283" s="203"/>
      <c r="N283" s="203"/>
      <c r="O283" s="205"/>
      <c r="P283" s="291"/>
      <c r="Q283" s="265"/>
      <c r="R283" s="265"/>
      <c r="S283" s="265"/>
      <c r="T283" s="265"/>
    </row>
    <row r="284" spans="1:23" ht="30" customHeight="1">
      <c r="A284" s="204" t="str">
        <f>IF(ISBLANK(D284)," ",214-COUNTBLANK($D$5:D284))</f>
        <v xml:space="preserve"> </v>
      </c>
      <c r="B284" s="202"/>
      <c r="C284" s="202"/>
      <c r="D284" s="202"/>
      <c r="E284" s="300"/>
      <c r="F284" s="210"/>
      <c r="G284" s="210"/>
      <c r="H284" s="203"/>
      <c r="I284" s="203"/>
      <c r="J284" s="203"/>
      <c r="K284" s="203"/>
      <c r="L284" s="203"/>
      <c r="M284" s="203"/>
      <c r="N284" s="203"/>
      <c r="O284" s="205"/>
      <c r="P284" s="291"/>
      <c r="Q284" s="265"/>
      <c r="R284" s="265"/>
      <c r="S284" s="265"/>
      <c r="T284" s="267"/>
    </row>
    <row r="285" spans="1:23" ht="30" customHeight="1">
      <c r="A285" s="204" t="str">
        <f>IF(ISBLANK(D285)," ",215-COUNTBLANK($D$5:D285))</f>
        <v xml:space="preserve"> </v>
      </c>
      <c r="B285" s="202"/>
      <c r="C285" s="202"/>
      <c r="D285" s="202"/>
      <c r="E285" s="300"/>
      <c r="F285" s="210"/>
      <c r="G285" s="210"/>
      <c r="H285" s="203"/>
      <c r="I285" s="203"/>
      <c r="J285" s="203"/>
      <c r="K285" s="203"/>
      <c r="L285" s="203"/>
      <c r="M285" s="203"/>
      <c r="N285" s="203"/>
      <c r="O285" s="205"/>
      <c r="P285" s="291"/>
      <c r="Q285" s="265"/>
      <c r="R285" s="265"/>
      <c r="S285" s="265"/>
      <c r="T285" s="267"/>
    </row>
    <row r="286" spans="1:23" ht="30" customHeight="1">
      <c r="A286" s="204" t="str">
        <f>IF(ISBLANK(D286)," ",216-COUNTBLANK($D$5:D286))</f>
        <v xml:space="preserve"> </v>
      </c>
      <c r="B286" s="202"/>
      <c r="C286" s="202"/>
      <c r="D286" s="202"/>
      <c r="E286" s="300"/>
      <c r="F286" s="210"/>
      <c r="G286" s="210"/>
      <c r="H286" s="203"/>
      <c r="I286" s="203"/>
      <c r="J286" s="203"/>
      <c r="K286" s="203"/>
      <c r="L286" s="203"/>
      <c r="M286" s="203"/>
      <c r="N286" s="203"/>
      <c r="O286" s="205"/>
      <c r="P286" s="291"/>
      <c r="Q286" s="265"/>
      <c r="R286" s="265"/>
      <c r="S286" s="265"/>
      <c r="T286" s="267"/>
    </row>
    <row r="287" spans="1:23" ht="30" customHeight="1">
      <c r="A287" s="204" t="str">
        <f>IF(ISBLANK(D287)," ",217-COUNTBLANK($D$5:D287))</f>
        <v xml:space="preserve"> </v>
      </c>
      <c r="B287" s="202"/>
      <c r="C287" s="202"/>
      <c r="D287" s="202"/>
      <c r="E287" s="300"/>
      <c r="F287" s="210"/>
      <c r="G287" s="210"/>
      <c r="H287" s="203"/>
      <c r="I287" s="203"/>
      <c r="J287" s="203"/>
      <c r="K287" s="203"/>
      <c r="L287" s="203"/>
      <c r="M287" s="203"/>
      <c r="N287" s="203"/>
      <c r="O287" s="205"/>
      <c r="P287" s="291"/>
      <c r="Q287" s="265"/>
      <c r="R287" s="265"/>
      <c r="S287" s="265"/>
      <c r="T287" s="267"/>
    </row>
    <row r="288" spans="1:23" ht="30" customHeight="1">
      <c r="A288" s="304" t="str">
        <f>IF(ISBLANK(D288)," ",218-COUNTBLANK($D$5:D288))</f>
        <v xml:space="preserve"> </v>
      </c>
      <c r="B288" s="296"/>
      <c r="C288" s="305"/>
      <c r="D288" s="306"/>
      <c r="E288" s="297"/>
      <c r="F288" s="298"/>
      <c r="G288" s="298"/>
      <c r="H288" s="282"/>
      <c r="I288" s="282"/>
      <c r="J288" s="282"/>
      <c r="K288" s="282"/>
      <c r="L288" s="282"/>
      <c r="M288" s="282"/>
      <c r="N288" s="282"/>
      <c r="O288" s="283"/>
      <c r="P288" s="303"/>
      <c r="Q288" s="265"/>
      <c r="R288" s="265"/>
      <c r="S288" s="265"/>
      <c r="T288" s="284"/>
      <c r="U288" s="265"/>
      <c r="V288" s="265"/>
      <c r="W288" s="265"/>
    </row>
    <row r="289" spans="1:23" ht="30" customHeight="1">
      <c r="A289" s="260" t="str">
        <f>IF(ISBLANK(D289)," ",219-COUNTBLANK($D$5:D289))</f>
        <v xml:space="preserve"> </v>
      </c>
      <c r="B289" s="200"/>
      <c r="C289" s="200"/>
      <c r="D289" s="200"/>
      <c r="E289" s="299"/>
      <c r="F289" s="209"/>
      <c r="G289" s="209"/>
      <c r="H289" s="201"/>
      <c r="I289" s="201"/>
      <c r="J289" s="201"/>
      <c r="K289" s="201"/>
      <c r="L289" s="201"/>
      <c r="M289" s="201"/>
      <c r="N289" s="201"/>
      <c r="O289" s="262"/>
      <c r="P289" s="291"/>
      <c r="Q289" s="265"/>
      <c r="R289" s="265"/>
      <c r="S289" s="265"/>
      <c r="T289" s="284"/>
      <c r="U289" s="265"/>
      <c r="V289" s="265"/>
      <c r="W289" s="265"/>
    </row>
    <row r="290" spans="1:23" ht="30" customHeight="1">
      <c r="A290" s="204" t="str">
        <f>IF(ISBLANK(D290)," ",220-COUNTBLANK($D$5:D290))</f>
        <v xml:space="preserve"> </v>
      </c>
      <c r="B290" s="202"/>
      <c r="C290" s="202"/>
      <c r="D290" s="202"/>
      <c r="E290" s="300"/>
      <c r="F290" s="210"/>
      <c r="G290" s="210"/>
      <c r="H290" s="203"/>
      <c r="I290" s="203"/>
      <c r="J290" s="203"/>
      <c r="K290" s="203"/>
      <c r="L290" s="203"/>
      <c r="M290" s="203"/>
      <c r="N290" s="203"/>
      <c r="O290" s="205"/>
      <c r="P290" s="291"/>
      <c r="Q290" s="265"/>
      <c r="R290" s="265"/>
      <c r="S290" s="265"/>
      <c r="T290" s="265"/>
    </row>
    <row r="291" spans="1:23" ht="30" customHeight="1">
      <c r="A291" s="204" t="str">
        <f>IF(ISBLANK(D291)," ",221-COUNTBLANK($D$5:D291))</f>
        <v xml:space="preserve"> </v>
      </c>
      <c r="B291" s="202"/>
      <c r="C291" s="202"/>
      <c r="D291" s="202"/>
      <c r="E291" s="300"/>
      <c r="F291" s="210"/>
      <c r="G291" s="210"/>
      <c r="H291" s="203"/>
      <c r="I291" s="203"/>
      <c r="J291" s="203"/>
      <c r="K291" s="203"/>
      <c r="L291" s="203"/>
      <c r="M291" s="203"/>
      <c r="N291" s="203"/>
      <c r="O291" s="205"/>
      <c r="P291" s="291"/>
      <c r="Q291" s="265"/>
      <c r="R291" s="265"/>
      <c r="S291" s="265"/>
      <c r="T291" s="265"/>
    </row>
    <row r="292" spans="1:23" ht="30" customHeight="1">
      <c r="A292" s="204" t="str">
        <f>IF(ISBLANK(D292)," ",222-COUNTBLANK($D$5:D292))</f>
        <v xml:space="preserve"> </v>
      </c>
      <c r="B292" s="202"/>
      <c r="C292" s="202"/>
      <c r="D292" s="202"/>
      <c r="E292" s="300"/>
      <c r="F292" s="210"/>
      <c r="G292" s="210"/>
      <c r="H292" s="203"/>
      <c r="I292" s="203"/>
      <c r="J292" s="203"/>
      <c r="K292" s="203"/>
      <c r="L292" s="203"/>
      <c r="M292" s="203"/>
      <c r="N292" s="203"/>
      <c r="O292" s="205"/>
      <c r="P292" s="291"/>
      <c r="Q292" s="265"/>
      <c r="R292" s="265"/>
      <c r="S292" s="265"/>
      <c r="T292" s="265"/>
    </row>
    <row r="293" spans="1:23" ht="30" customHeight="1">
      <c r="A293" s="204" t="str">
        <f>IF(ISBLANK(D293)," ",223-COUNTBLANK($D$5:D293))</f>
        <v xml:space="preserve"> </v>
      </c>
      <c r="B293" s="202"/>
      <c r="C293" s="202"/>
      <c r="D293" s="202"/>
      <c r="E293" s="300"/>
      <c r="F293" s="210"/>
      <c r="G293" s="210"/>
      <c r="H293" s="203"/>
      <c r="I293" s="203"/>
      <c r="J293" s="203"/>
      <c r="K293" s="203"/>
      <c r="L293" s="203"/>
      <c r="M293" s="203"/>
      <c r="N293" s="203"/>
      <c r="O293" s="205"/>
      <c r="P293" s="291"/>
      <c r="Q293" s="265"/>
      <c r="R293" s="265"/>
      <c r="S293" s="265"/>
      <c r="T293" s="265"/>
    </row>
    <row r="294" spans="1:23" ht="30" customHeight="1">
      <c r="A294" s="204" t="str">
        <f>IF(ISBLANK(D294)," ",224-COUNTBLANK($D$5:D294))</f>
        <v xml:space="preserve"> </v>
      </c>
      <c r="B294" s="202"/>
      <c r="C294" s="202"/>
      <c r="D294" s="202"/>
      <c r="E294" s="300"/>
      <c r="F294" s="210"/>
      <c r="G294" s="210"/>
      <c r="H294" s="203"/>
      <c r="I294" s="203"/>
      <c r="J294" s="203"/>
      <c r="K294" s="203"/>
      <c r="L294" s="203"/>
      <c r="M294" s="203"/>
      <c r="N294" s="203"/>
      <c r="O294" s="205"/>
      <c r="P294" s="291"/>
      <c r="Q294" s="265"/>
      <c r="R294" s="265"/>
      <c r="S294" s="265"/>
      <c r="T294" s="265"/>
    </row>
    <row r="295" spans="1:23" ht="30" customHeight="1">
      <c r="A295" s="204" t="str">
        <f>IF(ISBLANK(D295)," ",225-COUNTBLANK($D$5:D295))</f>
        <v xml:space="preserve"> </v>
      </c>
      <c r="B295" s="202"/>
      <c r="C295" s="202"/>
      <c r="D295" s="202"/>
      <c r="E295" s="300"/>
      <c r="F295" s="210"/>
      <c r="G295" s="210"/>
      <c r="H295" s="203"/>
      <c r="I295" s="203"/>
      <c r="J295" s="203"/>
      <c r="K295" s="203"/>
      <c r="L295" s="203"/>
      <c r="M295" s="203"/>
      <c r="N295" s="203"/>
      <c r="O295" s="205"/>
      <c r="P295" s="291"/>
      <c r="Q295" s="265"/>
      <c r="R295" s="265"/>
      <c r="S295" s="265"/>
      <c r="T295" s="265"/>
    </row>
    <row r="296" spans="1:23" ht="30" customHeight="1">
      <c r="A296" s="204" t="str">
        <f>IF(ISBLANK(D296)," ",226-COUNTBLANK($D$5:D296))</f>
        <v xml:space="preserve"> </v>
      </c>
      <c r="B296" s="202"/>
      <c r="C296" s="202"/>
      <c r="D296" s="202"/>
      <c r="E296" s="300"/>
      <c r="F296" s="210"/>
      <c r="G296" s="210"/>
      <c r="H296" s="203"/>
      <c r="I296" s="203"/>
      <c r="J296" s="203"/>
      <c r="K296" s="203"/>
      <c r="L296" s="203"/>
      <c r="M296" s="203"/>
      <c r="N296" s="203"/>
      <c r="O296" s="205"/>
      <c r="P296" s="291"/>
      <c r="Q296" s="265"/>
      <c r="R296" s="265"/>
      <c r="S296" s="265"/>
      <c r="T296" s="265"/>
    </row>
    <row r="297" spans="1:23" ht="30" customHeight="1">
      <c r="A297" s="204" t="str">
        <f>IF(ISBLANK(D297)," ",227-COUNTBLANK($D$5:D297))</f>
        <v xml:space="preserve"> </v>
      </c>
      <c r="B297" s="202"/>
      <c r="C297" s="202"/>
      <c r="D297" s="202"/>
      <c r="E297" s="300"/>
      <c r="F297" s="210"/>
      <c r="G297" s="210"/>
      <c r="H297" s="203"/>
      <c r="I297" s="203"/>
      <c r="J297" s="203"/>
      <c r="K297" s="203"/>
      <c r="L297" s="203"/>
      <c r="M297" s="203"/>
      <c r="N297" s="203"/>
      <c r="O297" s="205"/>
      <c r="P297" s="291"/>
      <c r="Q297" s="265"/>
      <c r="R297" s="265"/>
      <c r="S297" s="265"/>
      <c r="T297" s="265"/>
    </row>
    <row r="298" spans="1:23" ht="30" customHeight="1">
      <c r="A298" s="204" t="str">
        <f>IF(ISBLANK(D298)," ",228-COUNTBLANK($D$5:D298))</f>
        <v xml:space="preserve"> </v>
      </c>
      <c r="B298" s="202"/>
      <c r="C298" s="202"/>
      <c r="D298" s="202"/>
      <c r="E298" s="300"/>
      <c r="F298" s="210"/>
      <c r="G298" s="210"/>
      <c r="H298" s="203"/>
      <c r="I298" s="203"/>
      <c r="J298" s="203"/>
      <c r="K298" s="203"/>
      <c r="L298" s="203"/>
      <c r="M298" s="203"/>
      <c r="N298" s="203"/>
      <c r="O298" s="205"/>
      <c r="P298" s="291"/>
      <c r="Q298" s="265"/>
      <c r="R298" s="265"/>
      <c r="S298" s="265"/>
      <c r="T298" s="265"/>
    </row>
    <row r="299" spans="1:23" ht="30" customHeight="1">
      <c r="A299" s="204" t="str">
        <f>IF(ISBLANK(D299)," ",229-COUNTBLANK($D$5:D299))</f>
        <v xml:space="preserve"> </v>
      </c>
      <c r="B299" s="202"/>
      <c r="C299" s="202"/>
      <c r="D299" s="202"/>
      <c r="E299" s="300"/>
      <c r="F299" s="210"/>
      <c r="G299" s="210"/>
      <c r="H299" s="203"/>
      <c r="I299" s="203"/>
      <c r="J299" s="203"/>
      <c r="K299" s="203"/>
      <c r="L299" s="203"/>
      <c r="M299" s="203"/>
      <c r="N299" s="203"/>
      <c r="O299" s="205"/>
      <c r="P299" s="291"/>
      <c r="Q299" s="265"/>
      <c r="R299" s="265"/>
      <c r="S299" s="265"/>
      <c r="T299" s="265"/>
    </row>
    <row r="300" spans="1:23" ht="30" customHeight="1">
      <c r="A300" s="204" t="str">
        <f>IF(ISBLANK(D300)," ",230-COUNTBLANK($D$5:D300))</f>
        <v xml:space="preserve"> </v>
      </c>
      <c r="B300" s="202"/>
      <c r="C300" s="202"/>
      <c r="D300" s="202"/>
      <c r="E300" s="300"/>
      <c r="F300" s="210"/>
      <c r="G300" s="210"/>
      <c r="H300" s="203"/>
      <c r="I300" s="203"/>
      <c r="J300" s="203"/>
      <c r="K300" s="203"/>
      <c r="L300" s="203"/>
      <c r="M300" s="203"/>
      <c r="N300" s="203"/>
      <c r="O300" s="205"/>
      <c r="P300" s="291"/>
      <c r="Q300" s="265"/>
      <c r="R300" s="265"/>
      <c r="S300" s="265"/>
      <c r="T300" s="265"/>
    </row>
    <row r="301" spans="1:23" ht="30" customHeight="1">
      <c r="A301" s="204" t="s">
        <v>52</v>
      </c>
      <c r="B301" s="202"/>
      <c r="C301" s="202"/>
      <c r="D301" s="202"/>
      <c r="E301" s="300"/>
      <c r="F301" s="210">
        <f>SUM(F281:F300)</f>
        <v>0</v>
      </c>
      <c r="G301" s="210"/>
      <c r="H301" s="203"/>
      <c r="I301" s="203"/>
      <c r="J301" s="203"/>
      <c r="K301" s="203"/>
      <c r="L301" s="203"/>
      <c r="M301" s="203"/>
      <c r="N301" s="203"/>
      <c r="O301" s="205"/>
      <c r="P301" s="291"/>
      <c r="Q301" s="265"/>
      <c r="R301" s="265"/>
      <c r="S301" s="265"/>
      <c r="T301" s="265"/>
    </row>
    <row r="302" spans="1:23" ht="30" customHeight="1">
      <c r="A302" s="204" t="str">
        <f>IF(ISBLANK(D302)," ",232-COUNTBLANK($D$5:D302))</f>
        <v xml:space="preserve"> </v>
      </c>
      <c r="B302" s="202"/>
      <c r="C302" s="202"/>
      <c r="D302" s="202"/>
      <c r="E302" s="300"/>
      <c r="F302" s="210"/>
      <c r="G302" s="210"/>
      <c r="H302" s="203"/>
      <c r="I302" s="203"/>
      <c r="J302" s="203"/>
      <c r="K302" s="203"/>
      <c r="L302" s="203"/>
      <c r="M302" s="203"/>
      <c r="N302" s="203"/>
      <c r="O302" s="205"/>
      <c r="P302" s="291"/>
      <c r="Q302" s="265"/>
      <c r="R302" s="265"/>
      <c r="S302" s="265"/>
      <c r="T302" s="265"/>
    </row>
    <row r="303" spans="1:23" ht="30" customHeight="1">
      <c r="A303" s="204" t="str">
        <f>IF(ISBLANK(D303)," ",233-COUNTBLANK($D$5:D303))</f>
        <v xml:space="preserve"> </v>
      </c>
      <c r="B303" s="202"/>
      <c r="C303" s="202"/>
      <c r="D303" s="202"/>
      <c r="E303" s="300"/>
      <c r="F303" s="210"/>
      <c r="G303" s="210"/>
      <c r="H303" s="203"/>
      <c r="I303" s="203"/>
      <c r="J303" s="203"/>
      <c r="K303" s="203"/>
      <c r="L303" s="203"/>
      <c r="M303" s="203"/>
      <c r="N303" s="203"/>
      <c r="O303" s="205"/>
      <c r="P303" s="291"/>
      <c r="Q303" s="265"/>
      <c r="R303" s="265"/>
      <c r="S303" s="265"/>
      <c r="T303" s="265"/>
    </row>
    <row r="304" spans="1:23" ht="30" customHeight="1">
      <c r="A304" s="204" t="str">
        <f>IF(ISBLANK(D304)," ",234-COUNTBLANK($D$5:D304))</f>
        <v xml:space="preserve"> </v>
      </c>
      <c r="B304" s="202"/>
      <c r="C304" s="202"/>
      <c r="D304" s="202"/>
      <c r="E304" s="300"/>
      <c r="F304" s="210"/>
      <c r="G304" s="210"/>
      <c r="H304" s="203"/>
      <c r="I304" s="203"/>
      <c r="J304" s="203"/>
      <c r="K304" s="203"/>
      <c r="L304" s="203"/>
      <c r="M304" s="203"/>
      <c r="N304" s="203"/>
      <c r="O304" s="205"/>
      <c r="P304" s="291"/>
      <c r="Q304" s="265"/>
      <c r="R304" s="265"/>
      <c r="S304" s="265"/>
      <c r="T304" s="265"/>
    </row>
    <row r="305" spans="1:23" ht="30" customHeight="1">
      <c r="A305" s="204" t="str">
        <f>IF(ISBLANK(D305)," ",235-COUNTBLANK($D$5:D305))</f>
        <v xml:space="preserve"> </v>
      </c>
      <c r="B305" s="202"/>
      <c r="C305" s="202"/>
      <c r="D305" s="202"/>
      <c r="E305" s="300"/>
      <c r="F305" s="210"/>
      <c r="G305" s="210"/>
      <c r="H305" s="203"/>
      <c r="I305" s="203"/>
      <c r="J305" s="203"/>
      <c r="K305" s="203"/>
      <c r="L305" s="203"/>
      <c r="M305" s="203"/>
      <c r="N305" s="203"/>
      <c r="O305" s="205"/>
      <c r="P305" s="291"/>
      <c r="Q305" s="265"/>
      <c r="R305" s="265"/>
      <c r="S305" s="265"/>
      <c r="T305" s="267"/>
    </row>
    <row r="306" spans="1:23" ht="30" customHeight="1">
      <c r="A306" s="204" t="str">
        <f>IF(ISBLANK(D306)," ",236-COUNTBLANK($D$5:D306))</f>
        <v xml:space="preserve"> </v>
      </c>
      <c r="B306" s="202"/>
      <c r="C306" s="202"/>
      <c r="D306" s="202"/>
      <c r="E306" s="300"/>
      <c r="F306" s="210"/>
      <c r="G306" s="210"/>
      <c r="H306" s="203"/>
      <c r="I306" s="203"/>
      <c r="J306" s="203"/>
      <c r="K306" s="203"/>
      <c r="L306" s="203"/>
      <c r="M306" s="203"/>
      <c r="N306" s="203"/>
      <c r="O306" s="205"/>
      <c r="P306" s="291"/>
      <c r="Q306" s="265"/>
      <c r="R306" s="265"/>
      <c r="S306" s="265"/>
      <c r="T306" s="267"/>
    </row>
    <row r="307" spans="1:23" ht="30" customHeight="1">
      <c r="A307" s="204" t="str">
        <f>IF(ISBLANK(D307)," ",237-COUNTBLANK($D$5:D307))</f>
        <v xml:space="preserve"> </v>
      </c>
      <c r="B307" s="202"/>
      <c r="C307" s="202"/>
      <c r="D307" s="202"/>
      <c r="E307" s="300"/>
      <c r="F307" s="210"/>
      <c r="G307" s="210"/>
      <c r="H307" s="203"/>
      <c r="I307" s="203"/>
      <c r="J307" s="203"/>
      <c r="K307" s="203"/>
      <c r="L307" s="203"/>
      <c r="M307" s="203"/>
      <c r="N307" s="203"/>
      <c r="O307" s="205"/>
      <c r="P307" s="291"/>
      <c r="Q307" s="265"/>
      <c r="R307" s="265"/>
      <c r="S307" s="265"/>
      <c r="T307" s="267"/>
    </row>
    <row r="308" spans="1:23" ht="30" customHeight="1">
      <c r="A308" s="204" t="str">
        <f>IF(ISBLANK(D308)," ",238-COUNTBLANK($D$5:D308))</f>
        <v xml:space="preserve"> </v>
      </c>
      <c r="B308" s="202"/>
      <c r="C308" s="202"/>
      <c r="D308" s="202"/>
      <c r="E308" s="300"/>
      <c r="F308" s="210"/>
      <c r="G308" s="210"/>
      <c r="H308" s="203"/>
      <c r="I308" s="203"/>
      <c r="J308" s="203"/>
      <c r="K308" s="203"/>
      <c r="L308" s="203"/>
      <c r="M308" s="203"/>
      <c r="N308" s="203"/>
      <c r="O308" s="205"/>
      <c r="P308" s="291"/>
      <c r="Q308" s="265"/>
      <c r="R308" s="265"/>
      <c r="S308" s="265"/>
      <c r="T308" s="267"/>
    </row>
    <row r="309" spans="1:23" ht="30" customHeight="1">
      <c r="A309" s="304" t="str">
        <f>IF(ISBLANK(D309)," ",239-COUNTBLANK($D$5:D309))</f>
        <v xml:space="preserve"> </v>
      </c>
      <c r="B309" s="296"/>
      <c r="C309" s="305"/>
      <c r="D309" s="306"/>
      <c r="E309" s="297"/>
      <c r="F309" s="298"/>
      <c r="G309" s="298"/>
      <c r="H309" s="282"/>
      <c r="I309" s="282"/>
      <c r="J309" s="282"/>
      <c r="K309" s="282"/>
      <c r="L309" s="282"/>
      <c r="M309" s="282"/>
      <c r="N309" s="282"/>
      <c r="O309" s="283"/>
      <c r="P309" s="303"/>
      <c r="Q309" s="265"/>
      <c r="R309" s="265"/>
      <c r="S309" s="265"/>
      <c r="T309" s="284"/>
      <c r="U309" s="265"/>
      <c r="V309" s="265"/>
      <c r="W309" s="265"/>
    </row>
    <row r="310" spans="1:23" ht="30" customHeight="1">
      <c r="A310" s="260" t="str">
        <f>IF(ISBLANK(D310)," ",240-COUNTBLANK($D$5:D310))</f>
        <v xml:space="preserve"> </v>
      </c>
      <c r="B310" s="200"/>
      <c r="C310" s="200"/>
      <c r="D310" s="200"/>
      <c r="E310" s="299"/>
      <c r="F310" s="209"/>
      <c r="G310" s="209"/>
      <c r="H310" s="201"/>
      <c r="I310" s="201"/>
      <c r="J310" s="201"/>
      <c r="K310" s="201"/>
      <c r="L310" s="201"/>
      <c r="M310" s="201"/>
      <c r="N310" s="201"/>
      <c r="O310" s="262"/>
      <c r="P310" s="291"/>
      <c r="Q310" s="265"/>
      <c r="R310" s="265"/>
      <c r="S310" s="265"/>
      <c r="T310" s="284"/>
      <c r="U310" s="265"/>
      <c r="V310" s="265"/>
      <c r="W310" s="265"/>
    </row>
    <row r="311" spans="1:23" ht="30" customHeight="1">
      <c r="A311" s="204" t="str">
        <f>IF(ISBLANK(D311)," ",241-COUNTBLANK($D$5:D311))</f>
        <v xml:space="preserve"> </v>
      </c>
      <c r="B311" s="202"/>
      <c r="C311" s="202"/>
      <c r="D311" s="202"/>
      <c r="E311" s="300"/>
      <c r="F311" s="210"/>
      <c r="G311" s="210"/>
      <c r="H311" s="203"/>
      <c r="I311" s="203"/>
      <c r="J311" s="203"/>
      <c r="K311" s="203"/>
      <c r="L311" s="203"/>
      <c r="M311" s="203"/>
      <c r="N311" s="203"/>
      <c r="O311" s="205"/>
      <c r="P311" s="291"/>
      <c r="Q311" s="265"/>
      <c r="R311" s="265"/>
      <c r="S311" s="265"/>
      <c r="T311" s="265"/>
    </row>
    <row r="312" spans="1:23" ht="30" customHeight="1">
      <c r="A312" s="204" t="str">
        <f>IF(ISBLANK(D312)," ",242-COUNTBLANK($D$5:D312))</f>
        <v xml:space="preserve"> </v>
      </c>
      <c r="B312" s="202"/>
      <c r="C312" s="202"/>
      <c r="D312" s="202"/>
      <c r="E312" s="300"/>
      <c r="F312" s="210"/>
      <c r="G312" s="210"/>
      <c r="H312" s="203"/>
      <c r="I312" s="203"/>
      <c r="J312" s="203"/>
      <c r="K312" s="203"/>
      <c r="L312" s="203"/>
      <c r="M312" s="203"/>
      <c r="N312" s="203"/>
      <c r="O312" s="205"/>
      <c r="P312" s="291"/>
      <c r="Q312" s="265"/>
      <c r="R312" s="265"/>
      <c r="S312" s="265"/>
      <c r="T312" s="265"/>
    </row>
    <row r="313" spans="1:23" ht="30" customHeight="1">
      <c r="A313" s="204" t="str">
        <f>IF(ISBLANK(D313)," ",243-COUNTBLANK($D$5:D313))</f>
        <v xml:space="preserve"> </v>
      </c>
      <c r="B313" s="202"/>
      <c r="C313" s="202"/>
      <c r="D313" s="202"/>
      <c r="E313" s="300"/>
      <c r="F313" s="210"/>
      <c r="G313" s="210"/>
      <c r="H313" s="203"/>
      <c r="I313" s="203"/>
      <c r="J313" s="203"/>
      <c r="K313" s="203"/>
      <c r="L313" s="203"/>
      <c r="M313" s="203"/>
      <c r="N313" s="203"/>
      <c r="O313" s="205"/>
      <c r="P313" s="291"/>
      <c r="Q313" s="265"/>
      <c r="R313" s="265"/>
      <c r="S313" s="265"/>
      <c r="T313" s="265"/>
    </row>
    <row r="314" spans="1:23" ht="30" customHeight="1">
      <c r="A314" s="204" t="str">
        <f>IF(ISBLANK(D314)," ",244-COUNTBLANK($D$5:D314))</f>
        <v xml:space="preserve"> </v>
      </c>
      <c r="B314" s="202"/>
      <c r="C314" s="202"/>
      <c r="D314" s="202"/>
      <c r="E314" s="300"/>
      <c r="F314" s="210"/>
      <c r="G314" s="210"/>
      <c r="H314" s="203"/>
      <c r="I314" s="203"/>
      <c r="J314" s="203"/>
      <c r="K314" s="203"/>
      <c r="L314" s="203"/>
      <c r="M314" s="203"/>
      <c r="N314" s="203"/>
      <c r="O314" s="205"/>
      <c r="P314" s="291"/>
      <c r="Q314" s="265"/>
      <c r="R314" s="265"/>
      <c r="S314" s="265"/>
      <c r="T314" s="265"/>
    </row>
    <row r="315" spans="1:23" ht="30" customHeight="1">
      <c r="A315" s="204" t="str">
        <f>IF(ISBLANK(D315)," ",245-COUNTBLANK($D$5:D315))</f>
        <v xml:space="preserve"> </v>
      </c>
      <c r="B315" s="202"/>
      <c r="C315" s="202"/>
      <c r="D315" s="202"/>
      <c r="E315" s="300"/>
      <c r="F315" s="210"/>
      <c r="G315" s="210"/>
      <c r="H315" s="203"/>
      <c r="I315" s="203"/>
      <c r="J315" s="203"/>
      <c r="K315" s="203"/>
      <c r="L315" s="203"/>
      <c r="M315" s="203"/>
      <c r="N315" s="203"/>
      <c r="O315" s="205"/>
      <c r="P315" s="291"/>
      <c r="Q315" s="265"/>
      <c r="R315" s="265"/>
      <c r="S315" s="265"/>
      <c r="T315" s="265"/>
    </row>
    <row r="316" spans="1:23" ht="30" customHeight="1">
      <c r="A316" s="204" t="str">
        <f>IF(ISBLANK(D316)," ",246-COUNTBLANK($D$5:D316))</f>
        <v xml:space="preserve"> </v>
      </c>
      <c r="B316" s="202"/>
      <c r="C316" s="202"/>
      <c r="D316" s="202"/>
      <c r="E316" s="300"/>
      <c r="F316" s="210"/>
      <c r="G316" s="210"/>
      <c r="H316" s="203"/>
      <c r="I316" s="203"/>
      <c r="J316" s="203"/>
      <c r="K316" s="203"/>
      <c r="L316" s="203"/>
      <c r="M316" s="203"/>
      <c r="N316" s="203"/>
      <c r="O316" s="205"/>
      <c r="P316" s="291"/>
      <c r="Q316" s="265"/>
      <c r="R316" s="265"/>
      <c r="S316" s="265"/>
      <c r="T316" s="265"/>
    </row>
    <row r="317" spans="1:23" ht="30" customHeight="1">
      <c r="A317" s="204" t="str">
        <f>IF(ISBLANK(D317)," ",247-COUNTBLANK($D$5:D317))</f>
        <v xml:space="preserve"> </v>
      </c>
      <c r="B317" s="202"/>
      <c r="C317" s="202"/>
      <c r="D317" s="202"/>
      <c r="E317" s="300"/>
      <c r="F317" s="210"/>
      <c r="G317" s="210"/>
      <c r="H317" s="203"/>
      <c r="I317" s="203"/>
      <c r="J317" s="203"/>
      <c r="K317" s="203"/>
      <c r="L317" s="203"/>
      <c r="M317" s="203"/>
      <c r="N317" s="203"/>
      <c r="O317" s="205"/>
      <c r="P317" s="291"/>
      <c r="Q317" s="265"/>
      <c r="R317" s="265"/>
      <c r="S317" s="265"/>
      <c r="T317" s="265"/>
    </row>
    <row r="318" spans="1:23" ht="30" customHeight="1">
      <c r="A318" s="204" t="str">
        <f>IF(ISBLANK(D318)," ",248-COUNTBLANK($D$5:D318))</f>
        <v xml:space="preserve"> </v>
      </c>
      <c r="B318" s="202"/>
      <c r="C318" s="202"/>
      <c r="D318" s="202"/>
      <c r="E318" s="300"/>
      <c r="F318" s="210"/>
      <c r="G318" s="210"/>
      <c r="H318" s="203"/>
      <c r="I318" s="203"/>
      <c r="J318" s="203"/>
      <c r="K318" s="203"/>
      <c r="L318" s="203"/>
      <c r="M318" s="203"/>
      <c r="N318" s="203"/>
      <c r="O318" s="205"/>
      <c r="P318" s="291"/>
      <c r="Q318" s="265"/>
      <c r="R318" s="265"/>
      <c r="S318" s="265"/>
      <c r="T318" s="265"/>
    </row>
    <row r="319" spans="1:23" ht="30" customHeight="1">
      <c r="A319" s="204" t="str">
        <f>IF(ISBLANK(D319)," ",249-COUNTBLANK($D$5:D319))</f>
        <v xml:space="preserve"> </v>
      </c>
      <c r="B319" s="202"/>
      <c r="C319" s="202"/>
      <c r="D319" s="202"/>
      <c r="E319" s="300"/>
      <c r="F319" s="210"/>
      <c r="G319" s="210"/>
      <c r="H319" s="203"/>
      <c r="I319" s="203"/>
      <c r="J319" s="203"/>
      <c r="K319" s="203"/>
      <c r="L319" s="203"/>
      <c r="M319" s="203"/>
      <c r="N319" s="203"/>
      <c r="O319" s="205"/>
      <c r="P319" s="291"/>
      <c r="Q319" s="265"/>
      <c r="R319" s="265"/>
      <c r="S319" s="265"/>
      <c r="T319" s="265"/>
    </row>
    <row r="320" spans="1:23" ht="30" customHeight="1">
      <c r="A320" s="204" t="str">
        <f>IF(ISBLANK(D320)," ",250-COUNTBLANK($D$5:D320))</f>
        <v xml:space="preserve"> </v>
      </c>
      <c r="B320" s="202"/>
      <c r="C320" s="202"/>
      <c r="D320" s="202"/>
      <c r="E320" s="300"/>
      <c r="F320" s="210"/>
      <c r="G320" s="210"/>
      <c r="H320" s="203"/>
      <c r="I320" s="203"/>
      <c r="J320" s="203"/>
      <c r="K320" s="203"/>
      <c r="L320" s="203"/>
      <c r="M320" s="203"/>
      <c r="N320" s="203"/>
      <c r="O320" s="205"/>
      <c r="P320" s="291"/>
      <c r="Q320" s="265"/>
      <c r="R320" s="265"/>
      <c r="S320" s="265"/>
      <c r="T320" s="265"/>
    </row>
    <row r="321" spans="1:23" ht="30" customHeight="1">
      <c r="A321" s="204" t="str">
        <f>IF(ISBLANK(D321)," ",251-COUNTBLANK($D$5:D321))</f>
        <v xml:space="preserve"> </v>
      </c>
      <c r="B321" s="202"/>
      <c r="C321" s="202"/>
      <c r="D321" s="202"/>
      <c r="E321" s="300"/>
      <c r="F321" s="210"/>
      <c r="G321" s="210"/>
      <c r="H321" s="203"/>
      <c r="I321" s="203"/>
      <c r="J321" s="203"/>
      <c r="K321" s="203"/>
      <c r="L321" s="203"/>
      <c r="M321" s="203"/>
      <c r="N321" s="203"/>
      <c r="O321" s="205"/>
      <c r="P321" s="291"/>
      <c r="Q321" s="265"/>
      <c r="R321" s="265"/>
      <c r="S321" s="265"/>
      <c r="T321" s="265"/>
    </row>
    <row r="322" spans="1:23" ht="30" customHeight="1">
      <c r="A322" s="204" t="s">
        <v>52</v>
      </c>
      <c r="B322" s="202"/>
      <c r="C322" s="202"/>
      <c r="D322" s="202"/>
      <c r="E322" s="300"/>
      <c r="F322" s="210">
        <f>SUM(F302:F321)</f>
        <v>0</v>
      </c>
      <c r="G322" s="210"/>
      <c r="H322" s="203"/>
      <c r="I322" s="203"/>
      <c r="J322" s="203"/>
      <c r="K322" s="203"/>
      <c r="L322" s="203"/>
      <c r="M322" s="203"/>
      <c r="N322" s="203"/>
      <c r="O322" s="205"/>
      <c r="P322" s="291"/>
      <c r="Q322" s="265"/>
      <c r="R322" s="265"/>
      <c r="S322" s="265"/>
      <c r="T322" s="265"/>
    </row>
    <row r="323" spans="1:23" ht="30" customHeight="1">
      <c r="A323" s="204" t="str">
        <f>IF(ISBLANK(D323)," ",253-COUNTBLANK($D$5:D323))</f>
        <v xml:space="preserve"> </v>
      </c>
      <c r="B323" s="202"/>
      <c r="C323" s="202"/>
      <c r="D323" s="202"/>
      <c r="E323" s="300"/>
      <c r="F323" s="210"/>
      <c r="G323" s="210"/>
      <c r="H323" s="203"/>
      <c r="I323" s="203"/>
      <c r="J323" s="203"/>
      <c r="K323" s="203"/>
      <c r="L323" s="203"/>
      <c r="M323" s="203"/>
      <c r="N323" s="203"/>
      <c r="O323" s="205"/>
      <c r="P323" s="291"/>
      <c r="Q323" s="265"/>
      <c r="R323" s="265"/>
      <c r="S323" s="265"/>
      <c r="T323" s="265"/>
    </row>
    <row r="324" spans="1:23" ht="30" customHeight="1">
      <c r="A324" s="204" t="str">
        <f>IF(ISBLANK(D324)," ",254-COUNTBLANK($D$5:D324))</f>
        <v xml:space="preserve"> </v>
      </c>
      <c r="B324" s="202"/>
      <c r="C324" s="202"/>
      <c r="D324" s="202"/>
      <c r="E324" s="300"/>
      <c r="F324" s="210"/>
      <c r="G324" s="210"/>
      <c r="H324" s="203"/>
      <c r="I324" s="203"/>
      <c r="J324" s="203"/>
      <c r="K324" s="203"/>
      <c r="L324" s="203"/>
      <c r="M324" s="203"/>
      <c r="N324" s="203"/>
      <c r="O324" s="205"/>
      <c r="P324" s="291"/>
      <c r="Q324" s="265"/>
      <c r="R324" s="265"/>
      <c r="S324" s="265"/>
      <c r="T324" s="265"/>
    </row>
    <row r="325" spans="1:23" ht="30" customHeight="1">
      <c r="A325" s="204" t="str">
        <f>IF(ISBLANK(D325)," ",255-COUNTBLANK($D$5:D325))</f>
        <v xml:space="preserve"> </v>
      </c>
      <c r="B325" s="202"/>
      <c r="C325" s="202"/>
      <c r="D325" s="202"/>
      <c r="E325" s="300"/>
      <c r="F325" s="210"/>
      <c r="G325" s="210"/>
      <c r="H325" s="203"/>
      <c r="I325" s="203"/>
      <c r="J325" s="203"/>
      <c r="K325" s="203"/>
      <c r="L325" s="203"/>
      <c r="M325" s="203"/>
      <c r="N325" s="203"/>
      <c r="O325" s="205"/>
      <c r="P325" s="291"/>
      <c r="Q325" s="265"/>
      <c r="R325" s="265"/>
      <c r="S325" s="265"/>
      <c r="T325" s="265"/>
    </row>
    <row r="326" spans="1:23" ht="30" customHeight="1">
      <c r="A326" s="204" t="str">
        <f>IF(ISBLANK(D326)," ",256-COUNTBLANK($D$5:D326))</f>
        <v xml:space="preserve"> </v>
      </c>
      <c r="B326" s="202"/>
      <c r="C326" s="202"/>
      <c r="D326" s="202"/>
      <c r="E326" s="300"/>
      <c r="F326" s="210"/>
      <c r="G326" s="210"/>
      <c r="H326" s="203"/>
      <c r="I326" s="203"/>
      <c r="J326" s="203"/>
      <c r="K326" s="203"/>
      <c r="L326" s="203"/>
      <c r="M326" s="203"/>
      <c r="N326" s="203"/>
      <c r="O326" s="205"/>
      <c r="P326" s="291"/>
      <c r="Q326" s="265"/>
      <c r="R326" s="265"/>
      <c r="S326" s="265"/>
      <c r="T326" s="267"/>
    </row>
    <row r="327" spans="1:23" ht="30" customHeight="1">
      <c r="A327" s="204" t="str">
        <f>IF(ISBLANK(D327)," ",257-COUNTBLANK($D$5:D327))</f>
        <v xml:space="preserve"> </v>
      </c>
      <c r="B327" s="202"/>
      <c r="C327" s="202"/>
      <c r="D327" s="202"/>
      <c r="E327" s="300"/>
      <c r="F327" s="210"/>
      <c r="G327" s="210"/>
      <c r="H327" s="203"/>
      <c r="I327" s="203"/>
      <c r="J327" s="203"/>
      <c r="K327" s="203"/>
      <c r="L327" s="203"/>
      <c r="M327" s="203"/>
      <c r="N327" s="203"/>
      <c r="O327" s="205"/>
      <c r="P327" s="291"/>
      <c r="Q327" s="265"/>
      <c r="R327" s="265"/>
      <c r="S327" s="265"/>
      <c r="T327" s="267"/>
    </row>
    <row r="328" spans="1:23" ht="30" customHeight="1">
      <c r="A328" s="204" t="str">
        <f>IF(ISBLANK(D328)," ",258-COUNTBLANK($D$5:D328))</f>
        <v xml:space="preserve"> </v>
      </c>
      <c r="B328" s="202"/>
      <c r="C328" s="202"/>
      <c r="D328" s="202"/>
      <c r="E328" s="300"/>
      <c r="F328" s="210"/>
      <c r="G328" s="210"/>
      <c r="H328" s="203"/>
      <c r="I328" s="203"/>
      <c r="J328" s="203"/>
      <c r="K328" s="203"/>
      <c r="L328" s="203"/>
      <c r="M328" s="203"/>
      <c r="N328" s="203"/>
      <c r="O328" s="205"/>
      <c r="P328" s="291"/>
      <c r="Q328" s="265"/>
      <c r="R328" s="265"/>
      <c r="S328" s="265"/>
      <c r="T328" s="267"/>
    </row>
    <row r="329" spans="1:23" ht="30" customHeight="1">
      <c r="A329" s="204" t="str">
        <f>IF(ISBLANK(D329)," ",259-COUNTBLANK($D$5:D329))</f>
        <v xml:space="preserve"> </v>
      </c>
      <c r="B329" s="202"/>
      <c r="C329" s="202"/>
      <c r="D329" s="202"/>
      <c r="E329" s="300"/>
      <c r="F329" s="210"/>
      <c r="G329" s="210"/>
      <c r="H329" s="203"/>
      <c r="I329" s="203"/>
      <c r="J329" s="203"/>
      <c r="K329" s="203"/>
      <c r="L329" s="203"/>
      <c r="M329" s="203"/>
      <c r="N329" s="203"/>
      <c r="O329" s="205"/>
      <c r="P329" s="291"/>
      <c r="Q329" s="265"/>
      <c r="R329" s="265"/>
      <c r="S329" s="265"/>
      <c r="T329" s="267"/>
    </row>
    <row r="330" spans="1:23" ht="30" customHeight="1">
      <c r="A330" s="304" t="str">
        <f>IF(ISBLANK(D330)," ",260-COUNTBLANK($D$5:D330))</f>
        <v xml:space="preserve"> </v>
      </c>
      <c r="B330" s="296"/>
      <c r="C330" s="305"/>
      <c r="D330" s="306"/>
      <c r="E330" s="297"/>
      <c r="F330" s="298"/>
      <c r="G330" s="298"/>
      <c r="H330" s="282"/>
      <c r="I330" s="282"/>
      <c r="J330" s="282"/>
      <c r="K330" s="282"/>
      <c r="L330" s="282"/>
      <c r="M330" s="282"/>
      <c r="N330" s="282"/>
      <c r="O330" s="283"/>
      <c r="P330" s="303"/>
      <c r="Q330" s="265"/>
      <c r="R330" s="265"/>
      <c r="S330" s="265"/>
      <c r="T330" s="284"/>
      <c r="U330" s="265"/>
      <c r="V330" s="265"/>
      <c r="W330" s="265"/>
    </row>
    <row r="331" spans="1:23" ht="30" customHeight="1">
      <c r="A331" s="260" t="str">
        <f>IF(ISBLANK(D331)," ",261-COUNTBLANK($D$5:D331))</f>
        <v xml:space="preserve"> </v>
      </c>
      <c r="B331" s="200"/>
      <c r="C331" s="200"/>
      <c r="D331" s="200"/>
      <c r="E331" s="299"/>
      <c r="F331" s="209"/>
      <c r="G331" s="209"/>
      <c r="H331" s="201"/>
      <c r="I331" s="201"/>
      <c r="J331" s="201"/>
      <c r="K331" s="201"/>
      <c r="L331" s="201"/>
      <c r="M331" s="201"/>
      <c r="N331" s="201"/>
      <c r="O331" s="262"/>
      <c r="P331" s="291"/>
      <c r="Q331" s="265"/>
      <c r="R331" s="265"/>
      <c r="S331" s="265"/>
      <c r="T331" s="284"/>
      <c r="U331" s="265"/>
      <c r="V331" s="265"/>
      <c r="W331" s="265"/>
    </row>
    <row r="332" spans="1:23" ht="30" customHeight="1">
      <c r="A332" s="204" t="str">
        <f>IF(ISBLANK(D332)," ",262-COUNTBLANK($D$5:D332))</f>
        <v xml:space="preserve"> </v>
      </c>
      <c r="B332" s="202"/>
      <c r="C332" s="202"/>
      <c r="D332" s="202"/>
      <c r="E332" s="300"/>
      <c r="F332" s="210"/>
      <c r="G332" s="210"/>
      <c r="H332" s="203"/>
      <c r="I332" s="203"/>
      <c r="J332" s="203"/>
      <c r="K332" s="203"/>
      <c r="L332" s="203"/>
      <c r="M332" s="203"/>
      <c r="N332" s="203"/>
      <c r="O332" s="205"/>
      <c r="P332" s="291"/>
      <c r="Q332" s="265"/>
      <c r="R332" s="265"/>
      <c r="S332" s="265"/>
      <c r="T332" s="265"/>
    </row>
    <row r="333" spans="1:23" ht="30" customHeight="1">
      <c r="A333" s="204" t="str">
        <f>IF(ISBLANK(D333)," ",263-COUNTBLANK($D$5:D333))</f>
        <v xml:space="preserve"> </v>
      </c>
      <c r="B333" s="202"/>
      <c r="C333" s="202"/>
      <c r="D333" s="202"/>
      <c r="E333" s="300"/>
      <c r="F333" s="210"/>
      <c r="G333" s="210"/>
      <c r="H333" s="203"/>
      <c r="I333" s="203"/>
      <c r="J333" s="203"/>
      <c r="K333" s="203"/>
      <c r="L333" s="203"/>
      <c r="M333" s="203"/>
      <c r="N333" s="203"/>
      <c r="O333" s="205"/>
      <c r="P333" s="291"/>
      <c r="Q333" s="265"/>
      <c r="R333" s="265"/>
      <c r="S333" s="265"/>
      <c r="T333" s="265"/>
    </row>
    <row r="334" spans="1:23" ht="30" customHeight="1">
      <c r="A334" s="204" t="str">
        <f>IF(ISBLANK(D334)," ",264-COUNTBLANK($D$5:D334))</f>
        <v xml:space="preserve"> </v>
      </c>
      <c r="B334" s="202"/>
      <c r="C334" s="202"/>
      <c r="D334" s="202"/>
      <c r="E334" s="300"/>
      <c r="F334" s="210"/>
      <c r="G334" s="210"/>
      <c r="H334" s="203"/>
      <c r="I334" s="203"/>
      <c r="J334" s="203"/>
      <c r="K334" s="203"/>
      <c r="L334" s="203"/>
      <c r="M334" s="203"/>
      <c r="N334" s="203"/>
      <c r="O334" s="205"/>
      <c r="P334" s="291"/>
      <c r="Q334" s="265"/>
      <c r="R334" s="265"/>
      <c r="S334" s="265"/>
      <c r="T334" s="265"/>
    </row>
    <row r="335" spans="1:23" ht="30" customHeight="1">
      <c r="A335" s="204" t="str">
        <f>IF(ISBLANK(D335)," ",265-COUNTBLANK($D$5:D335))</f>
        <v xml:space="preserve"> </v>
      </c>
      <c r="B335" s="202"/>
      <c r="C335" s="202"/>
      <c r="D335" s="202"/>
      <c r="E335" s="300"/>
      <c r="F335" s="210"/>
      <c r="G335" s="210"/>
      <c r="H335" s="203"/>
      <c r="I335" s="203"/>
      <c r="J335" s="203"/>
      <c r="K335" s="203"/>
      <c r="L335" s="203"/>
      <c r="M335" s="203"/>
      <c r="N335" s="203"/>
      <c r="O335" s="205"/>
      <c r="P335" s="291"/>
      <c r="Q335" s="265"/>
      <c r="R335" s="265"/>
      <c r="S335" s="265"/>
      <c r="T335" s="265"/>
    </row>
    <row r="336" spans="1:23" ht="30" customHeight="1">
      <c r="A336" s="204" t="str">
        <f>IF(ISBLANK(D336)," ",266-COUNTBLANK($D$5:D336))</f>
        <v xml:space="preserve"> </v>
      </c>
      <c r="B336" s="202"/>
      <c r="C336" s="202"/>
      <c r="D336" s="202"/>
      <c r="E336" s="300"/>
      <c r="F336" s="210"/>
      <c r="G336" s="210"/>
      <c r="H336" s="203"/>
      <c r="I336" s="203"/>
      <c r="J336" s="203"/>
      <c r="K336" s="203"/>
      <c r="L336" s="203"/>
      <c r="M336" s="203"/>
      <c r="N336" s="203"/>
      <c r="O336" s="205"/>
      <c r="P336" s="291"/>
      <c r="Q336" s="265"/>
      <c r="R336" s="265"/>
      <c r="S336" s="265"/>
      <c r="T336" s="265"/>
    </row>
    <row r="337" spans="1:23" ht="30" customHeight="1">
      <c r="A337" s="204" t="str">
        <f>IF(ISBLANK(D337)," ",267-COUNTBLANK($D$5:D337))</f>
        <v xml:space="preserve"> </v>
      </c>
      <c r="B337" s="202"/>
      <c r="C337" s="202"/>
      <c r="D337" s="202"/>
      <c r="E337" s="300"/>
      <c r="F337" s="210"/>
      <c r="G337" s="210"/>
      <c r="H337" s="203"/>
      <c r="I337" s="203"/>
      <c r="J337" s="203"/>
      <c r="K337" s="203"/>
      <c r="L337" s="203"/>
      <c r="M337" s="203"/>
      <c r="N337" s="203"/>
      <c r="O337" s="205"/>
      <c r="P337" s="291"/>
      <c r="Q337" s="265"/>
      <c r="R337" s="265"/>
      <c r="S337" s="265"/>
      <c r="T337" s="265"/>
    </row>
    <row r="338" spans="1:23" ht="30" customHeight="1">
      <c r="A338" s="204" t="str">
        <f>IF(ISBLANK(D338)," ",268-COUNTBLANK($D$5:D338))</f>
        <v xml:space="preserve"> </v>
      </c>
      <c r="B338" s="202"/>
      <c r="C338" s="202"/>
      <c r="D338" s="202"/>
      <c r="E338" s="300"/>
      <c r="F338" s="210"/>
      <c r="G338" s="210"/>
      <c r="H338" s="203"/>
      <c r="I338" s="203"/>
      <c r="J338" s="203"/>
      <c r="K338" s="203"/>
      <c r="L338" s="203"/>
      <c r="M338" s="203"/>
      <c r="N338" s="203"/>
      <c r="O338" s="205"/>
      <c r="P338" s="291"/>
      <c r="Q338" s="265"/>
      <c r="R338" s="265"/>
      <c r="S338" s="265"/>
      <c r="T338" s="265"/>
    </row>
    <row r="339" spans="1:23" ht="30" customHeight="1">
      <c r="A339" s="204" t="str">
        <f>IF(ISBLANK(D339)," ",269-COUNTBLANK($D$5:D339))</f>
        <v xml:space="preserve"> </v>
      </c>
      <c r="B339" s="202"/>
      <c r="C339" s="202"/>
      <c r="D339" s="202"/>
      <c r="E339" s="300"/>
      <c r="F339" s="210"/>
      <c r="G339" s="210"/>
      <c r="H339" s="203"/>
      <c r="I339" s="203"/>
      <c r="J339" s="203"/>
      <c r="K339" s="203"/>
      <c r="L339" s="203"/>
      <c r="M339" s="203"/>
      <c r="N339" s="203"/>
      <c r="O339" s="205"/>
      <c r="P339" s="291"/>
      <c r="Q339" s="265"/>
      <c r="R339" s="265"/>
      <c r="S339" s="265"/>
      <c r="T339" s="265"/>
    </row>
    <row r="340" spans="1:23" ht="30" customHeight="1">
      <c r="A340" s="204" t="str">
        <f>IF(ISBLANK(D340)," ",270-COUNTBLANK($D$5:D340))</f>
        <v xml:space="preserve"> </v>
      </c>
      <c r="B340" s="202"/>
      <c r="C340" s="202"/>
      <c r="D340" s="202"/>
      <c r="E340" s="300"/>
      <c r="F340" s="210"/>
      <c r="G340" s="210"/>
      <c r="H340" s="203"/>
      <c r="I340" s="203"/>
      <c r="J340" s="203"/>
      <c r="K340" s="203"/>
      <c r="L340" s="203"/>
      <c r="M340" s="203"/>
      <c r="N340" s="203"/>
      <c r="O340" s="205"/>
      <c r="P340" s="291"/>
      <c r="Q340" s="265"/>
      <c r="R340" s="265"/>
      <c r="S340" s="265"/>
      <c r="T340" s="265"/>
    </row>
    <row r="341" spans="1:23" ht="30" customHeight="1">
      <c r="A341" s="204" t="str">
        <f>IF(ISBLANK(D341)," ",271-COUNTBLANK($D$5:D341))</f>
        <v xml:space="preserve"> </v>
      </c>
      <c r="B341" s="202"/>
      <c r="C341" s="202"/>
      <c r="D341" s="202"/>
      <c r="E341" s="300"/>
      <c r="F341" s="210"/>
      <c r="G341" s="210"/>
      <c r="H341" s="203"/>
      <c r="I341" s="203"/>
      <c r="J341" s="203"/>
      <c r="K341" s="203"/>
      <c r="L341" s="203"/>
      <c r="M341" s="203"/>
      <c r="N341" s="203"/>
      <c r="O341" s="205"/>
      <c r="P341" s="291"/>
      <c r="Q341" s="265"/>
      <c r="R341" s="265"/>
      <c r="S341" s="265"/>
      <c r="T341" s="265"/>
    </row>
    <row r="342" spans="1:23" ht="30" customHeight="1">
      <c r="A342" s="204" t="str">
        <f>IF(ISBLANK(D342)," ",272-COUNTBLANK($D$5:D342))</f>
        <v xml:space="preserve"> </v>
      </c>
      <c r="B342" s="202"/>
      <c r="C342" s="202"/>
      <c r="D342" s="202"/>
      <c r="E342" s="300"/>
      <c r="F342" s="210"/>
      <c r="G342" s="210"/>
      <c r="H342" s="203"/>
      <c r="I342" s="203"/>
      <c r="J342" s="203"/>
      <c r="K342" s="203"/>
      <c r="L342" s="203"/>
      <c r="M342" s="203"/>
      <c r="N342" s="203"/>
      <c r="O342" s="205"/>
      <c r="P342" s="291"/>
      <c r="Q342" s="265"/>
      <c r="R342" s="265"/>
      <c r="S342" s="265"/>
      <c r="T342" s="265"/>
    </row>
    <row r="343" spans="1:23" ht="30" customHeight="1">
      <c r="A343" s="204" t="s">
        <v>52</v>
      </c>
      <c r="B343" s="202"/>
      <c r="C343" s="202"/>
      <c r="D343" s="202"/>
      <c r="E343" s="300"/>
      <c r="F343" s="210">
        <f>SUM(F323:F342)</f>
        <v>0</v>
      </c>
      <c r="G343" s="210"/>
      <c r="H343" s="203"/>
      <c r="I343" s="203"/>
      <c r="J343" s="203"/>
      <c r="K343" s="203"/>
      <c r="L343" s="203"/>
      <c r="M343" s="203"/>
      <c r="N343" s="203"/>
      <c r="O343" s="205"/>
      <c r="P343" s="291"/>
      <c r="Q343" s="265"/>
      <c r="R343" s="265"/>
      <c r="S343" s="265"/>
      <c r="T343" s="265"/>
    </row>
    <row r="344" spans="1:23" ht="30" customHeight="1">
      <c r="A344" s="204" t="str">
        <f>IF(ISBLANK(D344)," ",274-COUNTBLANK($D$5:D344))</f>
        <v xml:space="preserve"> </v>
      </c>
      <c r="B344" s="202"/>
      <c r="C344" s="202"/>
      <c r="D344" s="202"/>
      <c r="E344" s="300"/>
      <c r="F344" s="210"/>
      <c r="G344" s="210"/>
      <c r="H344" s="203"/>
      <c r="I344" s="203"/>
      <c r="J344" s="203"/>
      <c r="K344" s="203"/>
      <c r="L344" s="203"/>
      <c r="M344" s="203"/>
      <c r="N344" s="203"/>
      <c r="O344" s="205"/>
      <c r="P344" s="291"/>
      <c r="Q344" s="265"/>
      <c r="R344" s="265"/>
      <c r="S344" s="265"/>
      <c r="T344" s="265"/>
    </row>
    <row r="345" spans="1:23" ht="30" customHeight="1">
      <c r="A345" s="204" t="str">
        <f>IF(ISBLANK(D345)," ",275-COUNTBLANK($D$5:D345))</f>
        <v xml:space="preserve"> </v>
      </c>
      <c r="B345" s="202"/>
      <c r="C345" s="202"/>
      <c r="D345" s="202"/>
      <c r="E345" s="300"/>
      <c r="F345" s="210"/>
      <c r="G345" s="210"/>
      <c r="H345" s="203"/>
      <c r="I345" s="203"/>
      <c r="J345" s="203"/>
      <c r="K345" s="203"/>
      <c r="L345" s="203"/>
      <c r="M345" s="203"/>
      <c r="N345" s="203"/>
      <c r="O345" s="205"/>
      <c r="P345" s="291"/>
      <c r="Q345" s="265"/>
      <c r="R345" s="265"/>
      <c r="S345" s="265"/>
      <c r="T345" s="265"/>
    </row>
    <row r="346" spans="1:23" ht="30" customHeight="1">
      <c r="A346" s="204" t="str">
        <f>IF(ISBLANK(D346)," ",276-COUNTBLANK($D$5:D346))</f>
        <v xml:space="preserve"> </v>
      </c>
      <c r="B346" s="202"/>
      <c r="C346" s="202"/>
      <c r="D346" s="202"/>
      <c r="E346" s="300"/>
      <c r="F346" s="210"/>
      <c r="G346" s="210"/>
      <c r="H346" s="203"/>
      <c r="I346" s="203"/>
      <c r="J346" s="203"/>
      <c r="K346" s="203"/>
      <c r="L346" s="203"/>
      <c r="M346" s="203"/>
      <c r="N346" s="203"/>
      <c r="O346" s="205"/>
      <c r="P346" s="291"/>
      <c r="Q346" s="265"/>
      <c r="R346" s="265"/>
      <c r="S346" s="265"/>
      <c r="T346" s="265"/>
    </row>
    <row r="347" spans="1:23" ht="30" customHeight="1">
      <c r="A347" s="204" t="str">
        <f>IF(ISBLANK(D347)," ",277-COUNTBLANK($D$5:D347))</f>
        <v xml:space="preserve"> </v>
      </c>
      <c r="B347" s="202"/>
      <c r="C347" s="202"/>
      <c r="D347" s="202"/>
      <c r="E347" s="300"/>
      <c r="F347" s="210"/>
      <c r="G347" s="210"/>
      <c r="H347" s="203"/>
      <c r="I347" s="203"/>
      <c r="J347" s="203"/>
      <c r="K347" s="203"/>
      <c r="L347" s="203"/>
      <c r="M347" s="203"/>
      <c r="N347" s="203"/>
      <c r="O347" s="205"/>
      <c r="P347" s="291"/>
      <c r="Q347" s="265"/>
      <c r="R347" s="265"/>
      <c r="S347" s="265"/>
      <c r="T347" s="267"/>
    </row>
    <row r="348" spans="1:23" ht="30" customHeight="1">
      <c r="A348" s="204" t="str">
        <f>IF(ISBLANK(D348)," ",278-COUNTBLANK($D$5:D348))</f>
        <v xml:space="preserve"> </v>
      </c>
      <c r="B348" s="202"/>
      <c r="C348" s="202"/>
      <c r="D348" s="202"/>
      <c r="E348" s="300"/>
      <c r="F348" s="210"/>
      <c r="G348" s="210"/>
      <c r="H348" s="203"/>
      <c r="I348" s="203"/>
      <c r="J348" s="203"/>
      <c r="K348" s="203"/>
      <c r="L348" s="203"/>
      <c r="M348" s="203"/>
      <c r="N348" s="203"/>
      <c r="O348" s="205"/>
      <c r="P348" s="291"/>
      <c r="Q348" s="265"/>
      <c r="R348" s="265"/>
      <c r="S348" s="265"/>
      <c r="T348" s="267"/>
    </row>
    <row r="349" spans="1:23" ht="30" customHeight="1">
      <c r="A349" s="204" t="str">
        <f>IF(ISBLANK(D349)," ",279-COUNTBLANK($D$5:D349))</f>
        <v xml:space="preserve"> </v>
      </c>
      <c r="B349" s="202"/>
      <c r="C349" s="202"/>
      <c r="D349" s="202"/>
      <c r="E349" s="300"/>
      <c r="F349" s="210"/>
      <c r="G349" s="210"/>
      <c r="H349" s="203"/>
      <c r="I349" s="203"/>
      <c r="J349" s="203"/>
      <c r="K349" s="203"/>
      <c r="L349" s="203"/>
      <c r="M349" s="203"/>
      <c r="N349" s="203"/>
      <c r="O349" s="205"/>
      <c r="P349" s="291"/>
      <c r="Q349" s="265"/>
      <c r="R349" s="265"/>
      <c r="S349" s="265"/>
      <c r="T349" s="267"/>
    </row>
    <row r="350" spans="1:23" ht="30" customHeight="1">
      <c r="A350" s="204" t="str">
        <f>IF(ISBLANK(D350)," ",280-COUNTBLANK($D$5:D350))</f>
        <v xml:space="preserve"> </v>
      </c>
      <c r="B350" s="202"/>
      <c r="C350" s="202"/>
      <c r="D350" s="202"/>
      <c r="E350" s="300"/>
      <c r="F350" s="210"/>
      <c r="G350" s="210"/>
      <c r="H350" s="203"/>
      <c r="I350" s="203"/>
      <c r="J350" s="203"/>
      <c r="K350" s="203"/>
      <c r="L350" s="203"/>
      <c r="M350" s="203"/>
      <c r="N350" s="203"/>
      <c r="O350" s="205"/>
      <c r="P350" s="291"/>
      <c r="Q350" s="265"/>
      <c r="R350" s="265"/>
      <c r="S350" s="265"/>
      <c r="T350" s="267"/>
    </row>
    <row r="351" spans="1:23" ht="30" customHeight="1">
      <c r="A351" s="304" t="str">
        <f>IF(ISBLANK(D351)," ",281-COUNTBLANK($D$5:D351))</f>
        <v xml:space="preserve"> </v>
      </c>
      <c r="B351" s="296"/>
      <c r="C351" s="305"/>
      <c r="D351" s="306"/>
      <c r="E351" s="297"/>
      <c r="F351" s="298"/>
      <c r="G351" s="298"/>
      <c r="H351" s="282"/>
      <c r="I351" s="282"/>
      <c r="J351" s="282"/>
      <c r="K351" s="282"/>
      <c r="L351" s="282"/>
      <c r="M351" s="282"/>
      <c r="N351" s="282"/>
      <c r="O351" s="283"/>
      <c r="P351" s="303"/>
      <c r="Q351" s="265"/>
      <c r="R351" s="265"/>
      <c r="S351" s="265"/>
      <c r="T351" s="284"/>
      <c r="U351" s="265"/>
      <c r="V351" s="265"/>
      <c r="W351" s="265"/>
    </row>
    <row r="352" spans="1:23" ht="30" customHeight="1">
      <c r="A352" s="260" t="str">
        <f>IF(ISBLANK(D352)," ",282-COUNTBLANK($D$5:D352))</f>
        <v xml:space="preserve"> </v>
      </c>
      <c r="B352" s="200"/>
      <c r="C352" s="200"/>
      <c r="D352" s="200"/>
      <c r="E352" s="299"/>
      <c r="F352" s="209"/>
      <c r="G352" s="209"/>
      <c r="H352" s="201"/>
      <c r="I352" s="201"/>
      <c r="J352" s="201"/>
      <c r="K352" s="201"/>
      <c r="L352" s="201"/>
      <c r="M352" s="201"/>
      <c r="N352" s="201"/>
      <c r="O352" s="262"/>
      <c r="P352" s="291"/>
      <c r="Q352" s="265"/>
      <c r="R352" s="265"/>
      <c r="S352" s="265"/>
      <c r="T352" s="284"/>
      <c r="U352" s="265"/>
      <c r="V352" s="265"/>
      <c r="W352" s="265"/>
    </row>
    <row r="353" spans="1:20" ht="30" customHeight="1">
      <c r="A353" s="204" t="str">
        <f>IF(ISBLANK(D353)," ",283-COUNTBLANK($D$5:D353))</f>
        <v xml:space="preserve"> </v>
      </c>
      <c r="B353" s="202"/>
      <c r="C353" s="202"/>
      <c r="D353" s="202"/>
      <c r="E353" s="300"/>
      <c r="F353" s="210"/>
      <c r="G353" s="210"/>
      <c r="H353" s="203"/>
      <c r="I353" s="203"/>
      <c r="J353" s="203"/>
      <c r="K353" s="203"/>
      <c r="L353" s="203"/>
      <c r="M353" s="203"/>
      <c r="N353" s="203"/>
      <c r="O353" s="205"/>
      <c r="P353" s="291"/>
      <c r="Q353" s="265"/>
      <c r="R353" s="265"/>
      <c r="S353" s="265"/>
      <c r="T353" s="265"/>
    </row>
    <row r="354" spans="1:20" ht="30" customHeight="1">
      <c r="A354" s="204" t="str">
        <f>IF(ISBLANK(D354)," ",284-COUNTBLANK($D$5:D354))</f>
        <v xml:space="preserve"> </v>
      </c>
      <c r="B354" s="202"/>
      <c r="C354" s="202"/>
      <c r="D354" s="202"/>
      <c r="E354" s="300"/>
      <c r="F354" s="210"/>
      <c r="G354" s="210"/>
      <c r="H354" s="203"/>
      <c r="I354" s="203"/>
      <c r="J354" s="203"/>
      <c r="K354" s="203"/>
      <c r="L354" s="203"/>
      <c r="M354" s="203"/>
      <c r="N354" s="203"/>
      <c r="O354" s="205"/>
      <c r="P354" s="291"/>
      <c r="Q354" s="265"/>
      <c r="R354" s="265"/>
      <c r="S354" s="265"/>
      <c r="T354" s="265"/>
    </row>
    <row r="355" spans="1:20" ht="30" customHeight="1">
      <c r="A355" s="204" t="str">
        <f>IF(ISBLANK(D355)," ",285-COUNTBLANK($D$5:D355))</f>
        <v xml:space="preserve"> </v>
      </c>
      <c r="B355" s="202"/>
      <c r="C355" s="202"/>
      <c r="D355" s="202"/>
      <c r="E355" s="300"/>
      <c r="F355" s="210"/>
      <c r="G355" s="210"/>
      <c r="H355" s="203"/>
      <c r="I355" s="203"/>
      <c r="J355" s="203"/>
      <c r="K355" s="203"/>
      <c r="L355" s="203"/>
      <c r="M355" s="203"/>
      <c r="N355" s="203"/>
      <c r="O355" s="205"/>
      <c r="P355" s="291"/>
      <c r="Q355" s="265"/>
      <c r="R355" s="265"/>
      <c r="S355" s="265"/>
      <c r="T355" s="265"/>
    </row>
    <row r="356" spans="1:20" ht="30" customHeight="1">
      <c r="A356" s="204" t="str">
        <f>IF(ISBLANK(D356)," ",286-COUNTBLANK($D$5:D356))</f>
        <v xml:space="preserve"> </v>
      </c>
      <c r="B356" s="202"/>
      <c r="C356" s="202"/>
      <c r="D356" s="202"/>
      <c r="E356" s="300"/>
      <c r="F356" s="210"/>
      <c r="G356" s="210"/>
      <c r="H356" s="203"/>
      <c r="I356" s="203"/>
      <c r="J356" s="203"/>
      <c r="K356" s="203"/>
      <c r="L356" s="203"/>
      <c r="M356" s="203"/>
      <c r="N356" s="203"/>
      <c r="O356" s="205"/>
      <c r="P356" s="291"/>
      <c r="Q356" s="265"/>
      <c r="R356" s="265"/>
      <c r="S356" s="265"/>
      <c r="T356" s="265"/>
    </row>
    <row r="357" spans="1:20" ht="30" customHeight="1">
      <c r="A357" s="204" t="str">
        <f>IF(ISBLANK(D357)," ",287-COUNTBLANK($D$5:D357))</f>
        <v xml:space="preserve"> </v>
      </c>
      <c r="B357" s="202"/>
      <c r="C357" s="202"/>
      <c r="D357" s="202"/>
      <c r="E357" s="300"/>
      <c r="F357" s="210"/>
      <c r="G357" s="210"/>
      <c r="H357" s="203"/>
      <c r="I357" s="203"/>
      <c r="J357" s="203"/>
      <c r="K357" s="203"/>
      <c r="L357" s="203"/>
      <c r="M357" s="203"/>
      <c r="N357" s="203"/>
      <c r="O357" s="205"/>
      <c r="P357" s="291"/>
      <c r="Q357" s="265"/>
      <c r="R357" s="265"/>
      <c r="S357" s="265"/>
      <c r="T357" s="265"/>
    </row>
    <row r="358" spans="1:20" ht="30" customHeight="1">
      <c r="A358" s="204" t="str">
        <f>IF(ISBLANK(D358)," ",288-COUNTBLANK($D$5:D358))</f>
        <v xml:space="preserve"> </v>
      </c>
      <c r="B358" s="202"/>
      <c r="C358" s="202"/>
      <c r="D358" s="202"/>
      <c r="E358" s="300"/>
      <c r="F358" s="210"/>
      <c r="G358" s="210"/>
      <c r="H358" s="203"/>
      <c r="I358" s="203"/>
      <c r="J358" s="203"/>
      <c r="K358" s="203"/>
      <c r="L358" s="203"/>
      <c r="M358" s="203"/>
      <c r="N358" s="203"/>
      <c r="O358" s="205"/>
      <c r="P358" s="291"/>
      <c r="Q358" s="265"/>
      <c r="R358" s="265"/>
      <c r="S358" s="265"/>
      <c r="T358" s="265"/>
    </row>
    <row r="359" spans="1:20" ht="30" customHeight="1">
      <c r="A359" s="204" t="str">
        <f>IF(ISBLANK(D359)," ",289-COUNTBLANK($D$5:D359))</f>
        <v xml:space="preserve"> </v>
      </c>
      <c r="B359" s="202"/>
      <c r="C359" s="202"/>
      <c r="D359" s="202"/>
      <c r="E359" s="300"/>
      <c r="F359" s="210"/>
      <c r="G359" s="210"/>
      <c r="H359" s="203"/>
      <c r="I359" s="203"/>
      <c r="J359" s="203"/>
      <c r="K359" s="203"/>
      <c r="L359" s="203"/>
      <c r="M359" s="203"/>
      <c r="N359" s="203"/>
      <c r="O359" s="205"/>
      <c r="P359" s="291"/>
      <c r="Q359" s="265"/>
      <c r="R359" s="265"/>
      <c r="S359" s="265"/>
      <c r="T359" s="265"/>
    </row>
    <row r="360" spans="1:20" ht="30" customHeight="1">
      <c r="A360" s="204" t="str">
        <f>IF(ISBLANK(D360)," ",290-COUNTBLANK($D$5:D360))</f>
        <v xml:space="preserve"> </v>
      </c>
      <c r="B360" s="202"/>
      <c r="C360" s="202"/>
      <c r="D360" s="202"/>
      <c r="E360" s="300"/>
      <c r="F360" s="210"/>
      <c r="G360" s="210"/>
      <c r="H360" s="203"/>
      <c r="I360" s="203"/>
      <c r="J360" s="203"/>
      <c r="K360" s="203"/>
      <c r="L360" s="203"/>
      <c r="M360" s="203"/>
      <c r="N360" s="203"/>
      <c r="O360" s="205"/>
      <c r="P360" s="291"/>
      <c r="Q360" s="265"/>
      <c r="R360" s="265"/>
      <c r="S360" s="265"/>
      <c r="T360" s="265"/>
    </row>
    <row r="361" spans="1:20" ht="30" customHeight="1">
      <c r="A361" s="204" t="str">
        <f>IF(ISBLANK(D361)," ",291-COUNTBLANK($D$5:D361))</f>
        <v xml:space="preserve"> </v>
      </c>
      <c r="B361" s="202"/>
      <c r="C361" s="202"/>
      <c r="D361" s="202"/>
      <c r="E361" s="300"/>
      <c r="F361" s="210"/>
      <c r="G361" s="210"/>
      <c r="H361" s="203"/>
      <c r="I361" s="203"/>
      <c r="J361" s="203"/>
      <c r="K361" s="203"/>
      <c r="L361" s="203"/>
      <c r="M361" s="203"/>
      <c r="N361" s="203"/>
      <c r="O361" s="205"/>
      <c r="P361" s="291"/>
      <c r="Q361" s="265"/>
      <c r="R361" s="265"/>
      <c r="S361" s="265"/>
      <c r="T361" s="265"/>
    </row>
    <row r="362" spans="1:20" ht="30" customHeight="1">
      <c r="A362" s="204" t="str">
        <f>IF(ISBLANK(D362)," ",292-COUNTBLANK($D$5:D362))</f>
        <v xml:space="preserve"> </v>
      </c>
      <c r="B362" s="202"/>
      <c r="C362" s="202"/>
      <c r="D362" s="202"/>
      <c r="E362" s="300"/>
      <c r="F362" s="210"/>
      <c r="G362" s="210"/>
      <c r="H362" s="203"/>
      <c r="I362" s="203"/>
      <c r="J362" s="203"/>
      <c r="K362" s="203"/>
      <c r="L362" s="203"/>
      <c r="M362" s="203"/>
      <c r="N362" s="203"/>
      <c r="O362" s="205"/>
      <c r="P362" s="291"/>
      <c r="Q362" s="265"/>
      <c r="R362" s="265"/>
      <c r="S362" s="265"/>
      <c r="T362" s="265"/>
    </row>
    <row r="363" spans="1:20" ht="30" customHeight="1">
      <c r="A363" s="204" t="str">
        <f>IF(ISBLANK(D363)," ",293-COUNTBLANK($D$5:D363))</f>
        <v xml:space="preserve"> </v>
      </c>
      <c r="B363" s="202"/>
      <c r="C363" s="202"/>
      <c r="D363" s="202"/>
      <c r="E363" s="300"/>
      <c r="F363" s="210"/>
      <c r="G363" s="210"/>
      <c r="H363" s="203"/>
      <c r="I363" s="203"/>
      <c r="J363" s="203"/>
      <c r="K363" s="203"/>
      <c r="L363" s="203"/>
      <c r="M363" s="203"/>
      <c r="N363" s="203"/>
      <c r="O363" s="205"/>
      <c r="P363" s="291"/>
      <c r="Q363" s="265"/>
      <c r="R363" s="265"/>
      <c r="S363" s="265"/>
      <c r="T363" s="265"/>
    </row>
    <row r="364" spans="1:20" ht="30" customHeight="1">
      <c r="A364" s="204" t="s">
        <v>52</v>
      </c>
      <c r="B364" s="202"/>
      <c r="C364" s="202"/>
      <c r="D364" s="202"/>
      <c r="E364" s="300"/>
      <c r="F364" s="210">
        <f>SUM(F344:F363)</f>
        <v>0</v>
      </c>
      <c r="G364" s="210"/>
      <c r="H364" s="203"/>
      <c r="I364" s="203"/>
      <c r="J364" s="203"/>
      <c r="K364" s="203"/>
      <c r="L364" s="203"/>
      <c r="M364" s="203"/>
      <c r="N364" s="203"/>
      <c r="O364" s="205"/>
      <c r="P364" s="291"/>
      <c r="Q364" s="265"/>
      <c r="R364" s="265"/>
      <c r="S364" s="265"/>
      <c r="T364" s="265"/>
    </row>
    <row r="365" spans="1:20" ht="30" customHeight="1">
      <c r="A365" s="204" t="str">
        <f>IF(ISBLANK(D365)," ",295-COUNTBLANK($D$5:D365))</f>
        <v xml:space="preserve"> </v>
      </c>
      <c r="B365" s="202"/>
      <c r="C365" s="202"/>
      <c r="D365" s="202"/>
      <c r="E365" s="300"/>
      <c r="F365" s="210"/>
      <c r="G365" s="210"/>
      <c r="H365" s="203"/>
      <c r="I365" s="203"/>
      <c r="J365" s="203"/>
      <c r="K365" s="203"/>
      <c r="L365" s="203"/>
      <c r="M365" s="203"/>
      <c r="N365" s="203"/>
      <c r="O365" s="205"/>
      <c r="P365" s="291"/>
      <c r="Q365" s="265"/>
      <c r="R365" s="265"/>
      <c r="S365" s="265"/>
      <c r="T365" s="265"/>
    </row>
    <row r="366" spans="1:20" ht="30" customHeight="1">
      <c r="A366" s="204" t="str">
        <f>IF(ISBLANK(D366)," ",296-COUNTBLANK($D$5:D366))</f>
        <v xml:space="preserve"> </v>
      </c>
      <c r="B366" s="202"/>
      <c r="C366" s="202"/>
      <c r="D366" s="202"/>
      <c r="E366" s="300"/>
      <c r="F366" s="210"/>
      <c r="G366" s="210"/>
      <c r="H366" s="203"/>
      <c r="I366" s="203"/>
      <c r="J366" s="203"/>
      <c r="K366" s="203"/>
      <c r="L366" s="203"/>
      <c r="M366" s="203"/>
      <c r="N366" s="203"/>
      <c r="O366" s="205"/>
      <c r="P366" s="291"/>
      <c r="Q366" s="265"/>
      <c r="R366" s="265"/>
      <c r="S366" s="265"/>
      <c r="T366" s="265"/>
    </row>
    <row r="367" spans="1:20" ht="30" customHeight="1">
      <c r="A367" s="204" t="str">
        <f>IF(ISBLANK(D367)," ",297-COUNTBLANK($D$5:D367))</f>
        <v xml:space="preserve"> </v>
      </c>
      <c r="B367" s="202"/>
      <c r="C367" s="202"/>
      <c r="D367" s="202"/>
      <c r="E367" s="300"/>
      <c r="F367" s="210"/>
      <c r="G367" s="210"/>
      <c r="H367" s="203"/>
      <c r="I367" s="203"/>
      <c r="J367" s="203"/>
      <c r="K367" s="203"/>
      <c r="L367" s="203"/>
      <c r="M367" s="203"/>
      <c r="N367" s="203"/>
      <c r="O367" s="205"/>
      <c r="P367" s="291"/>
      <c r="Q367" s="265"/>
      <c r="R367" s="265"/>
      <c r="S367" s="265"/>
      <c r="T367" s="265"/>
    </row>
    <row r="368" spans="1:20" ht="30" customHeight="1">
      <c r="A368" s="204" t="str">
        <f>IF(ISBLANK(D368)," ",298-COUNTBLANK($D$5:D368))</f>
        <v xml:space="preserve"> </v>
      </c>
      <c r="B368" s="202"/>
      <c r="C368" s="202"/>
      <c r="D368" s="202"/>
      <c r="E368" s="300"/>
      <c r="F368" s="210"/>
      <c r="G368" s="210"/>
      <c r="H368" s="203"/>
      <c r="I368" s="203"/>
      <c r="J368" s="203"/>
      <c r="K368" s="203"/>
      <c r="L368" s="203"/>
      <c r="M368" s="203"/>
      <c r="N368" s="203"/>
      <c r="O368" s="205"/>
      <c r="P368" s="291"/>
      <c r="Q368" s="265"/>
      <c r="R368" s="265"/>
      <c r="S368" s="265"/>
      <c r="T368" s="267"/>
    </row>
    <row r="369" spans="1:23" ht="30" customHeight="1">
      <c r="A369" s="204" t="str">
        <f>IF(ISBLANK(D369)," ",299-COUNTBLANK($D$5:D369))</f>
        <v xml:space="preserve"> </v>
      </c>
      <c r="B369" s="202"/>
      <c r="C369" s="202"/>
      <c r="D369" s="202"/>
      <c r="E369" s="300"/>
      <c r="F369" s="210"/>
      <c r="G369" s="210"/>
      <c r="H369" s="203"/>
      <c r="I369" s="203"/>
      <c r="J369" s="203"/>
      <c r="K369" s="203"/>
      <c r="L369" s="203"/>
      <c r="M369" s="203"/>
      <c r="N369" s="203"/>
      <c r="O369" s="205"/>
      <c r="P369" s="291"/>
      <c r="Q369" s="265"/>
      <c r="R369" s="265"/>
      <c r="S369" s="265"/>
      <c r="T369" s="267"/>
    </row>
    <row r="370" spans="1:23" ht="30" customHeight="1">
      <c r="A370" s="204" t="str">
        <f>IF(ISBLANK(D370)," ",300-COUNTBLANK($D$5:D370))</f>
        <v xml:space="preserve"> </v>
      </c>
      <c r="B370" s="202"/>
      <c r="C370" s="202"/>
      <c r="D370" s="202"/>
      <c r="E370" s="300"/>
      <c r="F370" s="210"/>
      <c r="G370" s="210"/>
      <c r="H370" s="203"/>
      <c r="I370" s="203"/>
      <c r="J370" s="203"/>
      <c r="K370" s="203"/>
      <c r="L370" s="203"/>
      <c r="M370" s="203"/>
      <c r="N370" s="203"/>
      <c r="O370" s="205"/>
      <c r="P370" s="291"/>
      <c r="Q370" s="265"/>
      <c r="R370" s="265"/>
      <c r="S370" s="265"/>
      <c r="T370" s="267"/>
    </row>
    <row r="371" spans="1:23" ht="30" customHeight="1">
      <c r="A371" s="204" t="str">
        <f>IF(ISBLANK(D371)," ",301-COUNTBLANK($D$5:D371))</f>
        <v xml:space="preserve"> </v>
      </c>
      <c r="B371" s="202"/>
      <c r="C371" s="202"/>
      <c r="D371" s="202"/>
      <c r="E371" s="300"/>
      <c r="F371" s="210"/>
      <c r="G371" s="210"/>
      <c r="H371" s="203"/>
      <c r="I371" s="203"/>
      <c r="J371" s="203"/>
      <c r="K371" s="203"/>
      <c r="L371" s="203"/>
      <c r="M371" s="203"/>
      <c r="N371" s="203"/>
      <c r="O371" s="205"/>
      <c r="P371" s="291"/>
      <c r="Q371" s="265"/>
      <c r="R371" s="265"/>
      <c r="S371" s="265"/>
      <c r="T371" s="267"/>
    </row>
    <row r="372" spans="1:23" ht="30" customHeight="1">
      <c r="A372" s="304" t="str">
        <f>IF(ISBLANK(D372)," ",302-COUNTBLANK($D$5:D372))</f>
        <v xml:space="preserve"> </v>
      </c>
      <c r="B372" s="296"/>
      <c r="C372" s="305"/>
      <c r="D372" s="306"/>
      <c r="E372" s="297"/>
      <c r="F372" s="298"/>
      <c r="G372" s="298"/>
      <c r="H372" s="282"/>
      <c r="I372" s="282"/>
      <c r="J372" s="282"/>
      <c r="K372" s="282"/>
      <c r="L372" s="282"/>
      <c r="M372" s="282"/>
      <c r="N372" s="282"/>
      <c r="O372" s="283"/>
      <c r="P372" s="303"/>
      <c r="Q372" s="265"/>
      <c r="R372" s="265"/>
      <c r="S372" s="265"/>
      <c r="T372" s="284"/>
      <c r="U372" s="265"/>
      <c r="V372" s="265"/>
      <c r="W372" s="265"/>
    </row>
    <row r="373" spans="1:23" ht="30" customHeight="1">
      <c r="A373" s="260" t="str">
        <f>IF(ISBLANK(D373)," ",303-COUNTBLANK($D$5:D373))</f>
        <v xml:space="preserve"> </v>
      </c>
      <c r="B373" s="200"/>
      <c r="C373" s="200"/>
      <c r="D373" s="200"/>
      <c r="E373" s="299"/>
      <c r="F373" s="209"/>
      <c r="G373" s="209"/>
      <c r="H373" s="201"/>
      <c r="I373" s="201"/>
      <c r="J373" s="201"/>
      <c r="K373" s="201"/>
      <c r="L373" s="201"/>
      <c r="M373" s="201"/>
      <c r="N373" s="201"/>
      <c r="O373" s="262"/>
      <c r="P373" s="291"/>
      <c r="Q373" s="265"/>
      <c r="R373" s="265"/>
      <c r="S373" s="265"/>
      <c r="T373" s="284"/>
      <c r="U373" s="265"/>
      <c r="V373" s="265"/>
      <c r="W373" s="265"/>
    </row>
    <row r="374" spans="1:23" ht="30" customHeight="1">
      <c r="A374" s="204" t="str">
        <f>IF(ISBLANK(D374)," ",304-COUNTBLANK($D$5:D374))</f>
        <v xml:space="preserve"> </v>
      </c>
      <c r="B374" s="202"/>
      <c r="C374" s="202"/>
      <c r="D374" s="202"/>
      <c r="E374" s="300"/>
      <c r="F374" s="210"/>
      <c r="G374" s="210"/>
      <c r="H374" s="203"/>
      <c r="I374" s="203"/>
      <c r="J374" s="203"/>
      <c r="K374" s="203"/>
      <c r="L374" s="203"/>
      <c r="M374" s="203"/>
      <c r="N374" s="203"/>
      <c r="O374" s="205"/>
      <c r="P374" s="291"/>
      <c r="Q374" s="265"/>
      <c r="R374" s="265"/>
      <c r="S374" s="265"/>
      <c r="T374" s="265"/>
    </row>
    <row r="375" spans="1:23" ht="30" customHeight="1">
      <c r="A375" s="204" t="str">
        <f>IF(ISBLANK(D375)," ",305-COUNTBLANK($D$5:D375))</f>
        <v xml:space="preserve"> </v>
      </c>
      <c r="B375" s="202"/>
      <c r="C375" s="202"/>
      <c r="D375" s="202"/>
      <c r="E375" s="300"/>
      <c r="F375" s="210"/>
      <c r="G375" s="210"/>
      <c r="H375" s="203"/>
      <c r="I375" s="203"/>
      <c r="J375" s="203"/>
      <c r="K375" s="203"/>
      <c r="L375" s="203"/>
      <c r="M375" s="203"/>
      <c r="N375" s="203"/>
      <c r="O375" s="205"/>
      <c r="P375" s="291"/>
      <c r="Q375" s="265"/>
      <c r="R375" s="265"/>
      <c r="S375" s="265"/>
      <c r="T375" s="265"/>
    </row>
    <row r="376" spans="1:23" ht="30" customHeight="1">
      <c r="A376" s="204" t="str">
        <f>IF(ISBLANK(D376)," ",306-COUNTBLANK($D$5:D376))</f>
        <v xml:space="preserve"> </v>
      </c>
      <c r="B376" s="202"/>
      <c r="C376" s="202"/>
      <c r="D376" s="202"/>
      <c r="E376" s="300"/>
      <c r="F376" s="210"/>
      <c r="G376" s="210"/>
      <c r="H376" s="203"/>
      <c r="I376" s="203"/>
      <c r="J376" s="203"/>
      <c r="K376" s="203"/>
      <c r="L376" s="203"/>
      <c r="M376" s="203"/>
      <c r="N376" s="203"/>
      <c r="O376" s="205"/>
      <c r="P376" s="291"/>
      <c r="Q376" s="265"/>
      <c r="R376" s="265"/>
      <c r="S376" s="265"/>
      <c r="T376" s="265"/>
    </row>
    <row r="377" spans="1:23" ht="30" customHeight="1">
      <c r="A377" s="204" t="str">
        <f>IF(ISBLANK(D377)," ",307-COUNTBLANK($D$5:D377))</f>
        <v xml:space="preserve"> </v>
      </c>
      <c r="B377" s="202"/>
      <c r="C377" s="202"/>
      <c r="D377" s="202"/>
      <c r="E377" s="300"/>
      <c r="F377" s="210"/>
      <c r="G377" s="210"/>
      <c r="H377" s="203"/>
      <c r="I377" s="203"/>
      <c r="J377" s="203"/>
      <c r="K377" s="203"/>
      <c r="L377" s="203"/>
      <c r="M377" s="203"/>
      <c r="N377" s="203"/>
      <c r="O377" s="205"/>
      <c r="P377" s="291"/>
      <c r="Q377" s="265"/>
      <c r="R377" s="265"/>
      <c r="S377" s="265"/>
      <c r="T377" s="265"/>
    </row>
    <row r="378" spans="1:23" ht="30" customHeight="1">
      <c r="A378" s="204" t="str">
        <f>IF(ISBLANK(D378)," ",308-COUNTBLANK($D$5:D378))</f>
        <v xml:space="preserve"> </v>
      </c>
      <c r="B378" s="202"/>
      <c r="C378" s="202"/>
      <c r="D378" s="202"/>
      <c r="E378" s="300"/>
      <c r="F378" s="210"/>
      <c r="G378" s="210"/>
      <c r="H378" s="203"/>
      <c r="I378" s="203"/>
      <c r="J378" s="203"/>
      <c r="K378" s="203"/>
      <c r="L378" s="203"/>
      <c r="M378" s="203"/>
      <c r="N378" s="203"/>
      <c r="O378" s="205"/>
      <c r="P378" s="291"/>
      <c r="Q378" s="265"/>
      <c r="R378" s="265"/>
      <c r="S378" s="265"/>
      <c r="T378" s="265"/>
    </row>
    <row r="379" spans="1:23" ht="30" customHeight="1">
      <c r="A379" s="204" t="str">
        <f>IF(ISBLANK(D379)," ",309-COUNTBLANK($D$5:D379))</f>
        <v xml:space="preserve"> </v>
      </c>
      <c r="B379" s="202"/>
      <c r="C379" s="202"/>
      <c r="D379" s="202"/>
      <c r="E379" s="300"/>
      <c r="F379" s="210"/>
      <c r="G379" s="210"/>
      <c r="H379" s="203"/>
      <c r="I379" s="203"/>
      <c r="J379" s="203"/>
      <c r="K379" s="203"/>
      <c r="L379" s="203"/>
      <c r="M379" s="203"/>
      <c r="N379" s="203"/>
      <c r="O379" s="205"/>
      <c r="P379" s="291"/>
      <c r="Q379" s="265"/>
      <c r="R379" s="265"/>
      <c r="S379" s="265"/>
      <c r="T379" s="265"/>
    </row>
    <row r="380" spans="1:23" ht="30" customHeight="1">
      <c r="A380" s="204" t="str">
        <f>IF(ISBLANK(D380)," ",310-COUNTBLANK($D$5:D380))</f>
        <v xml:space="preserve"> </v>
      </c>
      <c r="B380" s="202"/>
      <c r="C380" s="202"/>
      <c r="D380" s="202"/>
      <c r="E380" s="300"/>
      <c r="F380" s="210"/>
      <c r="G380" s="210"/>
      <c r="H380" s="203"/>
      <c r="I380" s="203"/>
      <c r="J380" s="203"/>
      <c r="K380" s="203"/>
      <c r="L380" s="203"/>
      <c r="M380" s="203"/>
      <c r="N380" s="203"/>
      <c r="O380" s="205"/>
      <c r="P380" s="291"/>
      <c r="Q380" s="265"/>
      <c r="R380" s="265"/>
      <c r="S380" s="265"/>
      <c r="T380" s="265"/>
    </row>
    <row r="381" spans="1:23" ht="30" customHeight="1">
      <c r="A381" s="204" t="str">
        <f>IF(ISBLANK(D381)," ",311-COUNTBLANK($D$5:D381))</f>
        <v xml:space="preserve"> </v>
      </c>
      <c r="B381" s="202"/>
      <c r="C381" s="202"/>
      <c r="D381" s="202"/>
      <c r="E381" s="300"/>
      <c r="F381" s="210"/>
      <c r="G381" s="210"/>
      <c r="H381" s="203"/>
      <c r="I381" s="203"/>
      <c r="J381" s="203"/>
      <c r="K381" s="203"/>
      <c r="L381" s="203"/>
      <c r="M381" s="203"/>
      <c r="N381" s="203"/>
      <c r="O381" s="205"/>
      <c r="P381" s="291"/>
      <c r="Q381" s="265"/>
      <c r="R381" s="265"/>
      <c r="S381" s="265"/>
      <c r="T381" s="265"/>
    </row>
    <row r="382" spans="1:23" ht="30" customHeight="1">
      <c r="A382" s="204" t="str">
        <f>IF(ISBLANK(D382)," ",312-COUNTBLANK($D$5:D382))</f>
        <v xml:space="preserve"> </v>
      </c>
      <c r="B382" s="202"/>
      <c r="C382" s="202"/>
      <c r="D382" s="202"/>
      <c r="E382" s="300"/>
      <c r="F382" s="210"/>
      <c r="G382" s="210"/>
      <c r="H382" s="203"/>
      <c r="I382" s="203"/>
      <c r="J382" s="203"/>
      <c r="K382" s="203"/>
      <c r="L382" s="203"/>
      <c r="M382" s="203"/>
      <c r="N382" s="203"/>
      <c r="O382" s="205"/>
      <c r="P382" s="291"/>
      <c r="Q382" s="265"/>
      <c r="R382" s="265"/>
      <c r="S382" s="265"/>
      <c r="T382" s="265"/>
    </row>
    <row r="383" spans="1:23" ht="30" customHeight="1">
      <c r="A383" s="204" t="str">
        <f>IF(ISBLANK(D383)," ",313-COUNTBLANK($D$5:D383))</f>
        <v xml:space="preserve"> </v>
      </c>
      <c r="B383" s="202"/>
      <c r="C383" s="202"/>
      <c r="D383" s="202"/>
      <c r="E383" s="300"/>
      <c r="F383" s="210"/>
      <c r="G383" s="210"/>
      <c r="H383" s="203"/>
      <c r="I383" s="203"/>
      <c r="J383" s="203"/>
      <c r="K383" s="203"/>
      <c r="L383" s="203"/>
      <c r="M383" s="203"/>
      <c r="N383" s="203"/>
      <c r="O383" s="205"/>
      <c r="P383" s="291"/>
      <c r="Q383" s="265"/>
      <c r="R383" s="265"/>
      <c r="S383" s="265"/>
      <c r="T383" s="265"/>
    </row>
    <row r="384" spans="1:23" ht="30" customHeight="1">
      <c r="A384" s="204" t="str">
        <f>IF(ISBLANK(D384)," ",314-COUNTBLANK($D$5:D384))</f>
        <v xml:space="preserve"> </v>
      </c>
      <c r="B384" s="202"/>
      <c r="C384" s="202"/>
      <c r="D384" s="202"/>
      <c r="E384" s="300"/>
      <c r="F384" s="210"/>
      <c r="G384" s="210"/>
      <c r="H384" s="203"/>
      <c r="I384" s="203"/>
      <c r="J384" s="203"/>
      <c r="K384" s="203"/>
      <c r="L384" s="203"/>
      <c r="M384" s="203"/>
      <c r="N384" s="203"/>
      <c r="O384" s="205"/>
      <c r="P384" s="291"/>
      <c r="Q384" s="265"/>
      <c r="R384" s="265"/>
      <c r="S384" s="265"/>
      <c r="T384" s="265"/>
    </row>
    <row r="385" spans="1:23" ht="30" customHeight="1">
      <c r="A385" s="204" t="s">
        <v>52</v>
      </c>
      <c r="B385" s="202"/>
      <c r="C385" s="202"/>
      <c r="D385" s="202"/>
      <c r="E385" s="300"/>
      <c r="F385" s="210">
        <f>SUM(F365:F384)</f>
        <v>0</v>
      </c>
      <c r="G385" s="210"/>
      <c r="H385" s="203"/>
      <c r="I385" s="203"/>
      <c r="J385" s="203"/>
      <c r="K385" s="203"/>
      <c r="L385" s="203"/>
      <c r="M385" s="203"/>
      <c r="N385" s="203"/>
      <c r="O385" s="205"/>
      <c r="P385" s="291"/>
      <c r="Q385" s="265"/>
      <c r="R385" s="265"/>
      <c r="S385" s="265"/>
      <c r="T385" s="265"/>
    </row>
    <row r="386" spans="1:23" ht="30" customHeight="1">
      <c r="A386" s="204" t="str">
        <f>IF(ISBLANK(D386)," ",316-COUNTBLANK($D$5:D386))</f>
        <v xml:space="preserve"> </v>
      </c>
      <c r="B386" s="202"/>
      <c r="C386" s="202"/>
      <c r="D386" s="202"/>
      <c r="E386" s="300"/>
      <c r="F386" s="210"/>
      <c r="G386" s="210"/>
      <c r="H386" s="203"/>
      <c r="I386" s="203"/>
      <c r="J386" s="203"/>
      <c r="K386" s="203"/>
      <c r="L386" s="203"/>
      <c r="M386" s="203"/>
      <c r="N386" s="203"/>
      <c r="O386" s="205"/>
      <c r="P386" s="291"/>
      <c r="Q386" s="265"/>
      <c r="R386" s="265"/>
      <c r="S386" s="265"/>
      <c r="T386" s="265"/>
    </row>
    <row r="387" spans="1:23" ht="30" customHeight="1">
      <c r="A387" s="204" t="str">
        <f>IF(ISBLANK(D387)," ",317-COUNTBLANK($D$5:D387))</f>
        <v xml:space="preserve"> </v>
      </c>
      <c r="B387" s="202"/>
      <c r="C387" s="202"/>
      <c r="D387" s="202"/>
      <c r="E387" s="300"/>
      <c r="F387" s="210"/>
      <c r="G387" s="210"/>
      <c r="H387" s="203"/>
      <c r="I387" s="203"/>
      <c r="J387" s="203"/>
      <c r="K387" s="203"/>
      <c r="L387" s="203"/>
      <c r="M387" s="203"/>
      <c r="N387" s="203"/>
      <c r="O387" s="205"/>
      <c r="P387" s="291"/>
      <c r="Q387" s="265"/>
      <c r="R387" s="265"/>
      <c r="S387" s="265"/>
      <c r="T387" s="265"/>
    </row>
    <row r="388" spans="1:23" ht="30" customHeight="1">
      <c r="A388" s="204" t="str">
        <f>IF(ISBLANK(D388)," ",318-COUNTBLANK($D$5:D388))</f>
        <v xml:space="preserve"> </v>
      </c>
      <c r="B388" s="202"/>
      <c r="C388" s="202"/>
      <c r="D388" s="202"/>
      <c r="E388" s="300"/>
      <c r="F388" s="210"/>
      <c r="G388" s="210"/>
      <c r="H388" s="203"/>
      <c r="I388" s="203"/>
      <c r="J388" s="203"/>
      <c r="K388" s="203"/>
      <c r="L388" s="203"/>
      <c r="M388" s="203"/>
      <c r="N388" s="203"/>
      <c r="O388" s="205"/>
      <c r="P388" s="291"/>
      <c r="Q388" s="265"/>
      <c r="R388" s="265"/>
      <c r="S388" s="265"/>
      <c r="T388" s="265"/>
    </row>
    <row r="389" spans="1:23" ht="30" customHeight="1">
      <c r="A389" s="204" t="str">
        <f>IF(ISBLANK(D389)," ",319-COUNTBLANK($D$5:D389))</f>
        <v xml:space="preserve"> </v>
      </c>
      <c r="B389" s="202"/>
      <c r="C389" s="202"/>
      <c r="D389" s="202"/>
      <c r="E389" s="300"/>
      <c r="F389" s="210"/>
      <c r="G389" s="210"/>
      <c r="H389" s="203"/>
      <c r="I389" s="203"/>
      <c r="J389" s="203"/>
      <c r="K389" s="203"/>
      <c r="L389" s="203"/>
      <c r="M389" s="203"/>
      <c r="N389" s="203"/>
      <c r="O389" s="205"/>
      <c r="P389" s="291"/>
      <c r="Q389" s="265"/>
      <c r="R389" s="265"/>
      <c r="S389" s="265"/>
      <c r="T389" s="267"/>
    </row>
    <row r="390" spans="1:23" ht="30" customHeight="1">
      <c r="A390" s="204" t="str">
        <f>IF(ISBLANK(D390)," ",320-COUNTBLANK($D$5:D390))</f>
        <v xml:space="preserve"> </v>
      </c>
      <c r="B390" s="202"/>
      <c r="C390" s="202"/>
      <c r="D390" s="202"/>
      <c r="E390" s="300"/>
      <c r="F390" s="210"/>
      <c r="G390" s="210"/>
      <c r="H390" s="203"/>
      <c r="I390" s="203"/>
      <c r="J390" s="203"/>
      <c r="K390" s="203"/>
      <c r="L390" s="203"/>
      <c r="M390" s="203"/>
      <c r="N390" s="203"/>
      <c r="O390" s="205"/>
      <c r="P390" s="291"/>
      <c r="Q390" s="265"/>
      <c r="R390" s="265"/>
      <c r="S390" s="265"/>
      <c r="T390" s="267"/>
    </row>
    <row r="391" spans="1:23" ht="30" customHeight="1">
      <c r="A391" s="204" t="str">
        <f>IF(ISBLANK(D391)," ",321-COUNTBLANK($D$5:D391))</f>
        <v xml:space="preserve"> </v>
      </c>
      <c r="B391" s="202"/>
      <c r="C391" s="202"/>
      <c r="D391" s="202"/>
      <c r="E391" s="300"/>
      <c r="F391" s="210"/>
      <c r="G391" s="210"/>
      <c r="H391" s="203"/>
      <c r="I391" s="203"/>
      <c r="J391" s="203"/>
      <c r="K391" s="203"/>
      <c r="L391" s="203"/>
      <c r="M391" s="203"/>
      <c r="N391" s="203"/>
      <c r="O391" s="205"/>
      <c r="P391" s="291"/>
      <c r="Q391" s="265"/>
      <c r="R391" s="265"/>
      <c r="S391" s="265"/>
      <c r="T391" s="267"/>
    </row>
    <row r="392" spans="1:23" ht="30" customHeight="1">
      <c r="A392" s="204" t="str">
        <f>IF(ISBLANK(D392)," ",322-COUNTBLANK($D$5:D392))</f>
        <v xml:space="preserve"> </v>
      </c>
      <c r="B392" s="202"/>
      <c r="C392" s="202"/>
      <c r="D392" s="202"/>
      <c r="E392" s="300"/>
      <c r="F392" s="210"/>
      <c r="G392" s="210"/>
      <c r="H392" s="203"/>
      <c r="I392" s="203"/>
      <c r="J392" s="203"/>
      <c r="K392" s="203"/>
      <c r="L392" s="203"/>
      <c r="M392" s="203"/>
      <c r="N392" s="203"/>
      <c r="O392" s="205"/>
      <c r="P392" s="291"/>
      <c r="Q392" s="265"/>
      <c r="R392" s="265"/>
      <c r="S392" s="265"/>
      <c r="T392" s="267"/>
    </row>
    <row r="393" spans="1:23" ht="30" customHeight="1">
      <c r="A393" s="304" t="str">
        <f>IF(ISBLANK(D393)," ",323-COUNTBLANK($D$5:D393))</f>
        <v xml:space="preserve"> </v>
      </c>
      <c r="B393" s="296"/>
      <c r="C393" s="305"/>
      <c r="D393" s="306"/>
      <c r="E393" s="297"/>
      <c r="F393" s="298"/>
      <c r="G393" s="298"/>
      <c r="H393" s="282"/>
      <c r="I393" s="282"/>
      <c r="J393" s="282"/>
      <c r="K393" s="282"/>
      <c r="L393" s="282"/>
      <c r="M393" s="282"/>
      <c r="N393" s="282"/>
      <c r="O393" s="283"/>
      <c r="P393" s="303"/>
      <c r="Q393" s="265"/>
      <c r="R393" s="265"/>
      <c r="S393" s="265"/>
      <c r="T393" s="284"/>
      <c r="U393" s="265"/>
      <c r="V393" s="265"/>
      <c r="W393" s="265"/>
    </row>
    <row r="394" spans="1:23" ht="30" customHeight="1">
      <c r="A394" s="260" t="str">
        <f>IF(ISBLANK(D394)," ",324-COUNTBLANK($D$5:D394))</f>
        <v xml:space="preserve"> </v>
      </c>
      <c r="B394" s="200"/>
      <c r="C394" s="200"/>
      <c r="D394" s="200"/>
      <c r="E394" s="299"/>
      <c r="F394" s="209"/>
      <c r="G394" s="209"/>
      <c r="H394" s="201"/>
      <c r="I394" s="201"/>
      <c r="J394" s="201"/>
      <c r="K394" s="201"/>
      <c r="L394" s="201"/>
      <c r="M394" s="201"/>
      <c r="N394" s="201"/>
      <c r="O394" s="262"/>
      <c r="P394" s="291"/>
      <c r="Q394" s="265"/>
      <c r="R394" s="265"/>
      <c r="S394" s="265"/>
      <c r="T394" s="284"/>
      <c r="U394" s="265"/>
      <c r="V394" s="265"/>
      <c r="W394" s="265"/>
    </row>
    <row r="395" spans="1:23" ht="30" customHeight="1">
      <c r="A395" s="204" t="str">
        <f>IF(ISBLANK(D395)," ",325-COUNTBLANK($D$5:D395))</f>
        <v xml:space="preserve"> </v>
      </c>
      <c r="B395" s="202"/>
      <c r="C395" s="202"/>
      <c r="D395" s="202"/>
      <c r="E395" s="300"/>
      <c r="F395" s="210"/>
      <c r="G395" s="210"/>
      <c r="H395" s="203"/>
      <c r="I395" s="203"/>
      <c r="J395" s="203"/>
      <c r="K395" s="203"/>
      <c r="L395" s="203"/>
      <c r="M395" s="203"/>
      <c r="N395" s="203"/>
      <c r="O395" s="205"/>
      <c r="P395" s="291"/>
      <c r="Q395" s="265"/>
      <c r="R395" s="265"/>
      <c r="S395" s="265"/>
      <c r="T395" s="265"/>
    </row>
    <row r="396" spans="1:23" ht="30" customHeight="1">
      <c r="A396" s="204" t="str">
        <f>IF(ISBLANK(D396)," ",326-COUNTBLANK($D$5:D396))</f>
        <v xml:space="preserve"> </v>
      </c>
      <c r="B396" s="202"/>
      <c r="C396" s="202"/>
      <c r="D396" s="202"/>
      <c r="E396" s="300"/>
      <c r="F396" s="210"/>
      <c r="G396" s="210"/>
      <c r="H396" s="203"/>
      <c r="I396" s="203"/>
      <c r="J396" s="203"/>
      <c r="K396" s="203"/>
      <c r="L396" s="203"/>
      <c r="M396" s="203"/>
      <c r="N396" s="203"/>
      <c r="O396" s="205"/>
      <c r="P396" s="291"/>
      <c r="Q396" s="265"/>
      <c r="R396" s="265"/>
      <c r="S396" s="265"/>
      <c r="T396" s="265"/>
    </row>
    <row r="397" spans="1:23" ht="30" customHeight="1">
      <c r="A397" s="204" t="str">
        <f>IF(ISBLANK(D397)," ",327-COUNTBLANK($D$5:D397))</f>
        <v xml:space="preserve"> </v>
      </c>
      <c r="B397" s="202"/>
      <c r="C397" s="202"/>
      <c r="D397" s="202"/>
      <c r="E397" s="300"/>
      <c r="F397" s="210"/>
      <c r="G397" s="210"/>
      <c r="H397" s="203"/>
      <c r="I397" s="203"/>
      <c r="J397" s="203"/>
      <c r="K397" s="203"/>
      <c r="L397" s="203"/>
      <c r="M397" s="203"/>
      <c r="N397" s="203"/>
      <c r="O397" s="205"/>
      <c r="P397" s="291"/>
      <c r="Q397" s="265"/>
      <c r="R397" s="265"/>
      <c r="S397" s="265"/>
      <c r="T397" s="265"/>
    </row>
    <row r="398" spans="1:23" ht="30" customHeight="1">
      <c r="A398" s="204" t="str">
        <f>IF(ISBLANK(D398)," ",328-COUNTBLANK($D$5:D398))</f>
        <v xml:space="preserve"> </v>
      </c>
      <c r="B398" s="202"/>
      <c r="C398" s="202"/>
      <c r="D398" s="202"/>
      <c r="E398" s="300"/>
      <c r="F398" s="210"/>
      <c r="G398" s="210"/>
      <c r="H398" s="203"/>
      <c r="I398" s="203"/>
      <c r="J398" s="203"/>
      <c r="K398" s="203"/>
      <c r="L398" s="203"/>
      <c r="M398" s="203"/>
      <c r="N398" s="203"/>
      <c r="O398" s="205"/>
      <c r="P398" s="291"/>
      <c r="Q398" s="265"/>
      <c r="R398" s="265"/>
      <c r="S398" s="265"/>
      <c r="T398" s="265"/>
    </row>
    <row r="399" spans="1:23" ht="30" customHeight="1">
      <c r="A399" s="204" t="str">
        <f>IF(ISBLANK(D399)," ",329-COUNTBLANK($D$5:D399))</f>
        <v xml:space="preserve"> </v>
      </c>
      <c r="B399" s="202"/>
      <c r="C399" s="202"/>
      <c r="D399" s="202"/>
      <c r="E399" s="300"/>
      <c r="F399" s="210"/>
      <c r="G399" s="210"/>
      <c r="H399" s="203"/>
      <c r="I399" s="203"/>
      <c r="J399" s="203"/>
      <c r="K399" s="203"/>
      <c r="L399" s="203"/>
      <c r="M399" s="203"/>
      <c r="N399" s="203"/>
      <c r="O399" s="205"/>
      <c r="P399" s="291"/>
      <c r="Q399" s="265"/>
      <c r="R399" s="265"/>
      <c r="S399" s="265"/>
      <c r="T399" s="265"/>
    </row>
    <row r="400" spans="1:23" ht="30" customHeight="1">
      <c r="A400" s="204" t="str">
        <f>IF(ISBLANK(D400)," ",330-COUNTBLANK($D$5:D400))</f>
        <v xml:space="preserve"> </v>
      </c>
      <c r="B400" s="202"/>
      <c r="C400" s="202"/>
      <c r="D400" s="202"/>
      <c r="E400" s="300"/>
      <c r="F400" s="210"/>
      <c r="G400" s="210"/>
      <c r="H400" s="203"/>
      <c r="I400" s="203"/>
      <c r="J400" s="203"/>
      <c r="K400" s="203"/>
      <c r="L400" s="203"/>
      <c r="M400" s="203"/>
      <c r="N400" s="203"/>
      <c r="O400" s="205"/>
      <c r="P400" s="291"/>
      <c r="Q400" s="265"/>
      <c r="R400" s="265"/>
      <c r="S400" s="265"/>
      <c r="T400" s="265"/>
    </row>
    <row r="401" spans="1:23" ht="30" customHeight="1">
      <c r="A401" s="204" t="str">
        <f>IF(ISBLANK(D401)," ",331-COUNTBLANK($D$5:D401))</f>
        <v xml:space="preserve"> </v>
      </c>
      <c r="B401" s="202"/>
      <c r="C401" s="202"/>
      <c r="D401" s="202"/>
      <c r="E401" s="300"/>
      <c r="F401" s="210"/>
      <c r="G401" s="210"/>
      <c r="H401" s="203"/>
      <c r="I401" s="203"/>
      <c r="J401" s="203"/>
      <c r="K401" s="203"/>
      <c r="L401" s="203"/>
      <c r="M401" s="203"/>
      <c r="N401" s="203"/>
      <c r="O401" s="205"/>
      <c r="P401" s="291"/>
      <c r="Q401" s="265"/>
      <c r="R401" s="265"/>
      <c r="S401" s="265"/>
      <c r="T401" s="265"/>
    </row>
    <row r="402" spans="1:23" ht="30" customHeight="1">
      <c r="A402" s="204" t="str">
        <f>IF(ISBLANK(D402)," ",332-COUNTBLANK($D$5:D402))</f>
        <v xml:space="preserve"> </v>
      </c>
      <c r="B402" s="202"/>
      <c r="C402" s="202"/>
      <c r="D402" s="202"/>
      <c r="E402" s="300"/>
      <c r="F402" s="210"/>
      <c r="G402" s="210"/>
      <c r="H402" s="203"/>
      <c r="I402" s="203"/>
      <c r="J402" s="203"/>
      <c r="K402" s="203"/>
      <c r="L402" s="203"/>
      <c r="M402" s="203"/>
      <c r="N402" s="203"/>
      <c r="O402" s="205"/>
      <c r="P402" s="291"/>
      <c r="Q402" s="265"/>
      <c r="R402" s="265"/>
      <c r="S402" s="265"/>
      <c r="T402" s="265"/>
    </row>
    <row r="403" spans="1:23" ht="30" customHeight="1">
      <c r="A403" s="204" t="str">
        <f>IF(ISBLANK(D403)," ",333-COUNTBLANK($D$5:D403))</f>
        <v xml:space="preserve"> </v>
      </c>
      <c r="B403" s="202"/>
      <c r="C403" s="202"/>
      <c r="D403" s="202"/>
      <c r="E403" s="300"/>
      <c r="F403" s="210"/>
      <c r="G403" s="210"/>
      <c r="H403" s="203"/>
      <c r="I403" s="203"/>
      <c r="J403" s="203"/>
      <c r="K403" s="203"/>
      <c r="L403" s="203"/>
      <c r="M403" s="203"/>
      <c r="N403" s="203"/>
      <c r="O403" s="205"/>
      <c r="P403" s="291"/>
      <c r="Q403" s="265"/>
      <c r="R403" s="265"/>
      <c r="S403" s="265"/>
      <c r="T403" s="265"/>
    </row>
    <row r="404" spans="1:23" ht="30" customHeight="1">
      <c r="A404" s="204" t="str">
        <f>IF(ISBLANK(D404)," ",334-COUNTBLANK($D$5:D404))</f>
        <v xml:space="preserve"> </v>
      </c>
      <c r="B404" s="202"/>
      <c r="C404" s="202"/>
      <c r="D404" s="202"/>
      <c r="E404" s="300"/>
      <c r="F404" s="210"/>
      <c r="G404" s="210"/>
      <c r="H404" s="203"/>
      <c r="I404" s="203"/>
      <c r="J404" s="203"/>
      <c r="K404" s="203"/>
      <c r="L404" s="203"/>
      <c r="M404" s="203"/>
      <c r="N404" s="203"/>
      <c r="O404" s="205"/>
      <c r="P404" s="291"/>
      <c r="Q404" s="265"/>
      <c r="R404" s="265"/>
      <c r="S404" s="265"/>
      <c r="T404" s="265"/>
    </row>
    <row r="405" spans="1:23" ht="30" customHeight="1">
      <c r="A405" s="204" t="str">
        <f>IF(ISBLANK(D405)," ",335-COUNTBLANK($D$5:D405))</f>
        <v xml:space="preserve"> </v>
      </c>
      <c r="B405" s="202"/>
      <c r="C405" s="202"/>
      <c r="D405" s="202"/>
      <c r="E405" s="300"/>
      <c r="F405" s="210"/>
      <c r="G405" s="210"/>
      <c r="H405" s="203"/>
      <c r="I405" s="203"/>
      <c r="J405" s="203"/>
      <c r="K405" s="203"/>
      <c r="L405" s="203"/>
      <c r="M405" s="203"/>
      <c r="N405" s="203"/>
      <c r="O405" s="205"/>
      <c r="P405" s="291"/>
      <c r="Q405" s="265"/>
      <c r="R405" s="265"/>
      <c r="S405" s="265"/>
      <c r="T405" s="265"/>
    </row>
    <row r="406" spans="1:23" ht="30" customHeight="1">
      <c r="A406" s="204" t="s">
        <v>52</v>
      </c>
      <c r="B406" s="202"/>
      <c r="C406" s="202"/>
      <c r="D406" s="202"/>
      <c r="E406" s="300"/>
      <c r="F406" s="210">
        <f>SUM(F386:F405)</f>
        <v>0</v>
      </c>
      <c r="G406" s="210"/>
      <c r="H406" s="203"/>
      <c r="I406" s="203"/>
      <c r="J406" s="203"/>
      <c r="K406" s="203"/>
      <c r="L406" s="203"/>
      <c r="M406" s="203"/>
      <c r="N406" s="203"/>
      <c r="O406" s="205"/>
      <c r="P406" s="291"/>
      <c r="Q406" s="265"/>
      <c r="R406" s="265"/>
      <c r="S406" s="265"/>
      <c r="T406" s="265"/>
    </row>
    <row r="407" spans="1:23" ht="30" customHeight="1">
      <c r="A407" s="204" t="str">
        <f>IF(ISBLANK(D407)," ",337-COUNTBLANK($D$5:D407))</f>
        <v xml:space="preserve"> </v>
      </c>
      <c r="B407" s="202"/>
      <c r="C407" s="202"/>
      <c r="D407" s="202"/>
      <c r="E407" s="300"/>
      <c r="F407" s="210"/>
      <c r="G407" s="210"/>
      <c r="H407" s="203"/>
      <c r="I407" s="203"/>
      <c r="J407" s="203"/>
      <c r="K407" s="203"/>
      <c r="L407" s="203"/>
      <c r="M407" s="203"/>
      <c r="N407" s="203"/>
      <c r="O407" s="205"/>
      <c r="P407" s="291"/>
      <c r="Q407" s="265"/>
      <c r="R407" s="265"/>
      <c r="S407" s="265"/>
      <c r="T407" s="265"/>
    </row>
    <row r="408" spans="1:23" ht="30" customHeight="1">
      <c r="A408" s="204" t="str">
        <f>IF(ISBLANK(D408)," ",338-COUNTBLANK($D$5:D408))</f>
        <v xml:space="preserve"> </v>
      </c>
      <c r="B408" s="202"/>
      <c r="C408" s="202"/>
      <c r="D408" s="202"/>
      <c r="E408" s="300"/>
      <c r="F408" s="210"/>
      <c r="G408" s="210"/>
      <c r="H408" s="203"/>
      <c r="I408" s="203"/>
      <c r="J408" s="203"/>
      <c r="K408" s="203"/>
      <c r="L408" s="203"/>
      <c r="M408" s="203"/>
      <c r="N408" s="203"/>
      <c r="O408" s="205"/>
      <c r="P408" s="291"/>
      <c r="Q408" s="265"/>
      <c r="R408" s="265"/>
      <c r="S408" s="265"/>
      <c r="T408" s="265"/>
    </row>
    <row r="409" spans="1:23" ht="30" customHeight="1">
      <c r="A409" s="204" t="str">
        <f>IF(ISBLANK(D409)," ",339-COUNTBLANK($D$5:D409))</f>
        <v xml:space="preserve"> </v>
      </c>
      <c r="B409" s="202"/>
      <c r="C409" s="202"/>
      <c r="D409" s="202"/>
      <c r="E409" s="300"/>
      <c r="F409" s="210"/>
      <c r="G409" s="210"/>
      <c r="H409" s="203"/>
      <c r="I409" s="203"/>
      <c r="J409" s="203"/>
      <c r="K409" s="203"/>
      <c r="L409" s="203"/>
      <c r="M409" s="203"/>
      <c r="N409" s="203"/>
      <c r="O409" s="205"/>
      <c r="P409" s="291"/>
      <c r="Q409" s="265"/>
      <c r="R409" s="265"/>
      <c r="S409" s="265"/>
      <c r="T409" s="265"/>
    </row>
    <row r="410" spans="1:23" ht="30" customHeight="1">
      <c r="A410" s="204" t="str">
        <f>IF(ISBLANK(D410)," ",340-COUNTBLANK($D$5:D410))</f>
        <v xml:space="preserve"> </v>
      </c>
      <c r="B410" s="202"/>
      <c r="C410" s="202"/>
      <c r="D410" s="202"/>
      <c r="E410" s="300"/>
      <c r="F410" s="210"/>
      <c r="G410" s="210"/>
      <c r="H410" s="203"/>
      <c r="I410" s="203"/>
      <c r="J410" s="203"/>
      <c r="K410" s="203"/>
      <c r="L410" s="203"/>
      <c r="M410" s="203"/>
      <c r="N410" s="203"/>
      <c r="O410" s="205"/>
      <c r="P410" s="291"/>
      <c r="Q410" s="265"/>
      <c r="R410" s="265"/>
      <c r="S410" s="265"/>
      <c r="T410" s="267"/>
    </row>
    <row r="411" spans="1:23" ht="30" customHeight="1">
      <c r="A411" s="204" t="str">
        <f>IF(ISBLANK(D411)," ",341-COUNTBLANK($D$5:D411))</f>
        <v xml:space="preserve"> </v>
      </c>
      <c r="B411" s="202"/>
      <c r="C411" s="202"/>
      <c r="D411" s="202"/>
      <c r="E411" s="300"/>
      <c r="F411" s="210"/>
      <c r="G411" s="210"/>
      <c r="H411" s="203"/>
      <c r="I411" s="203"/>
      <c r="J411" s="203"/>
      <c r="K411" s="203"/>
      <c r="L411" s="203"/>
      <c r="M411" s="203"/>
      <c r="N411" s="203"/>
      <c r="O411" s="205"/>
      <c r="P411" s="291"/>
      <c r="Q411" s="265"/>
      <c r="R411" s="265"/>
      <c r="S411" s="265"/>
      <c r="T411" s="267"/>
    </row>
    <row r="412" spans="1:23" ht="30" customHeight="1">
      <c r="A412" s="204" t="str">
        <f>IF(ISBLANK(D412)," ",342-COUNTBLANK($D$5:D412))</f>
        <v xml:space="preserve"> </v>
      </c>
      <c r="B412" s="202"/>
      <c r="C412" s="202"/>
      <c r="D412" s="202"/>
      <c r="E412" s="300"/>
      <c r="F412" s="210"/>
      <c r="G412" s="210"/>
      <c r="H412" s="203"/>
      <c r="I412" s="203"/>
      <c r="J412" s="203"/>
      <c r="K412" s="203"/>
      <c r="L412" s="203"/>
      <c r="M412" s="203"/>
      <c r="N412" s="203"/>
      <c r="O412" s="205"/>
      <c r="P412" s="291"/>
      <c r="Q412" s="265"/>
      <c r="R412" s="265"/>
      <c r="S412" s="265"/>
      <c r="T412" s="267"/>
    </row>
    <row r="413" spans="1:23" ht="30" customHeight="1">
      <c r="A413" s="204" t="str">
        <f>IF(ISBLANK(D413)," ",343-COUNTBLANK($D$5:D413))</f>
        <v xml:space="preserve"> </v>
      </c>
      <c r="B413" s="202"/>
      <c r="C413" s="202"/>
      <c r="D413" s="202"/>
      <c r="E413" s="300"/>
      <c r="F413" s="210"/>
      <c r="G413" s="210"/>
      <c r="H413" s="203"/>
      <c r="I413" s="203"/>
      <c r="J413" s="203"/>
      <c r="K413" s="203"/>
      <c r="L413" s="203"/>
      <c r="M413" s="203"/>
      <c r="N413" s="203"/>
      <c r="O413" s="205"/>
      <c r="P413" s="291"/>
      <c r="Q413" s="265"/>
      <c r="R413" s="265"/>
      <c r="S413" s="265"/>
      <c r="T413" s="267"/>
    </row>
    <row r="414" spans="1:23" ht="30" customHeight="1">
      <c r="A414" s="304" t="str">
        <f>IF(ISBLANK(D414)," ",344-COUNTBLANK($D$5:D414))</f>
        <v xml:space="preserve"> </v>
      </c>
      <c r="B414" s="296"/>
      <c r="C414" s="305"/>
      <c r="D414" s="306"/>
      <c r="E414" s="297"/>
      <c r="F414" s="298"/>
      <c r="G414" s="298"/>
      <c r="H414" s="282"/>
      <c r="I414" s="282"/>
      <c r="J414" s="282"/>
      <c r="K414" s="282"/>
      <c r="L414" s="282"/>
      <c r="M414" s="282"/>
      <c r="N414" s="282"/>
      <c r="O414" s="283"/>
      <c r="P414" s="303"/>
      <c r="Q414" s="265"/>
      <c r="R414" s="265"/>
      <c r="S414" s="265"/>
      <c r="T414" s="284"/>
      <c r="U414" s="265"/>
      <c r="V414" s="265"/>
      <c r="W414" s="265"/>
    </row>
    <row r="415" spans="1:23" ht="30" customHeight="1">
      <c r="A415" s="260" t="str">
        <f>IF(ISBLANK(D415)," ",345-COUNTBLANK($D$5:D415))</f>
        <v xml:space="preserve"> </v>
      </c>
      <c r="B415" s="200"/>
      <c r="C415" s="200"/>
      <c r="D415" s="200"/>
      <c r="E415" s="299"/>
      <c r="F415" s="209"/>
      <c r="G415" s="209"/>
      <c r="H415" s="201"/>
      <c r="I415" s="201"/>
      <c r="J415" s="201"/>
      <c r="K415" s="201"/>
      <c r="L415" s="201"/>
      <c r="M415" s="201"/>
      <c r="N415" s="201"/>
      <c r="O415" s="262"/>
      <c r="P415" s="291"/>
      <c r="Q415" s="265"/>
      <c r="R415" s="265"/>
      <c r="S415" s="265"/>
      <c r="T415" s="284"/>
      <c r="U415" s="265"/>
      <c r="V415" s="265"/>
      <c r="W415" s="265"/>
    </row>
    <row r="416" spans="1:23" ht="30" customHeight="1">
      <c r="A416" s="204" t="str">
        <f>IF(ISBLANK(D416)," ",346-COUNTBLANK($D$5:D416))</f>
        <v xml:space="preserve"> </v>
      </c>
      <c r="B416" s="202"/>
      <c r="C416" s="202"/>
      <c r="D416" s="202"/>
      <c r="E416" s="300"/>
      <c r="F416" s="210"/>
      <c r="G416" s="210"/>
      <c r="H416" s="203"/>
      <c r="I416" s="203"/>
      <c r="J416" s="203"/>
      <c r="K416" s="203"/>
      <c r="L416" s="203"/>
      <c r="M416" s="203"/>
      <c r="N416" s="203"/>
      <c r="O416" s="205"/>
      <c r="P416" s="291"/>
      <c r="Q416" s="265"/>
      <c r="R416" s="265"/>
      <c r="S416" s="265"/>
      <c r="T416" s="265"/>
    </row>
    <row r="417" spans="1:20" ht="30" customHeight="1">
      <c r="A417" s="204" t="str">
        <f>IF(ISBLANK(D417)," ",347-COUNTBLANK($D$5:D417))</f>
        <v xml:space="preserve"> </v>
      </c>
      <c r="B417" s="202"/>
      <c r="C417" s="202"/>
      <c r="D417" s="202"/>
      <c r="E417" s="300"/>
      <c r="F417" s="210"/>
      <c r="G417" s="210"/>
      <c r="H417" s="203"/>
      <c r="I417" s="203"/>
      <c r="J417" s="203"/>
      <c r="K417" s="203"/>
      <c r="L417" s="203"/>
      <c r="M417" s="203"/>
      <c r="N417" s="203"/>
      <c r="O417" s="205"/>
      <c r="P417" s="291"/>
      <c r="Q417" s="265"/>
      <c r="R417" s="265"/>
      <c r="S417" s="265"/>
      <c r="T417" s="265"/>
    </row>
    <row r="418" spans="1:20" ht="30" customHeight="1">
      <c r="A418" s="204" t="str">
        <f>IF(ISBLANK(D418)," ",348-COUNTBLANK($D$5:D418))</f>
        <v xml:space="preserve"> </v>
      </c>
      <c r="B418" s="202"/>
      <c r="C418" s="202"/>
      <c r="D418" s="202"/>
      <c r="E418" s="300"/>
      <c r="F418" s="210"/>
      <c r="G418" s="210"/>
      <c r="H418" s="203"/>
      <c r="I418" s="203"/>
      <c r="J418" s="203"/>
      <c r="K418" s="203"/>
      <c r="L418" s="203"/>
      <c r="M418" s="203"/>
      <c r="N418" s="203"/>
      <c r="O418" s="205"/>
      <c r="P418" s="291"/>
      <c r="Q418" s="265"/>
      <c r="R418" s="265"/>
      <c r="S418" s="265"/>
      <c r="T418" s="265"/>
    </row>
    <row r="419" spans="1:20" ht="30" customHeight="1">
      <c r="A419" s="204" t="str">
        <f>IF(ISBLANK(D419)," ",349-COUNTBLANK($D$5:D419))</f>
        <v xml:space="preserve"> </v>
      </c>
      <c r="B419" s="202"/>
      <c r="C419" s="202"/>
      <c r="D419" s="202"/>
      <c r="E419" s="300"/>
      <c r="F419" s="210"/>
      <c r="G419" s="210"/>
      <c r="H419" s="203"/>
      <c r="I419" s="203"/>
      <c r="J419" s="203"/>
      <c r="K419" s="203"/>
      <c r="L419" s="203"/>
      <c r="M419" s="203"/>
      <c r="N419" s="203"/>
      <c r="O419" s="205"/>
      <c r="P419" s="291"/>
      <c r="Q419" s="265"/>
      <c r="R419" s="265"/>
      <c r="S419" s="265"/>
      <c r="T419" s="265"/>
    </row>
    <row r="420" spans="1:20" ht="30" customHeight="1">
      <c r="A420" s="204" t="str">
        <f>IF(ISBLANK(D420)," ",350-COUNTBLANK($D$5:D420))</f>
        <v xml:space="preserve"> </v>
      </c>
      <c r="B420" s="202"/>
      <c r="C420" s="202"/>
      <c r="D420" s="202"/>
      <c r="E420" s="300"/>
      <c r="F420" s="210"/>
      <c r="G420" s="210"/>
      <c r="H420" s="203"/>
      <c r="I420" s="203"/>
      <c r="J420" s="203"/>
      <c r="K420" s="203"/>
      <c r="L420" s="203"/>
      <c r="M420" s="203"/>
      <c r="N420" s="203"/>
      <c r="O420" s="205"/>
      <c r="P420" s="291"/>
      <c r="Q420" s="265"/>
      <c r="R420" s="265"/>
      <c r="S420" s="265"/>
      <c r="T420" s="265"/>
    </row>
    <row r="421" spans="1:20" ht="30" customHeight="1">
      <c r="A421" s="204" t="str">
        <f>IF(ISBLANK(D421)," ",351-COUNTBLANK($D$5:D421))</f>
        <v xml:space="preserve"> </v>
      </c>
      <c r="B421" s="202"/>
      <c r="C421" s="202"/>
      <c r="D421" s="202"/>
      <c r="E421" s="300"/>
      <c r="F421" s="210"/>
      <c r="G421" s="210"/>
      <c r="H421" s="203"/>
      <c r="I421" s="203"/>
      <c r="J421" s="203"/>
      <c r="K421" s="203"/>
      <c r="L421" s="203"/>
      <c r="M421" s="203"/>
      <c r="N421" s="203"/>
      <c r="O421" s="205"/>
      <c r="P421" s="291"/>
      <c r="Q421" s="265"/>
      <c r="R421" s="265"/>
      <c r="S421" s="265"/>
      <c r="T421" s="265"/>
    </row>
    <row r="422" spans="1:20" ht="30" customHeight="1">
      <c r="A422" s="204" t="str">
        <f>IF(ISBLANK(D422)," ",352-COUNTBLANK($D$5:D422))</f>
        <v xml:space="preserve"> </v>
      </c>
      <c r="B422" s="202"/>
      <c r="C422" s="202"/>
      <c r="D422" s="202"/>
      <c r="E422" s="300"/>
      <c r="F422" s="210"/>
      <c r="G422" s="210"/>
      <c r="H422" s="203"/>
      <c r="I422" s="203"/>
      <c r="J422" s="203"/>
      <c r="K422" s="203"/>
      <c r="L422" s="203"/>
      <c r="M422" s="203"/>
      <c r="N422" s="203"/>
      <c r="O422" s="205"/>
      <c r="P422" s="291"/>
      <c r="Q422" s="265"/>
      <c r="R422" s="265"/>
      <c r="S422" s="265"/>
      <c r="T422" s="265"/>
    </row>
    <row r="423" spans="1:20" ht="30" customHeight="1">
      <c r="A423" s="204" t="str">
        <f>IF(ISBLANK(D423)," ",353-COUNTBLANK($D$5:D423))</f>
        <v xml:space="preserve"> </v>
      </c>
      <c r="B423" s="202"/>
      <c r="C423" s="202"/>
      <c r="D423" s="202"/>
      <c r="E423" s="300"/>
      <c r="F423" s="210"/>
      <c r="G423" s="210"/>
      <c r="H423" s="203"/>
      <c r="I423" s="203"/>
      <c r="J423" s="203"/>
      <c r="K423" s="203"/>
      <c r="L423" s="203"/>
      <c r="M423" s="203"/>
      <c r="N423" s="203"/>
      <c r="O423" s="205"/>
      <c r="P423" s="291"/>
      <c r="Q423" s="265"/>
      <c r="R423" s="265"/>
      <c r="S423" s="265"/>
      <c r="T423" s="265"/>
    </row>
    <row r="424" spans="1:20" ht="30" customHeight="1">
      <c r="A424" s="204" t="str">
        <f>IF(ISBLANK(D424)," ",354-COUNTBLANK($D$5:D424))</f>
        <v xml:space="preserve"> </v>
      </c>
      <c r="B424" s="202"/>
      <c r="C424" s="202"/>
      <c r="D424" s="202"/>
      <c r="E424" s="300"/>
      <c r="F424" s="210"/>
      <c r="G424" s="210"/>
      <c r="H424" s="203"/>
      <c r="I424" s="203"/>
      <c r="J424" s="203"/>
      <c r="K424" s="203"/>
      <c r="L424" s="203"/>
      <c r="M424" s="203"/>
      <c r="N424" s="203"/>
      <c r="O424" s="205"/>
      <c r="P424" s="291"/>
      <c r="Q424" s="265"/>
      <c r="R424" s="265"/>
      <c r="S424" s="265"/>
      <c r="T424" s="265"/>
    </row>
    <row r="425" spans="1:20" ht="30" customHeight="1">
      <c r="A425" s="204" t="str">
        <f>IF(ISBLANK(D425)," ",355-COUNTBLANK($D$5:D425))</f>
        <v xml:space="preserve"> </v>
      </c>
      <c r="B425" s="202"/>
      <c r="C425" s="202"/>
      <c r="D425" s="202"/>
      <c r="E425" s="300"/>
      <c r="F425" s="210"/>
      <c r="G425" s="210"/>
      <c r="H425" s="203"/>
      <c r="I425" s="203"/>
      <c r="J425" s="203"/>
      <c r="K425" s="203"/>
      <c r="L425" s="203"/>
      <c r="M425" s="203"/>
      <c r="N425" s="203"/>
      <c r="O425" s="205"/>
      <c r="P425" s="291"/>
      <c r="Q425" s="265"/>
      <c r="R425" s="265"/>
      <c r="S425" s="265"/>
      <c r="T425" s="265"/>
    </row>
    <row r="426" spans="1:20" ht="30" customHeight="1">
      <c r="A426" s="204" t="str">
        <f>IF(ISBLANK(D426)," ",356-COUNTBLANK($D$5:D426))</f>
        <v xml:space="preserve"> </v>
      </c>
      <c r="B426" s="202"/>
      <c r="C426" s="202"/>
      <c r="D426" s="202"/>
      <c r="E426" s="300"/>
      <c r="F426" s="210"/>
      <c r="G426" s="210"/>
      <c r="H426" s="203"/>
      <c r="I426" s="203"/>
      <c r="J426" s="203"/>
      <c r="K426" s="203"/>
      <c r="L426" s="203"/>
      <c r="M426" s="203"/>
      <c r="N426" s="203"/>
      <c r="O426" s="205"/>
      <c r="P426" s="291"/>
      <c r="Q426" s="265"/>
      <c r="R426" s="265"/>
      <c r="S426" s="265"/>
      <c r="T426" s="265"/>
    </row>
    <row r="427" spans="1:20" ht="30" customHeight="1">
      <c r="A427" s="204" t="s">
        <v>52</v>
      </c>
      <c r="B427" s="202"/>
      <c r="C427" s="202"/>
      <c r="D427" s="202"/>
      <c r="E427" s="300"/>
      <c r="F427" s="210">
        <f>SUM(F407:F426)</f>
        <v>0</v>
      </c>
      <c r="G427" s="210"/>
      <c r="H427" s="203"/>
      <c r="I427" s="203"/>
      <c r="J427" s="203"/>
      <c r="K427" s="203"/>
      <c r="L427" s="203"/>
      <c r="M427" s="203"/>
      <c r="N427" s="203"/>
      <c r="O427" s="205"/>
      <c r="P427" s="291"/>
      <c r="Q427" s="265"/>
      <c r="R427" s="265"/>
      <c r="S427" s="265"/>
      <c r="T427" s="265"/>
    </row>
    <row r="428" spans="1:20" ht="30" customHeight="1">
      <c r="A428" s="204" t="str">
        <f>IF(ISBLANK(D428)," ",358-COUNTBLANK($D$5:D428))</f>
        <v xml:space="preserve"> </v>
      </c>
      <c r="B428" s="202"/>
      <c r="C428" s="202"/>
      <c r="D428" s="202"/>
      <c r="E428" s="300"/>
      <c r="F428" s="210"/>
      <c r="G428" s="210"/>
      <c r="H428" s="203"/>
      <c r="I428" s="203"/>
      <c r="J428" s="203"/>
      <c r="K428" s="203"/>
      <c r="L428" s="203"/>
      <c r="M428" s="203"/>
      <c r="N428" s="203"/>
      <c r="O428" s="205"/>
      <c r="P428" s="291"/>
      <c r="Q428" s="265"/>
      <c r="R428" s="265"/>
      <c r="S428" s="265"/>
      <c r="T428" s="265"/>
    </row>
    <row r="429" spans="1:20" ht="30" customHeight="1">
      <c r="A429" s="204" t="str">
        <f>IF(ISBLANK(D429)," ",359-COUNTBLANK($D$5:D429))</f>
        <v xml:space="preserve"> </v>
      </c>
      <c r="B429" s="202"/>
      <c r="C429" s="202"/>
      <c r="D429" s="202"/>
      <c r="E429" s="300"/>
      <c r="F429" s="210"/>
      <c r="G429" s="210"/>
      <c r="H429" s="203"/>
      <c r="I429" s="203"/>
      <c r="J429" s="203"/>
      <c r="K429" s="203"/>
      <c r="L429" s="203"/>
      <c r="M429" s="203"/>
      <c r="N429" s="203"/>
      <c r="O429" s="205"/>
      <c r="P429" s="291"/>
      <c r="Q429" s="265"/>
      <c r="R429" s="265"/>
      <c r="S429" s="265"/>
      <c r="T429" s="265"/>
    </row>
    <row r="430" spans="1:20" ht="27.75" customHeight="1">
      <c r="A430" s="204" t="str">
        <f>IF(ISBLANK(D430)," ",360-COUNTBLANK($D$5:D430))</f>
        <v xml:space="preserve"> </v>
      </c>
      <c r="B430" s="202"/>
      <c r="C430" s="202"/>
      <c r="D430" s="202"/>
      <c r="E430" s="300"/>
      <c r="F430" s="210"/>
      <c r="G430" s="210"/>
      <c r="H430" s="203"/>
      <c r="I430" s="203"/>
      <c r="J430" s="203"/>
      <c r="K430" s="203"/>
      <c r="L430" s="203"/>
      <c r="M430" s="203"/>
      <c r="N430" s="203"/>
      <c r="O430" s="205"/>
      <c r="P430" s="291"/>
      <c r="Q430" s="265"/>
      <c r="R430" s="265"/>
      <c r="S430" s="265"/>
      <c r="T430" s="265"/>
    </row>
    <row r="431" spans="1:20" ht="27.75" customHeight="1">
      <c r="A431" s="204" t="str">
        <f>IF(ISBLANK(D431)," ",361-COUNTBLANK($D$5:D431))</f>
        <v xml:space="preserve"> </v>
      </c>
      <c r="B431" s="202"/>
      <c r="C431" s="202"/>
      <c r="D431" s="202"/>
      <c r="E431" s="300"/>
      <c r="F431" s="210"/>
      <c r="G431" s="210"/>
      <c r="H431" s="203"/>
      <c r="I431" s="203"/>
      <c r="J431" s="203"/>
      <c r="K431" s="203"/>
      <c r="L431" s="203"/>
      <c r="M431" s="203"/>
      <c r="N431" s="203"/>
      <c r="O431" s="205"/>
      <c r="P431" s="291"/>
      <c r="Q431" s="265"/>
      <c r="R431" s="265"/>
      <c r="S431" s="265"/>
      <c r="T431" s="267"/>
    </row>
    <row r="432" spans="1:20" ht="27.75" customHeight="1">
      <c r="A432" s="204" t="str">
        <f>IF(ISBLANK(D432)," ",362-COUNTBLANK($D$5:D432))</f>
        <v xml:space="preserve"> </v>
      </c>
      <c r="B432" s="202"/>
      <c r="C432" s="202"/>
      <c r="D432" s="202"/>
      <c r="E432" s="300"/>
      <c r="F432" s="210"/>
      <c r="G432" s="210"/>
      <c r="H432" s="203"/>
      <c r="I432" s="203"/>
      <c r="J432" s="203"/>
      <c r="K432" s="203"/>
      <c r="L432" s="203"/>
      <c r="M432" s="203"/>
      <c r="N432" s="203"/>
      <c r="O432" s="205"/>
      <c r="P432" s="291"/>
      <c r="Q432" s="265"/>
      <c r="R432" s="265"/>
      <c r="S432" s="265"/>
      <c r="T432" s="267"/>
    </row>
    <row r="433" spans="1:23" ht="27.75" customHeight="1">
      <c r="A433" s="204" t="str">
        <f>IF(ISBLANK(D433)," ",363-COUNTBLANK($D$5:D433))</f>
        <v xml:space="preserve"> </v>
      </c>
      <c r="B433" s="202"/>
      <c r="C433" s="202"/>
      <c r="D433" s="202"/>
      <c r="E433" s="300"/>
      <c r="F433" s="210"/>
      <c r="G433" s="210"/>
      <c r="H433" s="203"/>
      <c r="I433" s="203"/>
      <c r="J433" s="203"/>
      <c r="K433" s="203"/>
      <c r="L433" s="203"/>
      <c r="M433" s="203"/>
      <c r="N433" s="203"/>
      <c r="O433" s="205"/>
      <c r="P433" s="291"/>
      <c r="Q433" s="265"/>
      <c r="R433" s="265"/>
      <c r="S433" s="265"/>
      <c r="T433" s="267"/>
    </row>
    <row r="434" spans="1:23" ht="27.75" customHeight="1">
      <c r="A434" s="204" t="str">
        <f>IF(ISBLANK(D434)," ",364-COUNTBLANK($D$5:D434))</f>
        <v xml:space="preserve"> </v>
      </c>
      <c r="B434" s="202"/>
      <c r="C434" s="202"/>
      <c r="D434" s="202"/>
      <c r="E434" s="300"/>
      <c r="F434" s="210"/>
      <c r="G434" s="210"/>
      <c r="H434" s="203"/>
      <c r="I434" s="203"/>
      <c r="J434" s="203"/>
      <c r="K434" s="203"/>
      <c r="L434" s="203"/>
      <c r="M434" s="203"/>
      <c r="N434" s="203"/>
      <c r="O434" s="205"/>
      <c r="P434" s="291"/>
      <c r="Q434" s="265"/>
      <c r="R434" s="265"/>
      <c r="S434" s="265"/>
      <c r="T434" s="267"/>
    </row>
    <row r="435" spans="1:23" ht="27.75" customHeight="1">
      <c r="A435" s="304" t="str">
        <f>IF(ISBLANK(D435)," ",365-COUNTBLANK($D$5:D435))</f>
        <v xml:space="preserve"> </v>
      </c>
      <c r="B435" s="296"/>
      <c r="C435" s="305"/>
      <c r="D435" s="306"/>
      <c r="E435" s="297"/>
      <c r="F435" s="298"/>
      <c r="G435" s="298"/>
      <c r="H435" s="282"/>
      <c r="I435" s="282"/>
      <c r="J435" s="282"/>
      <c r="K435" s="282"/>
      <c r="L435" s="282"/>
      <c r="M435" s="282"/>
      <c r="N435" s="282"/>
      <c r="O435" s="283"/>
      <c r="P435" s="303"/>
      <c r="Q435" s="265"/>
      <c r="R435" s="265"/>
      <c r="S435" s="265"/>
      <c r="T435" s="284"/>
      <c r="U435" s="265"/>
      <c r="V435" s="265"/>
      <c r="W435" s="265"/>
    </row>
    <row r="436" spans="1:23" ht="27.75" customHeight="1">
      <c r="A436" s="260" t="str">
        <f>IF(ISBLANK(D436)," ",366-COUNTBLANK($D$5:D436))</f>
        <v xml:space="preserve"> </v>
      </c>
      <c r="B436" s="200"/>
      <c r="C436" s="200"/>
      <c r="D436" s="200"/>
      <c r="E436" s="299"/>
      <c r="F436" s="209"/>
      <c r="G436" s="209"/>
      <c r="H436" s="201"/>
      <c r="I436" s="201"/>
      <c r="J436" s="201"/>
      <c r="K436" s="201"/>
      <c r="L436" s="201"/>
      <c r="M436" s="201"/>
      <c r="N436" s="201"/>
      <c r="O436" s="262"/>
      <c r="P436" s="291"/>
      <c r="Q436" s="265"/>
      <c r="R436" s="265"/>
      <c r="S436" s="265"/>
      <c r="T436" s="284"/>
      <c r="U436" s="265"/>
      <c r="V436" s="265"/>
      <c r="W436" s="265"/>
    </row>
    <row r="437" spans="1:23" ht="27.75" customHeight="1">
      <c r="A437" s="204" t="str">
        <f>IF(ISBLANK(D437)," ",367-COUNTBLANK($D$5:D437))</f>
        <v xml:space="preserve"> </v>
      </c>
      <c r="B437" s="202"/>
      <c r="C437" s="202"/>
      <c r="D437" s="202"/>
      <c r="E437" s="300"/>
      <c r="F437" s="210"/>
      <c r="G437" s="210"/>
      <c r="H437" s="203"/>
      <c r="I437" s="203"/>
      <c r="J437" s="203"/>
      <c r="K437" s="203"/>
      <c r="L437" s="203"/>
      <c r="M437" s="203"/>
      <c r="N437" s="203"/>
      <c r="O437" s="205"/>
      <c r="P437" s="291"/>
      <c r="Q437" s="265"/>
      <c r="R437" s="265"/>
      <c r="S437" s="265"/>
      <c r="T437" s="265"/>
    </row>
    <row r="438" spans="1:23" ht="27.75" customHeight="1">
      <c r="A438" s="204" t="str">
        <f>IF(ISBLANK(D438)," ",368-COUNTBLANK($D$5:D438))</f>
        <v xml:space="preserve"> </v>
      </c>
      <c r="B438" s="202"/>
      <c r="C438" s="202"/>
      <c r="D438" s="202"/>
      <c r="E438" s="300"/>
      <c r="F438" s="210"/>
      <c r="G438" s="210"/>
      <c r="H438" s="203"/>
      <c r="I438" s="203"/>
      <c r="J438" s="203"/>
      <c r="K438" s="203"/>
      <c r="L438" s="203"/>
      <c r="M438" s="203"/>
      <c r="N438" s="203"/>
      <c r="O438" s="205"/>
      <c r="P438" s="291"/>
      <c r="Q438" s="265"/>
      <c r="R438" s="265"/>
      <c r="S438" s="265"/>
      <c r="T438" s="265"/>
    </row>
    <row r="439" spans="1:23" ht="27.75" customHeight="1">
      <c r="A439" s="204" t="str">
        <f>IF(ISBLANK(D439)," ",369-COUNTBLANK($D$5:D439))</f>
        <v xml:space="preserve"> </v>
      </c>
      <c r="B439" s="202"/>
      <c r="C439" s="202"/>
      <c r="D439" s="202"/>
      <c r="E439" s="300"/>
      <c r="F439" s="210"/>
      <c r="G439" s="210"/>
      <c r="H439" s="203"/>
      <c r="I439" s="203"/>
      <c r="J439" s="203"/>
      <c r="K439" s="203"/>
      <c r="L439" s="203"/>
      <c r="M439" s="203"/>
      <c r="N439" s="203"/>
      <c r="O439" s="205"/>
      <c r="P439" s="291"/>
      <c r="Q439" s="265"/>
      <c r="R439" s="265"/>
      <c r="S439" s="265"/>
      <c r="T439" s="265"/>
    </row>
    <row r="440" spans="1:23" ht="27.75" customHeight="1">
      <c r="A440" s="204" t="str">
        <f>IF(ISBLANK(D440)," ",370-COUNTBLANK($D$5:D440))</f>
        <v xml:space="preserve"> </v>
      </c>
      <c r="B440" s="202"/>
      <c r="C440" s="202"/>
      <c r="D440" s="202"/>
      <c r="E440" s="300"/>
      <c r="F440" s="210"/>
      <c r="G440" s="210"/>
      <c r="H440" s="203"/>
      <c r="I440" s="203"/>
      <c r="J440" s="203"/>
      <c r="K440" s="203"/>
      <c r="L440" s="203"/>
      <c r="M440" s="203"/>
      <c r="N440" s="203"/>
      <c r="O440" s="205"/>
      <c r="P440" s="291"/>
      <c r="Q440" s="265"/>
      <c r="R440" s="265"/>
      <c r="S440" s="265"/>
      <c r="T440" s="265"/>
    </row>
    <row r="441" spans="1:23" ht="27.75" customHeight="1">
      <c r="A441" s="204" t="str">
        <f>IF(ISBLANK(D441)," ",371-COUNTBLANK($D$5:D441))</f>
        <v xml:space="preserve"> </v>
      </c>
      <c r="B441" s="202"/>
      <c r="C441" s="202"/>
      <c r="D441" s="202"/>
      <c r="E441" s="300"/>
      <c r="F441" s="210"/>
      <c r="G441" s="210"/>
      <c r="H441" s="203"/>
      <c r="I441" s="203"/>
      <c r="J441" s="203"/>
      <c r="K441" s="203"/>
      <c r="L441" s="203"/>
      <c r="M441" s="203"/>
      <c r="N441" s="203"/>
      <c r="O441" s="205"/>
      <c r="P441" s="291"/>
      <c r="Q441" s="265"/>
      <c r="R441" s="265"/>
      <c r="S441" s="265"/>
      <c r="T441" s="265"/>
    </row>
    <row r="442" spans="1:23" ht="27.75" customHeight="1">
      <c r="A442" s="204" t="str">
        <f>IF(ISBLANK(D442)," ",372-COUNTBLANK($D$5:D442))</f>
        <v xml:space="preserve"> </v>
      </c>
      <c r="B442" s="202"/>
      <c r="C442" s="202"/>
      <c r="D442" s="202"/>
      <c r="E442" s="300"/>
      <c r="F442" s="210"/>
      <c r="G442" s="210"/>
      <c r="H442" s="203"/>
      <c r="I442" s="203"/>
      <c r="J442" s="203"/>
      <c r="K442" s="203"/>
      <c r="L442" s="203"/>
      <c r="M442" s="203"/>
      <c r="N442" s="203"/>
      <c r="O442" s="205"/>
      <c r="P442" s="291"/>
      <c r="Q442" s="265"/>
      <c r="R442" s="265"/>
      <c r="S442" s="265"/>
      <c r="T442" s="265"/>
    </row>
    <row r="443" spans="1:23" ht="27.75" customHeight="1">
      <c r="A443" s="204" t="str">
        <f>IF(ISBLANK(D443)," ",373-COUNTBLANK($D$5:D443))</f>
        <v xml:space="preserve"> </v>
      </c>
      <c r="B443" s="202"/>
      <c r="C443" s="202"/>
      <c r="D443" s="202"/>
      <c r="E443" s="300"/>
      <c r="F443" s="210"/>
      <c r="G443" s="210"/>
      <c r="H443" s="203"/>
      <c r="I443" s="203"/>
      <c r="J443" s="203"/>
      <c r="K443" s="203"/>
      <c r="L443" s="203"/>
      <c r="M443" s="203"/>
      <c r="N443" s="203"/>
      <c r="O443" s="205"/>
      <c r="P443" s="291"/>
      <c r="Q443" s="265"/>
      <c r="R443" s="265"/>
      <c r="S443" s="265"/>
      <c r="T443" s="265"/>
    </row>
    <row r="444" spans="1:23" ht="27.75" customHeight="1">
      <c r="A444" s="204" t="str">
        <f>IF(ISBLANK(D444)," ",374-COUNTBLANK($D$5:D444))</f>
        <v xml:space="preserve"> </v>
      </c>
      <c r="B444" s="202"/>
      <c r="C444" s="202"/>
      <c r="D444" s="202"/>
      <c r="E444" s="300"/>
      <c r="F444" s="210"/>
      <c r="G444" s="210"/>
      <c r="H444" s="203"/>
      <c r="I444" s="203"/>
      <c r="J444" s="203"/>
      <c r="K444" s="203"/>
      <c r="L444" s="203"/>
      <c r="M444" s="203"/>
      <c r="N444" s="203"/>
      <c r="O444" s="205"/>
      <c r="P444" s="291"/>
      <c r="Q444" s="265"/>
      <c r="R444" s="265"/>
      <c r="S444" s="265"/>
      <c r="T444" s="265"/>
    </row>
    <row r="445" spans="1:23" ht="27.75" customHeight="1">
      <c r="A445" s="204" t="str">
        <f>IF(ISBLANK(D445)," ",375-COUNTBLANK($D$5:D445))</f>
        <v xml:space="preserve"> </v>
      </c>
      <c r="B445" s="202"/>
      <c r="C445" s="202"/>
      <c r="D445" s="202"/>
      <c r="E445" s="300"/>
      <c r="F445" s="210"/>
      <c r="G445" s="210"/>
      <c r="H445" s="203"/>
      <c r="I445" s="203"/>
      <c r="J445" s="203"/>
      <c r="K445" s="203"/>
      <c r="L445" s="203"/>
      <c r="M445" s="203"/>
      <c r="N445" s="203"/>
      <c r="O445" s="205"/>
      <c r="P445" s="291"/>
      <c r="Q445" s="265"/>
      <c r="R445" s="265"/>
      <c r="S445" s="265"/>
      <c r="T445" s="265"/>
    </row>
    <row r="446" spans="1:23" ht="27.75" customHeight="1">
      <c r="A446" s="204" t="str">
        <f>IF(ISBLANK(D446)," ",376-COUNTBLANK($D$5:D446))</f>
        <v xml:space="preserve"> </v>
      </c>
      <c r="B446" s="202"/>
      <c r="C446" s="202"/>
      <c r="D446" s="202"/>
      <c r="E446" s="300"/>
      <c r="F446" s="210"/>
      <c r="G446" s="210"/>
      <c r="H446" s="203"/>
      <c r="I446" s="203"/>
      <c r="J446" s="203"/>
      <c r="K446" s="203"/>
      <c r="L446" s="203"/>
      <c r="M446" s="203"/>
      <c r="N446" s="203"/>
      <c r="O446" s="205"/>
      <c r="P446" s="291"/>
      <c r="Q446" s="265"/>
      <c r="R446" s="265"/>
      <c r="S446" s="265"/>
      <c r="T446" s="265"/>
    </row>
    <row r="447" spans="1:23" ht="27.75" customHeight="1">
      <c r="A447" s="204" t="str">
        <f>IF(ISBLANK(D447)," ",377-COUNTBLANK($D$5:D447))</f>
        <v xml:space="preserve"> </v>
      </c>
      <c r="B447" s="202"/>
      <c r="C447" s="202"/>
      <c r="D447" s="202"/>
      <c r="E447" s="300"/>
      <c r="F447" s="210"/>
      <c r="G447" s="210"/>
      <c r="H447" s="203"/>
      <c r="I447" s="203"/>
      <c r="J447" s="203"/>
      <c r="K447" s="203"/>
      <c r="L447" s="203"/>
      <c r="M447" s="203"/>
      <c r="N447" s="203"/>
      <c r="O447" s="205"/>
      <c r="P447" s="291"/>
      <c r="Q447" s="265"/>
      <c r="R447" s="265"/>
      <c r="S447" s="265"/>
      <c r="T447" s="265"/>
    </row>
    <row r="448" spans="1:23" ht="27.75" customHeight="1">
      <c r="A448" s="204" t="s">
        <v>52</v>
      </c>
      <c r="B448" s="202"/>
      <c r="C448" s="202"/>
      <c r="D448" s="202"/>
      <c r="E448" s="300"/>
      <c r="F448" s="210">
        <f>SUM(F428:F447)</f>
        <v>0</v>
      </c>
      <c r="G448" s="210"/>
      <c r="H448" s="203"/>
      <c r="I448" s="203"/>
      <c r="J448" s="203"/>
      <c r="K448" s="203"/>
      <c r="L448" s="203"/>
      <c r="M448" s="203"/>
      <c r="N448" s="203"/>
      <c r="O448" s="205"/>
      <c r="P448" s="291"/>
      <c r="Q448" s="265"/>
      <c r="R448" s="265"/>
      <c r="S448" s="265"/>
      <c r="T448" s="265"/>
    </row>
    <row r="449" spans="1:23" ht="27.75" customHeight="1">
      <c r="A449" s="204" t="str">
        <f>IF(ISBLANK(D449)," ",379-COUNTBLANK($D$5:D449))</f>
        <v xml:space="preserve"> </v>
      </c>
      <c r="B449" s="202"/>
      <c r="C449" s="202"/>
      <c r="D449" s="202"/>
      <c r="E449" s="300"/>
      <c r="F449" s="210"/>
      <c r="G449" s="210"/>
      <c r="H449" s="203"/>
      <c r="I449" s="203"/>
      <c r="J449" s="203"/>
      <c r="K449" s="203"/>
      <c r="L449" s="203"/>
      <c r="M449" s="203"/>
      <c r="N449" s="203"/>
      <c r="O449" s="205"/>
      <c r="P449" s="291"/>
      <c r="Q449" s="265"/>
      <c r="R449" s="265"/>
      <c r="S449" s="265"/>
      <c r="T449" s="265"/>
    </row>
    <row r="450" spans="1:23" ht="27.75" customHeight="1">
      <c r="A450" s="204" t="str">
        <f>IF(ISBLANK(D450)," ",380-COUNTBLANK($D$5:D450))</f>
        <v xml:space="preserve"> </v>
      </c>
      <c r="B450" s="202"/>
      <c r="C450" s="202"/>
      <c r="D450" s="202"/>
      <c r="E450" s="300"/>
      <c r="F450" s="210"/>
      <c r="G450" s="210"/>
      <c r="H450" s="203"/>
      <c r="I450" s="203"/>
      <c r="J450" s="203"/>
      <c r="K450" s="203"/>
      <c r="L450" s="203"/>
      <c r="M450" s="203"/>
      <c r="N450" s="203"/>
      <c r="O450" s="205"/>
      <c r="P450" s="291"/>
      <c r="Q450" s="265"/>
      <c r="R450" s="265"/>
      <c r="S450" s="265"/>
      <c r="T450" s="265"/>
    </row>
    <row r="451" spans="1:23" ht="27.75" customHeight="1">
      <c r="A451" s="204" t="str">
        <f>IF(ISBLANK(D451)," ",381-COUNTBLANK($D$5:D451))</f>
        <v xml:space="preserve"> </v>
      </c>
      <c r="B451" s="202"/>
      <c r="C451" s="202"/>
      <c r="D451" s="202"/>
      <c r="E451" s="300"/>
      <c r="F451" s="210"/>
      <c r="G451" s="210"/>
      <c r="H451" s="203"/>
      <c r="I451" s="203"/>
      <c r="J451" s="203"/>
      <c r="K451" s="203"/>
      <c r="L451" s="203"/>
      <c r="M451" s="203"/>
      <c r="N451" s="203"/>
      <c r="O451" s="205"/>
      <c r="P451" s="291"/>
      <c r="Q451" s="265"/>
      <c r="R451" s="265"/>
      <c r="S451" s="265"/>
      <c r="T451" s="265"/>
    </row>
    <row r="452" spans="1:23" ht="27.75" customHeight="1">
      <c r="A452" s="204" t="str">
        <f>IF(ISBLANK(D452)," ",382-COUNTBLANK($D$5:D452))</f>
        <v xml:space="preserve"> </v>
      </c>
      <c r="B452" s="202"/>
      <c r="C452" s="202"/>
      <c r="D452" s="202"/>
      <c r="E452" s="300"/>
      <c r="F452" s="210"/>
      <c r="G452" s="210"/>
      <c r="H452" s="203"/>
      <c r="I452" s="203"/>
      <c r="J452" s="203"/>
      <c r="K452" s="203"/>
      <c r="L452" s="203"/>
      <c r="M452" s="203"/>
      <c r="N452" s="203"/>
      <c r="O452" s="205"/>
      <c r="P452" s="291"/>
      <c r="Q452" s="265"/>
      <c r="R452" s="265"/>
      <c r="S452" s="265"/>
      <c r="T452" s="267"/>
    </row>
    <row r="453" spans="1:23" ht="27.75" customHeight="1">
      <c r="A453" s="204" t="str">
        <f>IF(ISBLANK(D453)," ",383-COUNTBLANK($D$5:D453))</f>
        <v xml:space="preserve"> </v>
      </c>
      <c r="B453" s="202"/>
      <c r="C453" s="202"/>
      <c r="D453" s="202"/>
      <c r="E453" s="300"/>
      <c r="F453" s="210"/>
      <c r="G453" s="210"/>
      <c r="H453" s="203"/>
      <c r="I453" s="203"/>
      <c r="J453" s="203"/>
      <c r="K453" s="203"/>
      <c r="L453" s="203"/>
      <c r="M453" s="203"/>
      <c r="N453" s="203"/>
      <c r="O453" s="205"/>
      <c r="P453" s="291"/>
      <c r="Q453" s="265"/>
      <c r="R453" s="265"/>
      <c r="S453" s="265"/>
      <c r="T453" s="267"/>
    </row>
    <row r="454" spans="1:23" ht="27.75" customHeight="1">
      <c r="A454" s="204" t="str">
        <f>IF(ISBLANK(D454)," ",384-COUNTBLANK($D$5:D454))</f>
        <v xml:space="preserve"> </v>
      </c>
      <c r="B454" s="202"/>
      <c r="C454" s="202"/>
      <c r="D454" s="202"/>
      <c r="E454" s="300"/>
      <c r="F454" s="210"/>
      <c r="G454" s="210"/>
      <c r="H454" s="203"/>
      <c r="I454" s="203"/>
      <c r="J454" s="203"/>
      <c r="K454" s="203"/>
      <c r="L454" s="203"/>
      <c r="M454" s="203"/>
      <c r="N454" s="203"/>
      <c r="O454" s="205"/>
      <c r="P454" s="291"/>
      <c r="Q454" s="265"/>
      <c r="R454" s="265"/>
      <c r="S454" s="265"/>
      <c r="T454" s="267"/>
    </row>
    <row r="455" spans="1:23" ht="27.75" customHeight="1">
      <c r="A455" s="204" t="str">
        <f>IF(ISBLANK(D455)," ",385-COUNTBLANK($D$5:D455))</f>
        <v xml:space="preserve"> </v>
      </c>
      <c r="B455" s="202"/>
      <c r="C455" s="202"/>
      <c r="D455" s="202"/>
      <c r="E455" s="300"/>
      <c r="F455" s="210"/>
      <c r="G455" s="210"/>
      <c r="H455" s="203"/>
      <c r="I455" s="203"/>
      <c r="J455" s="203"/>
      <c r="K455" s="203"/>
      <c r="L455" s="203"/>
      <c r="M455" s="203"/>
      <c r="N455" s="203"/>
      <c r="O455" s="205"/>
      <c r="P455" s="291"/>
      <c r="Q455" s="265"/>
      <c r="R455" s="265"/>
      <c r="S455" s="265"/>
      <c r="T455" s="267"/>
    </row>
    <row r="456" spans="1:23" ht="27.75" customHeight="1">
      <c r="A456" s="304" t="str">
        <f>IF(ISBLANK(D456)," ",386-COUNTBLANK($D$5:D456))</f>
        <v xml:space="preserve"> </v>
      </c>
      <c r="B456" s="296"/>
      <c r="C456" s="305"/>
      <c r="D456" s="306"/>
      <c r="E456" s="297"/>
      <c r="F456" s="298"/>
      <c r="G456" s="298"/>
      <c r="H456" s="282"/>
      <c r="I456" s="282"/>
      <c r="J456" s="282"/>
      <c r="K456" s="282"/>
      <c r="L456" s="282"/>
      <c r="M456" s="282"/>
      <c r="N456" s="282"/>
      <c r="O456" s="283"/>
      <c r="P456" s="303"/>
      <c r="Q456" s="265"/>
      <c r="R456" s="265"/>
      <c r="S456" s="265"/>
      <c r="T456" s="284"/>
      <c r="U456" s="265"/>
      <c r="V456" s="265"/>
      <c r="W456" s="265"/>
    </row>
    <row r="457" spans="1:23" ht="27.75" customHeight="1">
      <c r="A457" s="260" t="str">
        <f>IF(ISBLANK(D457)," ",387-COUNTBLANK($D$5:D457))</f>
        <v xml:space="preserve"> </v>
      </c>
      <c r="B457" s="200"/>
      <c r="C457" s="200"/>
      <c r="D457" s="200"/>
      <c r="E457" s="299"/>
      <c r="F457" s="209"/>
      <c r="G457" s="209"/>
      <c r="H457" s="201"/>
      <c r="I457" s="201"/>
      <c r="J457" s="201"/>
      <c r="K457" s="201"/>
      <c r="L457" s="201"/>
      <c r="M457" s="201"/>
      <c r="N457" s="201"/>
      <c r="O457" s="262"/>
      <c r="P457" s="291"/>
      <c r="Q457" s="265"/>
      <c r="R457" s="265"/>
      <c r="S457" s="265"/>
      <c r="T457" s="284"/>
      <c r="U457" s="265"/>
      <c r="V457" s="265"/>
      <c r="W457" s="265"/>
    </row>
    <row r="458" spans="1:23" ht="27.75" customHeight="1">
      <c r="A458" s="204" t="str">
        <f>IF(ISBLANK(D458)," ",388-COUNTBLANK($D$5:D458))</f>
        <v xml:space="preserve"> </v>
      </c>
      <c r="B458" s="202"/>
      <c r="C458" s="202"/>
      <c r="D458" s="202"/>
      <c r="E458" s="300"/>
      <c r="F458" s="210"/>
      <c r="G458" s="210"/>
      <c r="H458" s="203"/>
      <c r="I458" s="203"/>
      <c r="J458" s="203"/>
      <c r="K458" s="203"/>
      <c r="L458" s="203"/>
      <c r="M458" s="203"/>
      <c r="N458" s="203"/>
      <c r="O458" s="205"/>
      <c r="P458" s="291"/>
      <c r="Q458" s="265"/>
      <c r="R458" s="265"/>
      <c r="S458" s="265"/>
      <c r="T458" s="265"/>
    </row>
    <row r="459" spans="1:23" ht="27.75" customHeight="1">
      <c r="A459" s="204" t="str">
        <f>IF(ISBLANK(D459)," ",389-COUNTBLANK($D$5:D459))</f>
        <v xml:space="preserve"> </v>
      </c>
      <c r="B459" s="202"/>
      <c r="C459" s="202"/>
      <c r="D459" s="202"/>
      <c r="E459" s="300"/>
      <c r="F459" s="210"/>
      <c r="G459" s="210"/>
      <c r="H459" s="203"/>
      <c r="I459" s="203"/>
      <c r="J459" s="203"/>
      <c r="K459" s="203"/>
      <c r="L459" s="203"/>
      <c r="M459" s="203"/>
      <c r="N459" s="203"/>
      <c r="O459" s="205"/>
      <c r="P459" s="291"/>
      <c r="Q459" s="265"/>
      <c r="R459" s="265"/>
      <c r="S459" s="265"/>
      <c r="T459" s="265"/>
    </row>
    <row r="460" spans="1:23" ht="27.75" customHeight="1">
      <c r="A460" s="204" t="str">
        <f>IF(ISBLANK(D460)," ",390-COUNTBLANK($D$5:D460))</f>
        <v xml:space="preserve"> </v>
      </c>
      <c r="B460" s="202"/>
      <c r="C460" s="202"/>
      <c r="D460" s="202"/>
      <c r="E460" s="300"/>
      <c r="F460" s="210"/>
      <c r="G460" s="210"/>
      <c r="H460" s="203"/>
      <c r="I460" s="203"/>
      <c r="J460" s="203"/>
      <c r="K460" s="203"/>
      <c r="L460" s="203"/>
      <c r="M460" s="203"/>
      <c r="N460" s="203"/>
      <c r="O460" s="205"/>
      <c r="P460" s="291"/>
      <c r="Q460" s="265"/>
      <c r="R460" s="265"/>
      <c r="S460" s="265"/>
      <c r="T460" s="265"/>
    </row>
    <row r="461" spans="1:23" ht="27.75" customHeight="1">
      <c r="A461" s="204" t="str">
        <f>IF(ISBLANK(D461)," ",391-COUNTBLANK($D$5:D461))</f>
        <v xml:space="preserve"> </v>
      </c>
      <c r="B461" s="202"/>
      <c r="C461" s="202"/>
      <c r="D461" s="202"/>
      <c r="E461" s="300"/>
      <c r="F461" s="210"/>
      <c r="G461" s="210"/>
      <c r="H461" s="203"/>
      <c r="I461" s="203"/>
      <c r="J461" s="203"/>
      <c r="K461" s="203"/>
      <c r="L461" s="203"/>
      <c r="M461" s="203"/>
      <c r="N461" s="203"/>
      <c r="O461" s="205"/>
      <c r="P461" s="291"/>
      <c r="Q461" s="265"/>
      <c r="R461" s="265"/>
      <c r="S461" s="265"/>
      <c r="T461" s="265"/>
    </row>
    <row r="462" spans="1:23" ht="27.75" customHeight="1">
      <c r="A462" s="204" t="str">
        <f>IF(ISBLANK(D462)," ",392-COUNTBLANK($D$5:D462))</f>
        <v xml:space="preserve"> </v>
      </c>
      <c r="B462" s="202"/>
      <c r="C462" s="202"/>
      <c r="D462" s="202"/>
      <c r="E462" s="300"/>
      <c r="F462" s="210"/>
      <c r="G462" s="210"/>
      <c r="H462" s="203"/>
      <c r="I462" s="203"/>
      <c r="J462" s="203"/>
      <c r="K462" s="203"/>
      <c r="L462" s="203"/>
      <c r="M462" s="203"/>
      <c r="N462" s="203"/>
      <c r="O462" s="205"/>
      <c r="P462" s="291"/>
      <c r="Q462" s="265"/>
      <c r="R462" s="265"/>
      <c r="S462" s="265"/>
      <c r="T462" s="265"/>
    </row>
    <row r="463" spans="1:23" ht="27.75" customHeight="1">
      <c r="A463" s="204" t="str">
        <f>IF(ISBLANK(D463)," ",393-COUNTBLANK($D$5:D463))</f>
        <v xml:space="preserve"> </v>
      </c>
      <c r="B463" s="202"/>
      <c r="C463" s="202"/>
      <c r="D463" s="202"/>
      <c r="E463" s="300"/>
      <c r="F463" s="210"/>
      <c r="G463" s="210"/>
      <c r="H463" s="203"/>
      <c r="I463" s="203"/>
      <c r="J463" s="203"/>
      <c r="K463" s="203"/>
      <c r="L463" s="203"/>
      <c r="M463" s="203"/>
      <c r="N463" s="203"/>
      <c r="O463" s="205"/>
      <c r="P463" s="291"/>
      <c r="Q463" s="265"/>
      <c r="R463" s="265"/>
      <c r="S463" s="265"/>
      <c r="T463" s="265"/>
    </row>
    <row r="464" spans="1:23" ht="27.75" customHeight="1">
      <c r="A464" s="204" t="str">
        <f>IF(ISBLANK(D464)," ",394-COUNTBLANK($D$5:D464))</f>
        <v xml:space="preserve"> </v>
      </c>
      <c r="B464" s="202"/>
      <c r="C464" s="202"/>
      <c r="D464" s="202"/>
      <c r="E464" s="300"/>
      <c r="F464" s="210"/>
      <c r="G464" s="210"/>
      <c r="H464" s="203"/>
      <c r="I464" s="203"/>
      <c r="J464" s="203"/>
      <c r="K464" s="203"/>
      <c r="L464" s="203"/>
      <c r="M464" s="203"/>
      <c r="N464" s="203"/>
      <c r="O464" s="205"/>
      <c r="P464" s="291"/>
      <c r="Q464" s="265"/>
      <c r="R464" s="265"/>
      <c r="S464" s="265"/>
      <c r="T464" s="265"/>
    </row>
    <row r="465" spans="1:23" ht="27.75" customHeight="1">
      <c r="A465" s="204" t="str">
        <f>IF(ISBLANK(D465)," ",395-COUNTBLANK($D$5:D465))</f>
        <v xml:space="preserve"> </v>
      </c>
      <c r="B465" s="202"/>
      <c r="C465" s="202"/>
      <c r="D465" s="202"/>
      <c r="E465" s="300"/>
      <c r="F465" s="210"/>
      <c r="G465" s="210"/>
      <c r="H465" s="203"/>
      <c r="I465" s="203"/>
      <c r="J465" s="203"/>
      <c r="K465" s="203"/>
      <c r="L465" s="203"/>
      <c r="M465" s="203"/>
      <c r="N465" s="203"/>
      <c r="O465" s="205"/>
      <c r="P465" s="291"/>
      <c r="Q465" s="265"/>
      <c r="R465" s="265"/>
      <c r="S465" s="265"/>
      <c r="T465" s="265"/>
    </row>
    <row r="466" spans="1:23" ht="27.75" customHeight="1">
      <c r="A466" s="204" t="str">
        <f>IF(ISBLANK(D466)," ",396-COUNTBLANK($D$5:D466))</f>
        <v xml:space="preserve"> </v>
      </c>
      <c r="B466" s="202"/>
      <c r="C466" s="202"/>
      <c r="D466" s="202"/>
      <c r="E466" s="300"/>
      <c r="F466" s="210"/>
      <c r="G466" s="210"/>
      <c r="H466" s="203"/>
      <c r="I466" s="203"/>
      <c r="J466" s="203"/>
      <c r="K466" s="203"/>
      <c r="L466" s="203"/>
      <c r="M466" s="203"/>
      <c r="N466" s="203"/>
      <c r="O466" s="205"/>
      <c r="P466" s="291"/>
      <c r="Q466" s="265"/>
      <c r="R466" s="265"/>
      <c r="S466" s="265"/>
      <c r="T466" s="265"/>
    </row>
    <row r="467" spans="1:23" ht="27.75" customHeight="1">
      <c r="A467" s="204" t="str">
        <f>IF(ISBLANK(D467)," ",397-COUNTBLANK($D$5:D467))</f>
        <v xml:space="preserve"> </v>
      </c>
      <c r="B467" s="202"/>
      <c r="C467" s="202"/>
      <c r="D467" s="202"/>
      <c r="E467" s="300"/>
      <c r="F467" s="210"/>
      <c r="G467" s="210"/>
      <c r="H467" s="203"/>
      <c r="I467" s="203"/>
      <c r="J467" s="203"/>
      <c r="K467" s="203"/>
      <c r="L467" s="203"/>
      <c r="M467" s="203"/>
      <c r="N467" s="203"/>
      <c r="O467" s="205"/>
      <c r="P467" s="291"/>
      <c r="Q467" s="265"/>
      <c r="R467" s="265"/>
      <c r="S467" s="265"/>
      <c r="T467" s="265"/>
    </row>
    <row r="468" spans="1:23" ht="27.75" customHeight="1">
      <c r="A468" s="204" t="str">
        <f>IF(ISBLANK(D468)," ",398-COUNTBLANK($D$5:D468))</f>
        <v xml:space="preserve"> </v>
      </c>
      <c r="B468" s="202"/>
      <c r="C468" s="202"/>
      <c r="D468" s="202"/>
      <c r="E468" s="300"/>
      <c r="F468" s="210"/>
      <c r="G468" s="210"/>
      <c r="H468" s="203"/>
      <c r="I468" s="203"/>
      <c r="J468" s="203"/>
      <c r="K468" s="203"/>
      <c r="L468" s="203"/>
      <c r="M468" s="203"/>
      <c r="N468" s="203"/>
      <c r="O468" s="205"/>
      <c r="P468" s="291"/>
      <c r="Q468" s="265"/>
      <c r="R468" s="265"/>
      <c r="S468" s="265"/>
      <c r="T468" s="265"/>
    </row>
    <row r="469" spans="1:23" ht="27.75" customHeight="1">
      <c r="A469" s="204" t="s">
        <v>52</v>
      </c>
      <c r="B469" s="202"/>
      <c r="C469" s="202"/>
      <c r="D469" s="202"/>
      <c r="E469" s="300"/>
      <c r="F469" s="210">
        <f>SUM(F449:F468)</f>
        <v>0</v>
      </c>
      <c r="G469" s="210"/>
      <c r="H469" s="203"/>
      <c r="I469" s="203"/>
      <c r="J469" s="203"/>
      <c r="K469" s="203"/>
      <c r="L469" s="203"/>
      <c r="M469" s="203"/>
      <c r="N469" s="203"/>
      <c r="O469" s="205"/>
      <c r="P469" s="291"/>
      <c r="Q469" s="265"/>
      <c r="R469" s="265"/>
      <c r="S469" s="265"/>
      <c r="T469" s="265"/>
    </row>
    <row r="470" spans="1:23" ht="27.75" customHeight="1">
      <c r="A470" s="204" t="str">
        <f>IF(ISBLANK(D470)," ",400-COUNTBLANK($D$5:D470))</f>
        <v xml:space="preserve"> </v>
      </c>
      <c r="B470" s="202"/>
      <c r="C470" s="202"/>
      <c r="D470" s="202"/>
      <c r="E470" s="300"/>
      <c r="F470" s="210"/>
      <c r="G470" s="210"/>
      <c r="H470" s="203"/>
      <c r="I470" s="203"/>
      <c r="J470" s="203"/>
      <c r="K470" s="203"/>
      <c r="L470" s="203"/>
      <c r="M470" s="203"/>
      <c r="N470" s="203"/>
      <c r="O470" s="205"/>
      <c r="P470" s="291"/>
      <c r="Q470" s="265"/>
      <c r="R470" s="265"/>
      <c r="S470" s="265"/>
      <c r="T470" s="265"/>
    </row>
    <row r="471" spans="1:23" ht="27.75" customHeight="1">
      <c r="A471" s="204" t="str">
        <f>IF(ISBLANK(D471)," ",401-COUNTBLANK($D$5:D471))</f>
        <v xml:space="preserve"> </v>
      </c>
      <c r="B471" s="202"/>
      <c r="C471" s="202"/>
      <c r="D471" s="202"/>
      <c r="E471" s="300"/>
      <c r="F471" s="210"/>
      <c r="G471" s="210"/>
      <c r="H471" s="203"/>
      <c r="I471" s="203"/>
      <c r="J471" s="203"/>
      <c r="K471" s="203"/>
      <c r="L471" s="203"/>
      <c r="M471" s="203"/>
      <c r="N471" s="203"/>
      <c r="O471" s="205"/>
      <c r="P471" s="291"/>
      <c r="Q471" s="265"/>
      <c r="R471" s="265"/>
      <c r="S471" s="265"/>
      <c r="T471" s="265"/>
    </row>
    <row r="472" spans="1:23" ht="27.75" customHeight="1">
      <c r="A472" s="204" t="str">
        <f>IF(ISBLANK(D472)," ",402-COUNTBLANK($D$5:D472))</f>
        <v xml:space="preserve"> </v>
      </c>
      <c r="B472" s="202"/>
      <c r="C472" s="202"/>
      <c r="D472" s="202"/>
      <c r="E472" s="300"/>
      <c r="F472" s="210"/>
      <c r="G472" s="210"/>
      <c r="H472" s="203"/>
      <c r="I472" s="203"/>
      <c r="J472" s="203"/>
      <c r="K472" s="203"/>
      <c r="L472" s="203"/>
      <c r="M472" s="203"/>
      <c r="N472" s="203"/>
      <c r="O472" s="205"/>
      <c r="P472" s="291"/>
      <c r="Q472" s="265"/>
      <c r="R472" s="265"/>
      <c r="S472" s="265"/>
      <c r="T472" s="265"/>
    </row>
    <row r="473" spans="1:23" ht="27.75" customHeight="1">
      <c r="A473" s="204" t="str">
        <f>IF(ISBLANK(D473)," ",403-COUNTBLANK($D$5:D473))</f>
        <v xml:space="preserve"> </v>
      </c>
      <c r="B473" s="202"/>
      <c r="C473" s="202"/>
      <c r="D473" s="202"/>
      <c r="E473" s="300"/>
      <c r="F473" s="210"/>
      <c r="G473" s="210"/>
      <c r="H473" s="203"/>
      <c r="I473" s="203"/>
      <c r="J473" s="203"/>
      <c r="K473" s="203"/>
      <c r="L473" s="203"/>
      <c r="M473" s="203"/>
      <c r="N473" s="203"/>
      <c r="O473" s="205"/>
      <c r="P473" s="291"/>
      <c r="Q473" s="265"/>
      <c r="R473" s="265"/>
      <c r="S473" s="265"/>
      <c r="T473" s="267"/>
    </row>
    <row r="474" spans="1:23" ht="27.75" customHeight="1">
      <c r="A474" s="204" t="str">
        <f>IF(ISBLANK(D474)," ",404-COUNTBLANK($D$5:D474))</f>
        <v xml:space="preserve"> </v>
      </c>
      <c r="B474" s="202"/>
      <c r="C474" s="202"/>
      <c r="D474" s="202"/>
      <c r="E474" s="300"/>
      <c r="F474" s="210"/>
      <c r="G474" s="210"/>
      <c r="H474" s="203"/>
      <c r="I474" s="203"/>
      <c r="J474" s="203"/>
      <c r="K474" s="203"/>
      <c r="L474" s="203"/>
      <c r="M474" s="203"/>
      <c r="N474" s="203"/>
      <c r="O474" s="205"/>
      <c r="P474" s="291"/>
      <c r="Q474" s="265"/>
      <c r="R474" s="265"/>
      <c r="S474" s="265"/>
      <c r="T474" s="267"/>
    </row>
    <row r="475" spans="1:23" ht="27.75" customHeight="1">
      <c r="A475" s="204" t="str">
        <f>IF(ISBLANK(D475)," ",405-COUNTBLANK($D$5:D475))</f>
        <v xml:space="preserve"> </v>
      </c>
      <c r="B475" s="202"/>
      <c r="C475" s="202"/>
      <c r="D475" s="202"/>
      <c r="E475" s="300"/>
      <c r="F475" s="210"/>
      <c r="G475" s="210"/>
      <c r="H475" s="203"/>
      <c r="I475" s="203"/>
      <c r="J475" s="203"/>
      <c r="K475" s="203"/>
      <c r="L475" s="203"/>
      <c r="M475" s="203"/>
      <c r="N475" s="203"/>
      <c r="O475" s="205"/>
      <c r="P475" s="291"/>
      <c r="Q475" s="265"/>
      <c r="R475" s="265"/>
      <c r="S475" s="265"/>
      <c r="T475" s="267"/>
    </row>
    <row r="476" spans="1:23" ht="27.75" customHeight="1">
      <c r="A476" s="204" t="str">
        <f>IF(ISBLANK(D476)," ",406-COUNTBLANK($D$5:D476))</f>
        <v xml:space="preserve"> </v>
      </c>
      <c r="B476" s="202"/>
      <c r="C476" s="202"/>
      <c r="D476" s="202"/>
      <c r="E476" s="300"/>
      <c r="F476" s="210"/>
      <c r="G476" s="210"/>
      <c r="H476" s="203"/>
      <c r="I476" s="203"/>
      <c r="J476" s="203"/>
      <c r="K476" s="203"/>
      <c r="L476" s="203"/>
      <c r="M476" s="203"/>
      <c r="N476" s="203"/>
      <c r="O476" s="205"/>
      <c r="P476" s="291"/>
      <c r="Q476" s="265"/>
      <c r="R476" s="265"/>
      <c r="S476" s="265"/>
      <c r="T476" s="267"/>
    </row>
    <row r="477" spans="1:23" ht="27.75" customHeight="1">
      <c r="A477" s="304" t="str">
        <f>IF(ISBLANK(D477)," ",407-COUNTBLANK($D$5:D477))</f>
        <v xml:space="preserve"> </v>
      </c>
      <c r="B477" s="296"/>
      <c r="C477" s="305"/>
      <c r="D477" s="306"/>
      <c r="E477" s="297"/>
      <c r="F477" s="298"/>
      <c r="G477" s="298"/>
      <c r="H477" s="282"/>
      <c r="I477" s="282"/>
      <c r="J477" s="282"/>
      <c r="K477" s="282"/>
      <c r="L477" s="282"/>
      <c r="M477" s="282"/>
      <c r="N477" s="282"/>
      <c r="O477" s="283"/>
      <c r="P477" s="303"/>
      <c r="Q477" s="265"/>
      <c r="R477" s="265"/>
      <c r="S477" s="265"/>
      <c r="T477" s="284"/>
      <c r="U477" s="265"/>
      <c r="V477" s="265"/>
      <c r="W477" s="265"/>
    </row>
    <row r="478" spans="1:23" ht="27.75" customHeight="1">
      <c r="A478" s="260" t="str">
        <f>IF(ISBLANK(D478)," ",408-COUNTBLANK($D$5:D478))</f>
        <v xml:space="preserve"> </v>
      </c>
      <c r="B478" s="200"/>
      <c r="C478" s="200"/>
      <c r="D478" s="200"/>
      <c r="E478" s="299"/>
      <c r="F478" s="209"/>
      <c r="G478" s="209"/>
      <c r="H478" s="201"/>
      <c r="I478" s="201"/>
      <c r="J478" s="201"/>
      <c r="K478" s="201"/>
      <c r="L478" s="201"/>
      <c r="M478" s="201"/>
      <c r="N478" s="201"/>
      <c r="O478" s="262"/>
      <c r="P478" s="291"/>
      <c r="Q478" s="265"/>
      <c r="R478" s="265"/>
      <c r="S478" s="265"/>
      <c r="T478" s="284"/>
      <c r="U478" s="265"/>
      <c r="V478" s="265"/>
      <c r="W478" s="265"/>
    </row>
    <row r="479" spans="1:23" ht="27.75" customHeight="1">
      <c r="A479" s="204" t="str">
        <f>IF(ISBLANK(D479)," ",409-COUNTBLANK($D$5:D479))</f>
        <v xml:space="preserve"> </v>
      </c>
      <c r="B479" s="202"/>
      <c r="C479" s="202"/>
      <c r="D479" s="202"/>
      <c r="E479" s="300"/>
      <c r="F479" s="210"/>
      <c r="G479" s="210"/>
      <c r="H479" s="203"/>
      <c r="I479" s="203"/>
      <c r="J479" s="203"/>
      <c r="K479" s="203"/>
      <c r="L479" s="203"/>
      <c r="M479" s="203"/>
      <c r="N479" s="203"/>
      <c r="O479" s="205"/>
      <c r="P479" s="291"/>
      <c r="Q479" s="265"/>
      <c r="R479" s="265"/>
      <c r="S479" s="265"/>
      <c r="T479" s="265"/>
    </row>
    <row r="480" spans="1:23" ht="27.75" customHeight="1">
      <c r="A480" s="204" t="str">
        <f>IF(ISBLANK(D480)," ",410-COUNTBLANK($D$5:D480))</f>
        <v xml:space="preserve"> </v>
      </c>
      <c r="B480" s="202"/>
      <c r="C480" s="202"/>
      <c r="D480" s="202"/>
      <c r="E480" s="300"/>
      <c r="F480" s="210"/>
      <c r="G480" s="210"/>
      <c r="H480" s="203"/>
      <c r="I480" s="203"/>
      <c r="J480" s="203"/>
      <c r="K480" s="203"/>
      <c r="L480" s="203"/>
      <c r="M480" s="203"/>
      <c r="N480" s="203"/>
      <c r="O480" s="205"/>
      <c r="P480" s="291"/>
      <c r="Q480" s="265"/>
      <c r="R480" s="265"/>
      <c r="S480" s="265"/>
      <c r="T480" s="265"/>
    </row>
    <row r="481" spans="1:20" ht="27.75" customHeight="1">
      <c r="A481" s="204" t="str">
        <f>IF(ISBLANK(D481)," ",411-COUNTBLANK($D$5:D481))</f>
        <v xml:space="preserve"> </v>
      </c>
      <c r="B481" s="202"/>
      <c r="C481" s="202"/>
      <c r="D481" s="202"/>
      <c r="E481" s="300"/>
      <c r="F481" s="210"/>
      <c r="G481" s="210"/>
      <c r="H481" s="203"/>
      <c r="I481" s="203"/>
      <c r="J481" s="203"/>
      <c r="K481" s="203"/>
      <c r="L481" s="203"/>
      <c r="M481" s="203"/>
      <c r="N481" s="203"/>
      <c r="O481" s="205"/>
      <c r="P481" s="291"/>
      <c r="Q481" s="265"/>
      <c r="R481" s="265"/>
      <c r="S481" s="265"/>
      <c r="T481" s="265"/>
    </row>
    <row r="482" spans="1:20" ht="27.75" customHeight="1">
      <c r="A482" s="204" t="str">
        <f>IF(ISBLANK(D482)," ",412-COUNTBLANK($D$5:D482))</f>
        <v xml:space="preserve"> </v>
      </c>
      <c r="B482" s="202"/>
      <c r="C482" s="202"/>
      <c r="D482" s="202"/>
      <c r="E482" s="300"/>
      <c r="F482" s="210"/>
      <c r="G482" s="210"/>
      <c r="H482" s="203"/>
      <c r="I482" s="203"/>
      <c r="J482" s="203"/>
      <c r="K482" s="203"/>
      <c r="L482" s="203"/>
      <c r="M482" s="203"/>
      <c r="N482" s="203"/>
      <c r="O482" s="205"/>
      <c r="P482" s="291"/>
      <c r="Q482" s="265"/>
      <c r="R482" s="265"/>
      <c r="S482" s="265"/>
      <c r="T482" s="265"/>
    </row>
    <row r="483" spans="1:20" ht="27.75" customHeight="1">
      <c r="A483" s="204" t="str">
        <f>IF(ISBLANK(D483)," ",413-COUNTBLANK($D$5:D483))</f>
        <v xml:space="preserve"> </v>
      </c>
      <c r="B483" s="202"/>
      <c r="C483" s="202"/>
      <c r="D483" s="202"/>
      <c r="E483" s="300"/>
      <c r="F483" s="210"/>
      <c r="G483" s="210"/>
      <c r="H483" s="203"/>
      <c r="I483" s="203"/>
      <c r="J483" s="203"/>
      <c r="K483" s="203"/>
      <c r="L483" s="203"/>
      <c r="M483" s="203"/>
      <c r="N483" s="203"/>
      <c r="O483" s="205"/>
      <c r="P483" s="291"/>
      <c r="Q483" s="265"/>
      <c r="R483" s="265"/>
      <c r="S483" s="265"/>
      <c r="T483" s="265"/>
    </row>
    <row r="484" spans="1:20" ht="27.75" customHeight="1">
      <c r="A484" s="204" t="str">
        <f>IF(ISBLANK(D484)," ",414-COUNTBLANK($D$5:D484))</f>
        <v xml:space="preserve"> </v>
      </c>
      <c r="B484" s="202"/>
      <c r="C484" s="202"/>
      <c r="D484" s="202"/>
      <c r="E484" s="300"/>
      <c r="F484" s="210"/>
      <c r="G484" s="210"/>
      <c r="H484" s="203"/>
      <c r="I484" s="203"/>
      <c r="J484" s="203"/>
      <c r="K484" s="203"/>
      <c r="L484" s="203"/>
      <c r="M484" s="203"/>
      <c r="N484" s="203"/>
      <c r="O484" s="205"/>
      <c r="P484" s="291"/>
      <c r="Q484" s="265"/>
      <c r="R484" s="265"/>
      <c r="S484" s="265"/>
      <c r="T484" s="265"/>
    </row>
    <row r="485" spans="1:20" ht="27.75" customHeight="1">
      <c r="A485" s="204" t="str">
        <f>IF(ISBLANK(D485)," ",415-COUNTBLANK($D$5:D485))</f>
        <v xml:space="preserve"> </v>
      </c>
      <c r="B485" s="202"/>
      <c r="C485" s="202"/>
      <c r="D485" s="202"/>
      <c r="E485" s="300"/>
      <c r="F485" s="210"/>
      <c r="G485" s="210"/>
      <c r="H485" s="203"/>
      <c r="I485" s="203"/>
      <c r="J485" s="203"/>
      <c r="K485" s="203"/>
      <c r="L485" s="203"/>
      <c r="M485" s="203"/>
      <c r="N485" s="203"/>
      <c r="O485" s="205"/>
      <c r="P485" s="291"/>
      <c r="Q485" s="265"/>
      <c r="R485" s="265"/>
      <c r="S485" s="265"/>
      <c r="T485" s="265"/>
    </row>
    <row r="486" spans="1:20" ht="27.75" customHeight="1">
      <c r="A486" s="204" t="str">
        <f>IF(ISBLANK(D486)," ",416-COUNTBLANK($D$5:D486))</f>
        <v xml:space="preserve"> </v>
      </c>
      <c r="B486" s="202"/>
      <c r="C486" s="202"/>
      <c r="D486" s="202"/>
      <c r="E486" s="300"/>
      <c r="F486" s="210"/>
      <c r="G486" s="210"/>
      <c r="H486" s="203"/>
      <c r="I486" s="203"/>
      <c r="J486" s="203"/>
      <c r="K486" s="203"/>
      <c r="L486" s="203"/>
      <c r="M486" s="203"/>
      <c r="N486" s="203"/>
      <c r="O486" s="205"/>
      <c r="P486" s="291"/>
      <c r="Q486" s="265"/>
      <c r="R486" s="265"/>
      <c r="S486" s="265"/>
      <c r="T486" s="265"/>
    </row>
    <row r="487" spans="1:20" ht="27.75" customHeight="1">
      <c r="A487" s="204" t="str">
        <f>IF(ISBLANK(D487)," ",417-COUNTBLANK($D$5:D487))</f>
        <v xml:space="preserve"> </v>
      </c>
      <c r="B487" s="202"/>
      <c r="C487" s="202"/>
      <c r="D487" s="202"/>
      <c r="E487" s="300"/>
      <c r="F487" s="210"/>
      <c r="G487" s="210"/>
      <c r="H487" s="203"/>
      <c r="I487" s="203"/>
      <c r="J487" s="203"/>
      <c r="K487" s="203"/>
      <c r="L487" s="203"/>
      <c r="M487" s="203"/>
      <c r="N487" s="203"/>
      <c r="O487" s="205"/>
      <c r="P487" s="291"/>
      <c r="Q487" s="265"/>
      <c r="R487" s="265"/>
      <c r="S487" s="265"/>
      <c r="T487" s="265"/>
    </row>
    <row r="488" spans="1:20" ht="27.75" customHeight="1">
      <c r="A488" s="204" t="str">
        <f>IF(ISBLANK(D488)," ",418-COUNTBLANK($D$5:D488))</f>
        <v xml:space="preserve"> </v>
      </c>
      <c r="B488" s="202"/>
      <c r="C488" s="202"/>
      <c r="D488" s="202"/>
      <c r="E488" s="300"/>
      <c r="F488" s="210"/>
      <c r="G488" s="210"/>
      <c r="H488" s="203"/>
      <c r="I488" s="203"/>
      <c r="J488" s="203"/>
      <c r="K488" s="203"/>
      <c r="L488" s="203"/>
      <c r="M488" s="203"/>
      <c r="N488" s="203"/>
      <c r="O488" s="205"/>
      <c r="P488" s="291"/>
      <c r="Q488" s="265"/>
      <c r="R488" s="265"/>
      <c r="S488" s="265"/>
      <c r="T488" s="265"/>
    </row>
    <row r="489" spans="1:20" ht="27.75" customHeight="1">
      <c r="A489" s="204" t="str">
        <f>IF(ISBLANK(D489)," ",419-COUNTBLANK($D$5:D489))</f>
        <v xml:space="preserve"> </v>
      </c>
      <c r="B489" s="202"/>
      <c r="C489" s="202"/>
      <c r="D489" s="202"/>
      <c r="E489" s="300"/>
      <c r="F489" s="210"/>
      <c r="G489" s="210"/>
      <c r="H489" s="203"/>
      <c r="I489" s="203"/>
      <c r="J489" s="203"/>
      <c r="K489" s="203"/>
      <c r="L489" s="203"/>
      <c r="M489" s="203"/>
      <c r="N489" s="203"/>
      <c r="O489" s="205"/>
      <c r="P489" s="291"/>
      <c r="Q489" s="265"/>
      <c r="R489" s="265"/>
      <c r="S489" s="265"/>
      <c r="T489" s="265"/>
    </row>
    <row r="490" spans="1:20" ht="27.75" customHeight="1">
      <c r="A490" s="204" t="s">
        <v>52</v>
      </c>
      <c r="B490" s="202"/>
      <c r="C490" s="202"/>
      <c r="D490" s="202"/>
      <c r="E490" s="300"/>
      <c r="F490" s="210">
        <f>SUM(F470:F489)</f>
        <v>0</v>
      </c>
      <c r="G490" s="210"/>
      <c r="H490" s="203"/>
      <c r="I490" s="203"/>
      <c r="J490" s="203"/>
      <c r="K490" s="203"/>
      <c r="L490" s="203"/>
      <c r="M490" s="203"/>
      <c r="N490" s="203"/>
      <c r="O490" s="205"/>
      <c r="P490" s="291"/>
      <c r="Q490" s="265"/>
      <c r="R490" s="265"/>
      <c r="S490" s="265"/>
      <c r="T490" s="265"/>
    </row>
    <row r="491" spans="1:20" ht="27.75" customHeight="1">
      <c r="A491" s="204" t="str">
        <f>IF(ISBLANK(D491)," ",421-COUNTBLANK($D$5:D491))</f>
        <v xml:space="preserve"> </v>
      </c>
      <c r="B491" s="202"/>
      <c r="C491" s="202"/>
      <c r="D491" s="202"/>
      <c r="E491" s="300"/>
      <c r="F491" s="210"/>
      <c r="G491" s="210"/>
      <c r="H491" s="203"/>
      <c r="I491" s="203"/>
      <c r="J491" s="203"/>
      <c r="K491" s="203"/>
      <c r="L491" s="203"/>
      <c r="M491" s="203"/>
      <c r="N491" s="203"/>
      <c r="O491" s="205"/>
      <c r="P491" s="291"/>
      <c r="Q491" s="265"/>
      <c r="R491" s="265"/>
      <c r="S491" s="265"/>
      <c r="T491" s="265"/>
    </row>
    <row r="492" spans="1:20" ht="27.75" customHeight="1">
      <c r="A492" s="204" t="str">
        <f>IF(ISBLANK(D492)," ",422-COUNTBLANK($D$5:D492))</f>
        <v xml:space="preserve"> </v>
      </c>
      <c r="B492" s="202"/>
      <c r="C492" s="202"/>
      <c r="D492" s="202"/>
      <c r="E492" s="300"/>
      <c r="F492" s="210"/>
      <c r="G492" s="210"/>
      <c r="H492" s="203"/>
      <c r="I492" s="203"/>
      <c r="J492" s="203"/>
      <c r="K492" s="203"/>
      <c r="L492" s="203"/>
      <c r="M492" s="203"/>
      <c r="N492" s="203"/>
      <c r="O492" s="205"/>
      <c r="P492" s="291"/>
      <c r="Q492" s="265"/>
      <c r="R492" s="265"/>
      <c r="S492" s="265"/>
      <c r="T492" s="265"/>
    </row>
    <row r="493" spans="1:20" ht="27.75" customHeight="1">
      <c r="A493" s="204" t="str">
        <f>IF(ISBLANK(D493)," ",423-COUNTBLANK($D$5:D493))</f>
        <v xml:space="preserve"> </v>
      </c>
      <c r="B493" s="202"/>
      <c r="C493" s="202"/>
      <c r="D493" s="202"/>
      <c r="E493" s="300"/>
      <c r="F493" s="210"/>
      <c r="G493" s="210"/>
      <c r="H493" s="203"/>
      <c r="I493" s="203"/>
      <c r="J493" s="203"/>
      <c r="K493" s="203"/>
      <c r="L493" s="203"/>
      <c r="M493" s="203"/>
      <c r="N493" s="203"/>
      <c r="O493" s="205"/>
      <c r="P493" s="291"/>
      <c r="Q493" s="265"/>
      <c r="R493" s="265"/>
      <c r="S493" s="265"/>
      <c r="T493" s="265"/>
    </row>
    <row r="494" spans="1:20" ht="27.75" customHeight="1">
      <c r="A494" s="204" t="str">
        <f>IF(ISBLANK(D494)," ",424-COUNTBLANK($D$5:D494))</f>
        <v xml:space="preserve"> </v>
      </c>
      <c r="B494" s="202"/>
      <c r="C494" s="202"/>
      <c r="D494" s="202"/>
      <c r="E494" s="300"/>
      <c r="F494" s="210"/>
      <c r="G494" s="210"/>
      <c r="H494" s="203"/>
      <c r="I494" s="203"/>
      <c r="J494" s="203"/>
      <c r="K494" s="203"/>
      <c r="L494" s="203"/>
      <c r="M494" s="203"/>
      <c r="N494" s="203"/>
      <c r="O494" s="205"/>
      <c r="P494" s="291"/>
      <c r="Q494" s="265"/>
      <c r="R494" s="265"/>
      <c r="S494" s="265"/>
      <c r="T494" s="267"/>
    </row>
    <row r="495" spans="1:20" ht="27.75" customHeight="1">
      <c r="A495" s="204" t="str">
        <f>IF(ISBLANK(D495)," ",425-COUNTBLANK($D$5:D495))</f>
        <v xml:space="preserve"> </v>
      </c>
      <c r="B495" s="202"/>
      <c r="C495" s="202"/>
      <c r="D495" s="202"/>
      <c r="E495" s="300"/>
      <c r="F495" s="210"/>
      <c r="G495" s="210"/>
      <c r="H495" s="203"/>
      <c r="I495" s="203"/>
      <c r="J495" s="203"/>
      <c r="K495" s="203"/>
      <c r="L495" s="203"/>
      <c r="M495" s="203"/>
      <c r="N495" s="203"/>
      <c r="O495" s="205"/>
      <c r="P495" s="291"/>
      <c r="Q495" s="265"/>
      <c r="R495" s="265"/>
      <c r="S495" s="265"/>
      <c r="T495" s="267"/>
    </row>
    <row r="496" spans="1:20" ht="27.75" customHeight="1">
      <c r="A496" s="204" t="str">
        <f>IF(ISBLANK(D496)," ",426-COUNTBLANK($D$5:D496))</f>
        <v xml:space="preserve"> </v>
      </c>
      <c r="B496" s="202"/>
      <c r="C496" s="202"/>
      <c r="D496" s="202"/>
      <c r="E496" s="300"/>
      <c r="F496" s="210"/>
      <c r="G496" s="210"/>
      <c r="H496" s="203"/>
      <c r="I496" s="203"/>
      <c r="J496" s="203"/>
      <c r="K496" s="203"/>
      <c r="L496" s="203"/>
      <c r="M496" s="203"/>
      <c r="N496" s="203"/>
      <c r="O496" s="205"/>
      <c r="P496" s="291"/>
      <c r="Q496" s="265"/>
      <c r="R496" s="265"/>
      <c r="S496" s="265"/>
      <c r="T496" s="267"/>
    </row>
    <row r="497" spans="1:23" ht="27.75" customHeight="1">
      <c r="A497" s="204" t="str">
        <f>IF(ISBLANK(D497)," ",427-COUNTBLANK($D$5:D497))</f>
        <v xml:space="preserve"> </v>
      </c>
      <c r="B497" s="202"/>
      <c r="C497" s="202"/>
      <c r="D497" s="202"/>
      <c r="E497" s="300"/>
      <c r="F497" s="210"/>
      <c r="G497" s="210"/>
      <c r="H497" s="203"/>
      <c r="I497" s="203"/>
      <c r="J497" s="203"/>
      <c r="K497" s="203"/>
      <c r="L497" s="203"/>
      <c r="M497" s="203"/>
      <c r="N497" s="203"/>
      <c r="O497" s="205"/>
      <c r="P497" s="291"/>
      <c r="Q497" s="265"/>
      <c r="R497" s="265"/>
      <c r="S497" s="265"/>
      <c r="T497" s="267"/>
    </row>
    <row r="498" spans="1:23" ht="27.75" customHeight="1">
      <c r="A498" s="304" t="str">
        <f>IF(ISBLANK(D498)," ",428-COUNTBLANK($D$5:D498))</f>
        <v xml:space="preserve"> </v>
      </c>
      <c r="B498" s="296"/>
      <c r="C498" s="305"/>
      <c r="D498" s="306"/>
      <c r="E498" s="297"/>
      <c r="F498" s="298"/>
      <c r="G498" s="298"/>
      <c r="H498" s="282"/>
      <c r="I498" s="282"/>
      <c r="J498" s="282"/>
      <c r="K498" s="282"/>
      <c r="L498" s="282"/>
      <c r="M498" s="282"/>
      <c r="N498" s="282"/>
      <c r="O498" s="283"/>
      <c r="P498" s="303"/>
      <c r="Q498" s="265"/>
      <c r="R498" s="265"/>
      <c r="S498" s="265"/>
      <c r="T498" s="284"/>
      <c r="U498" s="265"/>
      <c r="V498" s="265"/>
      <c r="W498" s="265"/>
    </row>
    <row r="499" spans="1:23" ht="27.75" customHeight="1">
      <c r="A499" s="260" t="str">
        <f>IF(ISBLANK(D499)," ",429-COUNTBLANK($D$5:D499))</f>
        <v xml:space="preserve"> </v>
      </c>
      <c r="B499" s="200"/>
      <c r="C499" s="200"/>
      <c r="D499" s="200"/>
      <c r="E499" s="299"/>
      <c r="F499" s="209"/>
      <c r="G499" s="209"/>
      <c r="H499" s="201"/>
      <c r="I499" s="201"/>
      <c r="J499" s="201"/>
      <c r="K499" s="201"/>
      <c r="L499" s="201"/>
      <c r="M499" s="201"/>
      <c r="N499" s="201"/>
      <c r="O499" s="262"/>
      <c r="P499" s="291"/>
      <c r="Q499" s="265"/>
      <c r="R499" s="265"/>
      <c r="S499" s="265"/>
      <c r="T499" s="284"/>
      <c r="U499" s="265"/>
      <c r="V499" s="265"/>
      <c r="W499" s="265"/>
    </row>
    <row r="500" spans="1:23" ht="27.75" customHeight="1">
      <c r="A500" s="204" t="str">
        <f>IF(ISBLANK(D500)," ",430-COUNTBLANK($D$5:D500))</f>
        <v xml:space="preserve"> </v>
      </c>
      <c r="B500" s="202"/>
      <c r="C500" s="202"/>
      <c r="D500" s="202"/>
      <c r="E500" s="300"/>
      <c r="F500" s="210"/>
      <c r="G500" s="210"/>
      <c r="H500" s="203"/>
      <c r="I500" s="203"/>
      <c r="J500" s="203"/>
      <c r="K500" s="203"/>
      <c r="L500" s="203"/>
      <c r="M500" s="203"/>
      <c r="N500" s="203"/>
      <c r="O500" s="205"/>
      <c r="P500" s="291"/>
      <c r="Q500" s="265"/>
      <c r="R500" s="265"/>
      <c r="S500" s="265"/>
      <c r="T500" s="265"/>
    </row>
    <row r="501" spans="1:23" ht="27.75" customHeight="1">
      <c r="A501" s="204" t="str">
        <f>IF(ISBLANK(D501)," ",431-COUNTBLANK($D$5:D501))</f>
        <v xml:space="preserve"> </v>
      </c>
      <c r="B501" s="202"/>
      <c r="C501" s="202"/>
      <c r="D501" s="202"/>
      <c r="E501" s="300"/>
      <c r="F501" s="210"/>
      <c r="G501" s="210"/>
      <c r="H501" s="203"/>
      <c r="I501" s="203"/>
      <c r="J501" s="203"/>
      <c r="K501" s="203"/>
      <c r="L501" s="203"/>
      <c r="M501" s="203"/>
      <c r="N501" s="203"/>
      <c r="O501" s="205"/>
      <c r="P501" s="291"/>
      <c r="Q501" s="265"/>
      <c r="R501" s="265"/>
      <c r="S501" s="265"/>
      <c r="T501" s="265"/>
    </row>
    <row r="502" spans="1:23" ht="27.75" customHeight="1">
      <c r="A502" s="204" t="str">
        <f>IF(ISBLANK(D502)," ",432-COUNTBLANK($D$5:D502))</f>
        <v xml:space="preserve"> </v>
      </c>
      <c r="B502" s="202"/>
      <c r="C502" s="202"/>
      <c r="D502" s="202"/>
      <c r="E502" s="300"/>
      <c r="F502" s="210"/>
      <c r="G502" s="210"/>
      <c r="H502" s="203"/>
      <c r="I502" s="203"/>
      <c r="J502" s="203"/>
      <c r="K502" s="203"/>
      <c r="L502" s="203"/>
      <c r="M502" s="203"/>
      <c r="N502" s="203"/>
      <c r="O502" s="205"/>
      <c r="P502" s="291"/>
      <c r="Q502" s="265"/>
      <c r="R502" s="265"/>
      <c r="S502" s="265"/>
      <c r="T502" s="265"/>
    </row>
    <row r="503" spans="1:23" ht="27.75" customHeight="1">
      <c r="A503" s="204" t="str">
        <f>IF(ISBLANK(D503)," ",433-COUNTBLANK($D$5:D503))</f>
        <v xml:space="preserve"> </v>
      </c>
      <c r="B503" s="202"/>
      <c r="C503" s="202"/>
      <c r="D503" s="202"/>
      <c r="E503" s="300"/>
      <c r="F503" s="210"/>
      <c r="G503" s="210"/>
      <c r="H503" s="203"/>
      <c r="I503" s="203"/>
      <c r="J503" s="203"/>
      <c r="K503" s="203"/>
      <c r="L503" s="203"/>
      <c r="M503" s="203"/>
      <c r="N503" s="203"/>
      <c r="O503" s="205"/>
      <c r="P503" s="291"/>
      <c r="Q503" s="265"/>
      <c r="R503" s="265"/>
      <c r="S503" s="265"/>
      <c r="T503" s="265"/>
    </row>
    <row r="504" spans="1:23" ht="27.75" customHeight="1">
      <c r="A504" s="204" t="str">
        <f>IF(ISBLANK(D504)," ",434-COUNTBLANK($D$5:D504))</f>
        <v xml:space="preserve"> </v>
      </c>
      <c r="B504" s="202"/>
      <c r="C504" s="202"/>
      <c r="D504" s="202"/>
      <c r="E504" s="300"/>
      <c r="F504" s="210"/>
      <c r="G504" s="210"/>
      <c r="H504" s="203"/>
      <c r="I504" s="203"/>
      <c r="J504" s="203"/>
      <c r="K504" s="203"/>
      <c r="L504" s="203"/>
      <c r="M504" s="203"/>
      <c r="N504" s="203"/>
      <c r="O504" s="205"/>
      <c r="P504" s="291"/>
      <c r="Q504" s="265"/>
      <c r="R504" s="265"/>
      <c r="S504" s="265"/>
      <c r="T504" s="265"/>
    </row>
    <row r="505" spans="1:23" ht="27.75" customHeight="1">
      <c r="A505" s="204" t="str">
        <f>IF(ISBLANK(D505)," ",435-COUNTBLANK($D$5:D505))</f>
        <v xml:space="preserve"> </v>
      </c>
      <c r="B505" s="202"/>
      <c r="C505" s="202"/>
      <c r="D505" s="202"/>
      <c r="E505" s="300"/>
      <c r="F505" s="210"/>
      <c r="G505" s="210"/>
      <c r="H505" s="203"/>
      <c r="I505" s="203"/>
      <c r="J505" s="203"/>
      <c r="K505" s="203"/>
      <c r="L505" s="203"/>
      <c r="M505" s="203"/>
      <c r="N505" s="203"/>
      <c r="O505" s="205"/>
      <c r="P505" s="291"/>
      <c r="Q505" s="265"/>
      <c r="R505" s="265"/>
      <c r="S505" s="265"/>
      <c r="T505" s="265"/>
    </row>
    <row r="506" spans="1:23" ht="27.75" customHeight="1">
      <c r="A506" s="204" t="str">
        <f>IF(ISBLANK(D506)," ",436-COUNTBLANK($D$5:D506))</f>
        <v xml:space="preserve"> </v>
      </c>
      <c r="B506" s="202"/>
      <c r="C506" s="202"/>
      <c r="D506" s="202"/>
      <c r="E506" s="300"/>
      <c r="F506" s="210"/>
      <c r="G506" s="210"/>
      <c r="H506" s="203"/>
      <c r="I506" s="203"/>
      <c r="J506" s="203"/>
      <c r="K506" s="203"/>
      <c r="L506" s="203"/>
      <c r="M506" s="203"/>
      <c r="N506" s="203"/>
      <c r="O506" s="205"/>
      <c r="P506" s="291"/>
      <c r="Q506" s="265"/>
      <c r="R506" s="265"/>
      <c r="S506" s="265"/>
      <c r="T506" s="265"/>
    </row>
    <row r="507" spans="1:23" ht="27.75" customHeight="1">
      <c r="A507" s="204" t="str">
        <f>IF(ISBLANK(D507)," ",437-COUNTBLANK($D$5:D507))</f>
        <v xml:space="preserve"> </v>
      </c>
      <c r="B507" s="202"/>
      <c r="C507" s="202"/>
      <c r="D507" s="202"/>
      <c r="E507" s="300"/>
      <c r="F507" s="210"/>
      <c r="G507" s="210"/>
      <c r="H507" s="203"/>
      <c r="I507" s="203"/>
      <c r="J507" s="203"/>
      <c r="K507" s="203"/>
      <c r="L507" s="203"/>
      <c r="M507" s="203"/>
      <c r="N507" s="203"/>
      <c r="O507" s="205"/>
      <c r="P507" s="291"/>
      <c r="Q507" s="265"/>
      <c r="R507" s="265"/>
      <c r="S507" s="265"/>
      <c r="T507" s="265"/>
    </row>
    <row r="508" spans="1:23" ht="27.75" customHeight="1">
      <c r="A508" s="204" t="str">
        <f>IF(ISBLANK(D508)," ",438-COUNTBLANK($D$5:D508))</f>
        <v xml:space="preserve"> </v>
      </c>
      <c r="B508" s="202"/>
      <c r="C508" s="202"/>
      <c r="D508" s="202"/>
      <c r="E508" s="300"/>
      <c r="F508" s="210"/>
      <c r="G508" s="210"/>
      <c r="H508" s="203"/>
      <c r="I508" s="203"/>
      <c r="J508" s="203"/>
      <c r="K508" s="203"/>
      <c r="L508" s="203"/>
      <c r="M508" s="203"/>
      <c r="N508" s="203"/>
      <c r="O508" s="205"/>
      <c r="P508" s="291"/>
      <c r="Q508" s="265"/>
      <c r="R508" s="265"/>
      <c r="S508" s="265"/>
      <c r="T508" s="265"/>
    </row>
    <row r="509" spans="1:23" ht="27.75" customHeight="1">
      <c r="A509" s="204" t="str">
        <f>IF(ISBLANK(D509)," ",439-COUNTBLANK($D$5:D509))</f>
        <v xml:space="preserve"> </v>
      </c>
      <c r="B509" s="202"/>
      <c r="C509" s="202"/>
      <c r="D509" s="202"/>
      <c r="E509" s="300"/>
      <c r="F509" s="210"/>
      <c r="G509" s="210"/>
      <c r="H509" s="203"/>
      <c r="I509" s="203"/>
      <c r="J509" s="203"/>
      <c r="K509" s="203"/>
      <c r="L509" s="203"/>
      <c r="M509" s="203"/>
      <c r="N509" s="203"/>
      <c r="O509" s="205"/>
      <c r="P509" s="291"/>
      <c r="Q509" s="265"/>
      <c r="R509" s="265"/>
      <c r="S509" s="265"/>
      <c r="T509" s="265"/>
    </row>
    <row r="510" spans="1:23" ht="27.75" customHeight="1">
      <c r="A510" s="204" t="str">
        <f>IF(ISBLANK(D510)," ",440-COUNTBLANK($D$5:D510))</f>
        <v xml:space="preserve"> </v>
      </c>
      <c r="B510" s="202"/>
      <c r="C510" s="202"/>
      <c r="D510" s="202"/>
      <c r="E510" s="300"/>
      <c r="F510" s="210"/>
      <c r="G510" s="210"/>
      <c r="H510" s="203"/>
      <c r="I510" s="203"/>
      <c r="J510" s="203"/>
      <c r="K510" s="203"/>
      <c r="L510" s="203"/>
      <c r="M510" s="203"/>
      <c r="N510" s="203"/>
      <c r="O510" s="205"/>
      <c r="P510" s="291"/>
      <c r="Q510" s="265"/>
      <c r="R510" s="265"/>
      <c r="S510" s="265"/>
      <c r="T510" s="265"/>
    </row>
    <row r="511" spans="1:23" ht="27.75" customHeight="1">
      <c r="A511" s="204" t="s">
        <v>52</v>
      </c>
      <c r="B511" s="202"/>
      <c r="C511" s="202"/>
      <c r="D511" s="202"/>
      <c r="E511" s="300"/>
      <c r="F511" s="210">
        <f>SUM(F491:F510)</f>
        <v>0</v>
      </c>
      <c r="G511" s="210"/>
      <c r="H511" s="203"/>
      <c r="I511" s="203"/>
      <c r="J511" s="203"/>
      <c r="K511" s="203"/>
      <c r="L511" s="203"/>
      <c r="M511" s="203"/>
      <c r="N511" s="203"/>
      <c r="O511" s="205"/>
      <c r="P511" s="291"/>
      <c r="Q511" s="265"/>
      <c r="R511" s="265"/>
      <c r="S511" s="265"/>
      <c r="T511" s="265"/>
    </row>
    <row r="512" spans="1:23" ht="27.75" customHeight="1">
      <c r="A512" s="204" t="str">
        <f>IF(ISBLANK(D512)," ",442-COUNTBLANK($D$5:D512))</f>
        <v xml:space="preserve"> </v>
      </c>
      <c r="B512" s="202"/>
      <c r="C512" s="202"/>
      <c r="D512" s="202"/>
      <c r="E512" s="300"/>
      <c r="F512" s="210"/>
      <c r="G512" s="210"/>
      <c r="H512" s="203"/>
      <c r="I512" s="203"/>
      <c r="J512" s="203"/>
      <c r="K512" s="203"/>
      <c r="L512" s="203"/>
      <c r="M512" s="203"/>
      <c r="N512" s="203"/>
      <c r="O512" s="205"/>
      <c r="P512" s="291"/>
      <c r="Q512" s="265"/>
      <c r="R512" s="265"/>
      <c r="S512" s="265"/>
      <c r="T512" s="265"/>
    </row>
    <row r="513" spans="1:23" ht="27.75" customHeight="1">
      <c r="A513" s="204" t="str">
        <f>IF(ISBLANK(D513)," ",443-COUNTBLANK($D$5:D513))</f>
        <v xml:space="preserve"> </v>
      </c>
      <c r="B513" s="202"/>
      <c r="C513" s="202"/>
      <c r="D513" s="202"/>
      <c r="E513" s="300"/>
      <c r="F513" s="210"/>
      <c r="G513" s="210"/>
      <c r="H513" s="203"/>
      <c r="I513" s="203"/>
      <c r="J513" s="203"/>
      <c r="K513" s="203"/>
      <c r="L513" s="203"/>
      <c r="M513" s="203"/>
      <c r="N513" s="203"/>
      <c r="O513" s="205"/>
      <c r="P513" s="291"/>
      <c r="Q513" s="265"/>
      <c r="R513" s="265"/>
      <c r="S513" s="265"/>
      <c r="T513" s="265"/>
    </row>
    <row r="514" spans="1:23" ht="27.75" customHeight="1">
      <c r="A514" s="204" t="str">
        <f>IF(ISBLANK(D514)," ",444-COUNTBLANK($D$5:D514))</f>
        <v xml:space="preserve"> </v>
      </c>
      <c r="B514" s="202"/>
      <c r="C514" s="202"/>
      <c r="D514" s="202"/>
      <c r="E514" s="300"/>
      <c r="F514" s="210"/>
      <c r="G514" s="210"/>
      <c r="H514" s="203"/>
      <c r="I514" s="203"/>
      <c r="J514" s="203"/>
      <c r="K514" s="203"/>
      <c r="L514" s="203"/>
      <c r="M514" s="203"/>
      <c r="N514" s="203"/>
      <c r="O514" s="205"/>
      <c r="P514" s="291"/>
      <c r="Q514" s="265"/>
      <c r="R514" s="265"/>
      <c r="S514" s="265"/>
      <c r="T514" s="265"/>
    </row>
    <row r="515" spans="1:23" ht="27.75" customHeight="1">
      <c r="A515" s="204" t="str">
        <f>IF(ISBLANK(D515)," ",445-COUNTBLANK($D$5:D515))</f>
        <v xml:space="preserve"> </v>
      </c>
      <c r="B515" s="202"/>
      <c r="C515" s="202"/>
      <c r="D515" s="202"/>
      <c r="E515" s="300"/>
      <c r="F515" s="210"/>
      <c r="G515" s="210"/>
      <c r="H515" s="203"/>
      <c r="I515" s="203"/>
      <c r="J515" s="203"/>
      <c r="K515" s="203"/>
      <c r="L515" s="203"/>
      <c r="M515" s="203"/>
      <c r="N515" s="203"/>
      <c r="O515" s="205"/>
      <c r="P515" s="291"/>
      <c r="Q515" s="265"/>
      <c r="R515" s="265"/>
      <c r="S515" s="265"/>
      <c r="T515" s="267"/>
    </row>
    <row r="516" spans="1:23" ht="27.75" customHeight="1">
      <c r="A516" s="204" t="str">
        <f>IF(ISBLANK(D516)," ",446-COUNTBLANK($D$5:D516))</f>
        <v xml:space="preserve"> </v>
      </c>
      <c r="B516" s="202"/>
      <c r="C516" s="202"/>
      <c r="D516" s="202"/>
      <c r="E516" s="300"/>
      <c r="F516" s="210"/>
      <c r="G516" s="210"/>
      <c r="H516" s="203"/>
      <c r="I516" s="203"/>
      <c r="J516" s="203"/>
      <c r="K516" s="203"/>
      <c r="L516" s="203"/>
      <c r="M516" s="203"/>
      <c r="N516" s="203"/>
      <c r="O516" s="205"/>
      <c r="P516" s="291"/>
      <c r="Q516" s="265"/>
      <c r="R516" s="265"/>
      <c r="S516" s="265"/>
      <c r="T516" s="267"/>
    </row>
    <row r="517" spans="1:23" ht="27.75" customHeight="1">
      <c r="A517" s="204" t="str">
        <f>IF(ISBLANK(D517)," ",447-COUNTBLANK($D$5:D517))</f>
        <v xml:space="preserve"> </v>
      </c>
      <c r="B517" s="202"/>
      <c r="C517" s="202"/>
      <c r="D517" s="202"/>
      <c r="E517" s="300"/>
      <c r="F517" s="210"/>
      <c r="G517" s="210"/>
      <c r="H517" s="203"/>
      <c r="I517" s="203"/>
      <c r="J517" s="203"/>
      <c r="K517" s="203"/>
      <c r="L517" s="203"/>
      <c r="M517" s="203"/>
      <c r="N517" s="203"/>
      <c r="O517" s="205"/>
      <c r="P517" s="291"/>
      <c r="Q517" s="265"/>
      <c r="R517" s="265"/>
      <c r="S517" s="265"/>
      <c r="T517" s="267"/>
    </row>
    <row r="518" spans="1:23" ht="27.75" customHeight="1">
      <c r="A518" s="204" t="str">
        <f>IF(ISBLANK(D518)," ",448-COUNTBLANK($D$5:D518))</f>
        <v xml:space="preserve"> </v>
      </c>
      <c r="B518" s="202"/>
      <c r="C518" s="202"/>
      <c r="D518" s="202"/>
      <c r="E518" s="300"/>
      <c r="F518" s="210"/>
      <c r="G518" s="210"/>
      <c r="H518" s="203"/>
      <c r="I518" s="203"/>
      <c r="J518" s="203"/>
      <c r="K518" s="203"/>
      <c r="L518" s="203"/>
      <c r="M518" s="203"/>
      <c r="N518" s="203"/>
      <c r="O518" s="205"/>
      <c r="P518" s="291"/>
      <c r="Q518" s="265"/>
      <c r="R518" s="265"/>
      <c r="S518" s="265"/>
      <c r="T518" s="267"/>
    </row>
    <row r="519" spans="1:23" ht="27.75" customHeight="1">
      <c r="A519" s="304" t="str">
        <f>IF(ISBLANK(D519)," ",449-COUNTBLANK($D$5:D519))</f>
        <v xml:space="preserve"> </v>
      </c>
      <c r="B519" s="296"/>
      <c r="C519" s="305"/>
      <c r="D519" s="306"/>
      <c r="E519" s="297"/>
      <c r="F519" s="298"/>
      <c r="G519" s="298"/>
      <c r="H519" s="282"/>
      <c r="I519" s="282"/>
      <c r="J519" s="282"/>
      <c r="K519" s="282"/>
      <c r="L519" s="282"/>
      <c r="M519" s="282"/>
      <c r="N519" s="282"/>
      <c r="O519" s="283"/>
      <c r="P519" s="303"/>
      <c r="Q519" s="265"/>
      <c r="R519" s="265"/>
      <c r="S519" s="265"/>
      <c r="T519" s="284"/>
      <c r="U519" s="265"/>
      <c r="V519" s="265"/>
      <c r="W519" s="265"/>
    </row>
    <row r="520" spans="1:23" ht="27.75" customHeight="1">
      <c r="A520" s="240" t="str">
        <f>IF(ISBLANK(D520)," ",450-COUNTBLANK($D$5:D520))</f>
        <v xml:space="preserve"> </v>
      </c>
      <c r="Q520" s="265"/>
      <c r="R520" s="265"/>
      <c r="S520" s="265"/>
      <c r="T520" s="284"/>
      <c r="U520" s="265"/>
      <c r="V520" s="265"/>
      <c r="W520" s="265"/>
    </row>
    <row r="521" spans="1:23" ht="27.75" customHeight="1">
      <c r="A521" s="240" t="str">
        <f>IF(ISBLANK(D521)," ",451-COUNTBLANK($D$5:D521))</f>
        <v xml:space="preserve"> </v>
      </c>
      <c r="Q521" s="265"/>
      <c r="R521" s="265"/>
      <c r="S521" s="265"/>
      <c r="T521" s="265"/>
    </row>
    <row r="522" spans="1:23" ht="27.75" customHeight="1">
      <c r="A522" s="240" t="str">
        <f>IF(ISBLANK(D522)," ",452-COUNTBLANK($D$5:D522))</f>
        <v xml:space="preserve"> </v>
      </c>
      <c r="Q522" s="265"/>
      <c r="R522" s="265"/>
      <c r="S522" s="265"/>
      <c r="T522" s="265"/>
    </row>
    <row r="523" spans="1:23" ht="27.75" customHeight="1">
      <c r="A523" s="240" t="str">
        <f>IF(ISBLANK(D523)," ",453-COUNTBLANK($D$5:D523))</f>
        <v xml:space="preserve"> </v>
      </c>
      <c r="Q523" s="265"/>
      <c r="R523" s="265"/>
      <c r="S523" s="265"/>
      <c r="T523" s="265"/>
    </row>
    <row r="524" spans="1:23" ht="27.75" customHeight="1">
      <c r="A524" s="240" t="str">
        <f>IF(ISBLANK(D524)," ",454-COUNTBLANK($D$5:D524))</f>
        <v xml:space="preserve"> </v>
      </c>
      <c r="Q524" s="265"/>
      <c r="R524" s="265"/>
      <c r="S524" s="265"/>
      <c r="T524" s="265"/>
    </row>
    <row r="525" spans="1:23" ht="27.75" customHeight="1">
      <c r="A525" s="240" t="str">
        <f>IF(ISBLANK(D525)," ",455-COUNTBLANK($D$5:D525))</f>
        <v xml:space="preserve"> </v>
      </c>
      <c r="Q525" s="265"/>
      <c r="R525" s="265"/>
      <c r="S525" s="265"/>
      <c r="T525" s="265"/>
    </row>
    <row r="526" spans="1:23" ht="27.75" customHeight="1">
      <c r="A526" s="240" t="str">
        <f>IF(ISBLANK(D526)," ",456-COUNTBLANK($D$5:D526))</f>
        <v xml:space="preserve"> </v>
      </c>
      <c r="Q526" s="265"/>
      <c r="R526" s="265"/>
      <c r="S526" s="265"/>
      <c r="T526" s="265"/>
    </row>
    <row r="527" spans="1:23" ht="27.75" customHeight="1">
      <c r="A527" s="240" t="str">
        <f>IF(ISBLANK(D527)," ",457-COUNTBLANK($D$5:D527))</f>
        <v xml:space="preserve"> </v>
      </c>
      <c r="Q527" s="265"/>
      <c r="R527" s="265"/>
      <c r="S527" s="265"/>
      <c r="T527" s="265"/>
    </row>
    <row r="528" spans="1:23" ht="27.75" customHeight="1">
      <c r="A528" s="240" t="str">
        <f>IF(ISBLANK(D528)," ",458-COUNTBLANK($D$5:D528))</f>
        <v xml:space="preserve"> </v>
      </c>
      <c r="Q528" s="265"/>
      <c r="R528" s="265"/>
      <c r="S528" s="265"/>
      <c r="T528" s="265"/>
    </row>
    <row r="529" spans="1:23" ht="27.75" customHeight="1">
      <c r="A529" s="240" t="str">
        <f>IF(ISBLANK(D529)," ",459-COUNTBLANK($D$5:D529))</f>
        <v xml:space="preserve"> </v>
      </c>
      <c r="Q529" s="265"/>
      <c r="R529" s="265"/>
      <c r="S529" s="265"/>
      <c r="T529" s="265"/>
    </row>
    <row r="530" spans="1:23" ht="27.75" customHeight="1">
      <c r="A530" s="240" t="str">
        <f>IF(ISBLANK(D530)," ",460-COUNTBLANK($D$5:D530))</f>
        <v xml:space="preserve"> </v>
      </c>
      <c r="Q530" s="265"/>
      <c r="R530" s="265"/>
      <c r="S530" s="265"/>
      <c r="T530" s="265"/>
    </row>
    <row r="531" spans="1:23" ht="27.75" customHeight="1">
      <c r="A531" s="240" t="str">
        <f>IF(ISBLANK(D531)," ",461-COUNTBLANK($D$5:D531))</f>
        <v xml:space="preserve"> </v>
      </c>
      <c r="Q531" s="265"/>
      <c r="R531" s="265"/>
      <c r="S531" s="265"/>
      <c r="T531" s="265"/>
    </row>
    <row r="532" spans="1:23" ht="27.75" customHeight="1">
      <c r="A532" s="240" t="s">
        <v>52</v>
      </c>
      <c r="F532" s="309">
        <f>SUM(F512:F531)</f>
        <v>0</v>
      </c>
      <c r="Q532" s="265"/>
      <c r="R532" s="265"/>
      <c r="S532" s="265"/>
      <c r="T532" s="265"/>
    </row>
    <row r="533" spans="1:23" ht="27.75" customHeight="1">
      <c r="A533" s="240" t="str">
        <f>IF(ISBLANK(D533)," ",463-COUNTBLANK($D$5:D533))</f>
        <v xml:space="preserve"> </v>
      </c>
      <c r="Q533" s="265"/>
      <c r="R533" s="265"/>
      <c r="S533" s="265"/>
      <c r="T533" s="265"/>
    </row>
    <row r="534" spans="1:23" ht="27.75" customHeight="1">
      <c r="A534" s="240" t="str">
        <f>IF(ISBLANK(D534)," ",464-COUNTBLANK($D$5:D534))</f>
        <v xml:space="preserve"> </v>
      </c>
      <c r="Q534" s="265"/>
      <c r="R534" s="265"/>
      <c r="S534" s="265"/>
      <c r="T534" s="265"/>
    </row>
    <row r="535" spans="1:23" ht="27.75" customHeight="1">
      <c r="A535" s="240" t="str">
        <f>IF(ISBLANK(D535)," ",465-COUNTBLANK($D$5:D535))</f>
        <v xml:space="preserve"> </v>
      </c>
      <c r="Q535" s="265"/>
      <c r="R535" s="265"/>
      <c r="S535" s="265"/>
      <c r="T535" s="265"/>
    </row>
    <row r="536" spans="1:23" ht="27.75" customHeight="1">
      <c r="A536" s="240" t="str">
        <f>IF(ISBLANK(D536)," ",466-COUNTBLANK($D$5:D536))</f>
        <v xml:space="preserve"> </v>
      </c>
      <c r="Q536" s="265"/>
      <c r="R536" s="265"/>
      <c r="S536" s="265"/>
      <c r="T536" s="267"/>
    </row>
    <row r="537" spans="1:23" ht="27.75" customHeight="1">
      <c r="A537" s="240" t="str">
        <f>IF(ISBLANK(D537)," ",467-COUNTBLANK($D$5:D537))</f>
        <v xml:space="preserve"> </v>
      </c>
      <c r="Q537" s="265"/>
      <c r="R537" s="265"/>
      <c r="S537" s="265"/>
      <c r="T537" s="267"/>
    </row>
    <row r="538" spans="1:23" ht="27.75" customHeight="1">
      <c r="A538" s="240" t="str">
        <f>IF(ISBLANK(D538)," ",468-COUNTBLANK($D$5:D538))</f>
        <v xml:space="preserve"> </v>
      </c>
      <c r="Q538" s="265"/>
      <c r="R538" s="265"/>
      <c r="S538" s="265"/>
      <c r="T538" s="267"/>
    </row>
    <row r="539" spans="1:23" ht="27.75" customHeight="1">
      <c r="A539" s="240" t="str">
        <f>IF(ISBLANK(D539)," ",469-COUNTBLANK($D$5:D539))</f>
        <v xml:space="preserve"> </v>
      </c>
      <c r="Q539" s="265"/>
      <c r="R539" s="265"/>
      <c r="S539" s="265"/>
      <c r="T539" s="267"/>
    </row>
    <row r="540" spans="1:23" ht="27.75" customHeight="1">
      <c r="A540" s="240" t="str">
        <f>IF(ISBLANK(D540)," ",470-COUNTBLANK($D$5:D540))</f>
        <v xml:space="preserve"> </v>
      </c>
      <c r="Q540" s="265"/>
      <c r="R540" s="265"/>
      <c r="S540" s="265"/>
      <c r="T540" s="284"/>
      <c r="U540" s="265"/>
      <c r="V540" s="265"/>
      <c r="W540" s="265"/>
    </row>
    <row r="541" spans="1:23" ht="27.75" customHeight="1">
      <c r="A541" s="240" t="str">
        <f>IF(ISBLANK(D541)," ",471-COUNTBLANK($D$5:D541))</f>
        <v xml:space="preserve"> </v>
      </c>
      <c r="Q541" s="265"/>
      <c r="R541" s="265"/>
      <c r="S541" s="265"/>
      <c r="T541" s="284"/>
      <c r="U541" s="265"/>
      <c r="V541" s="265"/>
      <c r="W541" s="265"/>
    </row>
    <row r="542" spans="1:23" ht="27.75" customHeight="1">
      <c r="A542" s="240" t="str">
        <f>IF(ISBLANK(D542)," ",472-COUNTBLANK($D$5:D542))</f>
        <v xml:space="preserve"> </v>
      </c>
      <c r="Q542" s="265"/>
      <c r="R542" s="265"/>
      <c r="S542" s="265"/>
      <c r="T542" s="265"/>
    </row>
    <row r="543" spans="1:23" ht="27.75" customHeight="1">
      <c r="A543" s="240" t="str">
        <f>IF(ISBLANK(D543)," ",473-COUNTBLANK($D$5:D543))</f>
        <v xml:space="preserve"> </v>
      </c>
      <c r="Q543" s="265"/>
      <c r="R543" s="265"/>
      <c r="S543" s="265"/>
      <c r="T543" s="265"/>
    </row>
    <row r="544" spans="1:23" ht="27.75" customHeight="1">
      <c r="A544" s="240" t="str">
        <f>IF(ISBLANK(D544)," ",474-COUNTBLANK($D$5:D544))</f>
        <v xml:space="preserve"> </v>
      </c>
      <c r="Q544" s="265"/>
      <c r="R544" s="265"/>
      <c r="S544" s="265"/>
      <c r="T544" s="265"/>
    </row>
    <row r="545" spans="1:20" ht="27.75" customHeight="1">
      <c r="A545" s="240" t="str">
        <f>IF(ISBLANK(D545)," ",475-COUNTBLANK($D$5:D545))</f>
        <v xml:space="preserve"> </v>
      </c>
      <c r="Q545" s="265"/>
      <c r="R545" s="265"/>
      <c r="S545" s="265"/>
      <c r="T545" s="265"/>
    </row>
    <row r="546" spans="1:20" ht="27.75" customHeight="1">
      <c r="A546" s="240" t="str">
        <f>IF(ISBLANK(D546)," ",476-COUNTBLANK($D$5:D546))</f>
        <v xml:space="preserve"> </v>
      </c>
      <c r="Q546" s="265"/>
      <c r="R546" s="265"/>
      <c r="S546" s="265"/>
      <c r="T546" s="265"/>
    </row>
    <row r="547" spans="1:20" ht="27.75" customHeight="1">
      <c r="A547" s="240" t="str">
        <f>IF(ISBLANK(D547)," ",477-COUNTBLANK($D$5:D547))</f>
        <v xml:space="preserve"> </v>
      </c>
      <c r="Q547" s="265"/>
      <c r="R547" s="265"/>
      <c r="S547" s="265"/>
      <c r="T547" s="265"/>
    </row>
    <row r="548" spans="1:20" ht="27.75" customHeight="1">
      <c r="A548" s="240" t="str">
        <f>IF(ISBLANK(D548)," ",478-COUNTBLANK($D$5:D548))</f>
        <v xml:space="preserve"> </v>
      </c>
      <c r="Q548" s="265"/>
      <c r="R548" s="265"/>
      <c r="S548" s="265"/>
      <c r="T548" s="265"/>
    </row>
    <row r="549" spans="1:20" ht="27.75" customHeight="1">
      <c r="A549" s="240" t="str">
        <f>IF(ISBLANK(D549)," ",479-COUNTBLANK($D$5:D549))</f>
        <v xml:space="preserve"> </v>
      </c>
      <c r="Q549" s="265"/>
      <c r="R549" s="265"/>
      <c r="S549" s="265"/>
      <c r="T549" s="265"/>
    </row>
    <row r="550" spans="1:20" ht="27.75" customHeight="1">
      <c r="A550" s="240" t="str">
        <f>IF(ISBLANK(D550)," ",480-COUNTBLANK($D$5:D550))</f>
        <v xml:space="preserve"> </v>
      </c>
      <c r="Q550" s="265"/>
      <c r="R550" s="265"/>
      <c r="S550" s="265"/>
      <c r="T550" s="265"/>
    </row>
    <row r="551" spans="1:20" ht="27.75" customHeight="1">
      <c r="A551" s="240" t="str">
        <f>IF(ISBLANK(D551)," ",481-COUNTBLANK($D$5:D551))</f>
        <v xml:space="preserve"> </v>
      </c>
      <c r="Q551" s="265"/>
      <c r="R551" s="265"/>
      <c r="S551" s="265"/>
      <c r="T551" s="265"/>
    </row>
    <row r="552" spans="1:20" ht="27.75" customHeight="1">
      <c r="A552" s="240" t="str">
        <f>IF(ISBLANK(D552)," ",482-COUNTBLANK($D$5:D552))</f>
        <v xml:space="preserve"> </v>
      </c>
      <c r="Q552" s="265"/>
      <c r="R552" s="265"/>
      <c r="S552" s="265"/>
      <c r="T552" s="265"/>
    </row>
    <row r="553" spans="1:20" ht="27.75" customHeight="1">
      <c r="A553" s="240" t="s">
        <v>52</v>
      </c>
      <c r="F553" s="309">
        <f>SUM(F533:F552)</f>
        <v>0</v>
      </c>
      <c r="Q553" s="265"/>
      <c r="R553" s="265"/>
      <c r="S553" s="265"/>
      <c r="T553" s="265"/>
    </row>
    <row r="554" spans="1:20" ht="27.75" customHeight="1">
      <c r="A554" s="240" t="str">
        <f>IF(ISBLANK(D554)," ",484-COUNTBLANK($D$5:D554))</f>
        <v xml:space="preserve"> </v>
      </c>
      <c r="Q554" s="265"/>
      <c r="R554" s="265"/>
      <c r="S554" s="265"/>
      <c r="T554" s="265"/>
    </row>
    <row r="555" spans="1:20" ht="27.75" customHeight="1">
      <c r="A555" s="240" t="str">
        <f>IF(ISBLANK(D555)," ",485-COUNTBLANK($D$5:D555))</f>
        <v xml:space="preserve"> </v>
      </c>
      <c r="Q555" s="265"/>
      <c r="R555" s="265"/>
      <c r="S555" s="265"/>
      <c r="T555" s="265"/>
    </row>
    <row r="556" spans="1:20" ht="27.75" customHeight="1">
      <c r="A556" s="240" t="str">
        <f>IF(ISBLANK(D556)," ",486-COUNTBLANK($D$5:D556))</f>
        <v xml:space="preserve"> </v>
      </c>
      <c r="Q556" s="265"/>
      <c r="R556" s="265"/>
      <c r="S556" s="265"/>
      <c r="T556" s="265"/>
    </row>
    <row r="557" spans="1:20" ht="27.75" customHeight="1">
      <c r="A557" s="240" t="str">
        <f>IF(ISBLANK(D557)," ",487-COUNTBLANK($D$5:D557))</f>
        <v xml:space="preserve"> </v>
      </c>
      <c r="Q557" s="265"/>
      <c r="R557" s="265"/>
      <c r="S557" s="265"/>
      <c r="T557" s="267"/>
    </row>
    <row r="558" spans="1:20" ht="27.75" customHeight="1">
      <c r="A558" s="240" t="str">
        <f>IF(ISBLANK(D558)," ",488-COUNTBLANK($D$5:D558))</f>
        <v xml:space="preserve"> </v>
      </c>
      <c r="Q558" s="265"/>
      <c r="R558" s="265"/>
      <c r="S558" s="265"/>
      <c r="T558" s="267"/>
    </row>
    <row r="559" spans="1:20" ht="27.75" customHeight="1">
      <c r="A559" s="240" t="str">
        <f>IF(ISBLANK(D559)," ",489-COUNTBLANK($D$5:D559))</f>
        <v xml:space="preserve"> </v>
      </c>
      <c r="Q559" s="265"/>
      <c r="R559" s="265"/>
      <c r="S559" s="265"/>
      <c r="T559" s="267"/>
    </row>
    <row r="560" spans="1:20" ht="27.75" customHeight="1">
      <c r="A560" s="240" t="str">
        <f>IF(ISBLANK(D560)," ",490-COUNTBLANK($D$5:D560))</f>
        <v xml:space="preserve"> </v>
      </c>
      <c r="Q560" s="265"/>
      <c r="R560" s="265"/>
      <c r="S560" s="265"/>
      <c r="T560" s="267"/>
    </row>
    <row r="561" spans="1:23" ht="27.75" customHeight="1">
      <c r="A561" s="240" t="str">
        <f>IF(ISBLANK(D561)," ",491-COUNTBLANK($D$5:D561))</f>
        <v xml:space="preserve"> </v>
      </c>
      <c r="Q561" s="265"/>
      <c r="R561" s="265"/>
      <c r="S561" s="265"/>
      <c r="T561" s="284"/>
      <c r="U561" s="265"/>
      <c r="V561" s="265"/>
      <c r="W561" s="265"/>
    </row>
    <row r="562" spans="1:23" ht="27.75" customHeight="1">
      <c r="A562" s="240" t="str">
        <f>IF(ISBLANK(D562)," ",492-COUNTBLANK($D$5:D562))</f>
        <v xml:space="preserve"> </v>
      </c>
      <c r="Q562" s="265"/>
      <c r="R562" s="265"/>
      <c r="S562" s="265"/>
      <c r="T562" s="284"/>
      <c r="U562" s="265"/>
      <c r="V562" s="265"/>
      <c r="W562" s="265"/>
    </row>
    <row r="563" spans="1:23" ht="27.75" customHeight="1">
      <c r="A563" s="240" t="str">
        <f>IF(ISBLANK(D563)," ",493-COUNTBLANK($D$5:D563))</f>
        <v xml:space="preserve"> </v>
      </c>
      <c r="Q563" s="265"/>
      <c r="R563" s="265"/>
      <c r="S563" s="265"/>
      <c r="T563" s="265"/>
    </row>
    <row r="564" spans="1:23" ht="27.75" customHeight="1">
      <c r="A564" s="240" t="str">
        <f>IF(ISBLANK(D564)," ",494-COUNTBLANK($D$5:D564))</f>
        <v xml:space="preserve"> </v>
      </c>
      <c r="Q564" s="265"/>
      <c r="R564" s="265"/>
      <c r="S564" s="265"/>
      <c r="T564" s="265"/>
    </row>
    <row r="565" spans="1:23" ht="27.75" customHeight="1">
      <c r="A565" s="240" t="str">
        <f>IF(ISBLANK(D565)," ",495-COUNTBLANK($D$5:D565))</f>
        <v xml:space="preserve"> </v>
      </c>
      <c r="Q565" s="265"/>
      <c r="R565" s="265"/>
      <c r="S565" s="265"/>
      <c r="T565" s="265"/>
    </row>
    <row r="566" spans="1:23" ht="27.75" customHeight="1">
      <c r="A566" s="240" t="str">
        <f>IF(ISBLANK(D566)," ",496-COUNTBLANK($D$5:D566))</f>
        <v xml:space="preserve"> </v>
      </c>
      <c r="Q566" s="265"/>
      <c r="R566" s="265"/>
      <c r="S566" s="265"/>
      <c r="T566" s="265"/>
    </row>
    <row r="567" spans="1:23" ht="27.75" customHeight="1">
      <c r="A567" s="240" t="str">
        <f>IF(ISBLANK(D567)," ",497-COUNTBLANK($D$5:D567))</f>
        <v xml:space="preserve"> </v>
      </c>
      <c r="Q567" s="265"/>
      <c r="R567" s="265"/>
      <c r="S567" s="265"/>
      <c r="T567" s="265"/>
    </row>
    <row r="568" spans="1:23" ht="27.75" customHeight="1">
      <c r="A568" s="240" t="str">
        <f>IF(ISBLANK(D568)," ",498-COUNTBLANK($D$5:D568))</f>
        <v xml:space="preserve"> </v>
      </c>
      <c r="Q568" s="265"/>
      <c r="R568" s="265"/>
      <c r="S568" s="265"/>
      <c r="T568" s="265"/>
    </row>
    <row r="569" spans="1:23" ht="27.75" customHeight="1">
      <c r="A569" s="240" t="str">
        <f>IF(ISBLANK(D569)," ",499-COUNTBLANK($D$5:D569))</f>
        <v xml:space="preserve"> </v>
      </c>
      <c r="Q569" s="265"/>
      <c r="R569" s="265"/>
      <c r="S569" s="265"/>
      <c r="T569" s="265"/>
    </row>
    <row r="570" spans="1:23" ht="27.75" customHeight="1">
      <c r="A570" s="240" t="str">
        <f>IF(ISBLANK(D570)," ",500-COUNTBLANK($D$5:D570))</f>
        <v xml:space="preserve"> </v>
      </c>
      <c r="Q570" s="265"/>
      <c r="R570" s="265"/>
      <c r="S570" s="265"/>
      <c r="T570" s="265"/>
    </row>
    <row r="571" spans="1:23" ht="27.75" customHeight="1">
      <c r="A571" s="240" t="str">
        <f>IF(ISBLANK(D571)," ",501-COUNTBLANK($D$5:D571))</f>
        <v xml:space="preserve"> </v>
      </c>
      <c r="Q571" s="265"/>
      <c r="R571" s="265"/>
      <c r="S571" s="265"/>
      <c r="T571" s="265"/>
    </row>
    <row r="572" spans="1:23" ht="27.75" customHeight="1">
      <c r="A572" s="240" t="str">
        <f>IF(ISBLANK(D572)," ",502-COUNTBLANK($D$5:D572))</f>
        <v xml:space="preserve"> </v>
      </c>
      <c r="Q572" s="265"/>
      <c r="R572" s="265"/>
      <c r="S572" s="265"/>
      <c r="T572" s="265"/>
    </row>
    <row r="573" spans="1:23" ht="27.75" customHeight="1">
      <c r="A573" s="240" t="str">
        <f>IF(ISBLANK(D573)," ",503-COUNTBLANK($D$5:D573))</f>
        <v xml:space="preserve"> </v>
      </c>
      <c r="Q573" s="265"/>
      <c r="R573" s="265"/>
      <c r="S573" s="265"/>
      <c r="T573" s="265"/>
    </row>
    <row r="574" spans="1:23" ht="27.75" customHeight="1">
      <c r="A574" s="240" t="s">
        <v>52</v>
      </c>
      <c r="F574" s="309">
        <f>SUM(F554:F573)</f>
        <v>0</v>
      </c>
      <c r="Q574" s="265"/>
      <c r="R574" s="265"/>
      <c r="S574" s="265"/>
      <c r="T574" s="265"/>
    </row>
    <row r="575" spans="1:23" ht="27.75" customHeight="1">
      <c r="A575" s="240" t="str">
        <f>IF(ISBLANK(D575)," ",505-COUNTBLANK($D$5:D575))</f>
        <v xml:space="preserve"> </v>
      </c>
      <c r="Q575" s="265"/>
      <c r="R575" s="265"/>
      <c r="S575" s="265"/>
      <c r="T575" s="265"/>
    </row>
    <row r="576" spans="1:23" ht="27.75" customHeight="1">
      <c r="A576" s="240" t="str">
        <f>IF(ISBLANK(D576)," ",506-COUNTBLANK($D$5:D576))</f>
        <v xml:space="preserve"> </v>
      </c>
      <c r="Q576" s="265"/>
      <c r="R576" s="265"/>
      <c r="S576" s="265"/>
      <c r="T576" s="265"/>
    </row>
    <row r="577" spans="1:23" ht="27.75" customHeight="1">
      <c r="A577" s="240" t="str">
        <f>IF(ISBLANK(D577)," ",507-COUNTBLANK($D$5:D577))</f>
        <v xml:space="preserve"> </v>
      </c>
      <c r="Q577" s="265"/>
      <c r="R577" s="265"/>
      <c r="S577" s="265"/>
      <c r="T577" s="265"/>
    </row>
    <row r="578" spans="1:23" ht="27.75" customHeight="1">
      <c r="A578" s="240" t="str">
        <f>IF(ISBLANK(D578)," ",508-COUNTBLANK($D$5:D578))</f>
        <v xml:space="preserve"> </v>
      </c>
      <c r="Q578" s="265"/>
      <c r="R578" s="265"/>
      <c r="S578" s="265"/>
      <c r="T578" s="267"/>
    </row>
    <row r="579" spans="1:23" ht="27.75" customHeight="1">
      <c r="A579" s="240" t="str">
        <f>IF(ISBLANK(D579)," ",509-COUNTBLANK($D$5:D579))</f>
        <v xml:space="preserve"> </v>
      </c>
      <c r="Q579" s="265"/>
      <c r="R579" s="265"/>
      <c r="S579" s="265"/>
      <c r="T579" s="267"/>
    </row>
    <row r="580" spans="1:23" ht="27.75" customHeight="1">
      <c r="A580" s="240" t="str">
        <f>IF(ISBLANK(D580)," ",510-COUNTBLANK($D$5:D580))</f>
        <v xml:space="preserve"> </v>
      </c>
      <c r="Q580" s="265"/>
      <c r="R580" s="265"/>
      <c r="S580" s="265"/>
      <c r="T580" s="267"/>
    </row>
    <row r="581" spans="1:23" ht="27.75" customHeight="1">
      <c r="A581" s="240" t="str">
        <f>IF(ISBLANK(D581)," ",511-COUNTBLANK($D$5:D581))</f>
        <v xml:space="preserve"> </v>
      </c>
      <c r="Q581" s="265"/>
      <c r="R581" s="265"/>
      <c r="S581" s="265"/>
      <c r="T581" s="267"/>
    </row>
    <row r="582" spans="1:23" ht="27.75" customHeight="1">
      <c r="A582" s="240" t="str">
        <f>IF(ISBLANK(D582)," ",512-COUNTBLANK($D$5:D582))</f>
        <v xml:space="preserve"> </v>
      </c>
      <c r="Q582" s="265"/>
      <c r="R582" s="265"/>
      <c r="S582" s="265"/>
      <c r="T582" s="284"/>
      <c r="U582" s="265"/>
      <c r="V582" s="265"/>
      <c r="W582" s="265"/>
    </row>
    <row r="583" spans="1:23" ht="27.75" customHeight="1">
      <c r="A583" s="240" t="str">
        <f>IF(ISBLANK(D583)," ",513-COUNTBLANK($D$5:D583))</f>
        <v xml:space="preserve"> </v>
      </c>
      <c r="Q583" s="265"/>
      <c r="R583" s="265"/>
      <c r="S583" s="265"/>
      <c r="T583" s="284"/>
      <c r="U583" s="265"/>
      <c r="V583" s="265"/>
      <c r="W583" s="265"/>
    </row>
    <row r="584" spans="1:23" ht="27.75" customHeight="1">
      <c r="A584" s="240" t="str">
        <f>IF(ISBLANK(D584)," ",514-COUNTBLANK($D$5:D584))</f>
        <v xml:space="preserve"> </v>
      </c>
      <c r="Q584" s="265"/>
      <c r="R584" s="265"/>
      <c r="S584" s="265"/>
      <c r="T584" s="265"/>
    </row>
    <row r="585" spans="1:23" ht="27.75" customHeight="1">
      <c r="A585" s="240" t="str">
        <f>IF(ISBLANK(D585)," ",515-COUNTBLANK($D$5:D585))</f>
        <v xml:space="preserve"> </v>
      </c>
      <c r="Q585" s="265"/>
      <c r="R585" s="265"/>
      <c r="S585" s="265"/>
      <c r="T585" s="265"/>
    </row>
    <row r="586" spans="1:23" ht="27.75" customHeight="1">
      <c r="A586" s="240" t="str">
        <f>IF(ISBLANK(D586)," ",516-COUNTBLANK($D$5:D586))</f>
        <v xml:space="preserve"> </v>
      </c>
      <c r="Q586" s="265"/>
      <c r="R586" s="265"/>
      <c r="S586" s="265"/>
      <c r="T586" s="265"/>
    </row>
    <row r="587" spans="1:23" ht="27.75" customHeight="1">
      <c r="A587" s="240" t="str">
        <f>IF(ISBLANK(D587)," ",517-COUNTBLANK($D$5:D587))</f>
        <v xml:space="preserve"> </v>
      </c>
      <c r="Q587" s="265"/>
      <c r="R587" s="265"/>
      <c r="S587" s="265"/>
      <c r="T587" s="265"/>
    </row>
    <row r="588" spans="1:23" ht="27.75" customHeight="1">
      <c r="A588" s="240" t="str">
        <f>IF(ISBLANK(D588)," ",518-COUNTBLANK($D$5:D588))</f>
        <v xml:space="preserve"> </v>
      </c>
      <c r="Q588" s="265"/>
      <c r="R588" s="265"/>
      <c r="S588" s="265"/>
      <c r="T588" s="265"/>
    </row>
    <row r="589" spans="1:23" ht="27.75" customHeight="1">
      <c r="A589" s="240" t="str">
        <f>IF(ISBLANK(D589)," ",519-COUNTBLANK($D$5:D589))</f>
        <v xml:space="preserve"> </v>
      </c>
      <c r="Q589" s="265"/>
      <c r="R589" s="265"/>
      <c r="S589" s="265"/>
      <c r="T589" s="265"/>
    </row>
    <row r="590" spans="1:23" ht="27.75" customHeight="1">
      <c r="A590" s="240" t="str">
        <f>IF(ISBLANK(D590)," ",520-COUNTBLANK($D$5:D590))</f>
        <v xml:space="preserve"> </v>
      </c>
      <c r="Q590" s="265"/>
      <c r="R590" s="265"/>
      <c r="S590" s="265"/>
      <c r="T590" s="265"/>
    </row>
    <row r="591" spans="1:23" ht="27.75" customHeight="1">
      <c r="A591" s="240" t="str">
        <f>IF(ISBLANK(D591)," ",521-COUNTBLANK($D$5:D591))</f>
        <v xml:space="preserve"> </v>
      </c>
      <c r="Q591" s="265"/>
      <c r="R591" s="265"/>
      <c r="S591" s="265"/>
      <c r="T591" s="265"/>
    </row>
    <row r="592" spans="1:23" ht="27.75" customHeight="1">
      <c r="A592" s="240" t="str">
        <f>IF(ISBLANK(D592)," ",522-COUNTBLANK($D$5:D592))</f>
        <v xml:space="preserve"> </v>
      </c>
      <c r="Q592" s="265"/>
      <c r="R592" s="265"/>
      <c r="S592" s="265"/>
      <c r="T592" s="265"/>
    </row>
    <row r="593" spans="1:23" ht="27.75" customHeight="1">
      <c r="A593" s="240" t="str">
        <f>IF(ISBLANK(D593)," ",523-COUNTBLANK($D$5:D593))</f>
        <v xml:space="preserve"> </v>
      </c>
      <c r="Q593" s="265"/>
      <c r="R593" s="265"/>
      <c r="S593" s="265"/>
      <c r="T593" s="265"/>
    </row>
    <row r="594" spans="1:23" ht="27.75" customHeight="1">
      <c r="A594" s="240" t="str">
        <f>IF(ISBLANK(D594)," ",524-COUNTBLANK($D$5:D594))</f>
        <v xml:space="preserve"> </v>
      </c>
      <c r="Q594" s="265"/>
      <c r="R594" s="265"/>
      <c r="S594" s="265"/>
      <c r="T594" s="265"/>
    </row>
    <row r="595" spans="1:23" ht="27.75" customHeight="1">
      <c r="A595" s="240" t="s">
        <v>52</v>
      </c>
      <c r="F595" s="309">
        <f>SUM(F575:F594)</f>
        <v>0</v>
      </c>
      <c r="Q595" s="265"/>
      <c r="R595" s="265"/>
      <c r="S595" s="265"/>
      <c r="T595" s="265"/>
    </row>
    <row r="596" spans="1:23" ht="27.75" customHeight="1">
      <c r="Q596" s="265"/>
      <c r="R596" s="265"/>
      <c r="S596" s="265"/>
      <c r="T596" s="265"/>
    </row>
    <row r="597" spans="1:23" ht="27.75" customHeight="1">
      <c r="Q597" s="265"/>
      <c r="R597" s="265"/>
      <c r="S597" s="265"/>
      <c r="T597" s="265"/>
    </row>
    <row r="598" spans="1:23" ht="27.75" customHeight="1">
      <c r="Q598" s="265"/>
      <c r="R598" s="265"/>
      <c r="S598" s="265"/>
      <c r="T598" s="265"/>
    </row>
    <row r="599" spans="1:23" ht="27.75" customHeight="1">
      <c r="Q599" s="265"/>
      <c r="R599" s="265"/>
      <c r="S599" s="265"/>
      <c r="T599" s="267"/>
    </row>
    <row r="600" spans="1:23" ht="27.75" customHeight="1">
      <c r="Q600" s="265"/>
      <c r="R600" s="265"/>
      <c r="S600" s="265"/>
      <c r="T600" s="267"/>
    </row>
    <row r="601" spans="1:23" ht="27.75" customHeight="1">
      <c r="Q601" s="265"/>
      <c r="R601" s="265"/>
      <c r="S601" s="265"/>
      <c r="T601" s="267"/>
    </row>
    <row r="602" spans="1:23" ht="27.75" customHeight="1">
      <c r="Q602" s="265"/>
      <c r="R602" s="265"/>
      <c r="S602" s="265"/>
      <c r="T602" s="267"/>
    </row>
    <row r="603" spans="1:23" ht="27.75" customHeight="1">
      <c r="Q603" s="265"/>
      <c r="R603" s="265"/>
      <c r="S603" s="265"/>
      <c r="T603" s="284"/>
      <c r="U603" s="265"/>
      <c r="V603" s="265"/>
      <c r="W603" s="265"/>
    </row>
    <row r="604" spans="1:23" ht="27.75" customHeight="1">
      <c r="Q604" s="265"/>
      <c r="R604" s="265"/>
      <c r="S604" s="265"/>
      <c r="T604" s="284"/>
      <c r="U604" s="265"/>
      <c r="V604" s="265"/>
      <c r="W604" s="265"/>
    </row>
    <row r="605" spans="1:23">
      <c r="Q605" s="311"/>
      <c r="R605" s="311"/>
      <c r="S605" s="311"/>
      <c r="T605" s="311"/>
    </row>
    <row r="606" spans="1:23">
      <c r="Q606" s="311"/>
      <c r="R606" s="311"/>
      <c r="S606" s="311"/>
      <c r="T606" s="311"/>
    </row>
  </sheetData>
  <mergeCells count="6">
    <mergeCell ref="B3:C3"/>
    <mergeCell ref="F3:H3"/>
    <mergeCell ref="D3:D4"/>
    <mergeCell ref="I3:J3"/>
    <mergeCell ref="P3:P4"/>
    <mergeCell ref="K3:L3"/>
  </mergeCells>
  <phoneticPr fontId="12" type="noConversion"/>
  <printOptions horizontalCentered="1"/>
  <pageMargins left="0.19685039370078741" right="0.19685039370078741" top="0.39370078740157483" bottom="0.59055118110236227" header="0.59055118110236227" footer="0.19685039370078741"/>
  <pageSetup paperSize="9" scale="81" orientation="landscape" horizontalDpi="4294967293" r:id="rId1"/>
  <headerFooter alignWithMargins="0"/>
  <ignoredErrors>
    <ignoredError sqref="B120 B114 B57 B137" numberStoredAsText="1"/>
    <ignoredError sqref="B60 B53:B56 B50 B47 B5 B29:B35 B24:B26 B12:B22 B37:B41 B42:B46 B10:B11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2"/>
  <sheetViews>
    <sheetView showGridLines="0" showZeros="0" view="pageBreakPreview" zoomScaleNormal="55" workbookViewId="0">
      <selection activeCell="A26" sqref="A26:IV26"/>
    </sheetView>
  </sheetViews>
  <sheetFormatPr defaultRowHeight="11.25"/>
  <cols>
    <col min="1" max="1" width="4.33203125" style="51" customWidth="1"/>
    <col min="2" max="2" width="6.33203125" style="97" customWidth="1"/>
    <col min="3" max="3" width="3.77734375" style="51" customWidth="1"/>
    <col min="4" max="4" width="6.77734375" style="51" customWidth="1"/>
    <col min="5" max="5" width="6.77734375" style="98" customWidth="1"/>
    <col min="6" max="6" width="4.109375" style="51" customWidth="1"/>
    <col min="7" max="7" width="4.77734375" style="51" customWidth="1"/>
    <col min="8" max="8" width="7.33203125" style="51" customWidth="1"/>
    <col min="9" max="9" width="11.77734375" style="51" customWidth="1"/>
    <col min="10" max="10" width="6.77734375" style="51" customWidth="1"/>
    <col min="11" max="11" width="11.77734375" style="51" customWidth="1"/>
    <col min="12" max="12" width="6.77734375" style="51" customWidth="1"/>
    <col min="13" max="13" width="3.77734375" style="51" customWidth="1"/>
    <col min="14" max="14" width="20.77734375" style="99" hidden="1" customWidth="1"/>
    <col min="15" max="21" width="9.77734375" style="51" customWidth="1"/>
    <col min="22" max="22" width="10.77734375" style="51" customWidth="1"/>
    <col min="23" max="16384" width="8.88671875" style="51"/>
  </cols>
  <sheetData>
    <row r="1" spans="1:22" ht="30" customHeight="1">
      <c r="A1" s="45" t="s">
        <v>58</v>
      </c>
      <c r="B1" s="46"/>
      <c r="C1" s="47"/>
      <c r="D1" s="47"/>
      <c r="E1" s="48"/>
      <c r="F1" s="47"/>
      <c r="G1" s="47"/>
      <c r="H1" s="47"/>
      <c r="I1" s="47"/>
      <c r="J1" s="47"/>
      <c r="K1" s="47"/>
      <c r="L1" s="47"/>
      <c r="M1" s="47"/>
      <c r="N1" s="49"/>
      <c r="O1" s="50"/>
      <c r="P1" s="50"/>
      <c r="Q1" s="50"/>
      <c r="R1" s="50"/>
      <c r="S1" s="50"/>
      <c r="T1" s="50"/>
      <c r="U1" s="50"/>
      <c r="V1" s="50"/>
    </row>
    <row r="2" spans="1:22" ht="19.899999999999999" customHeight="1">
      <c r="A2" s="50"/>
      <c r="B2" s="52"/>
      <c r="C2" s="50"/>
      <c r="D2" s="50"/>
      <c r="E2" s="53"/>
      <c r="F2" s="50"/>
      <c r="G2" s="50"/>
      <c r="H2" s="50"/>
      <c r="I2" s="50"/>
      <c r="J2" s="54"/>
      <c r="K2" s="55">
        <v>3</v>
      </c>
      <c r="L2" s="47"/>
      <c r="M2" s="47"/>
      <c r="N2" s="56"/>
      <c r="O2" s="50"/>
      <c r="P2" s="50"/>
      <c r="Q2" s="50"/>
      <c r="R2" s="50"/>
      <c r="S2" s="50"/>
      <c r="T2" s="50"/>
      <c r="U2" s="50"/>
      <c r="V2" s="50"/>
    </row>
    <row r="3" spans="1:22" ht="10.15" customHeight="1">
      <c r="A3" s="50"/>
      <c r="B3" s="52"/>
      <c r="C3" s="50"/>
      <c r="D3" s="50"/>
      <c r="E3" s="53"/>
      <c r="F3" s="50"/>
      <c r="G3" s="50"/>
      <c r="H3" s="50"/>
      <c r="I3" s="50"/>
      <c r="J3" s="50"/>
      <c r="K3" s="50"/>
      <c r="L3" s="50"/>
      <c r="M3" s="50"/>
      <c r="N3" s="57"/>
      <c r="O3" s="50"/>
      <c r="P3" s="50"/>
      <c r="Q3" s="50"/>
      <c r="R3" s="50"/>
      <c r="S3" s="50"/>
      <c r="T3" s="50"/>
      <c r="U3" s="50"/>
      <c r="V3" s="50"/>
    </row>
    <row r="4" spans="1:22" ht="30" customHeight="1">
      <c r="A4" s="107" t="s">
        <v>39</v>
      </c>
      <c r="B4" s="519" t="s">
        <v>40</v>
      </c>
      <c r="C4" s="501" t="s">
        <v>41</v>
      </c>
      <c r="D4" s="108" t="s">
        <v>42</v>
      </c>
      <c r="E4" s="109" t="s">
        <v>43</v>
      </c>
      <c r="F4" s="110" t="s">
        <v>44</v>
      </c>
      <c r="G4" s="58"/>
      <c r="H4" s="499" t="s">
        <v>45</v>
      </c>
      <c r="I4" s="500"/>
      <c r="J4" s="59" t="s">
        <v>46</v>
      </c>
      <c r="K4" s="58"/>
      <c r="L4" s="60"/>
      <c r="M4" s="503" t="s">
        <v>31</v>
      </c>
      <c r="N4" s="56"/>
      <c r="O4" s="50"/>
      <c r="P4" s="61"/>
      <c r="Q4" s="61"/>
      <c r="R4" s="61"/>
      <c r="S4" s="61"/>
      <c r="T4" s="61"/>
      <c r="U4" s="61"/>
      <c r="V4" s="61"/>
    </row>
    <row r="5" spans="1:22" ht="30" customHeight="1">
      <c r="A5" s="62" t="s">
        <v>47</v>
      </c>
      <c r="B5" s="520"/>
      <c r="C5" s="502"/>
      <c r="D5" s="63" t="s">
        <v>59</v>
      </c>
      <c r="E5" s="63" t="s">
        <v>59</v>
      </c>
      <c r="F5" s="64" t="s">
        <v>41</v>
      </c>
      <c r="G5" s="65" t="s">
        <v>48</v>
      </c>
      <c r="H5" s="65" t="s">
        <v>49</v>
      </c>
      <c r="I5" s="64" t="s">
        <v>50</v>
      </c>
      <c r="J5" s="65" t="s">
        <v>49</v>
      </c>
      <c r="K5" s="65" t="s">
        <v>50</v>
      </c>
      <c r="L5" s="66" t="s">
        <v>51</v>
      </c>
      <c r="M5" s="504"/>
      <c r="N5" s="67"/>
      <c r="O5" s="61"/>
      <c r="P5" s="68"/>
      <c r="Q5" s="68"/>
      <c r="R5" s="68"/>
      <c r="S5" s="68"/>
      <c r="T5" s="68"/>
      <c r="U5" s="68"/>
      <c r="V5" s="50"/>
    </row>
    <row r="6" spans="1:22" ht="27.75" customHeight="1">
      <c r="A6" s="147"/>
      <c r="B6" s="148"/>
      <c r="C6" s="149"/>
      <c r="D6" s="150"/>
      <c r="E6" s="150"/>
      <c r="F6" s="151"/>
      <c r="G6" s="151"/>
      <c r="H6" s="152"/>
      <c r="I6" s="153"/>
      <c r="J6" s="69"/>
      <c r="K6" s="69"/>
      <c r="L6" s="69"/>
      <c r="M6" s="70"/>
      <c r="N6" s="71" t="str">
        <f t="shared" ref="N6:N69" si="0">CONCATENATE(C6,H6)</f>
        <v/>
      </c>
      <c r="O6" s="72"/>
      <c r="P6" s="72"/>
      <c r="Q6" s="72"/>
      <c r="R6" s="72"/>
      <c r="S6" s="72"/>
      <c r="T6" s="72"/>
      <c r="U6" s="72"/>
      <c r="V6" s="72"/>
    </row>
    <row r="7" spans="1:22" ht="27.75" customHeight="1">
      <c r="A7" s="154"/>
      <c r="B7" s="155"/>
      <c r="C7" s="156"/>
      <c r="D7" s="157"/>
      <c r="E7" s="157"/>
      <c r="F7" s="158"/>
      <c r="G7" s="158"/>
      <c r="H7" s="159"/>
      <c r="I7" s="160"/>
      <c r="J7" s="73"/>
      <c r="K7" s="73"/>
      <c r="L7" s="73"/>
      <c r="M7" s="74"/>
      <c r="N7" s="71" t="str">
        <f t="shared" si="0"/>
        <v/>
      </c>
      <c r="O7" s="72"/>
      <c r="P7" s="72"/>
      <c r="Q7" s="72"/>
      <c r="R7" s="72"/>
      <c r="S7" s="72"/>
      <c r="T7" s="72"/>
      <c r="U7" s="72"/>
      <c r="V7" s="72"/>
    </row>
    <row r="8" spans="1:22" ht="27.75" customHeight="1">
      <c r="A8" s="154"/>
      <c r="B8" s="155"/>
      <c r="C8" s="156"/>
      <c r="D8" s="157"/>
      <c r="E8" s="157"/>
      <c r="F8" s="158"/>
      <c r="G8" s="158"/>
      <c r="H8" s="159"/>
      <c r="I8" s="160"/>
      <c r="J8" s="73"/>
      <c r="K8" s="73"/>
      <c r="L8" s="73"/>
      <c r="M8" s="74"/>
      <c r="N8" s="71" t="str">
        <f t="shared" si="0"/>
        <v/>
      </c>
      <c r="O8" s="72"/>
      <c r="P8" s="72"/>
      <c r="Q8" s="72"/>
      <c r="R8" s="72"/>
      <c r="S8" s="72"/>
      <c r="T8" s="72"/>
      <c r="U8" s="72"/>
      <c r="V8" s="72"/>
    </row>
    <row r="9" spans="1:22" ht="27.75" customHeight="1">
      <c r="A9" s="154"/>
      <c r="B9" s="155"/>
      <c r="C9" s="156"/>
      <c r="D9" s="157"/>
      <c r="E9" s="157"/>
      <c r="F9" s="158"/>
      <c r="G9" s="158"/>
      <c r="H9" s="159"/>
      <c r="I9" s="160"/>
      <c r="J9" s="73"/>
      <c r="K9" s="73"/>
      <c r="L9" s="73"/>
      <c r="M9" s="74"/>
      <c r="N9" s="71" t="str">
        <f t="shared" si="0"/>
        <v/>
      </c>
      <c r="O9" s="72"/>
      <c r="P9" s="72"/>
      <c r="Q9" s="72"/>
      <c r="R9" s="72"/>
      <c r="S9" s="72"/>
      <c r="T9" s="72"/>
      <c r="U9" s="72"/>
      <c r="V9" s="72"/>
    </row>
    <row r="10" spans="1:22" ht="27.75" customHeight="1">
      <c r="A10" s="154"/>
      <c r="B10" s="155"/>
      <c r="C10" s="156"/>
      <c r="D10" s="157"/>
      <c r="E10" s="157"/>
      <c r="F10" s="158"/>
      <c r="G10" s="158"/>
      <c r="H10" s="159"/>
      <c r="I10" s="160"/>
      <c r="J10" s="73"/>
      <c r="K10" s="73"/>
      <c r="L10" s="73"/>
      <c r="M10" s="74"/>
      <c r="N10" s="71" t="str">
        <f t="shared" si="0"/>
        <v/>
      </c>
      <c r="O10" s="72"/>
      <c r="P10" s="72"/>
      <c r="Q10" s="72"/>
      <c r="R10" s="72"/>
      <c r="S10" s="72"/>
      <c r="T10" s="72"/>
      <c r="U10" s="72"/>
      <c r="V10" s="72"/>
    </row>
    <row r="11" spans="1:22" ht="27.75" customHeight="1">
      <c r="A11" s="154"/>
      <c r="B11" s="155"/>
      <c r="C11" s="156"/>
      <c r="D11" s="157"/>
      <c r="E11" s="157"/>
      <c r="F11" s="158"/>
      <c r="G11" s="158"/>
      <c r="H11" s="159"/>
      <c r="I11" s="160"/>
      <c r="J11" s="73"/>
      <c r="K11" s="73"/>
      <c r="L11" s="73"/>
      <c r="M11" s="74"/>
      <c r="N11" s="71" t="str">
        <f t="shared" si="0"/>
        <v/>
      </c>
      <c r="O11" s="72"/>
      <c r="P11" s="72"/>
      <c r="Q11" s="72"/>
      <c r="R11" s="72"/>
      <c r="S11" s="72"/>
      <c r="T11" s="72"/>
      <c r="U11" s="72"/>
      <c r="V11" s="72"/>
    </row>
    <row r="12" spans="1:22" ht="27.75" customHeight="1">
      <c r="A12" s="154"/>
      <c r="B12" s="155"/>
      <c r="C12" s="156"/>
      <c r="D12" s="157"/>
      <c r="E12" s="157"/>
      <c r="F12" s="158"/>
      <c r="G12" s="161"/>
      <c r="H12" s="159"/>
      <c r="I12" s="160"/>
      <c r="J12" s="73"/>
      <c r="K12" s="73"/>
      <c r="L12" s="73"/>
      <c r="M12" s="74"/>
      <c r="N12" s="71" t="str">
        <f t="shared" si="0"/>
        <v/>
      </c>
      <c r="O12" s="72"/>
      <c r="P12" s="72"/>
      <c r="Q12" s="72"/>
      <c r="R12" s="72"/>
      <c r="S12" s="72"/>
      <c r="T12" s="72"/>
      <c r="U12" s="72"/>
      <c r="V12" s="72"/>
    </row>
    <row r="13" spans="1:22" ht="27.75" customHeight="1">
      <c r="A13" s="154"/>
      <c r="B13" s="155"/>
      <c r="C13" s="156"/>
      <c r="D13" s="157"/>
      <c r="E13" s="157"/>
      <c r="F13" s="158"/>
      <c r="G13" s="158"/>
      <c r="H13" s="159"/>
      <c r="I13" s="160"/>
      <c r="J13" s="73"/>
      <c r="K13" s="73"/>
      <c r="L13" s="73"/>
      <c r="M13" s="74"/>
      <c r="N13" s="71" t="str">
        <f t="shared" si="0"/>
        <v/>
      </c>
      <c r="O13" s="72"/>
      <c r="P13" s="72"/>
      <c r="Q13" s="72"/>
      <c r="R13" s="72"/>
      <c r="S13" s="72"/>
      <c r="T13" s="72"/>
      <c r="U13" s="72"/>
      <c r="V13" s="72"/>
    </row>
    <row r="14" spans="1:22" ht="27.75" customHeight="1">
      <c r="A14" s="154"/>
      <c r="B14" s="155"/>
      <c r="C14" s="156"/>
      <c r="D14" s="157"/>
      <c r="E14" s="157"/>
      <c r="F14" s="158"/>
      <c r="G14" s="158"/>
      <c r="H14" s="159"/>
      <c r="I14" s="160"/>
      <c r="J14" s="73"/>
      <c r="K14" s="73"/>
      <c r="L14" s="73"/>
      <c r="M14" s="74"/>
      <c r="N14" s="71" t="str">
        <f t="shared" si="0"/>
        <v/>
      </c>
      <c r="O14" s="72"/>
      <c r="P14" s="72"/>
      <c r="Q14" s="72"/>
      <c r="R14" s="72"/>
      <c r="S14" s="72"/>
      <c r="T14" s="72"/>
      <c r="U14" s="72"/>
      <c r="V14" s="72"/>
    </row>
    <row r="15" spans="1:22" ht="27.75" customHeight="1">
      <c r="A15" s="154"/>
      <c r="B15" s="155"/>
      <c r="C15" s="156"/>
      <c r="D15" s="157"/>
      <c r="E15" s="157"/>
      <c r="F15" s="158"/>
      <c r="G15" s="158"/>
      <c r="H15" s="159"/>
      <c r="I15" s="160"/>
      <c r="J15" s="73"/>
      <c r="K15" s="73"/>
      <c r="L15" s="73"/>
      <c r="M15" s="74"/>
      <c r="N15" s="71" t="str">
        <f t="shared" si="0"/>
        <v/>
      </c>
      <c r="O15" s="72"/>
      <c r="P15" s="72"/>
      <c r="Q15" s="72"/>
      <c r="R15" s="72"/>
      <c r="S15" s="72"/>
      <c r="T15" s="72"/>
      <c r="U15" s="72"/>
      <c r="V15" s="72"/>
    </row>
    <row r="16" spans="1:22" ht="27.75" customHeight="1">
      <c r="A16" s="154"/>
      <c r="B16" s="155"/>
      <c r="C16" s="156"/>
      <c r="D16" s="157"/>
      <c r="E16" s="157"/>
      <c r="F16" s="158"/>
      <c r="G16" s="158"/>
      <c r="H16" s="159"/>
      <c r="I16" s="160"/>
      <c r="J16" s="73"/>
      <c r="K16" s="73"/>
      <c r="L16" s="73"/>
      <c r="M16" s="74"/>
      <c r="N16" s="71" t="str">
        <f t="shared" si="0"/>
        <v/>
      </c>
      <c r="O16" s="72"/>
      <c r="P16" s="72"/>
      <c r="Q16" s="72"/>
      <c r="R16" s="72"/>
      <c r="S16" s="72"/>
      <c r="T16" s="72"/>
      <c r="U16" s="72"/>
      <c r="V16" s="72"/>
    </row>
    <row r="17" spans="1:25" ht="27.75" customHeight="1">
      <c r="A17" s="154"/>
      <c r="B17" s="155"/>
      <c r="C17" s="156"/>
      <c r="D17" s="157"/>
      <c r="E17" s="157"/>
      <c r="F17" s="158"/>
      <c r="G17" s="158"/>
      <c r="H17" s="159"/>
      <c r="I17" s="160"/>
      <c r="J17" s="73"/>
      <c r="K17" s="73"/>
      <c r="L17" s="73"/>
      <c r="M17" s="74"/>
      <c r="N17" s="71" t="str">
        <f t="shared" si="0"/>
        <v/>
      </c>
      <c r="O17" s="72"/>
      <c r="P17" s="72"/>
      <c r="Q17" s="72"/>
      <c r="R17" s="72"/>
      <c r="S17" s="72"/>
      <c r="T17" s="72"/>
      <c r="U17" s="72"/>
      <c r="V17" s="72"/>
    </row>
    <row r="18" spans="1:25" ht="27.75" customHeight="1">
      <c r="A18" s="154"/>
      <c r="B18" s="155"/>
      <c r="C18" s="156"/>
      <c r="D18" s="157"/>
      <c r="E18" s="157"/>
      <c r="F18" s="158"/>
      <c r="G18" s="158"/>
      <c r="H18" s="159"/>
      <c r="I18" s="160"/>
      <c r="J18" s="73"/>
      <c r="K18" s="73"/>
      <c r="L18" s="73"/>
      <c r="M18" s="74"/>
      <c r="N18" s="71" t="str">
        <f t="shared" si="0"/>
        <v/>
      </c>
      <c r="O18" s="72"/>
      <c r="P18" s="72"/>
      <c r="Q18" s="72"/>
      <c r="R18" s="72"/>
      <c r="S18" s="72"/>
      <c r="T18" s="72"/>
      <c r="U18" s="72"/>
      <c r="V18" s="72"/>
    </row>
    <row r="19" spans="1:25" ht="27.75" customHeight="1">
      <c r="A19" s="154"/>
      <c r="B19" s="155"/>
      <c r="C19" s="156"/>
      <c r="D19" s="157"/>
      <c r="E19" s="157"/>
      <c r="F19" s="158"/>
      <c r="G19" s="158"/>
      <c r="H19" s="159"/>
      <c r="I19" s="160"/>
      <c r="J19" s="73"/>
      <c r="K19" s="73"/>
      <c r="L19" s="73"/>
      <c r="M19" s="74"/>
      <c r="N19" s="71" t="str">
        <f t="shared" si="0"/>
        <v/>
      </c>
      <c r="O19" s="72"/>
      <c r="P19" s="72"/>
      <c r="Q19" s="72"/>
      <c r="R19" s="72"/>
      <c r="S19" s="72"/>
      <c r="T19" s="72"/>
      <c r="U19" s="72"/>
      <c r="V19" s="72"/>
    </row>
    <row r="20" spans="1:25" ht="27.75" customHeight="1">
      <c r="A20" s="154"/>
      <c r="B20" s="155"/>
      <c r="C20" s="156"/>
      <c r="D20" s="157"/>
      <c r="E20" s="157"/>
      <c r="F20" s="158"/>
      <c r="G20" s="158"/>
      <c r="H20" s="159"/>
      <c r="I20" s="160"/>
      <c r="J20" s="73"/>
      <c r="K20" s="73"/>
      <c r="L20" s="73"/>
      <c r="M20" s="74"/>
      <c r="N20" s="71" t="str">
        <f t="shared" si="0"/>
        <v/>
      </c>
      <c r="O20" s="72"/>
      <c r="P20" s="72"/>
      <c r="Q20" s="72"/>
      <c r="R20" s="72"/>
      <c r="S20" s="72"/>
      <c r="T20" s="72"/>
      <c r="U20" s="72"/>
      <c r="V20" s="72"/>
    </row>
    <row r="21" spans="1:25" ht="27.75" customHeight="1">
      <c r="A21" s="154"/>
      <c r="B21" s="155"/>
      <c r="C21" s="156"/>
      <c r="D21" s="157"/>
      <c r="E21" s="157"/>
      <c r="F21" s="158"/>
      <c r="G21" s="158"/>
      <c r="H21" s="159"/>
      <c r="I21" s="160"/>
      <c r="J21" s="73"/>
      <c r="K21" s="73"/>
      <c r="L21" s="73"/>
      <c r="M21" s="74"/>
      <c r="N21" s="71" t="str">
        <f t="shared" si="0"/>
        <v/>
      </c>
      <c r="O21" s="75"/>
      <c r="P21" s="72"/>
      <c r="Q21" s="72"/>
      <c r="R21" s="72"/>
      <c r="S21" s="72"/>
      <c r="T21" s="72"/>
      <c r="U21" s="72"/>
      <c r="V21" s="76"/>
    </row>
    <row r="22" spans="1:25" ht="27.75" customHeight="1">
      <c r="A22" s="154"/>
      <c r="B22" s="155"/>
      <c r="C22" s="156"/>
      <c r="D22" s="157"/>
      <c r="E22" s="157"/>
      <c r="F22" s="158"/>
      <c r="G22" s="161"/>
      <c r="H22" s="159"/>
      <c r="I22" s="160"/>
      <c r="J22" s="73"/>
      <c r="K22" s="73"/>
      <c r="L22" s="73"/>
      <c r="M22" s="74"/>
      <c r="N22" s="71" t="str">
        <f t="shared" si="0"/>
        <v/>
      </c>
      <c r="O22" s="75"/>
      <c r="P22" s="72"/>
      <c r="Q22" s="72"/>
      <c r="R22" s="72"/>
      <c r="S22" s="72"/>
      <c r="T22" s="72"/>
      <c r="U22" s="72"/>
      <c r="V22" s="76"/>
    </row>
    <row r="23" spans="1:25" ht="27.75" customHeight="1">
      <c r="A23" s="154"/>
      <c r="B23" s="155"/>
      <c r="C23" s="156"/>
      <c r="D23" s="157"/>
      <c r="E23" s="157"/>
      <c r="F23" s="158"/>
      <c r="G23" s="158"/>
      <c r="H23" s="159"/>
      <c r="I23" s="160"/>
      <c r="J23" s="73"/>
      <c r="K23" s="73"/>
      <c r="L23" s="73"/>
      <c r="M23" s="74"/>
      <c r="N23" s="71" t="str">
        <f t="shared" si="0"/>
        <v/>
      </c>
      <c r="O23" s="75"/>
      <c r="P23" s="72"/>
      <c r="Q23" s="72"/>
      <c r="R23" s="72"/>
      <c r="S23" s="72"/>
      <c r="T23" s="72"/>
      <c r="U23" s="72"/>
      <c r="V23" s="76"/>
    </row>
    <row r="24" spans="1:25" ht="27.75" customHeight="1">
      <c r="A24" s="154"/>
      <c r="B24" s="155"/>
      <c r="C24" s="156"/>
      <c r="D24" s="157"/>
      <c r="E24" s="157"/>
      <c r="F24" s="158"/>
      <c r="G24" s="158"/>
      <c r="H24" s="159"/>
      <c r="I24" s="159"/>
      <c r="J24" s="73"/>
      <c r="K24" s="73"/>
      <c r="L24" s="73"/>
      <c r="M24" s="74"/>
      <c r="N24" s="71" t="str">
        <f t="shared" si="0"/>
        <v/>
      </c>
      <c r="O24" s="75"/>
      <c r="P24" s="72"/>
      <c r="Q24" s="72"/>
      <c r="R24" s="72"/>
      <c r="S24" s="72"/>
      <c r="T24" s="72"/>
      <c r="U24" s="72"/>
      <c r="V24" s="76"/>
    </row>
    <row r="25" spans="1:25" ht="27.75" customHeight="1">
      <c r="A25" s="162"/>
      <c r="B25" s="163"/>
      <c r="C25" s="164"/>
      <c r="D25" s="165"/>
      <c r="E25" s="165"/>
      <c r="F25" s="166"/>
      <c r="G25" s="166"/>
      <c r="H25" s="167"/>
      <c r="I25" s="168"/>
      <c r="J25" s="77"/>
      <c r="K25" s="77"/>
      <c r="L25" s="77"/>
      <c r="M25" s="78"/>
      <c r="N25" s="71" t="str">
        <f t="shared" si="0"/>
        <v/>
      </c>
      <c r="O25" s="72"/>
      <c r="P25" s="72"/>
      <c r="Q25" s="72"/>
      <c r="R25" s="72"/>
      <c r="S25" s="72"/>
      <c r="T25" s="72"/>
      <c r="U25" s="72"/>
      <c r="V25" s="79"/>
      <c r="W25" s="72"/>
      <c r="X25" s="72"/>
      <c r="Y25" s="72"/>
    </row>
    <row r="26" spans="1:25" ht="27.75" customHeight="1">
      <c r="A26" s="80" t="s">
        <v>52</v>
      </c>
      <c r="B26" s="81"/>
      <c r="C26" s="96"/>
      <c r="D26" s="82"/>
      <c r="E26" s="82">
        <f>SUM(E6:E25)</f>
        <v>0</v>
      </c>
      <c r="F26" s="83"/>
      <c r="G26" s="83"/>
      <c r="H26" s="83"/>
      <c r="I26" s="83"/>
      <c r="J26" s="83"/>
      <c r="K26" s="83"/>
      <c r="L26" s="83"/>
      <c r="M26" s="84"/>
      <c r="N26" s="71" t="str">
        <f t="shared" si="0"/>
        <v/>
      </c>
      <c r="O26" s="75"/>
      <c r="P26" s="72"/>
      <c r="Q26" s="72"/>
      <c r="R26" s="72"/>
      <c r="S26" s="72"/>
      <c r="T26" s="72"/>
      <c r="U26" s="72"/>
      <c r="V26" s="79"/>
      <c r="W26" s="72"/>
      <c r="X26" s="72"/>
      <c r="Y26" s="72"/>
    </row>
    <row r="27" spans="1:25" ht="27.75" customHeight="1">
      <c r="A27" s="169"/>
      <c r="B27" s="170"/>
      <c r="C27" s="171"/>
      <c r="D27" s="172"/>
      <c r="E27" s="172"/>
      <c r="F27" s="173"/>
      <c r="G27" s="173"/>
      <c r="H27" s="174"/>
      <c r="I27" s="175"/>
      <c r="J27" s="85"/>
      <c r="K27" s="85"/>
      <c r="L27" s="85"/>
      <c r="M27" s="86"/>
      <c r="N27" s="71" t="str">
        <f t="shared" si="0"/>
        <v/>
      </c>
      <c r="O27" s="72"/>
      <c r="P27" s="72"/>
      <c r="Q27" s="72"/>
      <c r="R27" s="72"/>
      <c r="S27" s="72"/>
      <c r="T27" s="72"/>
      <c r="U27" s="72"/>
      <c r="V27" s="72"/>
    </row>
    <row r="28" spans="1:25" ht="27.75" customHeight="1">
      <c r="A28" s="154"/>
      <c r="B28" s="155"/>
      <c r="C28" s="156"/>
      <c r="D28" s="157"/>
      <c r="E28" s="157"/>
      <c r="F28" s="158"/>
      <c r="G28" s="158"/>
      <c r="H28" s="159"/>
      <c r="I28" s="160"/>
      <c r="J28" s="73"/>
      <c r="K28" s="73"/>
      <c r="L28" s="73"/>
      <c r="M28" s="74"/>
      <c r="N28" s="71" t="str">
        <f t="shared" si="0"/>
        <v/>
      </c>
      <c r="O28" s="72"/>
      <c r="P28" s="72"/>
      <c r="Q28" s="72"/>
      <c r="R28" s="72"/>
      <c r="S28" s="72"/>
      <c r="T28" s="72"/>
      <c r="U28" s="72"/>
      <c r="V28" s="72"/>
    </row>
    <row r="29" spans="1:25" ht="27.75" customHeight="1">
      <c r="A29" s="154"/>
      <c r="B29" s="155"/>
      <c r="C29" s="156"/>
      <c r="D29" s="157"/>
      <c r="E29" s="157"/>
      <c r="F29" s="158"/>
      <c r="G29" s="158"/>
      <c r="H29" s="159"/>
      <c r="I29" s="160"/>
      <c r="J29" s="73"/>
      <c r="K29" s="73"/>
      <c r="L29" s="73"/>
      <c r="M29" s="74"/>
      <c r="N29" s="71" t="str">
        <f t="shared" si="0"/>
        <v/>
      </c>
      <c r="O29" s="72"/>
      <c r="P29" s="72"/>
      <c r="Q29" s="72"/>
      <c r="R29" s="72"/>
      <c r="S29" s="72"/>
      <c r="T29" s="72"/>
      <c r="U29" s="72"/>
      <c r="V29" s="72"/>
    </row>
    <row r="30" spans="1:25" ht="27.75" customHeight="1">
      <c r="A30" s="154"/>
      <c r="B30" s="155"/>
      <c r="C30" s="156"/>
      <c r="D30" s="157"/>
      <c r="E30" s="157"/>
      <c r="F30" s="158"/>
      <c r="G30" s="158"/>
      <c r="H30" s="159"/>
      <c r="I30" s="160"/>
      <c r="J30" s="73"/>
      <c r="K30" s="73"/>
      <c r="L30" s="73"/>
      <c r="M30" s="74"/>
      <c r="N30" s="71" t="str">
        <f t="shared" si="0"/>
        <v/>
      </c>
      <c r="O30" s="72"/>
      <c r="P30" s="72"/>
      <c r="Q30" s="72"/>
      <c r="R30" s="72"/>
      <c r="S30" s="72"/>
      <c r="T30" s="72"/>
      <c r="U30" s="72"/>
      <c r="V30" s="72"/>
    </row>
    <row r="31" spans="1:25" ht="27.75" customHeight="1">
      <c r="A31" s="154"/>
      <c r="B31" s="155"/>
      <c r="C31" s="156"/>
      <c r="D31" s="157"/>
      <c r="E31" s="157"/>
      <c r="F31" s="158"/>
      <c r="G31" s="158"/>
      <c r="H31" s="159"/>
      <c r="I31" s="160"/>
      <c r="J31" s="73"/>
      <c r="K31" s="73"/>
      <c r="L31" s="73"/>
      <c r="M31" s="74"/>
      <c r="N31" s="71" t="str">
        <f t="shared" si="0"/>
        <v/>
      </c>
      <c r="O31" s="72"/>
      <c r="P31" s="72"/>
      <c r="Q31" s="72"/>
      <c r="R31" s="72"/>
      <c r="S31" s="72"/>
      <c r="T31" s="72"/>
      <c r="U31" s="72"/>
      <c r="V31" s="72"/>
    </row>
    <row r="32" spans="1:25" ht="27.75" customHeight="1">
      <c r="A32" s="87" t="str">
        <f>IF(ISBLANK(C32)," ",27-COUNTBLANK($C$6:C32))</f>
        <v xml:space="preserve"> </v>
      </c>
      <c r="B32" s="88"/>
      <c r="C32" s="88"/>
      <c r="D32" s="89"/>
      <c r="E32" s="89"/>
      <c r="F32" s="73"/>
      <c r="G32" s="73"/>
      <c r="H32" s="73"/>
      <c r="I32" s="73"/>
      <c r="J32" s="73"/>
      <c r="K32" s="73"/>
      <c r="L32" s="73"/>
      <c r="M32" s="74"/>
      <c r="N32" s="71" t="str">
        <f t="shared" si="0"/>
        <v/>
      </c>
      <c r="O32" s="72"/>
      <c r="P32" s="72"/>
      <c r="Q32" s="72"/>
      <c r="R32" s="72"/>
      <c r="S32" s="72"/>
      <c r="T32" s="72"/>
      <c r="U32" s="72"/>
      <c r="V32" s="72"/>
    </row>
    <row r="33" spans="1:25" ht="27.75" customHeight="1">
      <c r="A33" s="87" t="str">
        <f>IF(ISBLANK(C33)," ",28-COUNTBLANK($C$6:C33))</f>
        <v xml:space="preserve"> </v>
      </c>
      <c r="B33" s="88"/>
      <c r="C33" s="88"/>
      <c r="D33" s="89"/>
      <c r="E33" s="89"/>
      <c r="F33" s="73"/>
      <c r="G33" s="73"/>
      <c r="H33" s="73"/>
      <c r="I33" s="73"/>
      <c r="J33" s="73"/>
      <c r="K33" s="73"/>
      <c r="L33" s="73"/>
      <c r="M33" s="74"/>
      <c r="N33" s="71" t="str">
        <f t="shared" si="0"/>
        <v/>
      </c>
      <c r="O33" s="72"/>
      <c r="P33" s="72"/>
      <c r="Q33" s="72"/>
      <c r="R33" s="72"/>
      <c r="S33" s="72"/>
      <c r="T33" s="72"/>
      <c r="U33" s="72"/>
      <c r="V33" s="72"/>
    </row>
    <row r="34" spans="1:25" ht="27.75" customHeight="1">
      <c r="A34" s="87" t="str">
        <f>IF(ISBLANK(C34)," ",29-COUNTBLANK($C$6:C34))</f>
        <v xml:space="preserve"> </v>
      </c>
      <c r="B34" s="88"/>
      <c r="C34" s="88"/>
      <c r="D34" s="89"/>
      <c r="E34" s="89"/>
      <c r="F34" s="73"/>
      <c r="G34" s="73"/>
      <c r="H34" s="73"/>
      <c r="I34" s="73"/>
      <c r="J34" s="73"/>
      <c r="K34" s="73"/>
      <c r="L34" s="73"/>
      <c r="M34" s="74"/>
      <c r="N34" s="71" t="str">
        <f t="shared" si="0"/>
        <v/>
      </c>
      <c r="O34" s="72"/>
      <c r="P34" s="72"/>
      <c r="Q34" s="72"/>
      <c r="R34" s="72"/>
      <c r="S34" s="72"/>
      <c r="T34" s="72"/>
      <c r="U34" s="72"/>
      <c r="V34" s="72"/>
    </row>
    <row r="35" spans="1:25" ht="27.75" customHeight="1">
      <c r="A35" s="87" t="str">
        <f>IF(ISBLANK(C35)," ",30-COUNTBLANK($C$6:C35))</f>
        <v xml:space="preserve"> </v>
      </c>
      <c r="B35" s="88"/>
      <c r="C35" s="88"/>
      <c r="D35" s="89"/>
      <c r="E35" s="89"/>
      <c r="F35" s="73"/>
      <c r="G35" s="73"/>
      <c r="H35" s="73"/>
      <c r="I35" s="73"/>
      <c r="J35" s="73"/>
      <c r="K35" s="73"/>
      <c r="L35" s="73"/>
      <c r="M35" s="74"/>
      <c r="N35" s="71" t="str">
        <f t="shared" si="0"/>
        <v/>
      </c>
      <c r="O35" s="72"/>
      <c r="P35" s="72"/>
      <c r="Q35" s="72"/>
      <c r="R35" s="72"/>
      <c r="S35" s="72"/>
      <c r="T35" s="72"/>
      <c r="U35" s="72"/>
      <c r="V35" s="72"/>
    </row>
    <row r="36" spans="1:25" ht="27.75" customHeight="1">
      <c r="A36" s="87" t="str">
        <f>IF(ISBLANK(C36)," ",31-COUNTBLANK($C$6:C36))</f>
        <v xml:space="preserve"> </v>
      </c>
      <c r="B36" s="88"/>
      <c r="C36" s="88"/>
      <c r="D36" s="89"/>
      <c r="E36" s="89"/>
      <c r="F36" s="73"/>
      <c r="G36" s="73"/>
      <c r="H36" s="73"/>
      <c r="I36" s="73"/>
      <c r="J36" s="73"/>
      <c r="K36" s="73"/>
      <c r="L36" s="73"/>
      <c r="M36" s="74"/>
      <c r="N36" s="71" t="str">
        <f t="shared" si="0"/>
        <v/>
      </c>
      <c r="O36" s="72"/>
      <c r="P36" s="72"/>
      <c r="Q36" s="72"/>
      <c r="R36" s="72"/>
      <c r="S36" s="72"/>
      <c r="T36" s="72"/>
      <c r="U36" s="72"/>
      <c r="V36" s="72"/>
    </row>
    <row r="37" spans="1:25" ht="27.75" customHeight="1">
      <c r="A37" s="87" t="str">
        <f>IF(ISBLANK(C37)," ",32-COUNTBLANK($C$6:C37))</f>
        <v xml:space="preserve"> </v>
      </c>
      <c r="B37" s="88"/>
      <c r="C37" s="88"/>
      <c r="D37" s="89"/>
      <c r="E37" s="89"/>
      <c r="F37" s="73"/>
      <c r="G37" s="73"/>
      <c r="H37" s="73"/>
      <c r="I37" s="73"/>
      <c r="J37" s="73"/>
      <c r="K37" s="73"/>
      <c r="L37" s="73"/>
      <c r="M37" s="74"/>
      <c r="N37" s="71" t="str">
        <f t="shared" si="0"/>
        <v/>
      </c>
      <c r="O37" s="72"/>
      <c r="P37" s="72"/>
      <c r="Q37" s="72"/>
      <c r="R37" s="72"/>
      <c r="S37" s="72"/>
      <c r="T37" s="72"/>
      <c r="U37" s="72"/>
      <c r="V37" s="72"/>
    </row>
    <row r="38" spans="1:25" ht="27.75" customHeight="1">
      <c r="A38" s="87" t="str">
        <f>IF(ISBLANK(C38)," ",33-COUNTBLANK($C$6:C38))</f>
        <v xml:space="preserve"> </v>
      </c>
      <c r="B38" s="88"/>
      <c r="C38" s="88"/>
      <c r="D38" s="89"/>
      <c r="E38" s="89"/>
      <c r="F38" s="73"/>
      <c r="G38" s="73"/>
      <c r="H38" s="73"/>
      <c r="I38" s="73"/>
      <c r="J38" s="73"/>
      <c r="K38" s="73"/>
      <c r="L38" s="73"/>
      <c r="M38" s="74"/>
      <c r="N38" s="71" t="str">
        <f t="shared" si="0"/>
        <v/>
      </c>
      <c r="O38" s="72"/>
      <c r="P38" s="72"/>
      <c r="Q38" s="72"/>
      <c r="R38" s="72"/>
      <c r="S38" s="72"/>
      <c r="T38" s="72"/>
      <c r="U38" s="72"/>
      <c r="V38" s="72"/>
    </row>
    <row r="39" spans="1:25" ht="27.75" customHeight="1">
      <c r="A39" s="87" t="str">
        <f>IF(ISBLANK(C39)," ",34-COUNTBLANK($C$6:C39))</f>
        <v xml:space="preserve"> </v>
      </c>
      <c r="B39" s="88"/>
      <c r="C39" s="88"/>
      <c r="D39" s="89"/>
      <c r="E39" s="89"/>
      <c r="F39" s="73"/>
      <c r="G39" s="73"/>
      <c r="H39" s="73"/>
      <c r="I39" s="73"/>
      <c r="J39" s="73"/>
      <c r="K39" s="73"/>
      <c r="L39" s="73"/>
      <c r="M39" s="74"/>
      <c r="N39" s="71" t="str">
        <f t="shared" si="0"/>
        <v/>
      </c>
      <c r="O39" s="72"/>
      <c r="P39" s="72"/>
      <c r="Q39" s="72"/>
      <c r="R39" s="72"/>
      <c r="S39" s="72"/>
      <c r="T39" s="72"/>
      <c r="U39" s="72"/>
      <c r="V39" s="72"/>
    </row>
    <row r="40" spans="1:25" ht="27.75" customHeight="1">
      <c r="A40" s="87" t="str">
        <f>IF(ISBLANK(C40)," ",35-COUNTBLANK($C$6:C40))</f>
        <v xml:space="preserve"> </v>
      </c>
      <c r="B40" s="88"/>
      <c r="C40" s="88"/>
      <c r="D40" s="89"/>
      <c r="E40" s="89"/>
      <c r="F40" s="73"/>
      <c r="G40" s="73"/>
      <c r="H40" s="73"/>
      <c r="I40" s="73"/>
      <c r="J40" s="73"/>
      <c r="K40" s="73"/>
      <c r="L40" s="73"/>
      <c r="M40" s="74"/>
      <c r="N40" s="71" t="str">
        <f t="shared" si="0"/>
        <v/>
      </c>
      <c r="O40" s="72"/>
      <c r="P40" s="72"/>
      <c r="Q40" s="72"/>
      <c r="R40" s="72"/>
      <c r="S40" s="72"/>
      <c r="T40" s="72"/>
      <c r="U40" s="72"/>
      <c r="V40" s="72"/>
    </row>
    <row r="41" spans="1:25" ht="27.75" customHeight="1">
      <c r="A41" s="87" t="str">
        <f>IF(ISBLANK(C41)," ",36-COUNTBLANK($C$6:C41))</f>
        <v xml:space="preserve"> </v>
      </c>
      <c r="B41" s="88"/>
      <c r="C41" s="88"/>
      <c r="D41" s="89"/>
      <c r="E41" s="89"/>
      <c r="F41" s="73"/>
      <c r="G41" s="73"/>
      <c r="H41" s="73"/>
      <c r="I41" s="73"/>
      <c r="J41" s="73"/>
      <c r="K41" s="73"/>
      <c r="L41" s="73"/>
      <c r="M41" s="74"/>
      <c r="N41" s="71" t="str">
        <f t="shared" si="0"/>
        <v/>
      </c>
      <c r="O41" s="72"/>
      <c r="P41" s="72"/>
      <c r="Q41" s="72"/>
      <c r="R41" s="72"/>
      <c r="S41" s="72"/>
      <c r="T41" s="72"/>
      <c r="U41" s="72"/>
      <c r="V41" s="72"/>
    </row>
    <row r="42" spans="1:25" ht="27.75" customHeight="1">
      <c r="A42" s="87" t="str">
        <f>IF(ISBLANK(C42)," ",37-COUNTBLANK($C$6:C42))</f>
        <v xml:space="preserve"> </v>
      </c>
      <c r="B42" s="88"/>
      <c r="C42" s="88"/>
      <c r="D42" s="89"/>
      <c r="E42" s="89"/>
      <c r="F42" s="73"/>
      <c r="G42" s="73"/>
      <c r="H42" s="73"/>
      <c r="I42" s="73"/>
      <c r="J42" s="73"/>
      <c r="K42" s="73"/>
      <c r="L42" s="73"/>
      <c r="M42" s="74"/>
      <c r="N42" s="71" t="str">
        <f t="shared" si="0"/>
        <v/>
      </c>
      <c r="O42" s="75"/>
      <c r="P42" s="72"/>
      <c r="Q42" s="72"/>
      <c r="R42" s="72"/>
      <c r="S42" s="72"/>
      <c r="T42" s="72"/>
      <c r="U42" s="72"/>
      <c r="V42" s="76"/>
    </row>
    <row r="43" spans="1:25" ht="27.75" customHeight="1">
      <c r="A43" s="87" t="str">
        <f>IF(ISBLANK(C43)," ",38-COUNTBLANK($C$6:C43))</f>
        <v xml:space="preserve"> </v>
      </c>
      <c r="B43" s="88"/>
      <c r="C43" s="88"/>
      <c r="D43" s="89"/>
      <c r="E43" s="89"/>
      <c r="F43" s="73"/>
      <c r="G43" s="73"/>
      <c r="H43" s="73"/>
      <c r="I43" s="73"/>
      <c r="J43" s="73"/>
      <c r="K43" s="73"/>
      <c r="L43" s="73"/>
      <c r="M43" s="74"/>
      <c r="N43" s="71" t="str">
        <f t="shared" si="0"/>
        <v/>
      </c>
      <c r="O43" s="75"/>
      <c r="P43" s="72"/>
      <c r="Q43" s="72"/>
      <c r="R43" s="72"/>
      <c r="S43" s="72"/>
      <c r="T43" s="72"/>
      <c r="U43" s="72"/>
      <c r="V43" s="76"/>
    </row>
    <row r="44" spans="1:25" ht="27.75" customHeight="1">
      <c r="A44" s="87" t="str">
        <f>IF(ISBLANK(C44)," ",39-COUNTBLANK($C$6:C44))</f>
        <v xml:space="preserve"> </v>
      </c>
      <c r="B44" s="88"/>
      <c r="C44" s="88"/>
      <c r="D44" s="89"/>
      <c r="E44" s="89"/>
      <c r="F44" s="73"/>
      <c r="G44" s="73"/>
      <c r="H44" s="73"/>
      <c r="I44" s="73"/>
      <c r="J44" s="73"/>
      <c r="K44" s="73"/>
      <c r="L44" s="73"/>
      <c r="M44" s="74"/>
      <c r="N44" s="71" t="str">
        <f t="shared" si="0"/>
        <v/>
      </c>
      <c r="O44" s="75"/>
      <c r="P44" s="72"/>
      <c r="Q44" s="72"/>
      <c r="R44" s="72"/>
      <c r="S44" s="72"/>
      <c r="T44" s="72"/>
      <c r="U44" s="72"/>
      <c r="V44" s="76"/>
    </row>
    <row r="45" spans="1:25" ht="27.75" customHeight="1">
      <c r="A45" s="87" t="str">
        <f>IF(ISBLANK(C45)," ",40-COUNTBLANK($C$6:C45))</f>
        <v xml:space="preserve"> </v>
      </c>
      <c r="B45" s="88"/>
      <c r="C45" s="88"/>
      <c r="D45" s="89"/>
      <c r="E45" s="89"/>
      <c r="F45" s="73"/>
      <c r="G45" s="73"/>
      <c r="H45" s="73"/>
      <c r="I45" s="73"/>
      <c r="J45" s="73"/>
      <c r="K45" s="73"/>
      <c r="L45" s="73"/>
      <c r="M45" s="74"/>
      <c r="N45" s="71" t="str">
        <f t="shared" si="0"/>
        <v/>
      </c>
      <c r="O45" s="75"/>
      <c r="P45" s="72"/>
      <c r="Q45" s="72"/>
      <c r="R45" s="72"/>
      <c r="S45" s="72"/>
      <c r="T45" s="72"/>
      <c r="U45" s="72"/>
      <c r="V45" s="76"/>
    </row>
    <row r="46" spans="1:25" ht="27.75" customHeight="1">
      <c r="A46" s="90" t="str">
        <f>IF(ISBLANK(C46)," ",41-COUNTBLANK($C$6:C46))</f>
        <v xml:space="preserve"> </v>
      </c>
      <c r="B46" s="91"/>
      <c r="C46" s="91"/>
      <c r="D46" s="92"/>
      <c r="E46" s="92"/>
      <c r="F46" s="77"/>
      <c r="G46" s="77"/>
      <c r="H46" s="77"/>
      <c r="I46" s="77"/>
      <c r="J46" s="77"/>
      <c r="K46" s="77"/>
      <c r="L46" s="77"/>
      <c r="M46" s="78"/>
      <c r="N46" s="71" t="str">
        <f t="shared" si="0"/>
        <v/>
      </c>
      <c r="O46" s="72"/>
      <c r="P46" s="72"/>
      <c r="Q46" s="72"/>
      <c r="R46" s="72"/>
      <c r="S46" s="72"/>
      <c r="T46" s="72"/>
      <c r="U46" s="72"/>
      <c r="V46" s="79"/>
      <c r="W46" s="72"/>
      <c r="X46" s="72"/>
      <c r="Y46" s="72"/>
    </row>
    <row r="47" spans="1:25" ht="27.75" customHeight="1">
      <c r="A47" s="80" t="s">
        <v>52</v>
      </c>
      <c r="B47" s="81"/>
      <c r="C47" s="96"/>
      <c r="D47" s="82"/>
      <c r="E47" s="82">
        <f>SUM(E27:E46)</f>
        <v>0</v>
      </c>
      <c r="F47" s="83"/>
      <c r="G47" s="83"/>
      <c r="H47" s="83"/>
      <c r="I47" s="83"/>
      <c r="J47" s="83"/>
      <c r="K47" s="83"/>
      <c r="L47" s="83"/>
      <c r="M47" s="84"/>
      <c r="N47" s="71" t="str">
        <f t="shared" si="0"/>
        <v/>
      </c>
      <c r="O47" s="75"/>
      <c r="P47" s="72"/>
      <c r="Q47" s="72"/>
      <c r="R47" s="72"/>
      <c r="S47" s="72"/>
      <c r="T47" s="72"/>
      <c r="U47" s="72"/>
      <c r="V47" s="79"/>
      <c r="W47" s="72"/>
      <c r="X47" s="72"/>
      <c r="Y47" s="72"/>
    </row>
    <row r="48" spans="1:25" ht="27.75" customHeight="1">
      <c r="A48" s="93" t="str">
        <f>IF(ISBLANK(C48)," ",43-COUNTBLANK($C$6:C48))</f>
        <v xml:space="preserve"> </v>
      </c>
      <c r="B48" s="94"/>
      <c r="C48" s="94"/>
      <c r="D48" s="95"/>
      <c r="E48" s="95"/>
      <c r="F48" s="85"/>
      <c r="G48" s="85"/>
      <c r="H48" s="85"/>
      <c r="I48" s="85"/>
      <c r="J48" s="85"/>
      <c r="K48" s="85"/>
      <c r="L48" s="85"/>
      <c r="M48" s="86"/>
      <c r="N48" s="71" t="str">
        <f t="shared" si="0"/>
        <v/>
      </c>
      <c r="O48" s="72"/>
      <c r="P48" s="72"/>
      <c r="Q48" s="72"/>
      <c r="R48" s="72"/>
      <c r="S48" s="72"/>
      <c r="T48" s="72"/>
      <c r="U48" s="72"/>
      <c r="V48" s="72"/>
    </row>
    <row r="49" spans="1:22" ht="27.75" customHeight="1">
      <c r="A49" s="87" t="str">
        <f>IF(ISBLANK(C49)," ",44-COUNTBLANK($C$6:C49))</f>
        <v xml:space="preserve"> </v>
      </c>
      <c r="B49" s="88"/>
      <c r="C49" s="88"/>
      <c r="D49" s="89"/>
      <c r="E49" s="89"/>
      <c r="F49" s="73"/>
      <c r="G49" s="73"/>
      <c r="H49" s="73"/>
      <c r="I49" s="73"/>
      <c r="J49" s="73"/>
      <c r="K49" s="73"/>
      <c r="L49" s="73"/>
      <c r="M49" s="74"/>
      <c r="N49" s="71" t="str">
        <f t="shared" si="0"/>
        <v/>
      </c>
      <c r="O49" s="72"/>
      <c r="P49" s="72"/>
      <c r="Q49" s="72"/>
      <c r="R49" s="72"/>
      <c r="S49" s="72"/>
      <c r="T49" s="72"/>
      <c r="U49" s="72"/>
      <c r="V49" s="72"/>
    </row>
    <row r="50" spans="1:22" ht="27.75" customHeight="1">
      <c r="A50" s="87" t="str">
        <f>IF(ISBLANK(C50)," ",45-COUNTBLANK($C$6:C50))</f>
        <v xml:space="preserve"> </v>
      </c>
      <c r="B50" s="88"/>
      <c r="C50" s="88"/>
      <c r="D50" s="89"/>
      <c r="E50" s="89"/>
      <c r="F50" s="73"/>
      <c r="G50" s="73"/>
      <c r="H50" s="73"/>
      <c r="I50" s="73"/>
      <c r="J50" s="73"/>
      <c r="K50" s="73"/>
      <c r="L50" s="73"/>
      <c r="M50" s="74"/>
      <c r="N50" s="71" t="str">
        <f t="shared" si="0"/>
        <v/>
      </c>
      <c r="O50" s="72"/>
      <c r="P50" s="72"/>
      <c r="Q50" s="72"/>
      <c r="R50" s="72"/>
      <c r="S50" s="72"/>
      <c r="T50" s="72"/>
      <c r="U50" s="72"/>
      <c r="V50" s="72"/>
    </row>
    <row r="51" spans="1:22" ht="27.75" customHeight="1">
      <c r="A51" s="87" t="str">
        <f>IF(ISBLANK(C51)," ",46-COUNTBLANK($C$6:C51))</f>
        <v xml:space="preserve"> </v>
      </c>
      <c r="B51" s="88"/>
      <c r="C51" s="88"/>
      <c r="D51" s="89"/>
      <c r="E51" s="89"/>
      <c r="F51" s="73"/>
      <c r="G51" s="73"/>
      <c r="H51" s="73"/>
      <c r="I51" s="73"/>
      <c r="J51" s="73"/>
      <c r="K51" s="73"/>
      <c r="L51" s="73"/>
      <c r="M51" s="74"/>
      <c r="N51" s="71" t="str">
        <f t="shared" si="0"/>
        <v/>
      </c>
      <c r="O51" s="72"/>
      <c r="P51" s="72"/>
      <c r="Q51" s="72"/>
      <c r="R51" s="72"/>
      <c r="S51" s="72"/>
      <c r="T51" s="72"/>
      <c r="U51" s="72"/>
      <c r="V51" s="72"/>
    </row>
    <row r="52" spans="1:22" ht="27.75" customHeight="1">
      <c r="A52" s="87" t="str">
        <f>IF(ISBLANK(C52)," ",47-COUNTBLANK($C$6:C52))</f>
        <v xml:space="preserve"> </v>
      </c>
      <c r="B52" s="88"/>
      <c r="C52" s="88"/>
      <c r="D52" s="89"/>
      <c r="E52" s="89"/>
      <c r="F52" s="73"/>
      <c r="G52" s="73"/>
      <c r="H52" s="73"/>
      <c r="I52" s="73"/>
      <c r="J52" s="73"/>
      <c r="K52" s="73"/>
      <c r="L52" s="73"/>
      <c r="M52" s="74"/>
      <c r="N52" s="71" t="str">
        <f t="shared" si="0"/>
        <v/>
      </c>
      <c r="O52" s="72"/>
      <c r="P52" s="72"/>
      <c r="Q52" s="72"/>
      <c r="R52" s="72"/>
      <c r="S52" s="72"/>
      <c r="T52" s="72"/>
      <c r="U52" s="72"/>
      <c r="V52" s="72"/>
    </row>
    <row r="53" spans="1:22" ht="27.75" customHeight="1">
      <c r="A53" s="87" t="str">
        <f>IF(ISBLANK(C53)," ",48-COUNTBLANK($C$6:C53))</f>
        <v xml:space="preserve"> </v>
      </c>
      <c r="B53" s="88"/>
      <c r="C53" s="88"/>
      <c r="D53" s="89"/>
      <c r="E53" s="89"/>
      <c r="F53" s="73"/>
      <c r="G53" s="73"/>
      <c r="H53" s="73"/>
      <c r="I53" s="73"/>
      <c r="J53" s="73"/>
      <c r="K53" s="73"/>
      <c r="L53" s="73"/>
      <c r="M53" s="74"/>
      <c r="N53" s="71" t="str">
        <f t="shared" si="0"/>
        <v/>
      </c>
      <c r="O53" s="72"/>
      <c r="P53" s="72"/>
      <c r="Q53" s="72"/>
      <c r="R53" s="72"/>
      <c r="S53" s="72"/>
      <c r="T53" s="72"/>
      <c r="U53" s="72"/>
      <c r="V53" s="72"/>
    </row>
    <row r="54" spans="1:22" ht="27.75" customHeight="1">
      <c r="A54" s="87" t="str">
        <f>IF(ISBLANK(C54)," ",49-COUNTBLANK($C$6:C54))</f>
        <v xml:space="preserve"> </v>
      </c>
      <c r="B54" s="88"/>
      <c r="C54" s="88"/>
      <c r="D54" s="89"/>
      <c r="E54" s="89"/>
      <c r="F54" s="73"/>
      <c r="G54" s="73"/>
      <c r="H54" s="73"/>
      <c r="I54" s="73"/>
      <c r="J54" s="73"/>
      <c r="K54" s="73"/>
      <c r="L54" s="73"/>
      <c r="M54" s="74"/>
      <c r="N54" s="71" t="str">
        <f t="shared" si="0"/>
        <v/>
      </c>
      <c r="O54" s="72"/>
      <c r="P54" s="72"/>
      <c r="Q54" s="72"/>
      <c r="R54" s="72"/>
      <c r="S54" s="72"/>
      <c r="T54" s="72"/>
      <c r="U54" s="72"/>
      <c r="V54" s="72"/>
    </row>
    <row r="55" spans="1:22" ht="27.75" customHeight="1">
      <c r="A55" s="87" t="str">
        <f>IF(ISBLANK(C55)," ",50-COUNTBLANK($C$6:C55))</f>
        <v xml:space="preserve"> </v>
      </c>
      <c r="B55" s="88"/>
      <c r="C55" s="88"/>
      <c r="D55" s="89"/>
      <c r="E55" s="89"/>
      <c r="F55" s="73"/>
      <c r="G55" s="73"/>
      <c r="H55" s="73"/>
      <c r="I55" s="73"/>
      <c r="J55" s="73"/>
      <c r="K55" s="73"/>
      <c r="L55" s="73"/>
      <c r="M55" s="74"/>
      <c r="N55" s="71" t="str">
        <f t="shared" si="0"/>
        <v/>
      </c>
      <c r="O55" s="72"/>
      <c r="P55" s="72"/>
      <c r="Q55" s="72"/>
      <c r="R55" s="72"/>
      <c r="S55" s="72"/>
      <c r="T55" s="72"/>
      <c r="U55" s="72"/>
      <c r="V55" s="72"/>
    </row>
    <row r="56" spans="1:22" ht="27.75" customHeight="1">
      <c r="A56" s="87" t="str">
        <f>IF(ISBLANK(C56)," ",51-COUNTBLANK($C$6:C56))</f>
        <v xml:space="preserve"> </v>
      </c>
      <c r="B56" s="88"/>
      <c r="C56" s="88"/>
      <c r="D56" s="89"/>
      <c r="E56" s="89"/>
      <c r="F56" s="73"/>
      <c r="G56" s="73"/>
      <c r="H56" s="73"/>
      <c r="I56" s="73"/>
      <c r="J56" s="73"/>
      <c r="K56" s="73"/>
      <c r="L56" s="73"/>
      <c r="M56" s="74"/>
      <c r="N56" s="71" t="str">
        <f t="shared" si="0"/>
        <v/>
      </c>
      <c r="O56" s="72"/>
      <c r="P56" s="72"/>
      <c r="Q56" s="72"/>
      <c r="R56" s="72"/>
      <c r="S56" s="72"/>
      <c r="T56" s="72"/>
      <c r="U56" s="72"/>
      <c r="V56" s="72"/>
    </row>
    <row r="57" spans="1:22" ht="27.75" customHeight="1">
      <c r="A57" s="87" t="str">
        <f>IF(ISBLANK(C57)," ",52-COUNTBLANK($C$6:C57))</f>
        <v xml:space="preserve"> </v>
      </c>
      <c r="B57" s="88"/>
      <c r="C57" s="88"/>
      <c r="D57" s="89"/>
      <c r="E57" s="89"/>
      <c r="F57" s="73"/>
      <c r="G57" s="73"/>
      <c r="H57" s="73"/>
      <c r="I57" s="73"/>
      <c r="J57" s="73"/>
      <c r="K57" s="73"/>
      <c r="L57" s="73"/>
      <c r="M57" s="74"/>
      <c r="N57" s="71" t="str">
        <f t="shared" si="0"/>
        <v/>
      </c>
      <c r="O57" s="72"/>
      <c r="P57" s="72"/>
      <c r="Q57" s="72"/>
      <c r="R57" s="72"/>
      <c r="S57" s="72"/>
      <c r="T57" s="72"/>
      <c r="U57" s="72"/>
      <c r="V57" s="72"/>
    </row>
    <row r="58" spans="1:22" ht="27.75" customHeight="1">
      <c r="A58" s="87" t="str">
        <f>IF(ISBLANK(C58)," ",53-COUNTBLANK($C$6:C58))</f>
        <v xml:space="preserve"> </v>
      </c>
      <c r="B58" s="88"/>
      <c r="C58" s="88"/>
      <c r="D58" s="89"/>
      <c r="E58" s="89"/>
      <c r="F58" s="73"/>
      <c r="G58" s="73"/>
      <c r="H58" s="73"/>
      <c r="I58" s="73"/>
      <c r="J58" s="73"/>
      <c r="K58" s="73"/>
      <c r="L58" s="73"/>
      <c r="M58" s="74"/>
      <c r="N58" s="71" t="str">
        <f t="shared" si="0"/>
        <v/>
      </c>
      <c r="O58" s="72"/>
      <c r="P58" s="72"/>
      <c r="Q58" s="72"/>
      <c r="R58" s="72"/>
      <c r="S58" s="72"/>
      <c r="T58" s="72"/>
      <c r="U58" s="72"/>
      <c r="V58" s="72"/>
    </row>
    <row r="59" spans="1:22" ht="27.75" customHeight="1">
      <c r="A59" s="87" t="str">
        <f>IF(ISBLANK(C59)," ",54-COUNTBLANK($C$6:C59))</f>
        <v xml:space="preserve"> </v>
      </c>
      <c r="B59" s="88"/>
      <c r="C59" s="88"/>
      <c r="D59" s="89"/>
      <c r="E59" s="89"/>
      <c r="F59" s="73"/>
      <c r="G59" s="73"/>
      <c r="H59" s="73"/>
      <c r="I59" s="73"/>
      <c r="J59" s="73"/>
      <c r="K59" s="73"/>
      <c r="L59" s="73"/>
      <c r="M59" s="74"/>
      <c r="N59" s="71" t="str">
        <f t="shared" si="0"/>
        <v/>
      </c>
      <c r="O59" s="72"/>
      <c r="P59" s="72"/>
      <c r="Q59" s="72"/>
      <c r="R59" s="72"/>
      <c r="S59" s="72"/>
      <c r="T59" s="72"/>
      <c r="U59" s="72"/>
      <c r="V59" s="72"/>
    </row>
    <row r="60" spans="1:22" ht="27.75" customHeight="1">
      <c r="A60" s="87" t="str">
        <f>IF(ISBLANK(C60)," ",55-COUNTBLANK($C$6:C60))</f>
        <v xml:space="preserve"> </v>
      </c>
      <c r="B60" s="88"/>
      <c r="C60" s="88"/>
      <c r="D60" s="89"/>
      <c r="E60" s="89"/>
      <c r="F60" s="73"/>
      <c r="G60" s="73"/>
      <c r="H60" s="73"/>
      <c r="I60" s="73"/>
      <c r="J60" s="73"/>
      <c r="K60" s="73"/>
      <c r="L60" s="73"/>
      <c r="M60" s="74"/>
      <c r="N60" s="71" t="str">
        <f t="shared" si="0"/>
        <v/>
      </c>
      <c r="O60" s="72"/>
      <c r="P60" s="72"/>
      <c r="Q60" s="72"/>
      <c r="R60" s="72"/>
      <c r="S60" s="72"/>
      <c r="T60" s="72"/>
      <c r="U60" s="72"/>
      <c r="V60" s="72"/>
    </row>
    <row r="61" spans="1:22" ht="27.75" customHeight="1">
      <c r="A61" s="87" t="str">
        <f>IF(ISBLANK(C61)," ",56-COUNTBLANK($C$6:C61))</f>
        <v xml:space="preserve"> </v>
      </c>
      <c r="B61" s="88"/>
      <c r="C61" s="88"/>
      <c r="D61" s="89"/>
      <c r="E61" s="89"/>
      <c r="F61" s="73"/>
      <c r="G61" s="73"/>
      <c r="H61" s="73"/>
      <c r="I61" s="73"/>
      <c r="J61" s="73"/>
      <c r="K61" s="73"/>
      <c r="L61" s="73"/>
      <c r="M61" s="74"/>
      <c r="N61" s="71" t="str">
        <f t="shared" si="0"/>
        <v/>
      </c>
      <c r="O61" s="72"/>
      <c r="P61" s="72"/>
      <c r="Q61" s="72"/>
      <c r="R61" s="72"/>
      <c r="S61" s="72"/>
      <c r="T61" s="72"/>
      <c r="U61" s="72"/>
      <c r="V61" s="72"/>
    </row>
    <row r="62" spans="1:22" ht="27.75" customHeight="1">
      <c r="A62" s="87" t="str">
        <f>IF(ISBLANK(C62)," ",57-COUNTBLANK($C$6:C62))</f>
        <v xml:space="preserve"> </v>
      </c>
      <c r="B62" s="88"/>
      <c r="C62" s="88"/>
      <c r="D62" s="89"/>
      <c r="E62" s="89"/>
      <c r="F62" s="73"/>
      <c r="G62" s="73"/>
      <c r="H62" s="73"/>
      <c r="I62" s="73"/>
      <c r="J62" s="73"/>
      <c r="K62" s="73"/>
      <c r="L62" s="73"/>
      <c r="M62" s="74"/>
      <c r="N62" s="71" t="str">
        <f t="shared" si="0"/>
        <v/>
      </c>
      <c r="O62" s="72"/>
      <c r="P62" s="72"/>
      <c r="Q62" s="72"/>
      <c r="R62" s="72"/>
      <c r="S62" s="72"/>
      <c r="T62" s="72"/>
      <c r="U62" s="72"/>
      <c r="V62" s="72"/>
    </row>
    <row r="63" spans="1:22" ht="27.75" customHeight="1">
      <c r="A63" s="87" t="str">
        <f>IF(ISBLANK(C63)," ",58-COUNTBLANK($C$6:C63))</f>
        <v xml:space="preserve"> </v>
      </c>
      <c r="B63" s="88"/>
      <c r="C63" s="88"/>
      <c r="D63" s="89"/>
      <c r="E63" s="89"/>
      <c r="F63" s="73"/>
      <c r="G63" s="73"/>
      <c r="H63" s="73"/>
      <c r="I63" s="73"/>
      <c r="J63" s="73"/>
      <c r="K63" s="73"/>
      <c r="L63" s="73"/>
      <c r="M63" s="74"/>
      <c r="N63" s="71" t="str">
        <f t="shared" si="0"/>
        <v/>
      </c>
      <c r="O63" s="75"/>
      <c r="P63" s="72"/>
      <c r="Q63" s="72"/>
      <c r="R63" s="72"/>
      <c r="S63" s="72"/>
      <c r="T63" s="72"/>
      <c r="U63" s="72"/>
      <c r="V63" s="76"/>
    </row>
    <row r="64" spans="1:22" ht="27.75" customHeight="1">
      <c r="A64" s="87" t="str">
        <f>IF(ISBLANK(C64)," ",59-COUNTBLANK($C$6:C64))</f>
        <v xml:space="preserve"> </v>
      </c>
      <c r="B64" s="88"/>
      <c r="C64" s="88"/>
      <c r="D64" s="89"/>
      <c r="E64" s="89"/>
      <c r="F64" s="73"/>
      <c r="G64" s="73"/>
      <c r="H64" s="73"/>
      <c r="I64" s="73"/>
      <c r="J64" s="73"/>
      <c r="K64" s="73"/>
      <c r="L64" s="73"/>
      <c r="M64" s="74"/>
      <c r="N64" s="71" t="str">
        <f t="shared" si="0"/>
        <v/>
      </c>
      <c r="O64" s="75"/>
      <c r="P64" s="72"/>
      <c r="Q64" s="72"/>
      <c r="R64" s="72"/>
      <c r="S64" s="72"/>
      <c r="T64" s="72"/>
      <c r="U64" s="72"/>
      <c r="V64" s="76"/>
    </row>
    <row r="65" spans="1:25" ht="27.75" customHeight="1">
      <c r="A65" s="87" t="str">
        <f>IF(ISBLANK(C65)," ",60-COUNTBLANK($C$6:C65))</f>
        <v xml:space="preserve"> </v>
      </c>
      <c r="B65" s="88"/>
      <c r="C65" s="88"/>
      <c r="D65" s="89"/>
      <c r="E65" s="89"/>
      <c r="F65" s="73"/>
      <c r="G65" s="73"/>
      <c r="H65" s="73"/>
      <c r="I65" s="73"/>
      <c r="J65" s="73"/>
      <c r="K65" s="73"/>
      <c r="L65" s="73"/>
      <c r="M65" s="74"/>
      <c r="N65" s="71" t="str">
        <f t="shared" si="0"/>
        <v/>
      </c>
      <c r="O65" s="75"/>
      <c r="P65" s="72"/>
      <c r="Q65" s="72"/>
      <c r="R65" s="72"/>
      <c r="S65" s="72"/>
      <c r="T65" s="72"/>
      <c r="U65" s="72"/>
      <c r="V65" s="76"/>
    </row>
    <row r="66" spans="1:25" ht="27.75" customHeight="1">
      <c r="A66" s="87" t="str">
        <f>IF(ISBLANK(C66)," ",61-COUNTBLANK($C$6:C66))</f>
        <v xml:space="preserve"> </v>
      </c>
      <c r="B66" s="88"/>
      <c r="C66" s="88"/>
      <c r="D66" s="89"/>
      <c r="E66" s="89"/>
      <c r="F66" s="73"/>
      <c r="G66" s="73"/>
      <c r="H66" s="73"/>
      <c r="I66" s="73"/>
      <c r="J66" s="73"/>
      <c r="K66" s="73"/>
      <c r="L66" s="73"/>
      <c r="M66" s="74"/>
      <c r="N66" s="71" t="str">
        <f t="shared" si="0"/>
        <v/>
      </c>
      <c r="O66" s="75"/>
      <c r="P66" s="72"/>
      <c r="Q66" s="72"/>
      <c r="R66" s="72"/>
      <c r="S66" s="72"/>
      <c r="T66" s="72"/>
      <c r="U66" s="72"/>
      <c r="V66" s="76"/>
    </row>
    <row r="67" spans="1:25" ht="27.75" customHeight="1">
      <c r="A67" s="87" t="str">
        <f>IF(ISBLANK(C67)," ",62-COUNTBLANK($C$6:C67))</f>
        <v xml:space="preserve"> </v>
      </c>
      <c r="B67" s="88"/>
      <c r="C67" s="88"/>
      <c r="D67" s="89"/>
      <c r="E67" s="89"/>
      <c r="F67" s="73"/>
      <c r="G67" s="73"/>
      <c r="H67" s="73"/>
      <c r="I67" s="73"/>
      <c r="J67" s="73"/>
      <c r="K67" s="73"/>
      <c r="L67" s="73"/>
      <c r="M67" s="74"/>
      <c r="N67" s="71" t="str">
        <f t="shared" si="0"/>
        <v/>
      </c>
      <c r="O67" s="72"/>
      <c r="P67" s="72"/>
      <c r="Q67" s="72"/>
      <c r="R67" s="72"/>
      <c r="S67" s="72"/>
      <c r="T67" s="72"/>
      <c r="U67" s="72"/>
      <c r="V67" s="79"/>
      <c r="W67" s="72"/>
      <c r="X67" s="72"/>
      <c r="Y67" s="72"/>
    </row>
    <row r="68" spans="1:25" ht="27.75" customHeight="1">
      <c r="A68" s="80" t="s">
        <v>52</v>
      </c>
      <c r="B68" s="81"/>
      <c r="C68" s="96"/>
      <c r="D68" s="82"/>
      <c r="E68" s="82">
        <f>SUM(E48:E67)</f>
        <v>0</v>
      </c>
      <c r="F68" s="83"/>
      <c r="G68" s="83"/>
      <c r="H68" s="83"/>
      <c r="I68" s="83"/>
      <c r="J68" s="83"/>
      <c r="K68" s="83"/>
      <c r="L68" s="83"/>
      <c r="M68" s="84"/>
      <c r="N68" s="71" t="str">
        <f t="shared" si="0"/>
        <v/>
      </c>
      <c r="O68" s="75"/>
      <c r="P68" s="72"/>
      <c r="Q68" s="72"/>
      <c r="R68" s="72"/>
      <c r="S68" s="72"/>
      <c r="T68" s="72"/>
      <c r="U68" s="72"/>
      <c r="V68" s="79"/>
      <c r="W68" s="72"/>
      <c r="X68" s="72"/>
      <c r="Y68" s="72"/>
    </row>
    <row r="69" spans="1:25" ht="27.75" customHeight="1">
      <c r="A69" s="93" t="str">
        <f>IF(ISBLANK(C69)," ",64-COUNTBLANK($C$6:C69))</f>
        <v xml:space="preserve"> </v>
      </c>
      <c r="B69" s="94"/>
      <c r="C69" s="94"/>
      <c r="D69" s="95"/>
      <c r="E69" s="95"/>
      <c r="F69" s="85"/>
      <c r="G69" s="85"/>
      <c r="H69" s="85"/>
      <c r="I69" s="85"/>
      <c r="J69" s="85"/>
      <c r="K69" s="85"/>
      <c r="L69" s="85"/>
      <c r="M69" s="86"/>
      <c r="N69" s="71" t="str">
        <f t="shared" si="0"/>
        <v/>
      </c>
      <c r="O69" s="72"/>
      <c r="P69" s="72"/>
      <c r="Q69" s="72"/>
      <c r="R69" s="72"/>
      <c r="S69" s="72"/>
      <c r="T69" s="72"/>
      <c r="U69" s="72"/>
      <c r="V69" s="72"/>
    </row>
    <row r="70" spans="1:25" ht="27.75" customHeight="1">
      <c r="A70" s="87" t="str">
        <f>IF(ISBLANK(C70)," ",65-COUNTBLANK($C$6:C70))</f>
        <v xml:space="preserve"> </v>
      </c>
      <c r="B70" s="88"/>
      <c r="C70" s="88"/>
      <c r="D70" s="89"/>
      <c r="E70" s="89"/>
      <c r="F70" s="73"/>
      <c r="G70" s="73"/>
      <c r="H70" s="73"/>
      <c r="I70" s="73"/>
      <c r="J70" s="73"/>
      <c r="K70" s="73"/>
      <c r="L70" s="73"/>
      <c r="M70" s="74"/>
      <c r="N70" s="71" t="str">
        <f t="shared" ref="N70:N133" si="1">CONCATENATE(C70,H70)</f>
        <v/>
      </c>
      <c r="O70" s="72"/>
      <c r="P70" s="72"/>
      <c r="Q70" s="72"/>
      <c r="R70" s="72"/>
      <c r="S70" s="72"/>
      <c r="T70" s="72"/>
      <c r="U70" s="72"/>
      <c r="V70" s="72"/>
    </row>
    <row r="71" spans="1:25" ht="27.75" customHeight="1">
      <c r="A71" s="87" t="str">
        <f>IF(ISBLANK(C71)," ",66-COUNTBLANK($C$6:C71))</f>
        <v xml:space="preserve"> </v>
      </c>
      <c r="B71" s="88"/>
      <c r="C71" s="88"/>
      <c r="D71" s="89"/>
      <c r="E71" s="89"/>
      <c r="F71" s="73"/>
      <c r="G71" s="73"/>
      <c r="H71" s="73"/>
      <c r="I71" s="73"/>
      <c r="J71" s="73"/>
      <c r="K71" s="73"/>
      <c r="L71" s="73"/>
      <c r="M71" s="74"/>
      <c r="N71" s="71" t="str">
        <f t="shared" si="1"/>
        <v/>
      </c>
      <c r="O71" s="72"/>
      <c r="P71" s="72"/>
      <c r="Q71" s="72"/>
      <c r="R71" s="72"/>
      <c r="S71" s="72"/>
      <c r="T71" s="72"/>
      <c r="U71" s="72"/>
      <c r="V71" s="72"/>
    </row>
    <row r="72" spans="1:25" ht="27.75" customHeight="1">
      <c r="A72" s="87" t="str">
        <f>IF(ISBLANK(C72)," ",67-COUNTBLANK($C$6:C72))</f>
        <v xml:space="preserve"> </v>
      </c>
      <c r="B72" s="88"/>
      <c r="C72" s="88"/>
      <c r="D72" s="89"/>
      <c r="E72" s="89"/>
      <c r="F72" s="73"/>
      <c r="G72" s="73"/>
      <c r="H72" s="73"/>
      <c r="I72" s="73"/>
      <c r="J72" s="73"/>
      <c r="K72" s="73"/>
      <c r="L72" s="73"/>
      <c r="M72" s="74"/>
      <c r="N72" s="71" t="str">
        <f t="shared" si="1"/>
        <v/>
      </c>
      <c r="O72" s="72"/>
      <c r="P72" s="72"/>
      <c r="Q72" s="72"/>
      <c r="R72" s="72"/>
      <c r="S72" s="72"/>
      <c r="T72" s="72"/>
      <c r="U72" s="72"/>
      <c r="V72" s="72"/>
    </row>
    <row r="73" spans="1:25" ht="27.75" customHeight="1">
      <c r="A73" s="87" t="str">
        <f>IF(ISBLANK(C73)," ",68-COUNTBLANK($C$6:C73))</f>
        <v xml:space="preserve"> </v>
      </c>
      <c r="B73" s="88"/>
      <c r="C73" s="88"/>
      <c r="D73" s="89"/>
      <c r="E73" s="89"/>
      <c r="F73" s="73"/>
      <c r="G73" s="73"/>
      <c r="H73" s="73"/>
      <c r="I73" s="73"/>
      <c r="J73" s="73"/>
      <c r="K73" s="73"/>
      <c r="L73" s="73"/>
      <c r="M73" s="74"/>
      <c r="N73" s="71" t="str">
        <f t="shared" si="1"/>
        <v/>
      </c>
      <c r="O73" s="72"/>
      <c r="P73" s="72"/>
      <c r="Q73" s="72"/>
      <c r="R73" s="72"/>
      <c r="S73" s="72"/>
      <c r="T73" s="72"/>
      <c r="U73" s="72"/>
      <c r="V73" s="72"/>
    </row>
    <row r="74" spans="1:25" ht="27.75" customHeight="1">
      <c r="A74" s="87" t="str">
        <f>IF(ISBLANK(C74)," ",69-COUNTBLANK($C$6:C74))</f>
        <v xml:space="preserve"> </v>
      </c>
      <c r="B74" s="88"/>
      <c r="C74" s="88"/>
      <c r="D74" s="89"/>
      <c r="E74" s="89"/>
      <c r="F74" s="73"/>
      <c r="G74" s="73"/>
      <c r="H74" s="73"/>
      <c r="I74" s="73"/>
      <c r="J74" s="73"/>
      <c r="K74" s="73"/>
      <c r="L74" s="73"/>
      <c r="M74" s="74"/>
      <c r="N74" s="71" t="str">
        <f t="shared" si="1"/>
        <v/>
      </c>
      <c r="O74" s="72"/>
      <c r="P74" s="72"/>
      <c r="Q74" s="72"/>
      <c r="R74" s="72"/>
      <c r="S74" s="72"/>
      <c r="T74" s="72"/>
      <c r="U74" s="72"/>
      <c r="V74" s="72"/>
    </row>
    <row r="75" spans="1:25" ht="27.75" customHeight="1">
      <c r="A75" s="87" t="str">
        <f>IF(ISBLANK(C75)," ",70-COUNTBLANK($C$6:C75))</f>
        <v xml:space="preserve"> </v>
      </c>
      <c r="B75" s="88"/>
      <c r="C75" s="88"/>
      <c r="D75" s="89"/>
      <c r="E75" s="89"/>
      <c r="F75" s="73"/>
      <c r="G75" s="73"/>
      <c r="H75" s="73"/>
      <c r="I75" s="73"/>
      <c r="J75" s="73"/>
      <c r="K75" s="73"/>
      <c r="L75" s="73"/>
      <c r="M75" s="74"/>
      <c r="N75" s="71" t="str">
        <f t="shared" si="1"/>
        <v/>
      </c>
      <c r="O75" s="72"/>
      <c r="P75" s="72"/>
      <c r="Q75" s="72"/>
      <c r="R75" s="72"/>
      <c r="S75" s="72"/>
      <c r="T75" s="72"/>
      <c r="U75" s="72"/>
      <c r="V75" s="72"/>
    </row>
    <row r="76" spans="1:25" ht="27.75" customHeight="1">
      <c r="A76" s="87" t="str">
        <f>IF(ISBLANK(C76)," ",71-COUNTBLANK($C$6:C76))</f>
        <v xml:space="preserve"> </v>
      </c>
      <c r="B76" s="88"/>
      <c r="C76" s="88"/>
      <c r="D76" s="89"/>
      <c r="E76" s="89"/>
      <c r="F76" s="73"/>
      <c r="G76" s="73"/>
      <c r="H76" s="73"/>
      <c r="I76" s="73"/>
      <c r="J76" s="73"/>
      <c r="K76" s="73"/>
      <c r="L76" s="73"/>
      <c r="M76" s="74"/>
      <c r="N76" s="71" t="str">
        <f t="shared" si="1"/>
        <v/>
      </c>
      <c r="O76" s="72"/>
      <c r="P76" s="72"/>
      <c r="Q76" s="72"/>
      <c r="R76" s="72"/>
      <c r="S76" s="72"/>
      <c r="T76" s="72"/>
      <c r="U76" s="72"/>
      <c r="V76" s="72"/>
    </row>
    <row r="77" spans="1:25" ht="27.75" customHeight="1">
      <c r="A77" s="87" t="str">
        <f>IF(ISBLANK(C77)," ",72-COUNTBLANK($C$6:C77))</f>
        <v xml:space="preserve"> </v>
      </c>
      <c r="B77" s="88"/>
      <c r="C77" s="88"/>
      <c r="D77" s="89"/>
      <c r="E77" s="89"/>
      <c r="F77" s="73"/>
      <c r="G77" s="73"/>
      <c r="H77" s="73"/>
      <c r="I77" s="73"/>
      <c r="J77" s="73"/>
      <c r="K77" s="73"/>
      <c r="L77" s="73"/>
      <c r="M77" s="74"/>
      <c r="N77" s="71" t="str">
        <f t="shared" si="1"/>
        <v/>
      </c>
      <c r="O77" s="72"/>
      <c r="P77" s="72"/>
      <c r="Q77" s="72"/>
      <c r="R77" s="72"/>
      <c r="S77" s="72"/>
      <c r="T77" s="72"/>
      <c r="U77" s="72"/>
      <c r="V77" s="72"/>
    </row>
    <row r="78" spans="1:25" ht="27.75" customHeight="1">
      <c r="A78" s="87" t="str">
        <f>IF(ISBLANK(C78)," ",73-COUNTBLANK($C$6:C78))</f>
        <v xml:space="preserve"> </v>
      </c>
      <c r="B78" s="88"/>
      <c r="C78" s="88"/>
      <c r="D78" s="89"/>
      <c r="E78" s="89"/>
      <c r="F78" s="73"/>
      <c r="G78" s="73"/>
      <c r="H78" s="73"/>
      <c r="I78" s="73"/>
      <c r="J78" s="73"/>
      <c r="K78" s="73"/>
      <c r="L78" s="73"/>
      <c r="M78" s="74"/>
      <c r="N78" s="71" t="str">
        <f t="shared" si="1"/>
        <v/>
      </c>
      <c r="O78" s="72"/>
      <c r="P78" s="72"/>
      <c r="Q78" s="72"/>
      <c r="R78" s="72"/>
      <c r="S78" s="72"/>
      <c r="T78" s="72"/>
      <c r="U78" s="72"/>
      <c r="V78" s="72"/>
    </row>
    <row r="79" spans="1:25" ht="27.75" customHeight="1">
      <c r="A79" s="87" t="str">
        <f>IF(ISBLANK(C79)," ",74-COUNTBLANK($C$6:C79))</f>
        <v xml:space="preserve"> </v>
      </c>
      <c r="B79" s="88"/>
      <c r="C79" s="88"/>
      <c r="D79" s="89"/>
      <c r="E79" s="89"/>
      <c r="F79" s="73"/>
      <c r="G79" s="73"/>
      <c r="H79" s="73"/>
      <c r="I79" s="73"/>
      <c r="J79" s="73"/>
      <c r="K79" s="73"/>
      <c r="L79" s="73"/>
      <c r="M79" s="74"/>
      <c r="N79" s="71" t="str">
        <f t="shared" si="1"/>
        <v/>
      </c>
      <c r="O79" s="72"/>
      <c r="P79" s="72"/>
      <c r="Q79" s="72"/>
      <c r="R79" s="72"/>
      <c r="S79" s="72"/>
      <c r="T79" s="72"/>
      <c r="U79" s="72"/>
      <c r="V79" s="72"/>
    </row>
    <row r="80" spans="1:25" ht="27.75" customHeight="1">
      <c r="A80" s="87" t="str">
        <f>IF(ISBLANK(C80)," ",75-COUNTBLANK($C$6:C80))</f>
        <v xml:space="preserve"> </v>
      </c>
      <c r="B80" s="88"/>
      <c r="C80" s="88"/>
      <c r="D80" s="89"/>
      <c r="E80" s="89"/>
      <c r="F80" s="73"/>
      <c r="G80" s="73"/>
      <c r="H80" s="73"/>
      <c r="I80" s="73"/>
      <c r="J80" s="73"/>
      <c r="K80" s="73"/>
      <c r="L80" s="73"/>
      <c r="M80" s="74"/>
      <c r="N80" s="71" t="str">
        <f t="shared" si="1"/>
        <v/>
      </c>
      <c r="O80" s="72"/>
      <c r="P80" s="72"/>
      <c r="Q80" s="72"/>
      <c r="R80" s="72"/>
      <c r="S80" s="72"/>
      <c r="T80" s="72"/>
      <c r="U80" s="72"/>
      <c r="V80" s="72"/>
    </row>
    <row r="81" spans="1:25" ht="27.75" customHeight="1">
      <c r="A81" s="87" t="str">
        <f>IF(ISBLANK(C81)," ",76-COUNTBLANK($C$6:C81))</f>
        <v xml:space="preserve"> </v>
      </c>
      <c r="B81" s="88"/>
      <c r="C81" s="88"/>
      <c r="D81" s="89"/>
      <c r="E81" s="89"/>
      <c r="F81" s="73"/>
      <c r="G81" s="73"/>
      <c r="H81" s="73"/>
      <c r="I81" s="73"/>
      <c r="J81" s="73"/>
      <c r="K81" s="73"/>
      <c r="L81" s="73"/>
      <c r="M81" s="74"/>
      <c r="N81" s="71" t="str">
        <f t="shared" si="1"/>
        <v/>
      </c>
      <c r="O81" s="72"/>
      <c r="P81" s="72"/>
      <c r="Q81" s="72"/>
      <c r="R81" s="72"/>
      <c r="S81" s="72"/>
      <c r="T81" s="72"/>
      <c r="U81" s="72"/>
      <c r="V81" s="72"/>
    </row>
    <row r="82" spans="1:25" ht="27.75" customHeight="1">
      <c r="A82" s="87" t="str">
        <f>IF(ISBLANK(C82)," ",77-COUNTBLANK($C$6:C82))</f>
        <v xml:space="preserve"> </v>
      </c>
      <c r="B82" s="88"/>
      <c r="C82" s="88"/>
      <c r="D82" s="89"/>
      <c r="E82" s="89"/>
      <c r="F82" s="73"/>
      <c r="G82" s="73"/>
      <c r="H82" s="73"/>
      <c r="I82" s="73"/>
      <c r="J82" s="73"/>
      <c r="K82" s="73"/>
      <c r="L82" s="73"/>
      <c r="M82" s="74"/>
      <c r="N82" s="71" t="str">
        <f t="shared" si="1"/>
        <v/>
      </c>
      <c r="O82" s="72"/>
      <c r="P82" s="72"/>
      <c r="Q82" s="72"/>
      <c r="R82" s="72"/>
      <c r="S82" s="72"/>
      <c r="T82" s="72"/>
      <c r="U82" s="72"/>
      <c r="V82" s="72"/>
    </row>
    <row r="83" spans="1:25" ht="27.75" customHeight="1">
      <c r="A83" s="87" t="str">
        <f>IF(ISBLANK(C83)," ",78-COUNTBLANK($C$6:C83))</f>
        <v xml:space="preserve"> </v>
      </c>
      <c r="B83" s="88"/>
      <c r="C83" s="88"/>
      <c r="D83" s="89"/>
      <c r="E83" s="89"/>
      <c r="F83" s="73"/>
      <c r="G83" s="73"/>
      <c r="H83" s="73"/>
      <c r="I83" s="73"/>
      <c r="J83" s="73"/>
      <c r="K83" s="73"/>
      <c r="L83" s="73"/>
      <c r="M83" s="74"/>
      <c r="N83" s="71" t="str">
        <f t="shared" si="1"/>
        <v/>
      </c>
      <c r="O83" s="72"/>
      <c r="P83" s="72"/>
      <c r="Q83" s="72"/>
      <c r="R83" s="72"/>
      <c r="S83" s="72"/>
      <c r="T83" s="72"/>
      <c r="U83" s="72"/>
      <c r="V83" s="72"/>
    </row>
    <row r="84" spans="1:25" ht="27.75" customHeight="1">
      <c r="A84" s="87" t="str">
        <f>IF(ISBLANK(C84)," ",79-COUNTBLANK($C$6:C84))</f>
        <v xml:space="preserve"> </v>
      </c>
      <c r="B84" s="88"/>
      <c r="C84" s="88"/>
      <c r="D84" s="89"/>
      <c r="E84" s="89"/>
      <c r="F84" s="73"/>
      <c r="G84" s="73"/>
      <c r="H84" s="73"/>
      <c r="I84" s="73"/>
      <c r="J84" s="73"/>
      <c r="K84" s="73"/>
      <c r="L84" s="73"/>
      <c r="M84" s="74"/>
      <c r="N84" s="71" t="str">
        <f t="shared" si="1"/>
        <v/>
      </c>
      <c r="O84" s="75"/>
      <c r="P84" s="72"/>
      <c r="Q84" s="72"/>
      <c r="R84" s="72"/>
      <c r="S84" s="72"/>
      <c r="T84" s="72"/>
      <c r="U84" s="72"/>
      <c r="V84" s="76"/>
    </row>
    <row r="85" spans="1:25" ht="27.75" customHeight="1">
      <c r="A85" s="87" t="str">
        <f>IF(ISBLANK(C85)," ",80-COUNTBLANK($C$6:C85))</f>
        <v xml:space="preserve"> </v>
      </c>
      <c r="B85" s="88"/>
      <c r="C85" s="88"/>
      <c r="D85" s="89"/>
      <c r="E85" s="89"/>
      <c r="F85" s="73"/>
      <c r="G85" s="73"/>
      <c r="H85" s="73"/>
      <c r="I85" s="73"/>
      <c r="J85" s="73"/>
      <c r="K85" s="73"/>
      <c r="L85" s="73"/>
      <c r="M85" s="74"/>
      <c r="N85" s="71" t="str">
        <f t="shared" si="1"/>
        <v/>
      </c>
      <c r="O85" s="75"/>
      <c r="P85" s="72"/>
      <c r="Q85" s="72"/>
      <c r="R85" s="72"/>
      <c r="S85" s="72"/>
      <c r="T85" s="72"/>
      <c r="U85" s="72"/>
      <c r="V85" s="76"/>
    </row>
    <row r="86" spans="1:25" ht="27.75" customHeight="1">
      <c r="A86" s="87" t="str">
        <f>IF(ISBLANK(C86)," ",81-COUNTBLANK($C$6:C86))</f>
        <v xml:space="preserve"> </v>
      </c>
      <c r="B86" s="88"/>
      <c r="C86" s="88"/>
      <c r="D86" s="89"/>
      <c r="E86" s="89"/>
      <c r="F86" s="73"/>
      <c r="G86" s="73"/>
      <c r="H86" s="73"/>
      <c r="I86" s="73"/>
      <c r="J86" s="73"/>
      <c r="K86" s="73"/>
      <c r="L86" s="73"/>
      <c r="M86" s="74"/>
      <c r="N86" s="71" t="str">
        <f t="shared" si="1"/>
        <v/>
      </c>
      <c r="O86" s="75"/>
      <c r="P86" s="72"/>
      <c r="Q86" s="72"/>
      <c r="R86" s="72"/>
      <c r="S86" s="72"/>
      <c r="T86" s="72"/>
      <c r="U86" s="72"/>
      <c r="V86" s="76"/>
    </row>
    <row r="87" spans="1:25" ht="27.75" customHeight="1">
      <c r="A87" s="87" t="str">
        <f>IF(ISBLANK(C87)," ",82-COUNTBLANK($C$6:C87))</f>
        <v xml:space="preserve"> </v>
      </c>
      <c r="B87" s="88"/>
      <c r="C87" s="88"/>
      <c r="D87" s="89"/>
      <c r="E87" s="89"/>
      <c r="F87" s="73"/>
      <c r="G87" s="73"/>
      <c r="H87" s="73"/>
      <c r="I87" s="73"/>
      <c r="J87" s="73"/>
      <c r="K87" s="73"/>
      <c r="L87" s="73"/>
      <c r="M87" s="74"/>
      <c r="N87" s="71" t="str">
        <f t="shared" si="1"/>
        <v/>
      </c>
      <c r="O87" s="75"/>
      <c r="P87" s="72"/>
      <c r="Q87" s="72"/>
      <c r="R87" s="72"/>
      <c r="S87" s="72"/>
      <c r="T87" s="72"/>
      <c r="U87" s="72"/>
      <c r="V87" s="76"/>
    </row>
    <row r="88" spans="1:25" ht="27.75" customHeight="1">
      <c r="A88" s="87" t="str">
        <f>IF(ISBLANK(C88)," ",83-COUNTBLANK($C$6:C88))</f>
        <v xml:space="preserve"> </v>
      </c>
      <c r="B88" s="88"/>
      <c r="C88" s="88"/>
      <c r="D88" s="89"/>
      <c r="E88" s="89"/>
      <c r="F88" s="73"/>
      <c r="G88" s="73"/>
      <c r="H88" s="73"/>
      <c r="I88" s="73"/>
      <c r="J88" s="73"/>
      <c r="K88" s="73"/>
      <c r="L88" s="73"/>
      <c r="M88" s="74"/>
      <c r="N88" s="71" t="str">
        <f t="shared" si="1"/>
        <v/>
      </c>
      <c r="O88" s="72"/>
      <c r="P88" s="72"/>
      <c r="Q88" s="72"/>
      <c r="R88" s="72"/>
      <c r="S88" s="72"/>
      <c r="T88" s="72"/>
      <c r="U88" s="72"/>
      <c r="V88" s="79"/>
      <c r="W88" s="72"/>
      <c r="X88" s="72"/>
      <c r="Y88" s="72"/>
    </row>
    <row r="89" spans="1:25" ht="27.75" customHeight="1">
      <c r="A89" s="80" t="s">
        <v>52</v>
      </c>
      <c r="B89" s="81"/>
      <c r="C89" s="96"/>
      <c r="D89" s="82"/>
      <c r="E89" s="82">
        <f>SUM(E69:E88)</f>
        <v>0</v>
      </c>
      <c r="F89" s="83"/>
      <c r="G89" s="83"/>
      <c r="H89" s="83"/>
      <c r="I89" s="83"/>
      <c r="J89" s="83"/>
      <c r="K89" s="83"/>
      <c r="L89" s="83"/>
      <c r="M89" s="84"/>
      <c r="N89" s="71" t="str">
        <f t="shared" si="1"/>
        <v/>
      </c>
      <c r="O89" s="75"/>
      <c r="P89" s="72"/>
      <c r="Q89" s="72"/>
      <c r="R89" s="72"/>
      <c r="S89" s="72"/>
      <c r="T89" s="72"/>
      <c r="U89" s="72"/>
      <c r="V89" s="79"/>
      <c r="W89" s="72"/>
      <c r="X89" s="72"/>
      <c r="Y89" s="72"/>
    </row>
    <row r="90" spans="1:25" ht="27.75" customHeight="1">
      <c r="A90" s="93" t="str">
        <f>IF(ISBLANK(C90)," ",85-COUNTBLANK($C$6:C90))</f>
        <v xml:space="preserve"> </v>
      </c>
      <c r="B90" s="94"/>
      <c r="C90" s="94"/>
      <c r="D90" s="95"/>
      <c r="E90" s="95"/>
      <c r="F90" s="85"/>
      <c r="G90" s="85"/>
      <c r="H90" s="85"/>
      <c r="I90" s="85"/>
      <c r="J90" s="85"/>
      <c r="K90" s="85"/>
      <c r="L90" s="85"/>
      <c r="M90" s="86"/>
      <c r="N90" s="71" t="str">
        <f t="shared" si="1"/>
        <v/>
      </c>
      <c r="O90" s="72"/>
      <c r="P90" s="72"/>
      <c r="Q90" s="72"/>
      <c r="R90" s="72"/>
      <c r="S90" s="72"/>
      <c r="T90" s="72"/>
      <c r="U90" s="72"/>
      <c r="V90" s="72"/>
    </row>
    <row r="91" spans="1:25" ht="27.75" customHeight="1">
      <c r="A91" s="87" t="str">
        <f>IF(ISBLANK(C91)," ",86-COUNTBLANK($C$6:C91))</f>
        <v xml:space="preserve"> </v>
      </c>
      <c r="B91" s="88"/>
      <c r="C91" s="88"/>
      <c r="D91" s="89"/>
      <c r="E91" s="89"/>
      <c r="F91" s="73"/>
      <c r="G91" s="73"/>
      <c r="H91" s="73"/>
      <c r="I91" s="73"/>
      <c r="J91" s="73"/>
      <c r="K91" s="73"/>
      <c r="L91" s="73"/>
      <c r="M91" s="74"/>
      <c r="N91" s="71" t="str">
        <f t="shared" si="1"/>
        <v/>
      </c>
      <c r="O91" s="72"/>
      <c r="P91" s="72"/>
      <c r="Q91" s="72"/>
      <c r="R91" s="72"/>
      <c r="S91" s="72"/>
      <c r="T91" s="72"/>
      <c r="U91" s="72"/>
      <c r="V91" s="72"/>
    </row>
    <row r="92" spans="1:25" ht="27.75" customHeight="1">
      <c r="A92" s="87" t="str">
        <f>IF(ISBLANK(C92)," ",87-COUNTBLANK($C$6:C92))</f>
        <v xml:space="preserve"> </v>
      </c>
      <c r="B92" s="88"/>
      <c r="C92" s="88"/>
      <c r="D92" s="89"/>
      <c r="E92" s="89"/>
      <c r="F92" s="73"/>
      <c r="G92" s="73"/>
      <c r="H92" s="73"/>
      <c r="I92" s="73"/>
      <c r="J92" s="73"/>
      <c r="K92" s="73"/>
      <c r="L92" s="73"/>
      <c r="M92" s="74"/>
      <c r="N92" s="71" t="str">
        <f t="shared" si="1"/>
        <v/>
      </c>
      <c r="O92" s="72"/>
      <c r="P92" s="72"/>
      <c r="Q92" s="72"/>
      <c r="R92" s="72"/>
      <c r="S92" s="72"/>
      <c r="T92" s="72"/>
      <c r="U92" s="72"/>
      <c r="V92" s="72"/>
    </row>
    <row r="93" spans="1:25" ht="27.75" customHeight="1">
      <c r="A93" s="87" t="str">
        <f>IF(ISBLANK(C93)," ",88-COUNTBLANK($C$6:C93))</f>
        <v xml:space="preserve"> </v>
      </c>
      <c r="B93" s="88"/>
      <c r="C93" s="88"/>
      <c r="D93" s="89"/>
      <c r="E93" s="89"/>
      <c r="F93" s="73"/>
      <c r="G93" s="73"/>
      <c r="H93" s="73"/>
      <c r="I93" s="73"/>
      <c r="J93" s="73"/>
      <c r="K93" s="73"/>
      <c r="L93" s="73"/>
      <c r="M93" s="74"/>
      <c r="N93" s="71" t="str">
        <f t="shared" si="1"/>
        <v/>
      </c>
      <c r="O93" s="72"/>
      <c r="P93" s="72"/>
      <c r="Q93" s="72"/>
      <c r="R93" s="72"/>
      <c r="S93" s="72"/>
      <c r="T93" s="72"/>
      <c r="U93" s="72"/>
      <c r="V93" s="72"/>
    </row>
    <row r="94" spans="1:25" ht="27.75" customHeight="1">
      <c r="A94" s="87" t="str">
        <f>IF(ISBLANK(C94)," ",89-COUNTBLANK($C$6:C94))</f>
        <v xml:space="preserve"> </v>
      </c>
      <c r="B94" s="88"/>
      <c r="C94" s="88"/>
      <c r="D94" s="89"/>
      <c r="E94" s="89"/>
      <c r="F94" s="73"/>
      <c r="G94" s="73"/>
      <c r="H94" s="73"/>
      <c r="I94" s="73"/>
      <c r="J94" s="73"/>
      <c r="K94" s="73"/>
      <c r="L94" s="73"/>
      <c r="M94" s="74"/>
      <c r="N94" s="71" t="str">
        <f t="shared" si="1"/>
        <v/>
      </c>
      <c r="O94" s="72"/>
      <c r="P94" s="72"/>
      <c r="Q94" s="72"/>
      <c r="R94" s="72"/>
      <c r="S94" s="72"/>
      <c r="T94" s="72"/>
      <c r="U94" s="72"/>
      <c r="V94" s="72"/>
    </row>
    <row r="95" spans="1:25" ht="27.75" customHeight="1">
      <c r="A95" s="87" t="str">
        <f>IF(ISBLANK(C95)," ",90-COUNTBLANK($C$6:C95))</f>
        <v xml:space="preserve"> </v>
      </c>
      <c r="B95" s="88"/>
      <c r="C95" s="88"/>
      <c r="D95" s="89"/>
      <c r="E95" s="89"/>
      <c r="F95" s="73"/>
      <c r="G95" s="73"/>
      <c r="H95" s="73"/>
      <c r="I95" s="73"/>
      <c r="J95" s="73"/>
      <c r="K95" s="73"/>
      <c r="L95" s="73"/>
      <c r="M95" s="74"/>
      <c r="N95" s="71" t="str">
        <f t="shared" si="1"/>
        <v/>
      </c>
      <c r="O95" s="72"/>
      <c r="P95" s="72"/>
      <c r="Q95" s="72"/>
      <c r="R95" s="72"/>
      <c r="S95" s="72"/>
      <c r="T95" s="72"/>
      <c r="U95" s="72"/>
      <c r="V95" s="72"/>
    </row>
    <row r="96" spans="1:25" ht="27.75" customHeight="1">
      <c r="A96" s="87" t="str">
        <f>IF(ISBLANK(C96)," ",91-COUNTBLANK($C$6:C96))</f>
        <v xml:space="preserve"> </v>
      </c>
      <c r="B96" s="88"/>
      <c r="C96" s="88"/>
      <c r="D96" s="89"/>
      <c r="E96" s="89"/>
      <c r="F96" s="73"/>
      <c r="G96" s="73"/>
      <c r="H96" s="73"/>
      <c r="I96" s="73"/>
      <c r="J96" s="73"/>
      <c r="K96" s="73"/>
      <c r="L96" s="73"/>
      <c r="M96" s="74"/>
      <c r="N96" s="71" t="str">
        <f t="shared" si="1"/>
        <v/>
      </c>
      <c r="O96" s="72"/>
      <c r="P96" s="72"/>
      <c r="Q96" s="72"/>
      <c r="R96" s="72"/>
      <c r="S96" s="72"/>
      <c r="T96" s="72"/>
      <c r="U96" s="72"/>
      <c r="V96" s="72"/>
    </row>
    <row r="97" spans="1:25" ht="27.75" customHeight="1">
      <c r="A97" s="87" t="str">
        <f>IF(ISBLANK(C97)," ",92-COUNTBLANK($C$6:C97))</f>
        <v xml:space="preserve"> </v>
      </c>
      <c r="B97" s="88"/>
      <c r="C97" s="88"/>
      <c r="D97" s="89"/>
      <c r="E97" s="89"/>
      <c r="F97" s="73"/>
      <c r="G97" s="73"/>
      <c r="H97" s="73"/>
      <c r="I97" s="73"/>
      <c r="J97" s="73"/>
      <c r="K97" s="73"/>
      <c r="L97" s="73"/>
      <c r="M97" s="74"/>
      <c r="N97" s="71" t="str">
        <f t="shared" si="1"/>
        <v/>
      </c>
      <c r="O97" s="72"/>
      <c r="P97" s="72"/>
      <c r="Q97" s="72"/>
      <c r="R97" s="72"/>
      <c r="S97" s="72"/>
      <c r="T97" s="72"/>
      <c r="U97" s="72"/>
      <c r="V97" s="72"/>
    </row>
    <row r="98" spans="1:25" ht="27.75" customHeight="1">
      <c r="A98" s="87" t="str">
        <f>IF(ISBLANK(C98)," ",93-COUNTBLANK($C$6:C98))</f>
        <v xml:space="preserve"> </v>
      </c>
      <c r="B98" s="88"/>
      <c r="C98" s="88"/>
      <c r="D98" s="89"/>
      <c r="E98" s="89"/>
      <c r="F98" s="73"/>
      <c r="G98" s="73"/>
      <c r="H98" s="73"/>
      <c r="I98" s="73"/>
      <c r="J98" s="73"/>
      <c r="K98" s="73"/>
      <c r="L98" s="73"/>
      <c r="M98" s="74"/>
      <c r="N98" s="71" t="str">
        <f t="shared" si="1"/>
        <v/>
      </c>
      <c r="O98" s="72"/>
      <c r="P98" s="72"/>
      <c r="Q98" s="72"/>
      <c r="R98" s="72"/>
      <c r="S98" s="72"/>
      <c r="T98" s="72"/>
      <c r="U98" s="72"/>
      <c r="V98" s="72"/>
    </row>
    <row r="99" spans="1:25" ht="27.75" customHeight="1">
      <c r="A99" s="87" t="str">
        <f>IF(ISBLANK(C99)," ",94-COUNTBLANK($C$6:C99))</f>
        <v xml:space="preserve"> </v>
      </c>
      <c r="B99" s="88"/>
      <c r="C99" s="88"/>
      <c r="D99" s="89"/>
      <c r="E99" s="89"/>
      <c r="F99" s="73"/>
      <c r="G99" s="73"/>
      <c r="H99" s="73"/>
      <c r="I99" s="73"/>
      <c r="J99" s="73"/>
      <c r="K99" s="73"/>
      <c r="L99" s="73"/>
      <c r="M99" s="74"/>
      <c r="N99" s="71" t="str">
        <f t="shared" si="1"/>
        <v/>
      </c>
      <c r="O99" s="72"/>
      <c r="P99" s="72"/>
      <c r="Q99" s="72"/>
      <c r="R99" s="72"/>
      <c r="S99" s="72"/>
      <c r="T99" s="72"/>
      <c r="U99" s="72"/>
      <c r="V99" s="72"/>
    </row>
    <row r="100" spans="1:25" ht="27.75" customHeight="1">
      <c r="A100" s="87" t="str">
        <f>IF(ISBLANK(C100)," ",95-COUNTBLANK($C$6:C100))</f>
        <v xml:space="preserve"> </v>
      </c>
      <c r="B100" s="88"/>
      <c r="C100" s="88"/>
      <c r="D100" s="89"/>
      <c r="E100" s="89"/>
      <c r="F100" s="73"/>
      <c r="G100" s="73"/>
      <c r="H100" s="73"/>
      <c r="I100" s="73"/>
      <c r="J100" s="73"/>
      <c r="K100" s="73"/>
      <c r="L100" s="73"/>
      <c r="M100" s="74"/>
      <c r="N100" s="71" t="str">
        <f t="shared" si="1"/>
        <v/>
      </c>
      <c r="O100" s="72"/>
      <c r="P100" s="72"/>
      <c r="Q100" s="72"/>
      <c r="R100" s="72"/>
      <c r="S100" s="72"/>
      <c r="T100" s="72"/>
      <c r="U100" s="72"/>
      <c r="V100" s="72"/>
    </row>
    <row r="101" spans="1:25" ht="27.75" customHeight="1">
      <c r="A101" s="87" t="str">
        <f>IF(ISBLANK(C101)," ",96-COUNTBLANK($C$6:C101))</f>
        <v xml:space="preserve"> </v>
      </c>
      <c r="B101" s="88"/>
      <c r="C101" s="88"/>
      <c r="D101" s="89"/>
      <c r="E101" s="89"/>
      <c r="F101" s="73"/>
      <c r="G101" s="73"/>
      <c r="H101" s="73"/>
      <c r="I101" s="73"/>
      <c r="J101" s="73"/>
      <c r="K101" s="73"/>
      <c r="L101" s="73"/>
      <c r="M101" s="74"/>
      <c r="N101" s="71" t="str">
        <f t="shared" si="1"/>
        <v/>
      </c>
      <c r="O101" s="72"/>
      <c r="P101" s="72"/>
      <c r="Q101" s="72"/>
      <c r="R101" s="72"/>
      <c r="S101" s="72"/>
      <c r="T101" s="72"/>
      <c r="U101" s="72"/>
      <c r="V101" s="72"/>
    </row>
    <row r="102" spans="1:25" ht="27.75" customHeight="1">
      <c r="A102" s="87" t="str">
        <f>IF(ISBLANK(C102)," ",97-COUNTBLANK($C$6:C102))</f>
        <v xml:space="preserve"> </v>
      </c>
      <c r="B102" s="88"/>
      <c r="C102" s="88"/>
      <c r="D102" s="89"/>
      <c r="E102" s="89"/>
      <c r="F102" s="73"/>
      <c r="G102" s="73"/>
      <c r="H102" s="73"/>
      <c r="I102" s="73"/>
      <c r="J102" s="73"/>
      <c r="K102" s="73"/>
      <c r="L102" s="73"/>
      <c r="M102" s="74"/>
      <c r="N102" s="71" t="str">
        <f t="shared" si="1"/>
        <v/>
      </c>
      <c r="O102" s="72"/>
      <c r="P102" s="72"/>
      <c r="Q102" s="72"/>
      <c r="R102" s="72"/>
      <c r="S102" s="72"/>
      <c r="T102" s="72"/>
      <c r="U102" s="72"/>
      <c r="V102" s="72"/>
    </row>
    <row r="103" spans="1:25" ht="27.75" customHeight="1">
      <c r="A103" s="87" t="str">
        <f>IF(ISBLANK(C103)," ",98-COUNTBLANK($C$6:C103))</f>
        <v xml:space="preserve"> </v>
      </c>
      <c r="B103" s="88"/>
      <c r="C103" s="88"/>
      <c r="D103" s="89"/>
      <c r="E103" s="89"/>
      <c r="F103" s="73"/>
      <c r="G103" s="73"/>
      <c r="H103" s="73"/>
      <c r="I103" s="73"/>
      <c r="J103" s="73"/>
      <c r="K103" s="73"/>
      <c r="L103" s="73"/>
      <c r="M103" s="74"/>
      <c r="N103" s="71" t="str">
        <f t="shared" si="1"/>
        <v/>
      </c>
      <c r="O103" s="72"/>
      <c r="P103" s="72"/>
      <c r="Q103" s="72"/>
      <c r="R103" s="72"/>
      <c r="S103" s="72"/>
      <c r="T103" s="72"/>
      <c r="U103" s="72"/>
      <c r="V103" s="72"/>
    </row>
    <row r="104" spans="1:25" ht="27.75" customHeight="1">
      <c r="A104" s="87" t="str">
        <f>IF(ISBLANK(C104)," ",99-COUNTBLANK($C$6:C104))</f>
        <v xml:space="preserve"> </v>
      </c>
      <c r="B104" s="88"/>
      <c r="C104" s="88"/>
      <c r="D104" s="89"/>
      <c r="E104" s="89"/>
      <c r="F104" s="73"/>
      <c r="G104" s="73"/>
      <c r="H104" s="73"/>
      <c r="I104" s="73"/>
      <c r="J104" s="73"/>
      <c r="K104" s="73"/>
      <c r="L104" s="73"/>
      <c r="M104" s="74"/>
      <c r="N104" s="71" t="str">
        <f t="shared" si="1"/>
        <v/>
      </c>
      <c r="O104" s="72"/>
      <c r="P104" s="72"/>
      <c r="Q104" s="72"/>
      <c r="R104" s="72"/>
      <c r="S104" s="72"/>
      <c r="T104" s="72"/>
      <c r="U104" s="72"/>
      <c r="V104" s="72"/>
    </row>
    <row r="105" spans="1:25" ht="27.75" customHeight="1">
      <c r="A105" s="87" t="str">
        <f>IF(ISBLANK(C105)," ",100-COUNTBLANK($C$6:C105))</f>
        <v xml:space="preserve"> </v>
      </c>
      <c r="B105" s="88"/>
      <c r="C105" s="88"/>
      <c r="D105" s="89"/>
      <c r="E105" s="89"/>
      <c r="F105" s="73"/>
      <c r="G105" s="73"/>
      <c r="H105" s="73"/>
      <c r="I105" s="73"/>
      <c r="J105" s="73"/>
      <c r="K105" s="73"/>
      <c r="L105" s="73"/>
      <c r="M105" s="74"/>
      <c r="N105" s="71" t="str">
        <f t="shared" si="1"/>
        <v/>
      </c>
      <c r="O105" s="75"/>
      <c r="P105" s="72"/>
      <c r="Q105" s="72"/>
      <c r="R105" s="72"/>
      <c r="S105" s="72"/>
      <c r="T105" s="72"/>
      <c r="U105" s="72"/>
      <c r="V105" s="76"/>
    </row>
    <row r="106" spans="1:25" ht="27.75" customHeight="1">
      <c r="A106" s="87" t="str">
        <f>IF(ISBLANK(C106)," ",101-COUNTBLANK($C$6:C106))</f>
        <v xml:space="preserve"> </v>
      </c>
      <c r="B106" s="88"/>
      <c r="C106" s="88"/>
      <c r="D106" s="89"/>
      <c r="E106" s="89"/>
      <c r="F106" s="73"/>
      <c r="G106" s="73"/>
      <c r="H106" s="73"/>
      <c r="I106" s="73"/>
      <c r="J106" s="73"/>
      <c r="K106" s="73"/>
      <c r="L106" s="73"/>
      <c r="M106" s="74"/>
      <c r="N106" s="71" t="str">
        <f t="shared" si="1"/>
        <v/>
      </c>
      <c r="O106" s="75"/>
      <c r="P106" s="72"/>
      <c r="Q106" s="72"/>
      <c r="R106" s="72"/>
      <c r="S106" s="72"/>
      <c r="T106" s="72"/>
      <c r="U106" s="72"/>
      <c r="V106" s="76"/>
    </row>
    <row r="107" spans="1:25" ht="27.75" customHeight="1">
      <c r="A107" s="87" t="str">
        <f>IF(ISBLANK(C107)," ",102-COUNTBLANK($C$6:C107))</f>
        <v xml:space="preserve"> </v>
      </c>
      <c r="B107" s="88"/>
      <c r="C107" s="88"/>
      <c r="D107" s="89"/>
      <c r="E107" s="89"/>
      <c r="F107" s="73"/>
      <c r="G107" s="73"/>
      <c r="H107" s="73"/>
      <c r="I107" s="73"/>
      <c r="J107" s="73"/>
      <c r="K107" s="73"/>
      <c r="L107" s="73"/>
      <c r="M107" s="74"/>
      <c r="N107" s="71" t="str">
        <f t="shared" si="1"/>
        <v/>
      </c>
      <c r="O107" s="75"/>
      <c r="P107" s="72"/>
      <c r="Q107" s="72"/>
      <c r="R107" s="72"/>
      <c r="S107" s="72"/>
      <c r="T107" s="72"/>
      <c r="U107" s="72"/>
      <c r="V107" s="76"/>
    </row>
    <row r="108" spans="1:25" ht="27.75" customHeight="1">
      <c r="A108" s="87" t="str">
        <f>IF(ISBLANK(C108)," ",103-COUNTBLANK($C$6:C108))</f>
        <v xml:space="preserve"> </v>
      </c>
      <c r="B108" s="88"/>
      <c r="C108" s="88"/>
      <c r="D108" s="89"/>
      <c r="E108" s="89"/>
      <c r="F108" s="73"/>
      <c r="G108" s="73"/>
      <c r="H108" s="73"/>
      <c r="I108" s="73"/>
      <c r="J108" s="73"/>
      <c r="K108" s="73"/>
      <c r="L108" s="73"/>
      <c r="M108" s="74"/>
      <c r="N108" s="71" t="str">
        <f t="shared" si="1"/>
        <v/>
      </c>
      <c r="O108" s="75"/>
      <c r="P108" s="72"/>
      <c r="Q108" s="72"/>
      <c r="R108" s="72"/>
      <c r="S108" s="72"/>
      <c r="T108" s="72"/>
      <c r="U108" s="72"/>
      <c r="V108" s="76"/>
    </row>
    <row r="109" spans="1:25" ht="27.75" customHeight="1">
      <c r="A109" s="87" t="str">
        <f>IF(ISBLANK(C109)," ",104-COUNTBLANK($C$6:C109))</f>
        <v xml:space="preserve"> </v>
      </c>
      <c r="B109" s="88"/>
      <c r="C109" s="88"/>
      <c r="D109" s="89"/>
      <c r="E109" s="89"/>
      <c r="F109" s="73"/>
      <c r="G109" s="73"/>
      <c r="H109" s="73"/>
      <c r="I109" s="73"/>
      <c r="J109" s="73"/>
      <c r="K109" s="73"/>
      <c r="L109" s="73"/>
      <c r="M109" s="74"/>
      <c r="N109" s="71" t="str">
        <f t="shared" si="1"/>
        <v/>
      </c>
      <c r="O109" s="72"/>
      <c r="P109" s="72"/>
      <c r="Q109" s="72"/>
      <c r="R109" s="72"/>
      <c r="S109" s="72"/>
      <c r="T109" s="72"/>
      <c r="U109" s="72"/>
      <c r="V109" s="79"/>
      <c r="W109" s="72"/>
      <c r="X109" s="72"/>
      <c r="Y109" s="72"/>
    </row>
    <row r="110" spans="1:25" ht="27.75" customHeight="1">
      <c r="A110" s="80" t="s">
        <v>52</v>
      </c>
      <c r="B110" s="81"/>
      <c r="C110" s="96"/>
      <c r="D110" s="82"/>
      <c r="E110" s="82">
        <f>SUM(E90:E109)</f>
        <v>0</v>
      </c>
      <c r="F110" s="83"/>
      <c r="G110" s="83"/>
      <c r="H110" s="83"/>
      <c r="I110" s="83"/>
      <c r="J110" s="83"/>
      <c r="K110" s="83"/>
      <c r="L110" s="83"/>
      <c r="M110" s="84"/>
      <c r="N110" s="71" t="str">
        <f t="shared" si="1"/>
        <v/>
      </c>
      <c r="O110" s="75"/>
      <c r="P110" s="72"/>
      <c r="Q110" s="72"/>
      <c r="R110" s="72"/>
      <c r="S110" s="72"/>
      <c r="T110" s="72"/>
      <c r="U110" s="72"/>
      <c r="V110" s="79"/>
      <c r="W110" s="72"/>
      <c r="X110" s="72"/>
      <c r="Y110" s="72"/>
    </row>
    <row r="111" spans="1:25" ht="27.75" customHeight="1">
      <c r="A111" s="93" t="str">
        <f>IF(ISBLANK(C111)," ",106-COUNTBLANK($C$6:C111))</f>
        <v xml:space="preserve"> </v>
      </c>
      <c r="B111" s="94"/>
      <c r="C111" s="94"/>
      <c r="D111" s="95"/>
      <c r="E111" s="95"/>
      <c r="F111" s="85"/>
      <c r="G111" s="85"/>
      <c r="H111" s="85"/>
      <c r="I111" s="85"/>
      <c r="J111" s="85"/>
      <c r="K111" s="85"/>
      <c r="L111" s="85"/>
      <c r="M111" s="86"/>
      <c r="N111" s="71" t="str">
        <f t="shared" si="1"/>
        <v/>
      </c>
      <c r="O111" s="72"/>
      <c r="P111" s="72"/>
      <c r="Q111" s="72"/>
      <c r="R111" s="72"/>
      <c r="S111" s="72"/>
      <c r="T111" s="72"/>
      <c r="U111" s="72"/>
      <c r="V111" s="72"/>
    </row>
    <row r="112" spans="1:25" ht="27.75" customHeight="1">
      <c r="A112" s="87" t="str">
        <f>IF(ISBLANK(C112)," ",107-COUNTBLANK($C$6:C112))</f>
        <v xml:space="preserve"> </v>
      </c>
      <c r="B112" s="88"/>
      <c r="C112" s="88"/>
      <c r="D112" s="89"/>
      <c r="E112" s="89"/>
      <c r="F112" s="73"/>
      <c r="G112" s="73"/>
      <c r="H112" s="73"/>
      <c r="I112" s="73"/>
      <c r="J112" s="73"/>
      <c r="K112" s="73"/>
      <c r="L112" s="73"/>
      <c r="M112" s="74"/>
      <c r="N112" s="71" t="str">
        <f t="shared" si="1"/>
        <v/>
      </c>
      <c r="O112" s="72"/>
      <c r="P112" s="72"/>
      <c r="Q112" s="72"/>
      <c r="R112" s="72"/>
      <c r="S112" s="72"/>
      <c r="T112" s="72"/>
      <c r="U112" s="72"/>
      <c r="V112" s="72"/>
    </row>
    <row r="113" spans="1:22" ht="27.75" customHeight="1">
      <c r="A113" s="87" t="str">
        <f>IF(ISBLANK(C113)," ",108-COUNTBLANK($C$6:C113))</f>
        <v xml:space="preserve"> </v>
      </c>
      <c r="B113" s="88"/>
      <c r="C113" s="88"/>
      <c r="D113" s="89"/>
      <c r="E113" s="89"/>
      <c r="F113" s="73"/>
      <c r="G113" s="73"/>
      <c r="H113" s="73"/>
      <c r="I113" s="73"/>
      <c r="J113" s="73"/>
      <c r="K113" s="73"/>
      <c r="L113" s="73"/>
      <c r="M113" s="74"/>
      <c r="N113" s="71" t="str">
        <f t="shared" si="1"/>
        <v/>
      </c>
      <c r="O113" s="72"/>
      <c r="P113" s="72"/>
      <c r="Q113" s="72"/>
      <c r="R113" s="72"/>
      <c r="S113" s="72"/>
      <c r="T113" s="72"/>
      <c r="U113" s="72"/>
      <c r="V113" s="72"/>
    </row>
    <row r="114" spans="1:22" ht="27.75" customHeight="1">
      <c r="A114" s="87" t="str">
        <f>IF(ISBLANK(C114)," ",109-COUNTBLANK($C$6:C114))</f>
        <v xml:space="preserve"> </v>
      </c>
      <c r="B114" s="88"/>
      <c r="C114" s="88"/>
      <c r="D114" s="89"/>
      <c r="E114" s="89"/>
      <c r="F114" s="73"/>
      <c r="G114" s="73"/>
      <c r="H114" s="73"/>
      <c r="I114" s="73"/>
      <c r="J114" s="73"/>
      <c r="K114" s="73"/>
      <c r="L114" s="73"/>
      <c r="M114" s="74"/>
      <c r="N114" s="71" t="str">
        <f t="shared" si="1"/>
        <v/>
      </c>
      <c r="O114" s="72"/>
      <c r="P114" s="72"/>
      <c r="Q114" s="72"/>
      <c r="R114" s="72"/>
      <c r="S114" s="72"/>
      <c r="T114" s="72"/>
      <c r="U114" s="72"/>
      <c r="V114" s="72"/>
    </row>
    <row r="115" spans="1:22" ht="27.75" customHeight="1">
      <c r="A115" s="87" t="str">
        <f>IF(ISBLANK(C115)," ",110-COUNTBLANK($C$6:C115))</f>
        <v xml:space="preserve"> </v>
      </c>
      <c r="B115" s="88"/>
      <c r="C115" s="88"/>
      <c r="D115" s="89"/>
      <c r="E115" s="89"/>
      <c r="F115" s="73"/>
      <c r="G115" s="73"/>
      <c r="H115" s="73"/>
      <c r="I115" s="73"/>
      <c r="J115" s="73"/>
      <c r="K115" s="73"/>
      <c r="L115" s="73"/>
      <c r="M115" s="74"/>
      <c r="N115" s="71" t="str">
        <f t="shared" si="1"/>
        <v/>
      </c>
      <c r="O115" s="72"/>
      <c r="P115" s="72"/>
      <c r="Q115" s="72"/>
      <c r="R115" s="72"/>
      <c r="S115" s="72"/>
      <c r="T115" s="72"/>
      <c r="U115" s="72"/>
      <c r="V115" s="72"/>
    </row>
    <row r="116" spans="1:22" ht="27.75" customHeight="1">
      <c r="A116" s="87" t="str">
        <f>IF(ISBLANK(C116)," ",111-COUNTBLANK($C$6:C116))</f>
        <v xml:space="preserve"> </v>
      </c>
      <c r="B116" s="88"/>
      <c r="C116" s="88"/>
      <c r="D116" s="89"/>
      <c r="E116" s="89"/>
      <c r="F116" s="73"/>
      <c r="G116" s="73"/>
      <c r="H116" s="73"/>
      <c r="I116" s="73"/>
      <c r="J116" s="73"/>
      <c r="K116" s="73"/>
      <c r="L116" s="73"/>
      <c r="M116" s="74"/>
      <c r="N116" s="71" t="str">
        <f t="shared" si="1"/>
        <v/>
      </c>
      <c r="O116" s="72"/>
      <c r="P116" s="72"/>
      <c r="Q116" s="72"/>
      <c r="R116" s="72"/>
      <c r="S116" s="72"/>
      <c r="T116" s="72"/>
      <c r="U116" s="72"/>
      <c r="V116" s="72"/>
    </row>
    <row r="117" spans="1:22" ht="27.75" customHeight="1">
      <c r="A117" s="87" t="str">
        <f>IF(ISBLANK(C117)," ",112-COUNTBLANK($C$6:C117))</f>
        <v xml:space="preserve"> </v>
      </c>
      <c r="B117" s="88"/>
      <c r="C117" s="88"/>
      <c r="D117" s="89"/>
      <c r="E117" s="89"/>
      <c r="F117" s="73"/>
      <c r="G117" s="73"/>
      <c r="H117" s="73"/>
      <c r="I117" s="73"/>
      <c r="J117" s="73"/>
      <c r="K117" s="73"/>
      <c r="L117" s="73"/>
      <c r="M117" s="74"/>
      <c r="N117" s="71" t="str">
        <f t="shared" si="1"/>
        <v/>
      </c>
      <c r="O117" s="72"/>
      <c r="P117" s="72"/>
      <c r="Q117" s="72"/>
      <c r="R117" s="72"/>
      <c r="S117" s="72"/>
      <c r="T117" s="72"/>
      <c r="U117" s="72"/>
      <c r="V117" s="72"/>
    </row>
    <row r="118" spans="1:22" ht="27.75" customHeight="1">
      <c r="A118" s="87" t="str">
        <f>IF(ISBLANK(C118)," ",113-COUNTBLANK($C$6:C118))</f>
        <v xml:space="preserve"> </v>
      </c>
      <c r="B118" s="88"/>
      <c r="C118" s="88"/>
      <c r="D118" s="89"/>
      <c r="E118" s="89"/>
      <c r="F118" s="73"/>
      <c r="G118" s="73"/>
      <c r="H118" s="73"/>
      <c r="I118" s="73"/>
      <c r="J118" s="73"/>
      <c r="K118" s="73"/>
      <c r="L118" s="73"/>
      <c r="M118" s="74"/>
      <c r="N118" s="71" t="str">
        <f t="shared" si="1"/>
        <v/>
      </c>
      <c r="O118" s="72"/>
      <c r="P118" s="72"/>
      <c r="Q118" s="72"/>
      <c r="R118" s="72"/>
      <c r="S118" s="72"/>
      <c r="T118" s="72"/>
      <c r="U118" s="72"/>
      <c r="V118" s="72"/>
    </row>
    <row r="119" spans="1:22" ht="27.75" customHeight="1">
      <c r="A119" s="87" t="str">
        <f>IF(ISBLANK(C119)," ",114-COUNTBLANK($C$6:C119))</f>
        <v xml:space="preserve"> </v>
      </c>
      <c r="B119" s="88"/>
      <c r="C119" s="88"/>
      <c r="D119" s="89"/>
      <c r="E119" s="89"/>
      <c r="F119" s="73"/>
      <c r="G119" s="73"/>
      <c r="H119" s="73"/>
      <c r="I119" s="73"/>
      <c r="J119" s="73"/>
      <c r="K119" s="73"/>
      <c r="L119" s="73"/>
      <c r="M119" s="74"/>
      <c r="N119" s="71" t="str">
        <f t="shared" si="1"/>
        <v/>
      </c>
      <c r="O119" s="72"/>
      <c r="P119" s="72"/>
      <c r="Q119" s="72"/>
      <c r="R119" s="72"/>
      <c r="S119" s="72"/>
      <c r="T119" s="72"/>
      <c r="U119" s="72"/>
      <c r="V119" s="72"/>
    </row>
    <row r="120" spans="1:22" ht="27.75" customHeight="1">
      <c r="A120" s="87" t="str">
        <f>IF(ISBLANK(C120)," ",115-COUNTBLANK($C$6:C120))</f>
        <v xml:space="preserve"> </v>
      </c>
      <c r="B120" s="88"/>
      <c r="C120" s="88"/>
      <c r="D120" s="89"/>
      <c r="E120" s="89"/>
      <c r="F120" s="73"/>
      <c r="G120" s="73"/>
      <c r="H120" s="73"/>
      <c r="I120" s="73"/>
      <c r="J120" s="73"/>
      <c r="K120" s="73"/>
      <c r="L120" s="73"/>
      <c r="M120" s="74"/>
      <c r="N120" s="71" t="str">
        <f t="shared" si="1"/>
        <v/>
      </c>
      <c r="O120" s="72"/>
      <c r="P120" s="72"/>
      <c r="Q120" s="72"/>
      <c r="R120" s="72"/>
      <c r="S120" s="72"/>
      <c r="T120" s="72"/>
      <c r="U120" s="72"/>
      <c r="V120" s="72"/>
    </row>
    <row r="121" spans="1:22" ht="27.75" customHeight="1">
      <c r="A121" s="87" t="str">
        <f>IF(ISBLANK(C121)," ",116-COUNTBLANK($C$6:C121))</f>
        <v xml:space="preserve"> </v>
      </c>
      <c r="B121" s="88"/>
      <c r="C121" s="88"/>
      <c r="D121" s="89"/>
      <c r="E121" s="89"/>
      <c r="F121" s="73"/>
      <c r="G121" s="73"/>
      <c r="H121" s="73"/>
      <c r="I121" s="73"/>
      <c r="J121" s="73"/>
      <c r="K121" s="73"/>
      <c r="L121" s="73"/>
      <c r="M121" s="74"/>
      <c r="N121" s="71" t="str">
        <f t="shared" si="1"/>
        <v/>
      </c>
      <c r="O121" s="72"/>
      <c r="P121" s="72"/>
      <c r="Q121" s="72"/>
      <c r="R121" s="72"/>
      <c r="S121" s="72"/>
      <c r="T121" s="72"/>
      <c r="U121" s="72"/>
      <c r="V121" s="72"/>
    </row>
    <row r="122" spans="1:22" ht="27.75" customHeight="1">
      <c r="A122" s="87" t="str">
        <f>IF(ISBLANK(C122)," ",117-COUNTBLANK($C$6:C122))</f>
        <v xml:space="preserve"> </v>
      </c>
      <c r="B122" s="88"/>
      <c r="C122" s="88"/>
      <c r="D122" s="89"/>
      <c r="E122" s="89"/>
      <c r="F122" s="73"/>
      <c r="G122" s="73"/>
      <c r="H122" s="73"/>
      <c r="I122" s="73"/>
      <c r="J122" s="73"/>
      <c r="K122" s="73"/>
      <c r="L122" s="73"/>
      <c r="M122" s="74"/>
      <c r="N122" s="71" t="str">
        <f t="shared" si="1"/>
        <v/>
      </c>
      <c r="O122" s="72"/>
      <c r="P122" s="72"/>
      <c r="Q122" s="72"/>
      <c r="R122" s="72"/>
      <c r="S122" s="72"/>
      <c r="T122" s="72"/>
      <c r="U122" s="72"/>
      <c r="V122" s="72"/>
    </row>
    <row r="123" spans="1:22" ht="27.75" customHeight="1">
      <c r="A123" s="87" t="str">
        <f>IF(ISBLANK(C123)," ",118-COUNTBLANK($C$6:C123))</f>
        <v xml:space="preserve"> </v>
      </c>
      <c r="B123" s="88"/>
      <c r="C123" s="88"/>
      <c r="D123" s="89"/>
      <c r="E123" s="89"/>
      <c r="F123" s="73"/>
      <c r="G123" s="73"/>
      <c r="H123" s="73"/>
      <c r="I123" s="73"/>
      <c r="J123" s="73"/>
      <c r="K123" s="73"/>
      <c r="L123" s="73"/>
      <c r="M123" s="74"/>
      <c r="N123" s="71" t="str">
        <f t="shared" si="1"/>
        <v/>
      </c>
      <c r="O123" s="72"/>
      <c r="P123" s="72"/>
      <c r="Q123" s="72"/>
      <c r="R123" s="72"/>
      <c r="S123" s="72"/>
      <c r="T123" s="72"/>
      <c r="U123" s="72"/>
      <c r="V123" s="72"/>
    </row>
    <row r="124" spans="1:22" ht="27.75" customHeight="1">
      <c r="A124" s="87" t="str">
        <f>IF(ISBLANK(C124)," ",119-COUNTBLANK($C$6:C124))</f>
        <v xml:space="preserve"> </v>
      </c>
      <c r="B124" s="88"/>
      <c r="C124" s="88"/>
      <c r="D124" s="89"/>
      <c r="E124" s="89"/>
      <c r="F124" s="73"/>
      <c r="G124" s="73"/>
      <c r="H124" s="73"/>
      <c r="I124" s="73"/>
      <c r="J124" s="73"/>
      <c r="K124" s="73"/>
      <c r="L124" s="73"/>
      <c r="M124" s="74"/>
      <c r="N124" s="71" t="str">
        <f t="shared" si="1"/>
        <v/>
      </c>
      <c r="O124" s="72"/>
      <c r="P124" s="72"/>
      <c r="Q124" s="72"/>
      <c r="R124" s="72"/>
      <c r="S124" s="72"/>
      <c r="T124" s="72"/>
      <c r="U124" s="72"/>
      <c r="V124" s="72"/>
    </row>
    <row r="125" spans="1:22" ht="27.75" customHeight="1">
      <c r="A125" s="87" t="str">
        <f>IF(ISBLANK(C125)," ",120-COUNTBLANK($C$6:C125))</f>
        <v xml:space="preserve"> </v>
      </c>
      <c r="B125" s="88"/>
      <c r="C125" s="88"/>
      <c r="D125" s="89"/>
      <c r="E125" s="89"/>
      <c r="F125" s="73"/>
      <c r="G125" s="73"/>
      <c r="H125" s="73"/>
      <c r="I125" s="73"/>
      <c r="J125" s="73"/>
      <c r="K125" s="73"/>
      <c r="L125" s="73"/>
      <c r="M125" s="74"/>
      <c r="N125" s="71" t="str">
        <f t="shared" si="1"/>
        <v/>
      </c>
      <c r="O125" s="72"/>
      <c r="P125" s="72"/>
      <c r="Q125" s="72"/>
      <c r="R125" s="72"/>
      <c r="S125" s="72"/>
      <c r="T125" s="72"/>
      <c r="U125" s="72"/>
      <c r="V125" s="72"/>
    </row>
    <row r="126" spans="1:22" ht="27.75" customHeight="1">
      <c r="A126" s="87" t="str">
        <f>IF(ISBLANK(C126)," ",121-COUNTBLANK($C$6:C126))</f>
        <v xml:space="preserve"> </v>
      </c>
      <c r="B126" s="88"/>
      <c r="C126" s="88"/>
      <c r="D126" s="89"/>
      <c r="E126" s="89"/>
      <c r="F126" s="73"/>
      <c r="G126" s="73"/>
      <c r="H126" s="73"/>
      <c r="I126" s="73"/>
      <c r="J126" s="73"/>
      <c r="K126" s="73"/>
      <c r="L126" s="73"/>
      <c r="M126" s="74"/>
      <c r="N126" s="71" t="str">
        <f t="shared" si="1"/>
        <v/>
      </c>
      <c r="O126" s="75"/>
      <c r="P126" s="72"/>
      <c r="Q126" s="72"/>
      <c r="R126" s="72"/>
      <c r="S126" s="72"/>
      <c r="T126" s="72"/>
      <c r="U126" s="72"/>
      <c r="V126" s="76"/>
    </row>
    <row r="127" spans="1:22" ht="27.75" customHeight="1">
      <c r="A127" s="87" t="str">
        <f>IF(ISBLANK(C127)," ",122-COUNTBLANK($C$6:C127))</f>
        <v xml:space="preserve"> </v>
      </c>
      <c r="B127" s="88"/>
      <c r="C127" s="88"/>
      <c r="D127" s="89"/>
      <c r="E127" s="89"/>
      <c r="F127" s="73"/>
      <c r="G127" s="73"/>
      <c r="H127" s="73"/>
      <c r="I127" s="73"/>
      <c r="J127" s="73"/>
      <c r="K127" s="73"/>
      <c r="L127" s="73"/>
      <c r="M127" s="74"/>
      <c r="N127" s="71" t="str">
        <f t="shared" si="1"/>
        <v/>
      </c>
      <c r="O127" s="75"/>
      <c r="P127" s="72"/>
      <c r="Q127" s="72"/>
      <c r="R127" s="72"/>
      <c r="S127" s="72"/>
      <c r="T127" s="72"/>
      <c r="U127" s="72"/>
      <c r="V127" s="76"/>
    </row>
    <row r="128" spans="1:22" ht="27.75" customHeight="1">
      <c r="A128" s="87" t="str">
        <f>IF(ISBLANK(C128)," ",123-COUNTBLANK($C$6:C128))</f>
        <v xml:space="preserve"> </v>
      </c>
      <c r="B128" s="88"/>
      <c r="C128" s="88"/>
      <c r="D128" s="89"/>
      <c r="E128" s="89"/>
      <c r="F128" s="73"/>
      <c r="G128" s="73"/>
      <c r="H128" s="73"/>
      <c r="I128" s="73"/>
      <c r="J128" s="73"/>
      <c r="K128" s="73"/>
      <c r="L128" s="73"/>
      <c r="M128" s="74"/>
      <c r="N128" s="71" t="str">
        <f t="shared" si="1"/>
        <v/>
      </c>
      <c r="O128" s="75"/>
      <c r="P128" s="72"/>
      <c r="Q128" s="72"/>
      <c r="R128" s="72"/>
      <c r="S128" s="72"/>
      <c r="T128" s="72"/>
      <c r="U128" s="72"/>
      <c r="V128" s="76"/>
    </row>
    <row r="129" spans="1:25" ht="27.75" customHeight="1">
      <c r="A129" s="87" t="str">
        <f>IF(ISBLANK(C129)," ",124-COUNTBLANK($C$6:C129))</f>
        <v xml:space="preserve"> </v>
      </c>
      <c r="B129" s="88"/>
      <c r="C129" s="88"/>
      <c r="D129" s="89"/>
      <c r="E129" s="89"/>
      <c r="F129" s="73"/>
      <c r="G129" s="73"/>
      <c r="H129" s="73"/>
      <c r="I129" s="73"/>
      <c r="J129" s="73"/>
      <c r="K129" s="73"/>
      <c r="L129" s="73"/>
      <c r="M129" s="74"/>
      <c r="N129" s="71" t="str">
        <f t="shared" si="1"/>
        <v/>
      </c>
      <c r="O129" s="75"/>
      <c r="P129" s="72"/>
      <c r="Q129" s="72"/>
      <c r="R129" s="72"/>
      <c r="S129" s="72"/>
      <c r="T129" s="72"/>
      <c r="U129" s="72"/>
      <c r="V129" s="76"/>
    </row>
    <row r="130" spans="1:25" ht="27.75" customHeight="1">
      <c r="A130" s="87" t="str">
        <f>IF(ISBLANK(C130)," ",125-COUNTBLANK($C$6:C130))</f>
        <v xml:space="preserve"> </v>
      </c>
      <c r="B130" s="88"/>
      <c r="C130" s="88"/>
      <c r="D130" s="89"/>
      <c r="E130" s="89"/>
      <c r="F130" s="73"/>
      <c r="G130" s="73"/>
      <c r="H130" s="73"/>
      <c r="I130" s="73"/>
      <c r="J130" s="73"/>
      <c r="K130" s="73"/>
      <c r="L130" s="73"/>
      <c r="M130" s="74"/>
      <c r="N130" s="71" t="str">
        <f t="shared" si="1"/>
        <v/>
      </c>
      <c r="O130" s="72"/>
      <c r="P130" s="72"/>
      <c r="Q130" s="72"/>
      <c r="R130" s="72"/>
      <c r="S130" s="72"/>
      <c r="T130" s="72"/>
      <c r="U130" s="72"/>
      <c r="V130" s="79"/>
      <c r="W130" s="72"/>
      <c r="X130" s="72"/>
      <c r="Y130" s="72"/>
    </row>
    <row r="131" spans="1:25" ht="27.75" customHeight="1">
      <c r="A131" s="80" t="s">
        <v>52</v>
      </c>
      <c r="B131" s="81"/>
      <c r="C131" s="96"/>
      <c r="D131" s="82"/>
      <c r="E131" s="82">
        <f>SUM(E111:E130)</f>
        <v>0</v>
      </c>
      <c r="F131" s="83"/>
      <c r="G131" s="83"/>
      <c r="H131" s="83"/>
      <c r="I131" s="83"/>
      <c r="J131" s="83"/>
      <c r="K131" s="83"/>
      <c r="L131" s="83"/>
      <c r="M131" s="84"/>
      <c r="N131" s="71" t="str">
        <f t="shared" si="1"/>
        <v/>
      </c>
      <c r="O131" s="75"/>
      <c r="P131" s="72"/>
      <c r="Q131" s="72"/>
      <c r="R131" s="72"/>
      <c r="S131" s="72"/>
      <c r="T131" s="72"/>
      <c r="U131" s="72"/>
      <c r="V131" s="79"/>
      <c r="W131" s="72"/>
      <c r="X131" s="72"/>
      <c r="Y131" s="72"/>
    </row>
    <row r="132" spans="1:25" ht="27.75" customHeight="1">
      <c r="A132" s="93" t="str">
        <f>IF(ISBLANK(C132)," ",127-COUNTBLANK($C$6:C132))</f>
        <v xml:space="preserve"> </v>
      </c>
      <c r="B132" s="94"/>
      <c r="C132" s="94"/>
      <c r="D132" s="95"/>
      <c r="E132" s="95"/>
      <c r="F132" s="85"/>
      <c r="G132" s="85"/>
      <c r="H132" s="85"/>
      <c r="I132" s="85"/>
      <c r="J132" s="85"/>
      <c r="K132" s="85"/>
      <c r="L132" s="85"/>
      <c r="M132" s="86"/>
      <c r="N132" s="71" t="str">
        <f t="shared" si="1"/>
        <v/>
      </c>
      <c r="O132" s="72"/>
      <c r="P132" s="72"/>
      <c r="Q132" s="72"/>
      <c r="R132" s="72"/>
      <c r="S132" s="72"/>
      <c r="T132" s="72"/>
      <c r="U132" s="72"/>
      <c r="V132" s="72"/>
    </row>
    <row r="133" spans="1:25" ht="27.75" customHeight="1">
      <c r="A133" s="87" t="str">
        <f>IF(ISBLANK(C133)," ",128-COUNTBLANK($C$6:C133))</f>
        <v xml:space="preserve"> </v>
      </c>
      <c r="B133" s="88"/>
      <c r="C133" s="88"/>
      <c r="D133" s="89"/>
      <c r="E133" s="89"/>
      <c r="F133" s="73"/>
      <c r="G133" s="73"/>
      <c r="H133" s="73"/>
      <c r="I133" s="73"/>
      <c r="J133" s="73"/>
      <c r="K133" s="73"/>
      <c r="L133" s="73"/>
      <c r="M133" s="74"/>
      <c r="N133" s="71" t="str">
        <f t="shared" si="1"/>
        <v/>
      </c>
      <c r="O133" s="72"/>
      <c r="P133" s="72"/>
      <c r="Q133" s="72"/>
      <c r="R133" s="72"/>
      <c r="S133" s="72"/>
      <c r="T133" s="72"/>
      <c r="U133" s="72"/>
      <c r="V133" s="72"/>
    </row>
    <row r="134" spans="1:25" ht="27.75" customHeight="1">
      <c r="A134" s="87" t="str">
        <f>IF(ISBLANK(C134)," ",129-COUNTBLANK($C$6:C134))</f>
        <v xml:space="preserve"> </v>
      </c>
      <c r="B134" s="88"/>
      <c r="C134" s="88"/>
      <c r="D134" s="89"/>
      <c r="E134" s="89"/>
      <c r="F134" s="73"/>
      <c r="G134" s="73"/>
      <c r="H134" s="73"/>
      <c r="I134" s="73"/>
      <c r="J134" s="73"/>
      <c r="K134" s="73"/>
      <c r="L134" s="73"/>
      <c r="M134" s="74"/>
      <c r="N134" s="71" t="str">
        <f t="shared" ref="N134:N197" si="2">CONCATENATE(C134,H134)</f>
        <v/>
      </c>
      <c r="O134" s="72"/>
      <c r="P134" s="72"/>
      <c r="Q134" s="72"/>
      <c r="R134" s="72"/>
      <c r="S134" s="72"/>
      <c r="T134" s="72"/>
      <c r="U134" s="72"/>
      <c r="V134" s="72"/>
    </row>
    <row r="135" spans="1:25" ht="27.75" customHeight="1">
      <c r="A135" s="87" t="str">
        <f>IF(ISBLANK(C135)," ",130-COUNTBLANK($C$6:C135))</f>
        <v xml:space="preserve"> </v>
      </c>
      <c r="B135" s="88"/>
      <c r="C135" s="88"/>
      <c r="D135" s="89"/>
      <c r="E135" s="89"/>
      <c r="F135" s="73"/>
      <c r="G135" s="73"/>
      <c r="H135" s="73"/>
      <c r="I135" s="73"/>
      <c r="J135" s="73"/>
      <c r="K135" s="73"/>
      <c r="L135" s="73"/>
      <c r="M135" s="74"/>
      <c r="N135" s="71" t="str">
        <f t="shared" si="2"/>
        <v/>
      </c>
      <c r="O135" s="72"/>
      <c r="P135" s="72"/>
      <c r="Q135" s="72"/>
      <c r="R135" s="72"/>
      <c r="S135" s="72"/>
      <c r="T135" s="72"/>
      <c r="U135" s="72"/>
      <c r="V135" s="72"/>
    </row>
    <row r="136" spans="1:25" ht="27.75" customHeight="1">
      <c r="A136" s="87" t="str">
        <f>IF(ISBLANK(C136)," ",131-COUNTBLANK($C$6:C136))</f>
        <v xml:space="preserve"> </v>
      </c>
      <c r="B136" s="88"/>
      <c r="C136" s="88"/>
      <c r="D136" s="89"/>
      <c r="E136" s="89"/>
      <c r="F136" s="73"/>
      <c r="G136" s="73"/>
      <c r="H136" s="73"/>
      <c r="I136" s="73"/>
      <c r="J136" s="73"/>
      <c r="K136" s="73"/>
      <c r="L136" s="73"/>
      <c r="M136" s="74"/>
      <c r="N136" s="71" t="str">
        <f t="shared" si="2"/>
        <v/>
      </c>
      <c r="O136" s="72"/>
      <c r="P136" s="72"/>
      <c r="Q136" s="72"/>
      <c r="R136" s="72"/>
      <c r="S136" s="72"/>
      <c r="T136" s="72"/>
      <c r="U136" s="72"/>
      <c r="V136" s="72"/>
    </row>
    <row r="137" spans="1:25" ht="27.75" customHeight="1">
      <c r="A137" s="87" t="str">
        <f>IF(ISBLANK(C137)," ",132-COUNTBLANK($C$6:C137))</f>
        <v xml:space="preserve"> </v>
      </c>
      <c r="B137" s="88"/>
      <c r="C137" s="88"/>
      <c r="D137" s="89"/>
      <c r="E137" s="89"/>
      <c r="F137" s="73"/>
      <c r="G137" s="73"/>
      <c r="H137" s="73"/>
      <c r="I137" s="73"/>
      <c r="J137" s="73"/>
      <c r="K137" s="73"/>
      <c r="L137" s="73"/>
      <c r="M137" s="74"/>
      <c r="N137" s="71" t="str">
        <f t="shared" si="2"/>
        <v/>
      </c>
      <c r="O137" s="72"/>
      <c r="P137" s="72"/>
      <c r="Q137" s="72"/>
      <c r="R137" s="72"/>
      <c r="S137" s="72"/>
      <c r="T137" s="72"/>
      <c r="U137" s="72"/>
      <c r="V137" s="72"/>
    </row>
    <row r="138" spans="1:25" ht="27.75" customHeight="1">
      <c r="A138" s="87" t="str">
        <f>IF(ISBLANK(C138)," ",133-COUNTBLANK($C$6:C138))</f>
        <v xml:space="preserve"> </v>
      </c>
      <c r="B138" s="88"/>
      <c r="C138" s="88"/>
      <c r="D138" s="89"/>
      <c r="E138" s="89"/>
      <c r="F138" s="73"/>
      <c r="G138" s="73"/>
      <c r="H138" s="73"/>
      <c r="I138" s="73"/>
      <c r="J138" s="73"/>
      <c r="K138" s="73"/>
      <c r="L138" s="73"/>
      <c r="M138" s="74"/>
      <c r="N138" s="71" t="str">
        <f t="shared" si="2"/>
        <v/>
      </c>
      <c r="O138" s="72"/>
      <c r="P138" s="72"/>
      <c r="Q138" s="72"/>
      <c r="R138" s="72"/>
      <c r="S138" s="72"/>
      <c r="T138" s="72"/>
      <c r="U138" s="72"/>
      <c r="V138" s="72"/>
    </row>
    <row r="139" spans="1:25" ht="27.75" customHeight="1">
      <c r="A139" s="87" t="str">
        <f>IF(ISBLANK(C139)," ",134-COUNTBLANK($C$6:C139))</f>
        <v xml:space="preserve"> </v>
      </c>
      <c r="B139" s="88"/>
      <c r="C139" s="88"/>
      <c r="D139" s="89"/>
      <c r="E139" s="89"/>
      <c r="F139" s="73"/>
      <c r="G139" s="73"/>
      <c r="H139" s="73"/>
      <c r="I139" s="73"/>
      <c r="J139" s="73"/>
      <c r="K139" s="73"/>
      <c r="L139" s="73"/>
      <c r="M139" s="74"/>
      <c r="N139" s="71" t="str">
        <f t="shared" si="2"/>
        <v/>
      </c>
      <c r="O139" s="72"/>
      <c r="P139" s="72"/>
      <c r="Q139" s="72"/>
      <c r="R139" s="72"/>
      <c r="S139" s="72"/>
      <c r="T139" s="72"/>
      <c r="U139" s="72"/>
      <c r="V139" s="72"/>
    </row>
    <row r="140" spans="1:25" ht="27.75" customHeight="1">
      <c r="A140" s="87" t="str">
        <f>IF(ISBLANK(C140)," ",135-COUNTBLANK($C$6:C140))</f>
        <v xml:space="preserve"> </v>
      </c>
      <c r="B140" s="88"/>
      <c r="C140" s="88"/>
      <c r="D140" s="89"/>
      <c r="E140" s="89"/>
      <c r="F140" s="73"/>
      <c r="G140" s="73"/>
      <c r="H140" s="73"/>
      <c r="I140" s="73"/>
      <c r="J140" s="73"/>
      <c r="K140" s="73"/>
      <c r="L140" s="73"/>
      <c r="M140" s="74"/>
      <c r="N140" s="71" t="str">
        <f t="shared" si="2"/>
        <v/>
      </c>
      <c r="O140" s="72"/>
      <c r="P140" s="72"/>
      <c r="Q140" s="72"/>
      <c r="R140" s="72"/>
      <c r="S140" s="72"/>
      <c r="T140" s="72"/>
      <c r="U140" s="72"/>
      <c r="V140" s="72"/>
    </row>
    <row r="141" spans="1:25" ht="27.75" customHeight="1">
      <c r="A141" s="87" t="str">
        <f>IF(ISBLANK(C141)," ",136-COUNTBLANK($C$6:C141))</f>
        <v xml:space="preserve"> </v>
      </c>
      <c r="B141" s="88"/>
      <c r="C141" s="88"/>
      <c r="D141" s="89"/>
      <c r="E141" s="89"/>
      <c r="F141" s="73"/>
      <c r="G141" s="73"/>
      <c r="H141" s="73"/>
      <c r="I141" s="73"/>
      <c r="J141" s="73"/>
      <c r="K141" s="73"/>
      <c r="L141" s="73"/>
      <c r="M141" s="74"/>
      <c r="N141" s="71" t="str">
        <f t="shared" si="2"/>
        <v/>
      </c>
      <c r="O141" s="72"/>
      <c r="P141" s="72"/>
      <c r="Q141" s="72"/>
      <c r="R141" s="72"/>
      <c r="S141" s="72"/>
      <c r="T141" s="72"/>
      <c r="U141" s="72"/>
      <c r="V141" s="72"/>
    </row>
    <row r="142" spans="1:25" ht="27.75" customHeight="1">
      <c r="A142" s="87" t="str">
        <f>IF(ISBLANK(C142)," ",137-COUNTBLANK($C$6:C142))</f>
        <v xml:space="preserve"> </v>
      </c>
      <c r="B142" s="88"/>
      <c r="C142" s="88"/>
      <c r="D142" s="89"/>
      <c r="E142" s="89"/>
      <c r="F142" s="73"/>
      <c r="G142" s="73"/>
      <c r="H142" s="73"/>
      <c r="I142" s="73"/>
      <c r="J142" s="73"/>
      <c r="K142" s="73"/>
      <c r="L142" s="73"/>
      <c r="M142" s="74"/>
      <c r="N142" s="71" t="str">
        <f t="shared" si="2"/>
        <v/>
      </c>
      <c r="O142" s="72"/>
      <c r="P142" s="72"/>
      <c r="Q142" s="72"/>
      <c r="R142" s="72"/>
      <c r="S142" s="72"/>
      <c r="T142" s="72"/>
      <c r="U142" s="72"/>
      <c r="V142" s="72"/>
    </row>
    <row r="143" spans="1:25" ht="27.75" customHeight="1">
      <c r="A143" s="87" t="str">
        <f>IF(ISBLANK(C143)," ",138-COUNTBLANK($C$6:C143))</f>
        <v xml:space="preserve"> </v>
      </c>
      <c r="B143" s="88"/>
      <c r="C143" s="88"/>
      <c r="D143" s="89"/>
      <c r="E143" s="89"/>
      <c r="F143" s="73"/>
      <c r="G143" s="73"/>
      <c r="H143" s="73"/>
      <c r="I143" s="73"/>
      <c r="J143" s="73"/>
      <c r="K143" s="73"/>
      <c r="L143" s="73"/>
      <c r="M143" s="74"/>
      <c r="N143" s="71" t="str">
        <f t="shared" si="2"/>
        <v/>
      </c>
      <c r="O143" s="72"/>
      <c r="P143" s="72"/>
      <c r="Q143" s="72"/>
      <c r="R143" s="72"/>
      <c r="S143" s="72"/>
      <c r="T143" s="72"/>
      <c r="U143" s="72"/>
      <c r="V143" s="72"/>
    </row>
    <row r="144" spans="1:25" ht="27.75" customHeight="1">
      <c r="A144" s="87" t="str">
        <f>IF(ISBLANK(C144)," ",139-COUNTBLANK($C$6:C144))</f>
        <v xml:space="preserve"> </v>
      </c>
      <c r="B144" s="88"/>
      <c r="C144" s="88"/>
      <c r="D144" s="89"/>
      <c r="E144" s="89"/>
      <c r="F144" s="73"/>
      <c r="G144" s="73"/>
      <c r="H144" s="73"/>
      <c r="I144" s="73"/>
      <c r="J144" s="73"/>
      <c r="K144" s="73"/>
      <c r="L144" s="73"/>
      <c r="M144" s="74"/>
      <c r="N144" s="71" t="str">
        <f t="shared" si="2"/>
        <v/>
      </c>
      <c r="O144" s="72"/>
      <c r="P144" s="72"/>
      <c r="Q144" s="72"/>
      <c r="R144" s="72"/>
      <c r="S144" s="72"/>
      <c r="T144" s="72"/>
      <c r="U144" s="72"/>
      <c r="V144" s="72"/>
    </row>
    <row r="145" spans="1:25" ht="27.75" customHeight="1">
      <c r="A145" s="87" t="str">
        <f>IF(ISBLANK(C145)," ",140-COUNTBLANK($C$6:C145))</f>
        <v xml:space="preserve"> </v>
      </c>
      <c r="B145" s="88"/>
      <c r="C145" s="88"/>
      <c r="D145" s="89"/>
      <c r="E145" s="89"/>
      <c r="F145" s="73"/>
      <c r="G145" s="73"/>
      <c r="H145" s="73"/>
      <c r="I145" s="73"/>
      <c r="J145" s="73"/>
      <c r="K145" s="73"/>
      <c r="L145" s="73"/>
      <c r="M145" s="74"/>
      <c r="N145" s="71" t="str">
        <f t="shared" si="2"/>
        <v/>
      </c>
      <c r="O145" s="72"/>
      <c r="P145" s="72"/>
      <c r="Q145" s="72"/>
      <c r="R145" s="72"/>
      <c r="S145" s="72"/>
      <c r="T145" s="72"/>
      <c r="U145" s="72"/>
      <c r="V145" s="72"/>
    </row>
    <row r="146" spans="1:25" ht="27.75" customHeight="1">
      <c r="A146" s="87" t="str">
        <f>IF(ISBLANK(C146)," ",141-COUNTBLANK($C$6:C146))</f>
        <v xml:space="preserve"> </v>
      </c>
      <c r="B146" s="88"/>
      <c r="C146" s="88"/>
      <c r="D146" s="89"/>
      <c r="E146" s="89"/>
      <c r="F146" s="73"/>
      <c r="G146" s="73"/>
      <c r="H146" s="73"/>
      <c r="I146" s="73"/>
      <c r="J146" s="73"/>
      <c r="K146" s="73"/>
      <c r="L146" s="73"/>
      <c r="M146" s="74"/>
      <c r="N146" s="71" t="str">
        <f t="shared" si="2"/>
        <v/>
      </c>
      <c r="O146" s="72"/>
      <c r="P146" s="72"/>
      <c r="Q146" s="72"/>
      <c r="R146" s="72"/>
      <c r="S146" s="72"/>
      <c r="T146" s="72"/>
      <c r="U146" s="72"/>
      <c r="V146" s="72"/>
    </row>
    <row r="147" spans="1:25" ht="27.75" customHeight="1">
      <c r="A147" s="87" t="str">
        <f>IF(ISBLANK(C147)," ",142-COUNTBLANK($C$6:C147))</f>
        <v xml:space="preserve"> </v>
      </c>
      <c r="B147" s="88"/>
      <c r="C147" s="88"/>
      <c r="D147" s="89"/>
      <c r="E147" s="89"/>
      <c r="F147" s="73"/>
      <c r="G147" s="73"/>
      <c r="H147" s="73"/>
      <c r="I147" s="73"/>
      <c r="J147" s="73"/>
      <c r="K147" s="73"/>
      <c r="L147" s="73"/>
      <c r="M147" s="74"/>
      <c r="N147" s="71" t="str">
        <f t="shared" si="2"/>
        <v/>
      </c>
      <c r="O147" s="75"/>
      <c r="P147" s="72"/>
      <c r="Q147" s="72"/>
      <c r="R147" s="72"/>
      <c r="S147" s="72"/>
      <c r="T147" s="72"/>
      <c r="U147" s="72"/>
      <c r="V147" s="76"/>
    </row>
    <row r="148" spans="1:25" ht="27.75" customHeight="1">
      <c r="A148" s="87" t="str">
        <f>IF(ISBLANK(C148)," ",143-COUNTBLANK($C$6:C148))</f>
        <v xml:space="preserve"> </v>
      </c>
      <c r="B148" s="88"/>
      <c r="C148" s="88"/>
      <c r="D148" s="89"/>
      <c r="E148" s="89"/>
      <c r="F148" s="73"/>
      <c r="G148" s="73"/>
      <c r="H148" s="73"/>
      <c r="I148" s="73"/>
      <c r="J148" s="73"/>
      <c r="K148" s="73"/>
      <c r="L148" s="73"/>
      <c r="M148" s="74"/>
      <c r="N148" s="71" t="str">
        <f t="shared" si="2"/>
        <v/>
      </c>
      <c r="O148" s="75"/>
      <c r="P148" s="72"/>
      <c r="Q148" s="72"/>
      <c r="R148" s="72"/>
      <c r="S148" s="72"/>
      <c r="T148" s="72"/>
      <c r="U148" s="72"/>
      <c r="V148" s="76"/>
    </row>
    <row r="149" spans="1:25" ht="27.75" customHeight="1">
      <c r="A149" s="87" t="str">
        <f>IF(ISBLANK(C149)," ",144-COUNTBLANK($C$6:C149))</f>
        <v xml:space="preserve"> </v>
      </c>
      <c r="B149" s="88"/>
      <c r="C149" s="88"/>
      <c r="D149" s="89"/>
      <c r="E149" s="89"/>
      <c r="F149" s="73"/>
      <c r="G149" s="73"/>
      <c r="H149" s="73"/>
      <c r="I149" s="73"/>
      <c r="J149" s="73"/>
      <c r="K149" s="73"/>
      <c r="L149" s="73"/>
      <c r="M149" s="74"/>
      <c r="N149" s="71" t="str">
        <f t="shared" si="2"/>
        <v/>
      </c>
      <c r="O149" s="75"/>
      <c r="P149" s="72"/>
      <c r="Q149" s="72"/>
      <c r="R149" s="72"/>
      <c r="S149" s="72"/>
      <c r="T149" s="72"/>
      <c r="U149" s="72"/>
      <c r="V149" s="76"/>
    </row>
    <row r="150" spans="1:25" ht="27.75" customHeight="1">
      <c r="A150" s="87" t="str">
        <f>IF(ISBLANK(C150)," ",145-COUNTBLANK($C$6:C150))</f>
        <v xml:space="preserve"> </v>
      </c>
      <c r="B150" s="88"/>
      <c r="C150" s="88"/>
      <c r="D150" s="89"/>
      <c r="E150" s="89"/>
      <c r="F150" s="73"/>
      <c r="G150" s="73"/>
      <c r="H150" s="73"/>
      <c r="I150" s="73"/>
      <c r="J150" s="73"/>
      <c r="K150" s="73"/>
      <c r="L150" s="73"/>
      <c r="M150" s="74"/>
      <c r="N150" s="71" t="str">
        <f t="shared" si="2"/>
        <v/>
      </c>
      <c r="O150" s="75"/>
      <c r="P150" s="72"/>
      <c r="Q150" s="72"/>
      <c r="R150" s="72"/>
      <c r="S150" s="72"/>
      <c r="T150" s="72"/>
      <c r="U150" s="72"/>
      <c r="V150" s="76"/>
    </row>
    <row r="151" spans="1:25" ht="27.75" customHeight="1">
      <c r="A151" s="87" t="str">
        <f>IF(ISBLANK(C151)," ",146-COUNTBLANK($C$6:C151))</f>
        <v xml:space="preserve"> </v>
      </c>
      <c r="B151" s="88"/>
      <c r="C151" s="88"/>
      <c r="D151" s="89"/>
      <c r="E151" s="89"/>
      <c r="F151" s="73"/>
      <c r="G151" s="73"/>
      <c r="H151" s="73"/>
      <c r="I151" s="73"/>
      <c r="J151" s="73"/>
      <c r="K151" s="73"/>
      <c r="L151" s="73"/>
      <c r="M151" s="74"/>
      <c r="N151" s="71" t="str">
        <f t="shared" si="2"/>
        <v/>
      </c>
      <c r="O151" s="72"/>
      <c r="P151" s="72"/>
      <c r="Q151" s="72"/>
      <c r="R151" s="72"/>
      <c r="S151" s="72"/>
      <c r="T151" s="72"/>
      <c r="U151" s="72"/>
      <c r="V151" s="79"/>
      <c r="W151" s="72"/>
      <c r="X151" s="72"/>
      <c r="Y151" s="72"/>
    </row>
    <row r="152" spans="1:25" ht="27.75" customHeight="1">
      <c r="A152" s="80" t="s">
        <v>52</v>
      </c>
      <c r="B152" s="81"/>
      <c r="C152" s="96"/>
      <c r="D152" s="82"/>
      <c r="E152" s="82">
        <f>SUM(E132:E151)</f>
        <v>0</v>
      </c>
      <c r="F152" s="83"/>
      <c r="G152" s="83"/>
      <c r="H152" s="83"/>
      <c r="I152" s="83"/>
      <c r="J152" s="83"/>
      <c r="K152" s="83"/>
      <c r="L152" s="83"/>
      <c r="M152" s="84"/>
      <c r="N152" s="71" t="str">
        <f t="shared" si="2"/>
        <v/>
      </c>
      <c r="O152" s="75"/>
      <c r="P152" s="72"/>
      <c r="Q152" s="72"/>
      <c r="R152" s="72"/>
      <c r="S152" s="72"/>
      <c r="T152" s="72"/>
      <c r="U152" s="72"/>
      <c r="V152" s="79"/>
      <c r="W152" s="72"/>
      <c r="X152" s="72"/>
      <c r="Y152" s="72"/>
    </row>
    <row r="153" spans="1:25" ht="27.75" customHeight="1">
      <c r="A153" s="93" t="str">
        <f>IF(ISBLANK(C153)," ",148-COUNTBLANK($C$6:C153))</f>
        <v xml:space="preserve"> </v>
      </c>
      <c r="B153" s="94"/>
      <c r="C153" s="94"/>
      <c r="D153" s="95"/>
      <c r="E153" s="95"/>
      <c r="F153" s="85"/>
      <c r="G153" s="85"/>
      <c r="H153" s="85"/>
      <c r="I153" s="85"/>
      <c r="J153" s="85"/>
      <c r="K153" s="85"/>
      <c r="L153" s="85"/>
      <c r="M153" s="86"/>
      <c r="N153" s="71" t="str">
        <f t="shared" si="2"/>
        <v/>
      </c>
      <c r="O153" s="72"/>
      <c r="P153" s="72"/>
      <c r="Q153" s="72"/>
      <c r="R153" s="72"/>
      <c r="S153" s="72"/>
      <c r="T153" s="72"/>
      <c r="U153" s="72"/>
      <c r="V153" s="72"/>
    </row>
    <row r="154" spans="1:25" ht="27.75" customHeight="1">
      <c r="A154" s="87" t="str">
        <f>IF(ISBLANK(C154)," ",149-COUNTBLANK($C$6:C154))</f>
        <v xml:space="preserve"> </v>
      </c>
      <c r="B154" s="88"/>
      <c r="C154" s="88"/>
      <c r="D154" s="89"/>
      <c r="E154" s="89"/>
      <c r="F154" s="73"/>
      <c r="G154" s="73"/>
      <c r="H154" s="73"/>
      <c r="I154" s="73"/>
      <c r="J154" s="73"/>
      <c r="K154" s="73"/>
      <c r="L154" s="73"/>
      <c r="M154" s="74"/>
      <c r="N154" s="71" t="str">
        <f t="shared" si="2"/>
        <v/>
      </c>
      <c r="O154" s="72"/>
      <c r="P154" s="72"/>
      <c r="Q154" s="72"/>
      <c r="R154" s="72"/>
      <c r="S154" s="72"/>
      <c r="T154" s="72"/>
      <c r="U154" s="72"/>
      <c r="V154" s="72"/>
    </row>
    <row r="155" spans="1:25" ht="27.75" customHeight="1">
      <c r="A155" s="87" t="str">
        <f>IF(ISBLANK(C155)," ",150-COUNTBLANK($C$6:C155))</f>
        <v xml:space="preserve"> </v>
      </c>
      <c r="B155" s="88"/>
      <c r="C155" s="88"/>
      <c r="D155" s="89"/>
      <c r="E155" s="89"/>
      <c r="F155" s="73"/>
      <c r="G155" s="73"/>
      <c r="H155" s="73"/>
      <c r="I155" s="73"/>
      <c r="J155" s="73"/>
      <c r="K155" s="73"/>
      <c r="L155" s="73"/>
      <c r="M155" s="74"/>
      <c r="N155" s="71" t="str">
        <f t="shared" si="2"/>
        <v/>
      </c>
      <c r="O155" s="72"/>
      <c r="P155" s="72"/>
      <c r="Q155" s="72"/>
      <c r="R155" s="72"/>
      <c r="S155" s="72"/>
      <c r="T155" s="72"/>
      <c r="U155" s="72"/>
      <c r="V155" s="72"/>
    </row>
    <row r="156" spans="1:25" ht="27.75" customHeight="1">
      <c r="A156" s="87" t="str">
        <f>IF(ISBLANK(C156)," ",151-COUNTBLANK($C$6:C156))</f>
        <v xml:space="preserve"> </v>
      </c>
      <c r="B156" s="88"/>
      <c r="C156" s="88"/>
      <c r="D156" s="89"/>
      <c r="E156" s="89"/>
      <c r="F156" s="73"/>
      <c r="G156" s="73"/>
      <c r="H156" s="73"/>
      <c r="I156" s="73"/>
      <c r="J156" s="73"/>
      <c r="K156" s="73"/>
      <c r="L156" s="73"/>
      <c r="M156" s="74"/>
      <c r="N156" s="71" t="str">
        <f t="shared" si="2"/>
        <v/>
      </c>
      <c r="O156" s="72"/>
      <c r="P156" s="72"/>
      <c r="Q156" s="72"/>
      <c r="R156" s="72"/>
      <c r="S156" s="72"/>
      <c r="T156" s="72"/>
      <c r="U156" s="72"/>
      <c r="V156" s="72"/>
    </row>
    <row r="157" spans="1:25" ht="27.75" customHeight="1">
      <c r="A157" s="87" t="str">
        <f>IF(ISBLANK(C157)," ",152-COUNTBLANK($C$6:C157))</f>
        <v xml:space="preserve"> </v>
      </c>
      <c r="B157" s="88"/>
      <c r="C157" s="88"/>
      <c r="D157" s="89"/>
      <c r="E157" s="89"/>
      <c r="F157" s="73"/>
      <c r="G157" s="73"/>
      <c r="H157" s="73"/>
      <c r="I157" s="73"/>
      <c r="J157" s="73"/>
      <c r="K157" s="73"/>
      <c r="L157" s="73"/>
      <c r="M157" s="74"/>
      <c r="N157" s="71" t="str">
        <f t="shared" si="2"/>
        <v/>
      </c>
      <c r="O157" s="72"/>
      <c r="P157" s="72"/>
      <c r="Q157" s="72"/>
      <c r="R157" s="72"/>
      <c r="S157" s="72"/>
      <c r="T157" s="72"/>
      <c r="U157" s="72"/>
      <c r="V157" s="72"/>
    </row>
    <row r="158" spans="1:25" ht="27.75" customHeight="1">
      <c r="A158" s="87" t="str">
        <f>IF(ISBLANK(C158)," ",153-COUNTBLANK($C$6:C158))</f>
        <v xml:space="preserve"> </v>
      </c>
      <c r="B158" s="88"/>
      <c r="C158" s="88"/>
      <c r="D158" s="89"/>
      <c r="E158" s="89"/>
      <c r="F158" s="73"/>
      <c r="G158" s="73"/>
      <c r="H158" s="73"/>
      <c r="I158" s="73"/>
      <c r="J158" s="73"/>
      <c r="K158" s="73"/>
      <c r="L158" s="73"/>
      <c r="M158" s="74"/>
      <c r="N158" s="71" t="str">
        <f t="shared" si="2"/>
        <v/>
      </c>
      <c r="O158" s="72"/>
      <c r="P158" s="72"/>
      <c r="Q158" s="72"/>
      <c r="R158" s="72"/>
      <c r="S158" s="72"/>
      <c r="T158" s="72"/>
      <c r="U158" s="72"/>
      <c r="V158" s="72"/>
    </row>
    <row r="159" spans="1:25" ht="27.75" customHeight="1">
      <c r="A159" s="87" t="str">
        <f>IF(ISBLANK(C159)," ",154-COUNTBLANK($C$6:C159))</f>
        <v xml:space="preserve"> </v>
      </c>
      <c r="B159" s="88"/>
      <c r="C159" s="88"/>
      <c r="D159" s="89"/>
      <c r="E159" s="89"/>
      <c r="F159" s="73"/>
      <c r="G159" s="73"/>
      <c r="H159" s="73"/>
      <c r="I159" s="73"/>
      <c r="J159" s="73"/>
      <c r="K159" s="73"/>
      <c r="L159" s="73"/>
      <c r="M159" s="74"/>
      <c r="N159" s="71" t="str">
        <f t="shared" si="2"/>
        <v/>
      </c>
      <c r="O159" s="72"/>
      <c r="P159" s="72"/>
      <c r="Q159" s="72"/>
      <c r="R159" s="72"/>
      <c r="S159" s="72"/>
      <c r="T159" s="72"/>
      <c r="U159" s="72"/>
      <c r="V159" s="72"/>
    </row>
    <row r="160" spans="1:25" ht="27.75" customHeight="1">
      <c r="A160" s="87" t="str">
        <f>IF(ISBLANK(C160)," ",155-COUNTBLANK($C$6:C160))</f>
        <v xml:space="preserve"> </v>
      </c>
      <c r="B160" s="88"/>
      <c r="C160" s="88"/>
      <c r="D160" s="89"/>
      <c r="E160" s="89"/>
      <c r="F160" s="73"/>
      <c r="G160" s="73"/>
      <c r="H160" s="73"/>
      <c r="I160" s="73"/>
      <c r="J160" s="73"/>
      <c r="K160" s="73"/>
      <c r="L160" s="73"/>
      <c r="M160" s="74"/>
      <c r="N160" s="71" t="str">
        <f t="shared" si="2"/>
        <v/>
      </c>
      <c r="O160" s="72"/>
      <c r="P160" s="72"/>
      <c r="Q160" s="72"/>
      <c r="R160" s="72"/>
      <c r="S160" s="72"/>
      <c r="T160" s="72"/>
      <c r="U160" s="72"/>
      <c r="V160" s="72"/>
    </row>
    <row r="161" spans="1:25" ht="27.75" customHeight="1">
      <c r="A161" s="87" t="str">
        <f>IF(ISBLANK(C161)," ",156-COUNTBLANK($C$6:C161))</f>
        <v xml:space="preserve"> </v>
      </c>
      <c r="B161" s="88"/>
      <c r="C161" s="88"/>
      <c r="D161" s="89"/>
      <c r="E161" s="89"/>
      <c r="F161" s="73"/>
      <c r="G161" s="73"/>
      <c r="H161" s="73"/>
      <c r="I161" s="73"/>
      <c r="J161" s="73"/>
      <c r="K161" s="73"/>
      <c r="L161" s="73"/>
      <c r="M161" s="74"/>
      <c r="N161" s="71" t="str">
        <f t="shared" si="2"/>
        <v/>
      </c>
      <c r="O161" s="72"/>
      <c r="P161" s="72"/>
      <c r="Q161" s="72"/>
      <c r="R161" s="72"/>
      <c r="S161" s="72"/>
      <c r="T161" s="72"/>
      <c r="U161" s="72"/>
      <c r="V161" s="72"/>
    </row>
    <row r="162" spans="1:25" ht="27.75" customHeight="1">
      <c r="A162" s="87" t="str">
        <f>IF(ISBLANK(C162)," ",157-COUNTBLANK($C$6:C162))</f>
        <v xml:space="preserve"> </v>
      </c>
      <c r="B162" s="88"/>
      <c r="C162" s="88"/>
      <c r="D162" s="89"/>
      <c r="E162" s="89"/>
      <c r="F162" s="73"/>
      <c r="G162" s="73"/>
      <c r="H162" s="73"/>
      <c r="I162" s="73"/>
      <c r="J162" s="73"/>
      <c r="K162" s="73"/>
      <c r="L162" s="73"/>
      <c r="M162" s="74"/>
      <c r="N162" s="71" t="str">
        <f t="shared" si="2"/>
        <v/>
      </c>
      <c r="O162" s="72"/>
      <c r="P162" s="72"/>
      <c r="Q162" s="72"/>
      <c r="R162" s="72"/>
      <c r="S162" s="72"/>
      <c r="T162" s="72"/>
      <c r="U162" s="72"/>
      <c r="V162" s="72"/>
    </row>
    <row r="163" spans="1:25" ht="27.75" customHeight="1">
      <c r="A163" s="87" t="str">
        <f>IF(ISBLANK(C163)," ",158-COUNTBLANK($C$6:C163))</f>
        <v xml:space="preserve"> </v>
      </c>
      <c r="B163" s="88"/>
      <c r="C163" s="88"/>
      <c r="D163" s="89"/>
      <c r="E163" s="89"/>
      <c r="F163" s="73"/>
      <c r="G163" s="73"/>
      <c r="H163" s="73"/>
      <c r="I163" s="73"/>
      <c r="J163" s="73"/>
      <c r="K163" s="73"/>
      <c r="L163" s="73"/>
      <c r="M163" s="74"/>
      <c r="N163" s="71" t="str">
        <f t="shared" si="2"/>
        <v/>
      </c>
      <c r="O163" s="72"/>
      <c r="P163" s="72"/>
      <c r="Q163" s="72"/>
      <c r="R163" s="72"/>
      <c r="S163" s="72"/>
      <c r="T163" s="72"/>
      <c r="U163" s="72"/>
      <c r="V163" s="72"/>
    </row>
    <row r="164" spans="1:25" ht="27.75" customHeight="1">
      <c r="A164" s="87" t="str">
        <f>IF(ISBLANK(C164)," ",159-COUNTBLANK($C$6:C164))</f>
        <v xml:space="preserve"> </v>
      </c>
      <c r="B164" s="88"/>
      <c r="C164" s="88"/>
      <c r="D164" s="89"/>
      <c r="E164" s="89"/>
      <c r="F164" s="73"/>
      <c r="G164" s="73"/>
      <c r="H164" s="73"/>
      <c r="I164" s="73"/>
      <c r="J164" s="73"/>
      <c r="K164" s="73"/>
      <c r="L164" s="73"/>
      <c r="M164" s="74"/>
      <c r="N164" s="71" t="str">
        <f t="shared" si="2"/>
        <v/>
      </c>
      <c r="O164" s="72"/>
      <c r="P164" s="72"/>
      <c r="Q164" s="72"/>
      <c r="R164" s="72"/>
      <c r="S164" s="72"/>
      <c r="T164" s="72"/>
      <c r="U164" s="72"/>
      <c r="V164" s="72"/>
    </row>
    <row r="165" spans="1:25" ht="27.75" customHeight="1">
      <c r="A165" s="87" t="str">
        <f>IF(ISBLANK(C165)," ",160-COUNTBLANK($C$6:C165))</f>
        <v xml:space="preserve"> </v>
      </c>
      <c r="B165" s="88"/>
      <c r="C165" s="88"/>
      <c r="D165" s="89"/>
      <c r="E165" s="89"/>
      <c r="F165" s="73"/>
      <c r="G165" s="73"/>
      <c r="H165" s="73"/>
      <c r="I165" s="73"/>
      <c r="J165" s="73"/>
      <c r="K165" s="73"/>
      <c r="L165" s="73"/>
      <c r="M165" s="74"/>
      <c r="N165" s="71" t="str">
        <f t="shared" si="2"/>
        <v/>
      </c>
      <c r="O165" s="72"/>
      <c r="P165" s="72"/>
      <c r="Q165" s="72"/>
      <c r="R165" s="72"/>
      <c r="S165" s="72"/>
      <c r="T165" s="72"/>
      <c r="U165" s="72"/>
      <c r="V165" s="72"/>
    </row>
    <row r="166" spans="1:25" ht="27.75" customHeight="1">
      <c r="A166" s="87" t="str">
        <f>IF(ISBLANK(C166)," ",161-COUNTBLANK($C$6:C166))</f>
        <v xml:space="preserve"> </v>
      </c>
      <c r="B166" s="88"/>
      <c r="C166" s="88"/>
      <c r="D166" s="89"/>
      <c r="E166" s="89"/>
      <c r="F166" s="73"/>
      <c r="G166" s="73"/>
      <c r="H166" s="73"/>
      <c r="I166" s="73"/>
      <c r="J166" s="73"/>
      <c r="K166" s="73"/>
      <c r="L166" s="73"/>
      <c r="M166" s="74"/>
      <c r="N166" s="71" t="str">
        <f t="shared" si="2"/>
        <v/>
      </c>
      <c r="O166" s="72"/>
      <c r="P166" s="72"/>
      <c r="Q166" s="72"/>
      <c r="R166" s="72"/>
      <c r="S166" s="72"/>
      <c r="T166" s="72"/>
      <c r="U166" s="72"/>
      <c r="V166" s="72"/>
    </row>
    <row r="167" spans="1:25" ht="27.75" customHeight="1">
      <c r="A167" s="87" t="str">
        <f>IF(ISBLANK(C167)," ",162-COUNTBLANK($C$6:C167))</f>
        <v xml:space="preserve"> </v>
      </c>
      <c r="B167" s="88"/>
      <c r="C167" s="88"/>
      <c r="D167" s="89"/>
      <c r="E167" s="89"/>
      <c r="F167" s="73"/>
      <c r="G167" s="73"/>
      <c r="H167" s="73"/>
      <c r="I167" s="73"/>
      <c r="J167" s="73"/>
      <c r="K167" s="73"/>
      <c r="L167" s="73"/>
      <c r="M167" s="74"/>
      <c r="N167" s="71" t="str">
        <f t="shared" si="2"/>
        <v/>
      </c>
      <c r="O167" s="72"/>
      <c r="P167" s="72"/>
      <c r="Q167" s="72"/>
      <c r="R167" s="72"/>
      <c r="S167" s="72"/>
      <c r="T167" s="72"/>
      <c r="U167" s="72"/>
      <c r="V167" s="72"/>
    </row>
    <row r="168" spans="1:25" ht="27.75" customHeight="1">
      <c r="A168" s="87" t="str">
        <f>IF(ISBLANK(C168)," ",163-COUNTBLANK($C$6:C168))</f>
        <v xml:space="preserve"> </v>
      </c>
      <c r="B168" s="88"/>
      <c r="C168" s="88"/>
      <c r="D168" s="89"/>
      <c r="E168" s="89"/>
      <c r="F168" s="73"/>
      <c r="G168" s="73"/>
      <c r="H168" s="73"/>
      <c r="I168" s="73"/>
      <c r="J168" s="73"/>
      <c r="K168" s="73"/>
      <c r="L168" s="73"/>
      <c r="M168" s="74"/>
      <c r="N168" s="71" t="str">
        <f t="shared" si="2"/>
        <v/>
      </c>
      <c r="O168" s="75"/>
      <c r="P168" s="72"/>
      <c r="Q168" s="72"/>
      <c r="R168" s="72"/>
      <c r="S168" s="72"/>
      <c r="T168" s="72"/>
      <c r="U168" s="72"/>
      <c r="V168" s="76"/>
    </row>
    <row r="169" spans="1:25" ht="27.75" customHeight="1">
      <c r="A169" s="87" t="str">
        <f>IF(ISBLANK(C169)," ",164-COUNTBLANK($C$6:C169))</f>
        <v xml:space="preserve"> </v>
      </c>
      <c r="B169" s="88"/>
      <c r="C169" s="88"/>
      <c r="D169" s="89"/>
      <c r="E169" s="89"/>
      <c r="F169" s="73"/>
      <c r="G169" s="73"/>
      <c r="H169" s="73"/>
      <c r="I169" s="73"/>
      <c r="J169" s="73"/>
      <c r="K169" s="73"/>
      <c r="L169" s="73"/>
      <c r="M169" s="74"/>
      <c r="N169" s="71" t="str">
        <f t="shared" si="2"/>
        <v/>
      </c>
      <c r="O169" s="75"/>
      <c r="P169" s="72"/>
      <c r="Q169" s="72"/>
      <c r="R169" s="72"/>
      <c r="S169" s="72"/>
      <c r="T169" s="72"/>
      <c r="U169" s="72"/>
      <c r="V169" s="76"/>
    </row>
    <row r="170" spans="1:25" ht="27.75" customHeight="1">
      <c r="A170" s="87" t="str">
        <f>IF(ISBLANK(C170)," ",165-COUNTBLANK($C$6:C170))</f>
        <v xml:space="preserve"> </v>
      </c>
      <c r="B170" s="88"/>
      <c r="C170" s="88"/>
      <c r="D170" s="89"/>
      <c r="E170" s="89"/>
      <c r="F170" s="73"/>
      <c r="G170" s="73"/>
      <c r="H170" s="73"/>
      <c r="I170" s="73"/>
      <c r="J170" s="73"/>
      <c r="K170" s="73"/>
      <c r="L170" s="73"/>
      <c r="M170" s="74"/>
      <c r="N170" s="71" t="str">
        <f t="shared" si="2"/>
        <v/>
      </c>
      <c r="O170" s="75"/>
      <c r="P170" s="72"/>
      <c r="Q170" s="72"/>
      <c r="R170" s="72"/>
      <c r="S170" s="72"/>
      <c r="T170" s="72"/>
      <c r="U170" s="72"/>
      <c r="V170" s="76"/>
    </row>
    <row r="171" spans="1:25" ht="27.75" customHeight="1">
      <c r="A171" s="87" t="str">
        <f>IF(ISBLANK(C171)," ",166-COUNTBLANK($C$6:C171))</f>
        <v xml:space="preserve"> </v>
      </c>
      <c r="B171" s="88"/>
      <c r="C171" s="88"/>
      <c r="D171" s="89"/>
      <c r="E171" s="89"/>
      <c r="F171" s="73"/>
      <c r="G171" s="73"/>
      <c r="H171" s="73"/>
      <c r="I171" s="73"/>
      <c r="J171" s="73"/>
      <c r="K171" s="73"/>
      <c r="L171" s="73"/>
      <c r="M171" s="74"/>
      <c r="N171" s="71" t="str">
        <f t="shared" si="2"/>
        <v/>
      </c>
      <c r="O171" s="75"/>
      <c r="P171" s="72"/>
      <c r="Q171" s="72"/>
      <c r="R171" s="72"/>
      <c r="S171" s="72"/>
      <c r="T171" s="72"/>
      <c r="U171" s="72"/>
      <c r="V171" s="76"/>
    </row>
    <row r="172" spans="1:25" ht="27.75" customHeight="1">
      <c r="A172" s="87" t="str">
        <f>IF(ISBLANK(C172)," ",167-COUNTBLANK($C$6:C172))</f>
        <v xml:space="preserve"> </v>
      </c>
      <c r="B172" s="88"/>
      <c r="C172" s="88"/>
      <c r="D172" s="89"/>
      <c r="E172" s="89"/>
      <c r="F172" s="73"/>
      <c r="G172" s="73"/>
      <c r="H172" s="73"/>
      <c r="I172" s="73"/>
      <c r="J172" s="73"/>
      <c r="K172" s="73"/>
      <c r="L172" s="73"/>
      <c r="M172" s="74"/>
      <c r="N172" s="71" t="str">
        <f t="shared" si="2"/>
        <v/>
      </c>
      <c r="O172" s="72"/>
      <c r="P172" s="72"/>
      <c r="Q172" s="72"/>
      <c r="R172" s="72"/>
      <c r="S172" s="72"/>
      <c r="T172" s="72"/>
      <c r="U172" s="72"/>
      <c r="V172" s="79"/>
      <c r="W172" s="72"/>
      <c r="X172" s="72"/>
      <c r="Y172" s="72"/>
    </row>
    <row r="173" spans="1:25" ht="27.75" customHeight="1">
      <c r="A173" s="80" t="s">
        <v>52</v>
      </c>
      <c r="B173" s="81"/>
      <c r="C173" s="96"/>
      <c r="D173" s="82"/>
      <c r="E173" s="82">
        <f>SUM(E153:E172)</f>
        <v>0</v>
      </c>
      <c r="F173" s="83"/>
      <c r="G173" s="83"/>
      <c r="H173" s="83"/>
      <c r="I173" s="83"/>
      <c r="J173" s="83"/>
      <c r="K173" s="83"/>
      <c r="L173" s="83"/>
      <c r="M173" s="84"/>
      <c r="N173" s="71" t="str">
        <f t="shared" si="2"/>
        <v/>
      </c>
      <c r="O173" s="75"/>
      <c r="P173" s="72"/>
      <c r="Q173" s="72"/>
      <c r="R173" s="72"/>
      <c r="S173" s="72"/>
      <c r="T173" s="72"/>
      <c r="U173" s="72"/>
      <c r="V173" s="79"/>
      <c r="W173" s="72"/>
      <c r="X173" s="72"/>
      <c r="Y173" s="72"/>
    </row>
    <row r="174" spans="1:25" ht="27.75" customHeight="1">
      <c r="A174" s="93" t="str">
        <f>IF(ISBLANK(C174)," ",169-COUNTBLANK($C$6:C174))</f>
        <v xml:space="preserve"> </v>
      </c>
      <c r="B174" s="94"/>
      <c r="C174" s="94"/>
      <c r="D174" s="95"/>
      <c r="E174" s="95"/>
      <c r="F174" s="85"/>
      <c r="G174" s="85"/>
      <c r="H174" s="85"/>
      <c r="I174" s="85"/>
      <c r="J174" s="85"/>
      <c r="K174" s="85"/>
      <c r="L174" s="85"/>
      <c r="M174" s="86"/>
      <c r="N174" s="71" t="str">
        <f t="shared" si="2"/>
        <v/>
      </c>
      <c r="O174" s="72"/>
      <c r="P174" s="72"/>
      <c r="Q174" s="72"/>
      <c r="R174" s="72"/>
      <c r="S174" s="72"/>
      <c r="T174" s="72"/>
      <c r="U174" s="72"/>
      <c r="V174" s="72"/>
    </row>
    <row r="175" spans="1:25" ht="27.75" customHeight="1">
      <c r="A175" s="87" t="str">
        <f>IF(ISBLANK(C175)," ",170-COUNTBLANK($C$6:C175))</f>
        <v xml:space="preserve"> </v>
      </c>
      <c r="B175" s="88"/>
      <c r="C175" s="88"/>
      <c r="D175" s="89"/>
      <c r="E175" s="89"/>
      <c r="F175" s="73"/>
      <c r="G175" s="73"/>
      <c r="H175" s="73"/>
      <c r="I175" s="73"/>
      <c r="J175" s="73"/>
      <c r="K175" s="73"/>
      <c r="L175" s="73"/>
      <c r="M175" s="74"/>
      <c r="N175" s="71" t="str">
        <f t="shared" si="2"/>
        <v/>
      </c>
      <c r="O175" s="72"/>
      <c r="P175" s="72"/>
      <c r="Q175" s="72"/>
      <c r="R175" s="72"/>
      <c r="S175" s="72"/>
      <c r="T175" s="72"/>
      <c r="U175" s="72"/>
      <c r="V175" s="72"/>
    </row>
    <row r="176" spans="1:25" ht="27.75" customHeight="1">
      <c r="A176" s="87" t="str">
        <f>IF(ISBLANK(C176)," ",171-COUNTBLANK($C$6:C176))</f>
        <v xml:space="preserve"> </v>
      </c>
      <c r="B176" s="88"/>
      <c r="C176" s="88"/>
      <c r="D176" s="89"/>
      <c r="E176" s="89"/>
      <c r="F176" s="73"/>
      <c r="G176" s="73"/>
      <c r="H176" s="73"/>
      <c r="I176" s="73"/>
      <c r="J176" s="73"/>
      <c r="K176" s="73"/>
      <c r="L176" s="73"/>
      <c r="M176" s="74"/>
      <c r="N176" s="71" t="str">
        <f t="shared" si="2"/>
        <v/>
      </c>
      <c r="O176" s="72"/>
      <c r="P176" s="72"/>
      <c r="Q176" s="72"/>
      <c r="R176" s="72"/>
      <c r="S176" s="72"/>
      <c r="T176" s="72"/>
      <c r="U176" s="72"/>
      <c r="V176" s="72"/>
    </row>
    <row r="177" spans="1:22" ht="27.75" customHeight="1">
      <c r="A177" s="87" t="str">
        <f>IF(ISBLANK(C177)," ",172-COUNTBLANK($C$6:C177))</f>
        <v xml:space="preserve"> </v>
      </c>
      <c r="B177" s="88"/>
      <c r="C177" s="88"/>
      <c r="D177" s="89"/>
      <c r="E177" s="89"/>
      <c r="F177" s="73"/>
      <c r="G177" s="73"/>
      <c r="H177" s="73"/>
      <c r="I177" s="73"/>
      <c r="J177" s="73"/>
      <c r="K177" s="73"/>
      <c r="L177" s="73"/>
      <c r="M177" s="74"/>
      <c r="N177" s="71" t="str">
        <f t="shared" si="2"/>
        <v/>
      </c>
      <c r="O177" s="72"/>
      <c r="P177" s="72"/>
      <c r="Q177" s="72"/>
      <c r="R177" s="72"/>
      <c r="S177" s="72"/>
      <c r="T177" s="72"/>
      <c r="U177" s="72"/>
      <c r="V177" s="72"/>
    </row>
    <row r="178" spans="1:22" ht="27.75" customHeight="1">
      <c r="A178" s="87" t="str">
        <f>IF(ISBLANK(C178)," ",173-COUNTBLANK($C$6:C178))</f>
        <v xml:space="preserve"> </v>
      </c>
      <c r="B178" s="88"/>
      <c r="C178" s="88"/>
      <c r="D178" s="89"/>
      <c r="E178" s="89"/>
      <c r="F178" s="73"/>
      <c r="G178" s="73"/>
      <c r="H178" s="73"/>
      <c r="I178" s="73"/>
      <c r="J178" s="73"/>
      <c r="K178" s="73"/>
      <c r="L178" s="73"/>
      <c r="M178" s="74"/>
      <c r="N178" s="71" t="str">
        <f t="shared" si="2"/>
        <v/>
      </c>
      <c r="O178" s="72"/>
      <c r="P178" s="72"/>
      <c r="Q178" s="72"/>
      <c r="R178" s="72"/>
      <c r="S178" s="72"/>
      <c r="T178" s="72"/>
      <c r="U178" s="72"/>
      <c r="V178" s="72"/>
    </row>
    <row r="179" spans="1:22" ht="27.75" customHeight="1">
      <c r="A179" s="87" t="str">
        <f>IF(ISBLANK(C179)," ",174-COUNTBLANK($C$6:C179))</f>
        <v xml:space="preserve"> </v>
      </c>
      <c r="B179" s="88"/>
      <c r="C179" s="88"/>
      <c r="D179" s="89"/>
      <c r="E179" s="89"/>
      <c r="F179" s="73"/>
      <c r="G179" s="73"/>
      <c r="H179" s="73"/>
      <c r="I179" s="73"/>
      <c r="J179" s="73"/>
      <c r="K179" s="73"/>
      <c r="L179" s="73"/>
      <c r="M179" s="74"/>
      <c r="N179" s="71" t="str">
        <f t="shared" si="2"/>
        <v/>
      </c>
      <c r="O179" s="72"/>
      <c r="P179" s="72"/>
      <c r="Q179" s="72"/>
      <c r="R179" s="72"/>
      <c r="S179" s="72"/>
      <c r="T179" s="72"/>
      <c r="U179" s="72"/>
      <c r="V179" s="72"/>
    </row>
    <row r="180" spans="1:22" ht="27.75" customHeight="1">
      <c r="A180" s="87" t="str">
        <f>IF(ISBLANK(C180)," ",175-COUNTBLANK($C$6:C180))</f>
        <v xml:space="preserve"> </v>
      </c>
      <c r="B180" s="88"/>
      <c r="C180" s="88"/>
      <c r="D180" s="89"/>
      <c r="E180" s="89"/>
      <c r="F180" s="73"/>
      <c r="G180" s="73"/>
      <c r="H180" s="73"/>
      <c r="I180" s="73"/>
      <c r="J180" s="73"/>
      <c r="K180" s="73"/>
      <c r="L180" s="73"/>
      <c r="M180" s="74"/>
      <c r="N180" s="71" t="str">
        <f t="shared" si="2"/>
        <v/>
      </c>
      <c r="O180" s="72"/>
      <c r="P180" s="72"/>
      <c r="Q180" s="72"/>
      <c r="R180" s="72"/>
      <c r="S180" s="72"/>
      <c r="T180" s="72"/>
      <c r="U180" s="72"/>
      <c r="V180" s="72"/>
    </row>
    <row r="181" spans="1:22" ht="27.75" customHeight="1">
      <c r="A181" s="87" t="str">
        <f>IF(ISBLANK(C181)," ",176-COUNTBLANK($C$6:C181))</f>
        <v xml:space="preserve"> </v>
      </c>
      <c r="B181" s="88"/>
      <c r="C181" s="88"/>
      <c r="D181" s="89"/>
      <c r="E181" s="89"/>
      <c r="F181" s="73"/>
      <c r="G181" s="73"/>
      <c r="H181" s="73"/>
      <c r="I181" s="73"/>
      <c r="J181" s="73"/>
      <c r="K181" s="73"/>
      <c r="L181" s="73"/>
      <c r="M181" s="74"/>
      <c r="N181" s="71" t="str">
        <f t="shared" si="2"/>
        <v/>
      </c>
      <c r="O181" s="72"/>
      <c r="P181" s="72"/>
      <c r="Q181" s="72"/>
      <c r="R181" s="72"/>
      <c r="S181" s="72"/>
      <c r="T181" s="72"/>
      <c r="U181" s="72"/>
      <c r="V181" s="72"/>
    </row>
    <row r="182" spans="1:22" ht="27.75" customHeight="1">
      <c r="A182" s="87" t="str">
        <f>IF(ISBLANK(C182)," ",177-COUNTBLANK($C$6:C182))</f>
        <v xml:space="preserve"> </v>
      </c>
      <c r="B182" s="88"/>
      <c r="C182" s="88"/>
      <c r="D182" s="89"/>
      <c r="E182" s="89"/>
      <c r="F182" s="73"/>
      <c r="G182" s="73"/>
      <c r="H182" s="73"/>
      <c r="I182" s="73"/>
      <c r="J182" s="73"/>
      <c r="K182" s="73"/>
      <c r="L182" s="73"/>
      <c r="M182" s="74"/>
      <c r="N182" s="71" t="str">
        <f t="shared" si="2"/>
        <v/>
      </c>
      <c r="O182" s="72"/>
      <c r="P182" s="72"/>
      <c r="Q182" s="72"/>
      <c r="R182" s="72"/>
      <c r="S182" s="72"/>
      <c r="T182" s="72"/>
      <c r="U182" s="72"/>
      <c r="V182" s="72"/>
    </row>
    <row r="183" spans="1:22" ht="27.75" customHeight="1">
      <c r="A183" s="87" t="str">
        <f>IF(ISBLANK(C183)," ",178-COUNTBLANK($C$6:C183))</f>
        <v xml:space="preserve"> </v>
      </c>
      <c r="B183" s="88"/>
      <c r="C183" s="88"/>
      <c r="D183" s="89"/>
      <c r="E183" s="89"/>
      <c r="F183" s="73"/>
      <c r="G183" s="73"/>
      <c r="H183" s="73"/>
      <c r="I183" s="73"/>
      <c r="J183" s="73"/>
      <c r="K183" s="73"/>
      <c r="L183" s="73"/>
      <c r="M183" s="74"/>
      <c r="N183" s="71" t="str">
        <f t="shared" si="2"/>
        <v/>
      </c>
      <c r="O183" s="72"/>
      <c r="P183" s="72"/>
      <c r="Q183" s="72"/>
      <c r="R183" s="72"/>
      <c r="S183" s="72"/>
      <c r="T183" s="72"/>
      <c r="U183" s="72"/>
      <c r="V183" s="72"/>
    </row>
    <row r="184" spans="1:22" ht="27.75" customHeight="1">
      <c r="A184" s="87" t="str">
        <f>IF(ISBLANK(C184)," ",179-COUNTBLANK($C$6:C184))</f>
        <v xml:space="preserve"> </v>
      </c>
      <c r="B184" s="88"/>
      <c r="C184" s="88"/>
      <c r="D184" s="89"/>
      <c r="E184" s="89"/>
      <c r="F184" s="73"/>
      <c r="G184" s="73"/>
      <c r="H184" s="73"/>
      <c r="I184" s="73"/>
      <c r="J184" s="73"/>
      <c r="K184" s="73"/>
      <c r="L184" s="73"/>
      <c r="M184" s="74"/>
      <c r="N184" s="71" t="str">
        <f t="shared" si="2"/>
        <v/>
      </c>
      <c r="O184" s="72"/>
      <c r="P184" s="72"/>
      <c r="Q184" s="72"/>
      <c r="R184" s="72"/>
      <c r="S184" s="72"/>
      <c r="T184" s="72"/>
      <c r="U184" s="72"/>
      <c r="V184" s="72"/>
    </row>
    <row r="185" spans="1:22" ht="27.75" customHeight="1">
      <c r="A185" s="87" t="str">
        <f>IF(ISBLANK(C185)," ",180-COUNTBLANK($C$6:C185))</f>
        <v xml:space="preserve"> </v>
      </c>
      <c r="B185" s="88"/>
      <c r="C185" s="88"/>
      <c r="D185" s="89"/>
      <c r="E185" s="89"/>
      <c r="F185" s="73"/>
      <c r="G185" s="73"/>
      <c r="H185" s="73"/>
      <c r="I185" s="73"/>
      <c r="J185" s="73"/>
      <c r="K185" s="73"/>
      <c r="L185" s="73"/>
      <c r="M185" s="74"/>
      <c r="N185" s="71" t="str">
        <f t="shared" si="2"/>
        <v/>
      </c>
      <c r="O185" s="72"/>
      <c r="P185" s="72"/>
      <c r="Q185" s="72"/>
      <c r="R185" s="72"/>
      <c r="S185" s="72"/>
      <c r="T185" s="72"/>
      <c r="U185" s="72"/>
      <c r="V185" s="72"/>
    </row>
    <row r="186" spans="1:22" ht="27.75" customHeight="1">
      <c r="A186" s="87" t="str">
        <f>IF(ISBLANK(C186)," ",181-COUNTBLANK($C$6:C186))</f>
        <v xml:space="preserve"> </v>
      </c>
      <c r="B186" s="88"/>
      <c r="C186" s="88"/>
      <c r="D186" s="89"/>
      <c r="E186" s="89"/>
      <c r="F186" s="73"/>
      <c r="G186" s="73"/>
      <c r="H186" s="73"/>
      <c r="I186" s="73"/>
      <c r="J186" s="73"/>
      <c r="K186" s="73"/>
      <c r="L186" s="73"/>
      <c r="M186" s="74"/>
      <c r="N186" s="71" t="str">
        <f t="shared" si="2"/>
        <v/>
      </c>
      <c r="O186" s="72"/>
      <c r="P186" s="72"/>
      <c r="Q186" s="72"/>
      <c r="R186" s="72"/>
      <c r="S186" s="72"/>
      <c r="T186" s="72"/>
      <c r="U186" s="72"/>
      <c r="V186" s="72"/>
    </row>
    <row r="187" spans="1:22" ht="27.75" customHeight="1">
      <c r="A187" s="87" t="str">
        <f>IF(ISBLANK(C187)," ",182-COUNTBLANK($C$6:C187))</f>
        <v xml:space="preserve"> </v>
      </c>
      <c r="B187" s="88"/>
      <c r="C187" s="88"/>
      <c r="D187" s="89"/>
      <c r="E187" s="89"/>
      <c r="F187" s="73"/>
      <c r="G187" s="73"/>
      <c r="H187" s="73"/>
      <c r="I187" s="73"/>
      <c r="J187" s="73"/>
      <c r="K187" s="73"/>
      <c r="L187" s="73"/>
      <c r="M187" s="74"/>
      <c r="N187" s="71" t="str">
        <f t="shared" si="2"/>
        <v/>
      </c>
      <c r="O187" s="72"/>
      <c r="P187" s="72"/>
      <c r="Q187" s="72"/>
      <c r="R187" s="72"/>
      <c r="S187" s="72"/>
      <c r="T187" s="72"/>
      <c r="U187" s="72"/>
      <c r="V187" s="72"/>
    </row>
    <row r="188" spans="1:22" ht="27.75" customHeight="1">
      <c r="A188" s="87" t="str">
        <f>IF(ISBLANK(C188)," ",183-COUNTBLANK($C$6:C188))</f>
        <v xml:space="preserve"> </v>
      </c>
      <c r="B188" s="88"/>
      <c r="C188" s="88"/>
      <c r="D188" s="89"/>
      <c r="E188" s="89"/>
      <c r="F188" s="73"/>
      <c r="G188" s="73"/>
      <c r="H188" s="73"/>
      <c r="I188" s="73"/>
      <c r="J188" s="73"/>
      <c r="K188" s="73"/>
      <c r="L188" s="73"/>
      <c r="M188" s="74"/>
      <c r="N188" s="71" t="str">
        <f t="shared" si="2"/>
        <v/>
      </c>
      <c r="O188" s="72"/>
      <c r="P188" s="72"/>
      <c r="Q188" s="72"/>
      <c r="R188" s="72"/>
      <c r="S188" s="72"/>
      <c r="T188" s="72"/>
      <c r="U188" s="72"/>
      <c r="V188" s="72"/>
    </row>
    <row r="189" spans="1:22" ht="27.75" customHeight="1">
      <c r="A189" s="87" t="str">
        <f>IF(ISBLANK(C189)," ",184-COUNTBLANK($C$6:C189))</f>
        <v xml:space="preserve"> </v>
      </c>
      <c r="B189" s="88"/>
      <c r="C189" s="88"/>
      <c r="D189" s="89"/>
      <c r="E189" s="89"/>
      <c r="F189" s="73"/>
      <c r="G189" s="73"/>
      <c r="H189" s="73"/>
      <c r="I189" s="73"/>
      <c r="J189" s="73"/>
      <c r="K189" s="73"/>
      <c r="L189" s="73"/>
      <c r="M189" s="74"/>
      <c r="N189" s="71" t="str">
        <f t="shared" si="2"/>
        <v/>
      </c>
      <c r="O189" s="75"/>
      <c r="P189" s="72"/>
      <c r="Q189" s="72"/>
      <c r="R189" s="72"/>
      <c r="S189" s="72"/>
      <c r="T189" s="72"/>
      <c r="U189" s="72"/>
      <c r="V189" s="76"/>
    </row>
    <row r="190" spans="1:22" ht="27.75" customHeight="1">
      <c r="A190" s="87" t="str">
        <f>IF(ISBLANK(C190)," ",185-COUNTBLANK($C$6:C190))</f>
        <v xml:space="preserve"> </v>
      </c>
      <c r="B190" s="88"/>
      <c r="C190" s="88"/>
      <c r="D190" s="89"/>
      <c r="E190" s="89"/>
      <c r="F190" s="73"/>
      <c r="G190" s="73"/>
      <c r="H190" s="73"/>
      <c r="I190" s="73"/>
      <c r="J190" s="73"/>
      <c r="K190" s="73"/>
      <c r="L190" s="73"/>
      <c r="M190" s="74"/>
      <c r="N190" s="71" t="str">
        <f t="shared" si="2"/>
        <v/>
      </c>
      <c r="O190" s="75"/>
      <c r="P190" s="72"/>
      <c r="Q190" s="72"/>
      <c r="R190" s="72"/>
      <c r="S190" s="72"/>
      <c r="T190" s="72"/>
      <c r="U190" s="72"/>
      <c r="V190" s="76"/>
    </row>
    <row r="191" spans="1:22" ht="27.75" customHeight="1">
      <c r="A191" s="87" t="str">
        <f>IF(ISBLANK(C191)," ",186-COUNTBLANK($C$6:C191))</f>
        <v xml:space="preserve"> </v>
      </c>
      <c r="B191" s="88"/>
      <c r="C191" s="88"/>
      <c r="D191" s="89"/>
      <c r="E191" s="89"/>
      <c r="F191" s="73"/>
      <c r="G191" s="73"/>
      <c r="H191" s="73"/>
      <c r="I191" s="73"/>
      <c r="J191" s="73"/>
      <c r="K191" s="73"/>
      <c r="L191" s="73"/>
      <c r="M191" s="74"/>
      <c r="N191" s="71" t="str">
        <f t="shared" si="2"/>
        <v/>
      </c>
      <c r="O191" s="75"/>
      <c r="P191" s="72"/>
      <c r="Q191" s="72"/>
      <c r="R191" s="72"/>
      <c r="S191" s="72"/>
      <c r="T191" s="72"/>
      <c r="U191" s="72"/>
      <c r="V191" s="76"/>
    </row>
    <row r="192" spans="1:22" ht="27.75" customHeight="1">
      <c r="A192" s="87" t="str">
        <f>IF(ISBLANK(C192)," ",187-COUNTBLANK($C$6:C192))</f>
        <v xml:space="preserve"> </v>
      </c>
      <c r="B192" s="88"/>
      <c r="C192" s="88"/>
      <c r="D192" s="89"/>
      <c r="E192" s="89"/>
      <c r="F192" s="73"/>
      <c r="G192" s="73"/>
      <c r="H192" s="73"/>
      <c r="I192" s="73"/>
      <c r="J192" s="73"/>
      <c r="K192" s="73"/>
      <c r="L192" s="73"/>
      <c r="M192" s="74"/>
      <c r="N192" s="71" t="str">
        <f t="shared" si="2"/>
        <v/>
      </c>
      <c r="O192" s="75"/>
      <c r="P192" s="72"/>
      <c r="Q192" s="72"/>
      <c r="R192" s="72"/>
      <c r="S192" s="72"/>
      <c r="T192" s="72"/>
      <c r="U192" s="72"/>
      <c r="V192" s="76"/>
    </row>
    <row r="193" spans="1:25" ht="27.75" customHeight="1">
      <c r="A193" s="87" t="str">
        <f>IF(ISBLANK(C193)," ",188-COUNTBLANK($C$6:C193))</f>
        <v xml:space="preserve"> </v>
      </c>
      <c r="B193" s="88"/>
      <c r="C193" s="88"/>
      <c r="D193" s="89"/>
      <c r="E193" s="89"/>
      <c r="F193" s="73"/>
      <c r="G193" s="73"/>
      <c r="H193" s="73"/>
      <c r="I193" s="73"/>
      <c r="J193" s="73"/>
      <c r="K193" s="73"/>
      <c r="L193" s="73"/>
      <c r="M193" s="74"/>
      <c r="N193" s="71" t="str">
        <f t="shared" si="2"/>
        <v/>
      </c>
      <c r="O193" s="72"/>
      <c r="P193" s="72"/>
      <c r="Q193" s="72"/>
      <c r="R193" s="72"/>
      <c r="S193" s="72"/>
      <c r="T193" s="72"/>
      <c r="U193" s="72"/>
      <c r="V193" s="79"/>
      <c r="W193" s="72"/>
      <c r="X193" s="72"/>
      <c r="Y193" s="72"/>
    </row>
    <row r="194" spans="1:25" ht="27.75" customHeight="1">
      <c r="A194" s="80" t="s">
        <v>52</v>
      </c>
      <c r="B194" s="81"/>
      <c r="C194" s="96"/>
      <c r="D194" s="82"/>
      <c r="E194" s="82">
        <f>SUM(E174:E193)</f>
        <v>0</v>
      </c>
      <c r="F194" s="83"/>
      <c r="G194" s="83"/>
      <c r="H194" s="83"/>
      <c r="I194" s="83"/>
      <c r="J194" s="83"/>
      <c r="K194" s="83"/>
      <c r="L194" s="83"/>
      <c r="M194" s="84"/>
      <c r="N194" s="71" t="str">
        <f t="shared" si="2"/>
        <v/>
      </c>
      <c r="O194" s="75"/>
      <c r="P194" s="72"/>
      <c r="Q194" s="72"/>
      <c r="R194" s="72"/>
      <c r="S194" s="72"/>
      <c r="T194" s="72"/>
      <c r="U194" s="72"/>
      <c r="V194" s="79"/>
      <c r="W194" s="72"/>
      <c r="X194" s="72"/>
      <c r="Y194" s="72"/>
    </row>
    <row r="195" spans="1:25" ht="27.75" customHeight="1">
      <c r="A195" s="93" t="str">
        <f>IF(ISBLANK(C195)," ",190-COUNTBLANK($C$6:C195))</f>
        <v xml:space="preserve"> </v>
      </c>
      <c r="B195" s="94"/>
      <c r="C195" s="94"/>
      <c r="D195" s="95"/>
      <c r="E195" s="95"/>
      <c r="F195" s="85"/>
      <c r="G195" s="85"/>
      <c r="H195" s="85"/>
      <c r="I195" s="85"/>
      <c r="J195" s="85"/>
      <c r="K195" s="85"/>
      <c r="L195" s="85"/>
      <c r="M195" s="86"/>
      <c r="N195" s="71" t="str">
        <f t="shared" si="2"/>
        <v/>
      </c>
      <c r="O195" s="72"/>
      <c r="P195" s="72"/>
      <c r="Q195" s="72"/>
      <c r="R195" s="72"/>
      <c r="S195" s="72"/>
      <c r="T195" s="72"/>
      <c r="U195" s="72"/>
      <c r="V195" s="72"/>
    </row>
    <row r="196" spans="1:25" ht="27.75" customHeight="1">
      <c r="A196" s="87" t="str">
        <f>IF(ISBLANK(C196)," ",191-COUNTBLANK($C$6:C196))</f>
        <v xml:space="preserve"> </v>
      </c>
      <c r="B196" s="88"/>
      <c r="C196" s="88"/>
      <c r="D196" s="89"/>
      <c r="E196" s="89"/>
      <c r="F196" s="73"/>
      <c r="G196" s="73"/>
      <c r="H196" s="73"/>
      <c r="I196" s="73"/>
      <c r="J196" s="73"/>
      <c r="K196" s="73"/>
      <c r="L196" s="73"/>
      <c r="M196" s="74"/>
      <c r="N196" s="71" t="str">
        <f t="shared" si="2"/>
        <v/>
      </c>
      <c r="O196" s="72"/>
      <c r="P196" s="72"/>
      <c r="Q196" s="72"/>
      <c r="R196" s="72"/>
      <c r="S196" s="72"/>
      <c r="T196" s="72"/>
      <c r="U196" s="72"/>
      <c r="V196" s="72"/>
    </row>
    <row r="197" spans="1:25" ht="27.75" customHeight="1">
      <c r="A197" s="87" t="str">
        <f>IF(ISBLANK(C197)," ",192-COUNTBLANK($C$6:C197))</f>
        <v xml:space="preserve"> </v>
      </c>
      <c r="B197" s="88"/>
      <c r="C197" s="88"/>
      <c r="D197" s="89"/>
      <c r="E197" s="89"/>
      <c r="F197" s="73"/>
      <c r="G197" s="73"/>
      <c r="H197" s="73"/>
      <c r="I197" s="73"/>
      <c r="J197" s="73"/>
      <c r="K197" s="73"/>
      <c r="L197" s="73"/>
      <c r="M197" s="74"/>
      <c r="N197" s="71" t="str">
        <f t="shared" si="2"/>
        <v/>
      </c>
      <c r="O197" s="72"/>
      <c r="P197" s="72"/>
      <c r="Q197" s="72"/>
      <c r="R197" s="72"/>
      <c r="S197" s="72"/>
      <c r="T197" s="72"/>
      <c r="U197" s="72"/>
      <c r="V197" s="72"/>
    </row>
    <row r="198" spans="1:25" ht="27.75" customHeight="1">
      <c r="A198" s="87" t="str">
        <f>IF(ISBLANK(C198)," ",193-COUNTBLANK($C$6:C198))</f>
        <v xml:space="preserve"> </v>
      </c>
      <c r="B198" s="88"/>
      <c r="C198" s="88"/>
      <c r="D198" s="89"/>
      <c r="E198" s="89"/>
      <c r="F198" s="73"/>
      <c r="G198" s="73"/>
      <c r="H198" s="73"/>
      <c r="I198" s="73"/>
      <c r="J198" s="73"/>
      <c r="K198" s="73"/>
      <c r="L198" s="73"/>
      <c r="M198" s="74"/>
      <c r="N198" s="71" t="str">
        <f t="shared" ref="N198:N261" si="3">CONCATENATE(C198,H198)</f>
        <v/>
      </c>
      <c r="O198" s="72"/>
      <c r="P198" s="72"/>
      <c r="Q198" s="72"/>
      <c r="R198" s="72"/>
      <c r="S198" s="72"/>
      <c r="T198" s="72"/>
      <c r="U198" s="72"/>
      <c r="V198" s="72"/>
    </row>
    <row r="199" spans="1:25" ht="27.75" customHeight="1">
      <c r="A199" s="87" t="str">
        <f>IF(ISBLANK(C199)," ",194-COUNTBLANK($C$6:C199))</f>
        <v xml:space="preserve"> </v>
      </c>
      <c r="B199" s="88"/>
      <c r="C199" s="88"/>
      <c r="D199" s="89"/>
      <c r="E199" s="89"/>
      <c r="F199" s="73"/>
      <c r="G199" s="73"/>
      <c r="H199" s="73"/>
      <c r="I199" s="73"/>
      <c r="J199" s="73"/>
      <c r="K199" s="73"/>
      <c r="L199" s="73"/>
      <c r="M199" s="74"/>
      <c r="N199" s="71" t="str">
        <f t="shared" si="3"/>
        <v/>
      </c>
      <c r="O199" s="72"/>
      <c r="P199" s="72"/>
      <c r="Q199" s="72"/>
      <c r="R199" s="72"/>
      <c r="S199" s="72"/>
      <c r="T199" s="72"/>
      <c r="U199" s="72"/>
      <c r="V199" s="72"/>
    </row>
    <row r="200" spans="1:25" ht="27.75" customHeight="1">
      <c r="A200" s="87" t="str">
        <f>IF(ISBLANK(C200)," ",195-COUNTBLANK($C$6:C200))</f>
        <v xml:space="preserve"> </v>
      </c>
      <c r="B200" s="88"/>
      <c r="C200" s="88"/>
      <c r="D200" s="89"/>
      <c r="E200" s="89"/>
      <c r="F200" s="73"/>
      <c r="G200" s="73"/>
      <c r="H200" s="73"/>
      <c r="I200" s="73"/>
      <c r="J200" s="73"/>
      <c r="K200" s="73"/>
      <c r="L200" s="73"/>
      <c r="M200" s="74"/>
      <c r="N200" s="71" t="str">
        <f t="shared" si="3"/>
        <v/>
      </c>
      <c r="O200" s="72"/>
      <c r="P200" s="72"/>
      <c r="Q200" s="72"/>
      <c r="R200" s="72"/>
      <c r="S200" s="72"/>
      <c r="T200" s="72"/>
      <c r="U200" s="72"/>
      <c r="V200" s="72"/>
    </row>
    <row r="201" spans="1:25" ht="27.75" customHeight="1">
      <c r="A201" s="87" t="str">
        <f>IF(ISBLANK(C201)," ",196-COUNTBLANK($C$6:C201))</f>
        <v xml:space="preserve"> </v>
      </c>
      <c r="B201" s="88"/>
      <c r="C201" s="88"/>
      <c r="D201" s="89"/>
      <c r="E201" s="89"/>
      <c r="F201" s="73"/>
      <c r="G201" s="73"/>
      <c r="H201" s="73"/>
      <c r="I201" s="73"/>
      <c r="J201" s="73"/>
      <c r="K201" s="73"/>
      <c r="L201" s="73"/>
      <c r="M201" s="74"/>
      <c r="N201" s="71" t="str">
        <f t="shared" si="3"/>
        <v/>
      </c>
      <c r="O201" s="72"/>
      <c r="P201" s="72"/>
      <c r="Q201" s="72"/>
      <c r="R201" s="72"/>
      <c r="S201" s="72"/>
      <c r="T201" s="72"/>
      <c r="U201" s="72"/>
      <c r="V201" s="72"/>
    </row>
    <row r="202" spans="1:25" ht="27.75" customHeight="1">
      <c r="A202" s="87" t="str">
        <f>IF(ISBLANK(C202)," ",197-COUNTBLANK($C$6:C202))</f>
        <v xml:space="preserve"> </v>
      </c>
      <c r="B202" s="88"/>
      <c r="C202" s="88"/>
      <c r="D202" s="89"/>
      <c r="E202" s="89"/>
      <c r="F202" s="73"/>
      <c r="G202" s="73"/>
      <c r="H202" s="73"/>
      <c r="I202" s="73"/>
      <c r="J202" s="73"/>
      <c r="K202" s="73"/>
      <c r="L202" s="73"/>
      <c r="M202" s="74"/>
      <c r="N202" s="71" t="str">
        <f t="shared" si="3"/>
        <v/>
      </c>
      <c r="O202" s="72"/>
      <c r="P202" s="72"/>
      <c r="Q202" s="72"/>
      <c r="R202" s="72"/>
      <c r="S202" s="72"/>
      <c r="T202" s="72"/>
      <c r="U202" s="72"/>
      <c r="V202" s="72"/>
    </row>
    <row r="203" spans="1:25" ht="27.75" customHeight="1">
      <c r="A203" s="87" t="str">
        <f>IF(ISBLANK(C203)," ",198-COUNTBLANK($C$6:C203))</f>
        <v xml:space="preserve"> </v>
      </c>
      <c r="B203" s="88"/>
      <c r="C203" s="88"/>
      <c r="D203" s="89"/>
      <c r="E203" s="89"/>
      <c r="F203" s="73"/>
      <c r="G203" s="73"/>
      <c r="H203" s="73"/>
      <c r="I203" s="73"/>
      <c r="J203" s="73"/>
      <c r="K203" s="73"/>
      <c r="L203" s="73"/>
      <c r="M203" s="74"/>
      <c r="N203" s="71" t="str">
        <f t="shared" si="3"/>
        <v/>
      </c>
      <c r="O203" s="72"/>
      <c r="P203" s="72"/>
      <c r="Q203" s="72"/>
      <c r="R203" s="72"/>
      <c r="S203" s="72"/>
      <c r="T203" s="72"/>
      <c r="U203" s="72"/>
      <c r="V203" s="72"/>
    </row>
    <row r="204" spans="1:25" ht="27.75" customHeight="1">
      <c r="A204" s="87" t="str">
        <f>IF(ISBLANK(C204)," ",199-COUNTBLANK($C$6:C204))</f>
        <v xml:space="preserve"> </v>
      </c>
      <c r="B204" s="88"/>
      <c r="C204" s="88"/>
      <c r="D204" s="89"/>
      <c r="E204" s="89"/>
      <c r="F204" s="73"/>
      <c r="G204" s="73"/>
      <c r="H204" s="73"/>
      <c r="I204" s="73"/>
      <c r="J204" s="73"/>
      <c r="K204" s="73"/>
      <c r="L204" s="73"/>
      <c r="M204" s="74"/>
      <c r="N204" s="71" t="str">
        <f t="shared" si="3"/>
        <v/>
      </c>
      <c r="O204" s="72"/>
      <c r="P204" s="72"/>
      <c r="Q204" s="72"/>
      <c r="R204" s="72"/>
      <c r="S204" s="72"/>
      <c r="T204" s="72"/>
      <c r="U204" s="72"/>
      <c r="V204" s="72"/>
    </row>
    <row r="205" spans="1:25" ht="27.75" customHeight="1">
      <c r="A205" s="87" t="str">
        <f>IF(ISBLANK(C205)," ",200-COUNTBLANK($C$6:C205))</f>
        <v xml:space="preserve"> </v>
      </c>
      <c r="B205" s="88"/>
      <c r="C205" s="88"/>
      <c r="D205" s="89"/>
      <c r="E205" s="89"/>
      <c r="F205" s="73"/>
      <c r="G205" s="73"/>
      <c r="H205" s="73"/>
      <c r="I205" s="73"/>
      <c r="J205" s="73"/>
      <c r="K205" s="73"/>
      <c r="L205" s="73"/>
      <c r="M205" s="74"/>
      <c r="N205" s="71" t="str">
        <f t="shared" si="3"/>
        <v/>
      </c>
      <c r="O205" s="72"/>
      <c r="P205" s="72"/>
      <c r="Q205" s="72"/>
      <c r="R205" s="72"/>
      <c r="S205" s="72"/>
      <c r="T205" s="72"/>
      <c r="U205" s="72"/>
      <c r="V205" s="72"/>
    </row>
    <row r="206" spans="1:25" ht="27.75" customHeight="1">
      <c r="A206" s="87" t="str">
        <f>IF(ISBLANK(C206)," ",201-COUNTBLANK($C$6:C206))</f>
        <v xml:space="preserve"> </v>
      </c>
      <c r="B206" s="88"/>
      <c r="C206" s="88"/>
      <c r="D206" s="89"/>
      <c r="E206" s="89"/>
      <c r="F206" s="73"/>
      <c r="G206" s="73"/>
      <c r="H206" s="73"/>
      <c r="I206" s="73"/>
      <c r="J206" s="73"/>
      <c r="K206" s="73"/>
      <c r="L206" s="73"/>
      <c r="M206" s="74"/>
      <c r="N206" s="71" t="str">
        <f t="shared" si="3"/>
        <v/>
      </c>
      <c r="O206" s="72"/>
      <c r="P206" s="72"/>
      <c r="Q206" s="72"/>
      <c r="R206" s="72"/>
      <c r="S206" s="72"/>
      <c r="T206" s="72"/>
      <c r="U206" s="72"/>
      <c r="V206" s="72"/>
    </row>
    <row r="207" spans="1:25" ht="27.75" customHeight="1">
      <c r="A207" s="87" t="str">
        <f>IF(ISBLANK(C207)," ",202-COUNTBLANK($C$6:C207))</f>
        <v xml:space="preserve"> </v>
      </c>
      <c r="B207" s="88"/>
      <c r="C207" s="88"/>
      <c r="D207" s="89"/>
      <c r="E207" s="89"/>
      <c r="F207" s="73"/>
      <c r="G207" s="73"/>
      <c r="H207" s="73"/>
      <c r="I207" s="73"/>
      <c r="J207" s="73"/>
      <c r="K207" s="73"/>
      <c r="L207" s="73"/>
      <c r="M207" s="74"/>
      <c r="N207" s="71" t="str">
        <f t="shared" si="3"/>
        <v/>
      </c>
      <c r="O207" s="72"/>
      <c r="P207" s="72"/>
      <c r="Q207" s="72"/>
      <c r="R207" s="72"/>
      <c r="S207" s="72"/>
      <c r="T207" s="72"/>
      <c r="U207" s="72"/>
      <c r="V207" s="72"/>
    </row>
    <row r="208" spans="1:25" ht="27.75" customHeight="1">
      <c r="A208" s="87" t="str">
        <f>IF(ISBLANK(C208)," ",203-COUNTBLANK($C$6:C208))</f>
        <v xml:space="preserve"> </v>
      </c>
      <c r="B208" s="88"/>
      <c r="C208" s="88"/>
      <c r="D208" s="89"/>
      <c r="E208" s="89"/>
      <c r="F208" s="73"/>
      <c r="G208" s="73"/>
      <c r="H208" s="73"/>
      <c r="I208" s="73"/>
      <c r="J208" s="73"/>
      <c r="K208" s="73"/>
      <c r="L208" s="73"/>
      <c r="M208" s="74"/>
      <c r="N208" s="71" t="str">
        <f t="shared" si="3"/>
        <v/>
      </c>
      <c r="O208" s="72"/>
      <c r="P208" s="72"/>
      <c r="Q208" s="72"/>
      <c r="R208" s="72"/>
      <c r="S208" s="72"/>
      <c r="T208" s="72"/>
      <c r="U208" s="72"/>
      <c r="V208" s="72"/>
    </row>
    <row r="209" spans="1:25" ht="27.75" customHeight="1">
      <c r="A209" s="87" t="str">
        <f>IF(ISBLANK(C209)," ",204-COUNTBLANK($C$6:C209))</f>
        <v xml:space="preserve"> </v>
      </c>
      <c r="B209" s="88"/>
      <c r="C209" s="88"/>
      <c r="D209" s="89"/>
      <c r="E209" s="89"/>
      <c r="F209" s="73"/>
      <c r="G209" s="73"/>
      <c r="H209" s="73"/>
      <c r="I209" s="73"/>
      <c r="J209" s="73"/>
      <c r="K209" s="73"/>
      <c r="L209" s="73"/>
      <c r="M209" s="74"/>
      <c r="N209" s="71" t="str">
        <f t="shared" si="3"/>
        <v/>
      </c>
      <c r="O209" s="72"/>
      <c r="P209" s="72"/>
      <c r="Q209" s="72"/>
      <c r="R209" s="72"/>
      <c r="S209" s="72"/>
      <c r="T209" s="72"/>
      <c r="U209" s="72"/>
      <c r="V209" s="72"/>
    </row>
    <row r="210" spans="1:25" ht="27.75" customHeight="1">
      <c r="A210" s="87" t="str">
        <f>IF(ISBLANK(C210)," ",205-COUNTBLANK($C$6:C210))</f>
        <v xml:space="preserve"> </v>
      </c>
      <c r="B210" s="88"/>
      <c r="C210" s="88"/>
      <c r="D210" s="89"/>
      <c r="E210" s="89"/>
      <c r="F210" s="73"/>
      <c r="G210" s="73"/>
      <c r="H210" s="73"/>
      <c r="I210" s="73"/>
      <c r="J210" s="73"/>
      <c r="K210" s="73"/>
      <c r="L210" s="73"/>
      <c r="M210" s="74"/>
      <c r="N210" s="71" t="str">
        <f t="shared" si="3"/>
        <v/>
      </c>
      <c r="O210" s="75"/>
      <c r="P210" s="72"/>
      <c r="Q210" s="72"/>
      <c r="R210" s="72"/>
      <c r="S210" s="72"/>
      <c r="T210" s="72"/>
      <c r="U210" s="72"/>
      <c r="V210" s="76"/>
    </row>
    <row r="211" spans="1:25" ht="27.75" customHeight="1">
      <c r="A211" s="87" t="str">
        <f>IF(ISBLANK(C211)," ",206-COUNTBLANK($C$6:C211))</f>
        <v xml:space="preserve"> </v>
      </c>
      <c r="B211" s="88"/>
      <c r="C211" s="88"/>
      <c r="D211" s="89"/>
      <c r="E211" s="89"/>
      <c r="F211" s="73"/>
      <c r="G211" s="73"/>
      <c r="H211" s="73"/>
      <c r="I211" s="73"/>
      <c r="J211" s="73"/>
      <c r="K211" s="73"/>
      <c r="L211" s="73"/>
      <c r="M211" s="74"/>
      <c r="N211" s="71" t="str">
        <f t="shared" si="3"/>
        <v/>
      </c>
      <c r="O211" s="75"/>
      <c r="P211" s="72"/>
      <c r="Q211" s="72"/>
      <c r="R211" s="72"/>
      <c r="S211" s="72"/>
      <c r="T211" s="72"/>
      <c r="U211" s="72"/>
      <c r="V211" s="76"/>
    </row>
    <row r="212" spans="1:25" ht="27.75" customHeight="1">
      <c r="A212" s="87" t="str">
        <f>IF(ISBLANK(C212)," ",207-COUNTBLANK($C$6:C212))</f>
        <v xml:space="preserve"> </v>
      </c>
      <c r="B212" s="88"/>
      <c r="C212" s="88"/>
      <c r="D212" s="89"/>
      <c r="E212" s="89"/>
      <c r="F212" s="73"/>
      <c r="G212" s="73"/>
      <c r="H212" s="73"/>
      <c r="I212" s="73"/>
      <c r="J212" s="73"/>
      <c r="K212" s="73"/>
      <c r="L212" s="73"/>
      <c r="M212" s="74"/>
      <c r="N212" s="71" t="str">
        <f t="shared" si="3"/>
        <v/>
      </c>
      <c r="O212" s="75"/>
      <c r="P212" s="72"/>
      <c r="Q212" s="72"/>
      <c r="R212" s="72"/>
      <c r="S212" s="72"/>
      <c r="T212" s="72"/>
      <c r="U212" s="72"/>
      <c r="V212" s="76"/>
    </row>
    <row r="213" spans="1:25" ht="27.75" customHeight="1">
      <c r="A213" s="87" t="str">
        <f>IF(ISBLANK(C213)," ",208-COUNTBLANK($C$6:C213))</f>
        <v xml:space="preserve"> </v>
      </c>
      <c r="B213" s="88"/>
      <c r="C213" s="88"/>
      <c r="D213" s="89"/>
      <c r="E213" s="89"/>
      <c r="F213" s="73"/>
      <c r="G213" s="73"/>
      <c r="H213" s="73"/>
      <c r="I213" s="73"/>
      <c r="J213" s="73"/>
      <c r="K213" s="73"/>
      <c r="L213" s="73"/>
      <c r="M213" s="74"/>
      <c r="N213" s="71" t="str">
        <f t="shared" si="3"/>
        <v/>
      </c>
      <c r="O213" s="75"/>
      <c r="P213" s="72"/>
      <c r="Q213" s="72"/>
      <c r="R213" s="72"/>
      <c r="S213" s="72"/>
      <c r="T213" s="72"/>
      <c r="U213" s="72"/>
      <c r="V213" s="76"/>
    </row>
    <row r="214" spans="1:25" ht="27.75" customHeight="1">
      <c r="A214" s="87" t="str">
        <f>IF(ISBLANK(C214)," ",209-COUNTBLANK($C$6:C214))</f>
        <v xml:space="preserve"> </v>
      </c>
      <c r="B214" s="88"/>
      <c r="C214" s="88"/>
      <c r="D214" s="89"/>
      <c r="E214" s="89"/>
      <c r="F214" s="73"/>
      <c r="G214" s="73"/>
      <c r="H214" s="73"/>
      <c r="I214" s="73"/>
      <c r="J214" s="73"/>
      <c r="K214" s="73"/>
      <c r="L214" s="73"/>
      <c r="M214" s="74"/>
      <c r="N214" s="71" t="str">
        <f t="shared" si="3"/>
        <v/>
      </c>
      <c r="O214" s="72"/>
      <c r="P214" s="72"/>
      <c r="Q214" s="72"/>
      <c r="R214" s="72"/>
      <c r="S214" s="72"/>
      <c r="T214" s="72"/>
      <c r="U214" s="72"/>
      <c r="V214" s="79"/>
      <c r="W214" s="72"/>
      <c r="X214" s="72"/>
      <c r="Y214" s="72"/>
    </row>
    <row r="215" spans="1:25" ht="27.75" customHeight="1">
      <c r="A215" s="80" t="s">
        <v>52</v>
      </c>
      <c r="B215" s="81"/>
      <c r="C215" s="96"/>
      <c r="D215" s="82"/>
      <c r="E215" s="82">
        <f>SUM(E195:E214)</f>
        <v>0</v>
      </c>
      <c r="F215" s="83"/>
      <c r="G215" s="83"/>
      <c r="H215" s="83"/>
      <c r="I215" s="83"/>
      <c r="J215" s="83"/>
      <c r="K215" s="83"/>
      <c r="L215" s="83"/>
      <c r="M215" s="84"/>
      <c r="N215" s="71" t="str">
        <f t="shared" si="3"/>
        <v/>
      </c>
      <c r="O215" s="75"/>
      <c r="P215" s="72"/>
      <c r="Q215" s="72"/>
      <c r="R215" s="72"/>
      <c r="S215" s="72"/>
      <c r="T215" s="72"/>
      <c r="U215" s="72"/>
      <c r="V215" s="79"/>
      <c r="W215" s="72"/>
      <c r="X215" s="72"/>
      <c r="Y215" s="72"/>
    </row>
    <row r="216" spans="1:25" ht="27.75" customHeight="1">
      <c r="A216" s="93" t="str">
        <f>IF(ISBLANK(C216)," ",211-COUNTBLANK($C$6:C216))</f>
        <v xml:space="preserve"> </v>
      </c>
      <c r="B216" s="94"/>
      <c r="C216" s="94"/>
      <c r="D216" s="95"/>
      <c r="E216" s="95"/>
      <c r="F216" s="85"/>
      <c r="G216" s="85"/>
      <c r="H216" s="85"/>
      <c r="I216" s="85"/>
      <c r="J216" s="85"/>
      <c r="K216" s="85"/>
      <c r="L216" s="85"/>
      <c r="M216" s="86"/>
      <c r="N216" s="71" t="str">
        <f t="shared" si="3"/>
        <v/>
      </c>
      <c r="O216" s="72"/>
      <c r="P216" s="72"/>
      <c r="Q216" s="72"/>
      <c r="R216" s="72"/>
      <c r="S216" s="72"/>
      <c r="T216" s="72"/>
      <c r="U216" s="72"/>
      <c r="V216" s="72"/>
    </row>
    <row r="217" spans="1:25" ht="27.75" customHeight="1">
      <c r="A217" s="87" t="str">
        <f>IF(ISBLANK(C217)," ",212-COUNTBLANK($C$6:C217))</f>
        <v xml:space="preserve"> </v>
      </c>
      <c r="B217" s="88"/>
      <c r="C217" s="88"/>
      <c r="D217" s="89"/>
      <c r="E217" s="89"/>
      <c r="F217" s="73"/>
      <c r="G217" s="73"/>
      <c r="H217" s="73"/>
      <c r="I217" s="73"/>
      <c r="J217" s="73"/>
      <c r="K217" s="73"/>
      <c r="L217" s="73"/>
      <c r="M217" s="74"/>
      <c r="N217" s="71" t="str">
        <f t="shared" si="3"/>
        <v/>
      </c>
      <c r="O217" s="72"/>
      <c r="P217" s="72"/>
      <c r="Q217" s="72"/>
      <c r="R217" s="72"/>
      <c r="S217" s="72"/>
      <c r="T217" s="72"/>
      <c r="U217" s="72"/>
      <c r="V217" s="72"/>
    </row>
    <row r="218" spans="1:25" ht="27.75" customHeight="1">
      <c r="A218" s="87" t="str">
        <f>IF(ISBLANK(C218)," ",213-COUNTBLANK($C$6:C218))</f>
        <v xml:space="preserve"> </v>
      </c>
      <c r="B218" s="88"/>
      <c r="C218" s="88"/>
      <c r="D218" s="89"/>
      <c r="E218" s="89"/>
      <c r="F218" s="73"/>
      <c r="G218" s="73"/>
      <c r="H218" s="73"/>
      <c r="I218" s="73"/>
      <c r="J218" s="73"/>
      <c r="K218" s="73"/>
      <c r="L218" s="73"/>
      <c r="M218" s="74"/>
      <c r="N218" s="71" t="str">
        <f t="shared" si="3"/>
        <v/>
      </c>
      <c r="O218" s="72"/>
      <c r="P218" s="72"/>
      <c r="Q218" s="72"/>
      <c r="R218" s="72"/>
      <c r="S218" s="72"/>
      <c r="T218" s="72"/>
      <c r="U218" s="72"/>
      <c r="V218" s="72"/>
    </row>
    <row r="219" spans="1:25" ht="27.75" customHeight="1">
      <c r="A219" s="87" t="str">
        <f>IF(ISBLANK(C219)," ",214-COUNTBLANK($C$6:C219))</f>
        <v xml:space="preserve"> </v>
      </c>
      <c r="B219" s="88"/>
      <c r="C219" s="88"/>
      <c r="D219" s="89"/>
      <c r="E219" s="89"/>
      <c r="F219" s="73"/>
      <c r="G219" s="73"/>
      <c r="H219" s="73"/>
      <c r="I219" s="73"/>
      <c r="J219" s="73"/>
      <c r="K219" s="73"/>
      <c r="L219" s="73"/>
      <c r="M219" s="74"/>
      <c r="N219" s="71" t="str">
        <f t="shared" si="3"/>
        <v/>
      </c>
      <c r="O219" s="72"/>
      <c r="P219" s="72"/>
      <c r="Q219" s="72"/>
      <c r="R219" s="72"/>
      <c r="S219" s="72"/>
      <c r="T219" s="72"/>
      <c r="U219" s="72"/>
      <c r="V219" s="72"/>
    </row>
    <row r="220" spans="1:25" ht="27.75" customHeight="1">
      <c r="A220" s="87" t="str">
        <f>IF(ISBLANK(C220)," ",215-COUNTBLANK($C$6:C220))</f>
        <v xml:space="preserve"> </v>
      </c>
      <c r="B220" s="88"/>
      <c r="C220" s="88"/>
      <c r="D220" s="89"/>
      <c r="E220" s="89"/>
      <c r="F220" s="73"/>
      <c r="G220" s="73"/>
      <c r="H220" s="73"/>
      <c r="I220" s="73"/>
      <c r="J220" s="73"/>
      <c r="K220" s="73"/>
      <c r="L220" s="73"/>
      <c r="M220" s="74"/>
      <c r="N220" s="71" t="str">
        <f t="shared" si="3"/>
        <v/>
      </c>
      <c r="O220" s="72"/>
      <c r="P220" s="72"/>
      <c r="Q220" s="72"/>
      <c r="R220" s="72"/>
      <c r="S220" s="72"/>
      <c r="T220" s="72"/>
      <c r="U220" s="72"/>
      <c r="V220" s="72"/>
    </row>
    <row r="221" spans="1:25" ht="27.75" customHeight="1">
      <c r="A221" s="87" t="str">
        <f>IF(ISBLANK(C221)," ",216-COUNTBLANK($C$6:C221))</f>
        <v xml:space="preserve"> </v>
      </c>
      <c r="B221" s="88"/>
      <c r="C221" s="88"/>
      <c r="D221" s="89"/>
      <c r="E221" s="89"/>
      <c r="F221" s="73"/>
      <c r="G221" s="73"/>
      <c r="H221" s="73"/>
      <c r="I221" s="73"/>
      <c r="J221" s="73"/>
      <c r="K221" s="73"/>
      <c r="L221" s="73"/>
      <c r="M221" s="74"/>
      <c r="N221" s="71" t="str">
        <f t="shared" si="3"/>
        <v/>
      </c>
      <c r="O221" s="72"/>
      <c r="P221" s="72"/>
      <c r="Q221" s="72"/>
      <c r="R221" s="72"/>
      <c r="S221" s="72"/>
      <c r="T221" s="72"/>
      <c r="U221" s="72"/>
      <c r="V221" s="72"/>
    </row>
    <row r="222" spans="1:25" ht="27.75" customHeight="1">
      <c r="A222" s="87" t="str">
        <f>IF(ISBLANK(C222)," ",217-COUNTBLANK($C$6:C222))</f>
        <v xml:space="preserve"> </v>
      </c>
      <c r="B222" s="88"/>
      <c r="C222" s="88"/>
      <c r="D222" s="89"/>
      <c r="E222" s="89"/>
      <c r="F222" s="73"/>
      <c r="G222" s="73"/>
      <c r="H222" s="73"/>
      <c r="I222" s="73"/>
      <c r="J222" s="73"/>
      <c r="K222" s="73"/>
      <c r="L222" s="73"/>
      <c r="M222" s="74"/>
      <c r="N222" s="71" t="str">
        <f t="shared" si="3"/>
        <v/>
      </c>
      <c r="O222" s="72"/>
      <c r="P222" s="72"/>
      <c r="Q222" s="72"/>
      <c r="R222" s="72"/>
      <c r="S222" s="72"/>
      <c r="T222" s="72"/>
      <c r="U222" s="72"/>
      <c r="V222" s="72"/>
    </row>
    <row r="223" spans="1:25" ht="27.75" customHeight="1">
      <c r="A223" s="87" t="str">
        <f>IF(ISBLANK(C223)," ",218-COUNTBLANK($C$6:C223))</f>
        <v xml:space="preserve"> </v>
      </c>
      <c r="B223" s="88"/>
      <c r="C223" s="88"/>
      <c r="D223" s="89"/>
      <c r="E223" s="89"/>
      <c r="F223" s="73"/>
      <c r="G223" s="73"/>
      <c r="H223" s="73"/>
      <c r="I223" s="73"/>
      <c r="J223" s="73"/>
      <c r="K223" s="73"/>
      <c r="L223" s="73"/>
      <c r="M223" s="74"/>
      <c r="N223" s="71" t="str">
        <f t="shared" si="3"/>
        <v/>
      </c>
      <c r="O223" s="72"/>
      <c r="P223" s="72"/>
      <c r="Q223" s="72"/>
      <c r="R223" s="72"/>
      <c r="S223" s="72"/>
      <c r="T223" s="72"/>
      <c r="U223" s="72"/>
      <c r="V223" s="72"/>
    </row>
    <row r="224" spans="1:25" ht="27.75" customHeight="1">
      <c r="A224" s="87" t="str">
        <f>IF(ISBLANK(C224)," ",219-COUNTBLANK($C$6:C224))</f>
        <v xml:space="preserve"> </v>
      </c>
      <c r="B224" s="88"/>
      <c r="C224" s="88"/>
      <c r="D224" s="89"/>
      <c r="E224" s="89"/>
      <c r="F224" s="73"/>
      <c r="G224" s="73"/>
      <c r="H224" s="73"/>
      <c r="I224" s="73"/>
      <c r="J224" s="73"/>
      <c r="K224" s="73"/>
      <c r="L224" s="73"/>
      <c r="M224" s="74"/>
      <c r="N224" s="71" t="str">
        <f t="shared" si="3"/>
        <v/>
      </c>
      <c r="O224" s="72"/>
      <c r="P224" s="72"/>
      <c r="Q224" s="72"/>
      <c r="R224" s="72"/>
      <c r="S224" s="72"/>
      <c r="T224" s="72"/>
      <c r="U224" s="72"/>
      <c r="V224" s="72"/>
    </row>
    <row r="225" spans="1:25" ht="27.75" customHeight="1">
      <c r="A225" s="87" t="str">
        <f>IF(ISBLANK(C225)," ",220-COUNTBLANK($C$6:C225))</f>
        <v xml:space="preserve"> </v>
      </c>
      <c r="B225" s="88"/>
      <c r="C225" s="88"/>
      <c r="D225" s="89"/>
      <c r="E225" s="89"/>
      <c r="F225" s="73"/>
      <c r="G225" s="73"/>
      <c r="H225" s="73"/>
      <c r="I225" s="73"/>
      <c r="J225" s="73"/>
      <c r="K225" s="73"/>
      <c r="L225" s="73"/>
      <c r="M225" s="74"/>
      <c r="N225" s="71" t="str">
        <f t="shared" si="3"/>
        <v/>
      </c>
      <c r="O225" s="72"/>
      <c r="P225" s="72"/>
      <c r="Q225" s="72"/>
      <c r="R225" s="72"/>
      <c r="S225" s="72"/>
      <c r="T225" s="72"/>
      <c r="U225" s="72"/>
      <c r="V225" s="72"/>
    </row>
    <row r="226" spans="1:25" ht="27.75" customHeight="1">
      <c r="A226" s="87" t="str">
        <f>IF(ISBLANK(C226)," ",221-COUNTBLANK($C$6:C226))</f>
        <v xml:space="preserve"> </v>
      </c>
      <c r="B226" s="88"/>
      <c r="C226" s="88"/>
      <c r="D226" s="89"/>
      <c r="E226" s="89"/>
      <c r="F226" s="73"/>
      <c r="G226" s="73"/>
      <c r="H226" s="73"/>
      <c r="I226" s="73"/>
      <c r="J226" s="73"/>
      <c r="K226" s="73"/>
      <c r="L226" s="73"/>
      <c r="M226" s="74"/>
      <c r="N226" s="71" t="str">
        <f t="shared" si="3"/>
        <v/>
      </c>
      <c r="O226" s="72"/>
      <c r="P226" s="72"/>
      <c r="Q226" s="72"/>
      <c r="R226" s="72"/>
      <c r="S226" s="72"/>
      <c r="T226" s="72"/>
      <c r="U226" s="72"/>
      <c r="V226" s="72"/>
    </row>
    <row r="227" spans="1:25" ht="27.75" customHeight="1">
      <c r="A227" s="87" t="str">
        <f>IF(ISBLANK(C227)," ",222-COUNTBLANK($C$6:C227))</f>
        <v xml:space="preserve"> </v>
      </c>
      <c r="B227" s="88"/>
      <c r="C227" s="88"/>
      <c r="D227" s="89"/>
      <c r="E227" s="89"/>
      <c r="F227" s="73"/>
      <c r="G227" s="73"/>
      <c r="H227" s="73"/>
      <c r="I227" s="73"/>
      <c r="J227" s="73"/>
      <c r="K227" s="73"/>
      <c r="L227" s="73"/>
      <c r="M227" s="74"/>
      <c r="N227" s="71" t="str">
        <f t="shared" si="3"/>
        <v/>
      </c>
      <c r="O227" s="72"/>
      <c r="P227" s="72"/>
      <c r="Q227" s="72"/>
      <c r="R227" s="72"/>
      <c r="S227" s="72"/>
      <c r="T227" s="72"/>
      <c r="U227" s="72"/>
      <c r="V227" s="72"/>
    </row>
    <row r="228" spans="1:25" ht="27.75" customHeight="1">
      <c r="A228" s="87" t="str">
        <f>IF(ISBLANK(C228)," ",223-COUNTBLANK($C$6:C228))</f>
        <v xml:space="preserve"> </v>
      </c>
      <c r="B228" s="88"/>
      <c r="C228" s="88"/>
      <c r="D228" s="89"/>
      <c r="E228" s="89"/>
      <c r="F228" s="73"/>
      <c r="G228" s="73"/>
      <c r="H228" s="73"/>
      <c r="I228" s="73"/>
      <c r="J228" s="73"/>
      <c r="K228" s="73"/>
      <c r="L228" s="73"/>
      <c r="M228" s="74"/>
      <c r="N228" s="71" t="str">
        <f t="shared" si="3"/>
        <v/>
      </c>
      <c r="O228" s="72"/>
      <c r="P228" s="72"/>
      <c r="Q228" s="72"/>
      <c r="R228" s="72"/>
      <c r="S228" s="72"/>
      <c r="T228" s="72"/>
      <c r="U228" s="72"/>
      <c r="V228" s="72"/>
    </row>
    <row r="229" spans="1:25" ht="27.75" customHeight="1">
      <c r="A229" s="87" t="str">
        <f>IF(ISBLANK(C229)," ",224-COUNTBLANK($C$6:C229))</f>
        <v xml:space="preserve"> </v>
      </c>
      <c r="B229" s="88"/>
      <c r="C229" s="88"/>
      <c r="D229" s="89"/>
      <c r="E229" s="89"/>
      <c r="F229" s="73"/>
      <c r="G229" s="73"/>
      <c r="H229" s="73"/>
      <c r="I229" s="73"/>
      <c r="J229" s="73"/>
      <c r="K229" s="73"/>
      <c r="L229" s="73"/>
      <c r="M229" s="74"/>
      <c r="N229" s="71" t="str">
        <f t="shared" si="3"/>
        <v/>
      </c>
      <c r="O229" s="72"/>
      <c r="P229" s="72"/>
      <c r="Q229" s="72"/>
      <c r="R229" s="72"/>
      <c r="S229" s="72"/>
      <c r="T229" s="72"/>
      <c r="U229" s="72"/>
      <c r="V229" s="72"/>
    </row>
    <row r="230" spans="1:25" ht="27.75" customHeight="1">
      <c r="A230" s="87" t="str">
        <f>IF(ISBLANK(C230)," ",225-COUNTBLANK($C$6:C230))</f>
        <v xml:space="preserve"> </v>
      </c>
      <c r="B230" s="88"/>
      <c r="C230" s="88"/>
      <c r="D230" s="89"/>
      <c r="E230" s="89"/>
      <c r="F230" s="73"/>
      <c r="G230" s="73"/>
      <c r="H230" s="73"/>
      <c r="I230" s="73"/>
      <c r="J230" s="73"/>
      <c r="K230" s="73"/>
      <c r="L230" s="73"/>
      <c r="M230" s="74"/>
      <c r="N230" s="71" t="str">
        <f t="shared" si="3"/>
        <v/>
      </c>
      <c r="O230" s="72"/>
      <c r="P230" s="72"/>
      <c r="Q230" s="72"/>
      <c r="R230" s="72"/>
      <c r="S230" s="72"/>
      <c r="T230" s="72"/>
      <c r="U230" s="72"/>
      <c r="V230" s="72"/>
    </row>
    <row r="231" spans="1:25" ht="27.75" customHeight="1">
      <c r="A231" s="87" t="str">
        <f>IF(ISBLANK(C231)," ",226-COUNTBLANK($C$6:C231))</f>
        <v xml:space="preserve"> </v>
      </c>
      <c r="B231" s="88"/>
      <c r="C231" s="88"/>
      <c r="D231" s="89"/>
      <c r="E231" s="89"/>
      <c r="F231" s="73"/>
      <c r="G231" s="73"/>
      <c r="H231" s="73"/>
      <c r="I231" s="73"/>
      <c r="J231" s="73"/>
      <c r="K231" s="73"/>
      <c r="L231" s="73"/>
      <c r="M231" s="74"/>
      <c r="N231" s="71" t="str">
        <f t="shared" si="3"/>
        <v/>
      </c>
      <c r="O231" s="75"/>
      <c r="P231" s="72"/>
      <c r="Q231" s="72"/>
      <c r="R231" s="72"/>
      <c r="S231" s="72"/>
      <c r="T231" s="72"/>
      <c r="U231" s="72"/>
      <c r="V231" s="76"/>
    </row>
    <row r="232" spans="1:25" ht="27.75" customHeight="1">
      <c r="A232" s="87" t="str">
        <f>IF(ISBLANK(C232)," ",227-COUNTBLANK($C$6:C232))</f>
        <v xml:space="preserve"> </v>
      </c>
      <c r="B232" s="88"/>
      <c r="C232" s="88"/>
      <c r="D232" s="89"/>
      <c r="E232" s="89"/>
      <c r="F232" s="73"/>
      <c r="G232" s="73"/>
      <c r="H232" s="73"/>
      <c r="I232" s="73"/>
      <c r="J232" s="73"/>
      <c r="K232" s="73"/>
      <c r="L232" s="73"/>
      <c r="M232" s="74"/>
      <c r="N232" s="71" t="str">
        <f t="shared" si="3"/>
        <v/>
      </c>
      <c r="O232" s="75"/>
      <c r="P232" s="72"/>
      <c r="Q232" s="72"/>
      <c r="R232" s="72"/>
      <c r="S232" s="72"/>
      <c r="T232" s="72"/>
      <c r="U232" s="72"/>
      <c r="V232" s="76"/>
    </row>
    <row r="233" spans="1:25" ht="27.75" customHeight="1">
      <c r="A233" s="87" t="str">
        <f>IF(ISBLANK(C233)," ",228-COUNTBLANK($C$6:C233))</f>
        <v xml:space="preserve"> </v>
      </c>
      <c r="B233" s="88"/>
      <c r="C233" s="88"/>
      <c r="D233" s="89"/>
      <c r="E233" s="89"/>
      <c r="F233" s="73"/>
      <c r="G233" s="73"/>
      <c r="H233" s="73"/>
      <c r="I233" s="73"/>
      <c r="J233" s="73"/>
      <c r="K233" s="73"/>
      <c r="L233" s="73"/>
      <c r="M233" s="74"/>
      <c r="N233" s="71" t="str">
        <f t="shared" si="3"/>
        <v/>
      </c>
      <c r="O233" s="75"/>
      <c r="P233" s="72"/>
      <c r="Q233" s="72"/>
      <c r="R233" s="72"/>
      <c r="S233" s="72"/>
      <c r="T233" s="72"/>
      <c r="U233" s="72"/>
      <c r="V233" s="76"/>
    </row>
    <row r="234" spans="1:25" ht="27.75" customHeight="1">
      <c r="A234" s="87" t="str">
        <f>IF(ISBLANK(C234)," ",229-COUNTBLANK($C$6:C234))</f>
        <v xml:space="preserve"> </v>
      </c>
      <c r="B234" s="88"/>
      <c r="C234" s="88"/>
      <c r="D234" s="89"/>
      <c r="E234" s="89"/>
      <c r="F234" s="73"/>
      <c r="G234" s="73"/>
      <c r="H234" s="73"/>
      <c r="I234" s="73"/>
      <c r="J234" s="73"/>
      <c r="K234" s="73"/>
      <c r="L234" s="73"/>
      <c r="M234" s="74"/>
      <c r="N234" s="71" t="str">
        <f t="shared" si="3"/>
        <v/>
      </c>
      <c r="O234" s="75"/>
      <c r="P234" s="72"/>
      <c r="Q234" s="72"/>
      <c r="R234" s="72"/>
      <c r="S234" s="72"/>
      <c r="T234" s="72"/>
      <c r="U234" s="72"/>
      <c r="V234" s="76"/>
    </row>
    <row r="235" spans="1:25" ht="27.75" customHeight="1">
      <c r="A235" s="87" t="str">
        <f>IF(ISBLANK(C235)," ",230-COUNTBLANK($C$6:C235))</f>
        <v xml:space="preserve"> </v>
      </c>
      <c r="B235" s="88"/>
      <c r="C235" s="88"/>
      <c r="D235" s="89"/>
      <c r="E235" s="89"/>
      <c r="F235" s="73"/>
      <c r="G235" s="73"/>
      <c r="H235" s="73"/>
      <c r="I235" s="73"/>
      <c r="J235" s="73"/>
      <c r="K235" s="73"/>
      <c r="L235" s="73"/>
      <c r="M235" s="74"/>
      <c r="N235" s="71" t="str">
        <f t="shared" si="3"/>
        <v/>
      </c>
      <c r="O235" s="72"/>
      <c r="P235" s="72"/>
      <c r="Q235" s="72"/>
      <c r="R235" s="72"/>
      <c r="S235" s="72"/>
      <c r="T235" s="72"/>
      <c r="U235" s="72"/>
      <c r="V235" s="79"/>
      <c r="W235" s="72"/>
      <c r="X235" s="72"/>
      <c r="Y235" s="72"/>
    </row>
    <row r="236" spans="1:25" ht="27.75" customHeight="1">
      <c r="A236" s="80" t="s">
        <v>52</v>
      </c>
      <c r="B236" s="81"/>
      <c r="C236" s="96"/>
      <c r="D236" s="82"/>
      <c r="E236" s="82">
        <f>SUM(E216:E235)</f>
        <v>0</v>
      </c>
      <c r="F236" s="83"/>
      <c r="G236" s="83"/>
      <c r="H236" s="83"/>
      <c r="I236" s="83"/>
      <c r="J236" s="83"/>
      <c r="K236" s="83"/>
      <c r="L236" s="83"/>
      <c r="M236" s="84"/>
      <c r="N236" s="71" t="str">
        <f t="shared" si="3"/>
        <v/>
      </c>
      <c r="O236" s="75"/>
      <c r="P236" s="72"/>
      <c r="Q236" s="72"/>
      <c r="R236" s="72"/>
      <c r="S236" s="72"/>
      <c r="T236" s="72"/>
      <c r="U236" s="72"/>
      <c r="V236" s="79"/>
      <c r="W236" s="72"/>
      <c r="X236" s="72"/>
      <c r="Y236" s="72"/>
    </row>
    <row r="237" spans="1:25" ht="27.75" customHeight="1">
      <c r="A237" s="93" t="str">
        <f>IF(ISBLANK(C237)," ",232-COUNTBLANK($C$6:C237))</f>
        <v xml:space="preserve"> </v>
      </c>
      <c r="B237" s="94"/>
      <c r="C237" s="94"/>
      <c r="D237" s="95"/>
      <c r="E237" s="95"/>
      <c r="F237" s="85"/>
      <c r="G237" s="85"/>
      <c r="H237" s="85"/>
      <c r="I237" s="85"/>
      <c r="J237" s="85"/>
      <c r="K237" s="85"/>
      <c r="L237" s="85"/>
      <c r="M237" s="86"/>
      <c r="N237" s="71" t="str">
        <f t="shared" si="3"/>
        <v/>
      </c>
      <c r="O237" s="72"/>
      <c r="P237" s="72"/>
      <c r="Q237" s="72"/>
      <c r="R237" s="72"/>
      <c r="S237" s="72"/>
      <c r="T237" s="72"/>
      <c r="U237" s="72"/>
      <c r="V237" s="72"/>
    </row>
    <row r="238" spans="1:25" ht="27.75" customHeight="1">
      <c r="A238" s="87" t="str">
        <f>IF(ISBLANK(C238)," ",233-COUNTBLANK($C$6:C238))</f>
        <v xml:space="preserve"> </v>
      </c>
      <c r="B238" s="88"/>
      <c r="C238" s="88"/>
      <c r="D238" s="89"/>
      <c r="E238" s="89"/>
      <c r="F238" s="73"/>
      <c r="G238" s="73"/>
      <c r="H238" s="73"/>
      <c r="I238" s="73"/>
      <c r="J238" s="73"/>
      <c r="K238" s="73"/>
      <c r="L238" s="73"/>
      <c r="M238" s="74"/>
      <c r="N238" s="71" t="str">
        <f t="shared" si="3"/>
        <v/>
      </c>
      <c r="O238" s="72"/>
      <c r="P238" s="72"/>
      <c r="Q238" s="72"/>
      <c r="R238" s="72"/>
      <c r="S238" s="72"/>
      <c r="T238" s="72"/>
      <c r="U238" s="72"/>
      <c r="V238" s="72"/>
    </row>
    <row r="239" spans="1:25" ht="27.75" customHeight="1">
      <c r="A239" s="87" t="str">
        <f>IF(ISBLANK(C239)," ",234-COUNTBLANK($C$6:C239))</f>
        <v xml:space="preserve"> </v>
      </c>
      <c r="B239" s="88"/>
      <c r="C239" s="88"/>
      <c r="D239" s="89"/>
      <c r="E239" s="89"/>
      <c r="F239" s="73"/>
      <c r="G239" s="73"/>
      <c r="H239" s="73"/>
      <c r="I239" s="73"/>
      <c r="J239" s="73"/>
      <c r="K239" s="73"/>
      <c r="L239" s="73"/>
      <c r="M239" s="74"/>
      <c r="N239" s="71" t="str">
        <f t="shared" si="3"/>
        <v/>
      </c>
      <c r="O239" s="72"/>
      <c r="P239" s="72"/>
      <c r="Q239" s="72"/>
      <c r="R239" s="72"/>
      <c r="S239" s="72"/>
      <c r="T239" s="72"/>
      <c r="U239" s="72"/>
      <c r="V239" s="72"/>
    </row>
    <row r="240" spans="1:25" ht="27.75" customHeight="1">
      <c r="A240" s="87" t="str">
        <f>IF(ISBLANK(C240)," ",235-COUNTBLANK($C$6:C240))</f>
        <v xml:space="preserve"> </v>
      </c>
      <c r="B240" s="88"/>
      <c r="C240" s="88"/>
      <c r="D240" s="89"/>
      <c r="E240" s="89"/>
      <c r="F240" s="73"/>
      <c r="G240" s="73"/>
      <c r="H240" s="73"/>
      <c r="I240" s="73"/>
      <c r="J240" s="73"/>
      <c r="K240" s="73"/>
      <c r="L240" s="73"/>
      <c r="M240" s="74"/>
      <c r="N240" s="71" t="str">
        <f t="shared" si="3"/>
        <v/>
      </c>
      <c r="O240" s="72"/>
      <c r="P240" s="72"/>
      <c r="Q240" s="72"/>
      <c r="R240" s="72"/>
      <c r="S240" s="72"/>
      <c r="T240" s="72"/>
      <c r="U240" s="72"/>
      <c r="V240" s="72"/>
    </row>
    <row r="241" spans="1:25" ht="27.75" customHeight="1">
      <c r="A241" s="87" t="str">
        <f>IF(ISBLANK(C241)," ",236-COUNTBLANK($C$6:C241))</f>
        <v xml:space="preserve"> </v>
      </c>
      <c r="B241" s="88"/>
      <c r="C241" s="88"/>
      <c r="D241" s="89"/>
      <c r="E241" s="89"/>
      <c r="F241" s="73"/>
      <c r="G241" s="73"/>
      <c r="H241" s="73"/>
      <c r="I241" s="73"/>
      <c r="J241" s="73"/>
      <c r="K241" s="73"/>
      <c r="L241" s="73"/>
      <c r="M241" s="74"/>
      <c r="N241" s="71" t="str">
        <f t="shared" si="3"/>
        <v/>
      </c>
      <c r="O241" s="72"/>
      <c r="P241" s="72"/>
      <c r="Q241" s="72"/>
      <c r="R241" s="72"/>
      <c r="S241" s="72"/>
      <c r="T241" s="72"/>
      <c r="U241" s="72"/>
      <c r="V241" s="72"/>
    </row>
    <row r="242" spans="1:25" ht="27.75" customHeight="1">
      <c r="A242" s="87" t="str">
        <f>IF(ISBLANK(C242)," ",237-COUNTBLANK($C$6:C242))</f>
        <v xml:space="preserve"> </v>
      </c>
      <c r="B242" s="88"/>
      <c r="C242" s="88"/>
      <c r="D242" s="89"/>
      <c r="E242" s="89"/>
      <c r="F242" s="73"/>
      <c r="G242" s="73"/>
      <c r="H242" s="73"/>
      <c r="I242" s="73"/>
      <c r="J242" s="73"/>
      <c r="K242" s="73"/>
      <c r="L242" s="73"/>
      <c r="M242" s="74"/>
      <c r="N242" s="71" t="str">
        <f t="shared" si="3"/>
        <v/>
      </c>
      <c r="O242" s="72"/>
      <c r="P242" s="72"/>
      <c r="Q242" s="72"/>
      <c r="R242" s="72"/>
      <c r="S242" s="72"/>
      <c r="T242" s="72"/>
      <c r="U242" s="72"/>
      <c r="V242" s="72"/>
    </row>
    <row r="243" spans="1:25" ht="27.75" customHeight="1">
      <c r="A243" s="87" t="str">
        <f>IF(ISBLANK(C243)," ",238-COUNTBLANK($C$6:C243))</f>
        <v xml:space="preserve"> </v>
      </c>
      <c r="B243" s="88"/>
      <c r="C243" s="88"/>
      <c r="D243" s="89"/>
      <c r="E243" s="89"/>
      <c r="F243" s="73"/>
      <c r="G243" s="73"/>
      <c r="H243" s="73"/>
      <c r="I243" s="73"/>
      <c r="J243" s="73"/>
      <c r="K243" s="73"/>
      <c r="L243" s="73"/>
      <c r="M243" s="74"/>
      <c r="N243" s="71" t="str">
        <f t="shared" si="3"/>
        <v/>
      </c>
      <c r="O243" s="72"/>
      <c r="P243" s="72"/>
      <c r="Q243" s="72"/>
      <c r="R243" s="72"/>
      <c r="S243" s="72"/>
      <c r="T243" s="72"/>
      <c r="U243" s="72"/>
      <c r="V243" s="72"/>
    </row>
    <row r="244" spans="1:25" ht="27.75" customHeight="1">
      <c r="A244" s="87" t="str">
        <f>IF(ISBLANK(C244)," ",239-COUNTBLANK($C$6:C244))</f>
        <v xml:space="preserve"> </v>
      </c>
      <c r="B244" s="88"/>
      <c r="C244" s="88"/>
      <c r="D244" s="89"/>
      <c r="E244" s="89"/>
      <c r="F244" s="73"/>
      <c r="G244" s="73"/>
      <c r="H244" s="73"/>
      <c r="I244" s="73"/>
      <c r="J244" s="73"/>
      <c r="K244" s="73"/>
      <c r="L244" s="73"/>
      <c r="M244" s="74"/>
      <c r="N244" s="71" t="str">
        <f t="shared" si="3"/>
        <v/>
      </c>
      <c r="O244" s="72"/>
      <c r="P244" s="72"/>
      <c r="Q244" s="72"/>
      <c r="R244" s="72"/>
      <c r="S244" s="72"/>
      <c r="T244" s="72"/>
      <c r="U244" s="72"/>
      <c r="V244" s="72"/>
    </row>
    <row r="245" spans="1:25" ht="27.75" customHeight="1">
      <c r="A245" s="87" t="str">
        <f>IF(ISBLANK(C245)," ",240-COUNTBLANK($C$6:C245))</f>
        <v xml:space="preserve"> </v>
      </c>
      <c r="B245" s="88"/>
      <c r="C245" s="88"/>
      <c r="D245" s="89"/>
      <c r="E245" s="89"/>
      <c r="F245" s="73"/>
      <c r="G245" s="73"/>
      <c r="H245" s="73"/>
      <c r="I245" s="73"/>
      <c r="J245" s="73"/>
      <c r="K245" s="73"/>
      <c r="L245" s="73"/>
      <c r="M245" s="74"/>
      <c r="N245" s="71" t="str">
        <f t="shared" si="3"/>
        <v/>
      </c>
      <c r="O245" s="72"/>
      <c r="P245" s="72"/>
      <c r="Q245" s="72"/>
      <c r="R245" s="72"/>
      <c r="S245" s="72"/>
      <c r="T245" s="72"/>
      <c r="U245" s="72"/>
      <c r="V245" s="72"/>
    </row>
    <row r="246" spans="1:25" ht="27.75" customHeight="1">
      <c r="A246" s="87" t="str">
        <f>IF(ISBLANK(C246)," ",241-COUNTBLANK($C$6:C246))</f>
        <v xml:space="preserve"> </v>
      </c>
      <c r="B246" s="88"/>
      <c r="C246" s="88"/>
      <c r="D246" s="89"/>
      <c r="E246" s="89"/>
      <c r="F246" s="73"/>
      <c r="G246" s="73"/>
      <c r="H246" s="73"/>
      <c r="I246" s="73"/>
      <c r="J246" s="73"/>
      <c r="K246" s="73"/>
      <c r="L246" s="73"/>
      <c r="M246" s="74"/>
      <c r="N246" s="71" t="str">
        <f t="shared" si="3"/>
        <v/>
      </c>
      <c r="O246" s="72"/>
      <c r="P246" s="72"/>
      <c r="Q246" s="72"/>
      <c r="R246" s="72"/>
      <c r="S246" s="72"/>
      <c r="T246" s="72"/>
      <c r="U246" s="72"/>
      <c r="V246" s="72"/>
    </row>
    <row r="247" spans="1:25" ht="27.75" customHeight="1">
      <c r="A247" s="87" t="str">
        <f>IF(ISBLANK(C247)," ",242-COUNTBLANK($C$6:C247))</f>
        <v xml:space="preserve"> </v>
      </c>
      <c r="B247" s="88"/>
      <c r="C247" s="88"/>
      <c r="D247" s="89"/>
      <c r="E247" s="89"/>
      <c r="F247" s="73"/>
      <c r="G247" s="73"/>
      <c r="H247" s="73"/>
      <c r="I247" s="73"/>
      <c r="J247" s="73"/>
      <c r="K247" s="73"/>
      <c r="L247" s="73"/>
      <c r="M247" s="74"/>
      <c r="N247" s="71" t="str">
        <f t="shared" si="3"/>
        <v/>
      </c>
      <c r="O247" s="72"/>
      <c r="P247" s="72"/>
      <c r="Q247" s="72"/>
      <c r="R247" s="72"/>
      <c r="S247" s="72"/>
      <c r="T247" s="72"/>
      <c r="U247" s="72"/>
      <c r="V247" s="72"/>
    </row>
    <row r="248" spans="1:25" ht="27.75" customHeight="1">
      <c r="A248" s="87" t="str">
        <f>IF(ISBLANK(C248)," ",243-COUNTBLANK($C$6:C248))</f>
        <v xml:space="preserve"> </v>
      </c>
      <c r="B248" s="88"/>
      <c r="C248" s="88"/>
      <c r="D248" s="89"/>
      <c r="E248" s="89"/>
      <c r="F248" s="73"/>
      <c r="G248" s="73"/>
      <c r="H248" s="73"/>
      <c r="I248" s="73"/>
      <c r="J248" s="73"/>
      <c r="K248" s="73"/>
      <c r="L248" s="73"/>
      <c r="M248" s="74"/>
      <c r="N248" s="71" t="str">
        <f t="shared" si="3"/>
        <v/>
      </c>
      <c r="O248" s="72"/>
      <c r="P248" s="72"/>
      <c r="Q248" s="72"/>
      <c r="R248" s="72"/>
      <c r="S248" s="72"/>
      <c r="T248" s="72"/>
      <c r="U248" s="72"/>
      <c r="V248" s="72"/>
    </row>
    <row r="249" spans="1:25" ht="27.75" customHeight="1">
      <c r="A249" s="87" t="str">
        <f>IF(ISBLANK(C249)," ",244-COUNTBLANK($C$6:C249))</f>
        <v xml:space="preserve"> </v>
      </c>
      <c r="B249" s="88"/>
      <c r="C249" s="88"/>
      <c r="D249" s="89"/>
      <c r="E249" s="89"/>
      <c r="F249" s="73"/>
      <c r="G249" s="73"/>
      <c r="H249" s="73"/>
      <c r="I249" s="73"/>
      <c r="J249" s="73"/>
      <c r="K249" s="73"/>
      <c r="L249" s="73"/>
      <c r="M249" s="74"/>
      <c r="N249" s="71" t="str">
        <f t="shared" si="3"/>
        <v/>
      </c>
      <c r="O249" s="72"/>
      <c r="P249" s="72"/>
      <c r="Q249" s="72"/>
      <c r="R249" s="72"/>
      <c r="S249" s="72"/>
      <c r="T249" s="72"/>
      <c r="U249" s="72"/>
      <c r="V249" s="72"/>
    </row>
    <row r="250" spans="1:25" ht="27.75" customHeight="1">
      <c r="A250" s="87" t="str">
        <f>IF(ISBLANK(C250)," ",245-COUNTBLANK($C$6:C250))</f>
        <v xml:space="preserve"> </v>
      </c>
      <c r="B250" s="88"/>
      <c r="C250" s="88"/>
      <c r="D250" s="89"/>
      <c r="E250" s="89"/>
      <c r="F250" s="73"/>
      <c r="G250" s="73"/>
      <c r="H250" s="73"/>
      <c r="I250" s="73"/>
      <c r="J250" s="73"/>
      <c r="K250" s="73"/>
      <c r="L250" s="73"/>
      <c r="M250" s="74"/>
      <c r="N250" s="71" t="str">
        <f t="shared" si="3"/>
        <v/>
      </c>
      <c r="O250" s="72"/>
      <c r="P250" s="72"/>
      <c r="Q250" s="72"/>
      <c r="R250" s="72"/>
      <c r="S250" s="72"/>
      <c r="T250" s="72"/>
      <c r="U250" s="72"/>
      <c r="V250" s="72"/>
    </row>
    <row r="251" spans="1:25" ht="27.75" customHeight="1">
      <c r="A251" s="87" t="str">
        <f>IF(ISBLANK(C251)," ",246-COUNTBLANK($C$6:C251))</f>
        <v xml:space="preserve"> </v>
      </c>
      <c r="B251" s="88"/>
      <c r="C251" s="88"/>
      <c r="D251" s="89"/>
      <c r="E251" s="89"/>
      <c r="F251" s="73"/>
      <c r="G251" s="73"/>
      <c r="H251" s="73"/>
      <c r="I251" s="73"/>
      <c r="J251" s="73"/>
      <c r="K251" s="73"/>
      <c r="L251" s="73"/>
      <c r="M251" s="74"/>
      <c r="N251" s="71" t="str">
        <f t="shared" si="3"/>
        <v/>
      </c>
      <c r="O251" s="72"/>
      <c r="P251" s="72"/>
      <c r="Q251" s="72"/>
      <c r="R251" s="72"/>
      <c r="S251" s="72"/>
      <c r="T251" s="72"/>
      <c r="U251" s="72"/>
      <c r="V251" s="72"/>
    </row>
    <row r="252" spans="1:25" ht="27.75" customHeight="1">
      <c r="A252" s="87" t="str">
        <f>IF(ISBLANK(C252)," ",247-COUNTBLANK($C$6:C252))</f>
        <v xml:space="preserve"> </v>
      </c>
      <c r="B252" s="88"/>
      <c r="C252" s="88"/>
      <c r="D252" s="89"/>
      <c r="E252" s="89"/>
      <c r="F252" s="73"/>
      <c r="G252" s="73"/>
      <c r="H252" s="73"/>
      <c r="I252" s="73"/>
      <c r="J252" s="73"/>
      <c r="K252" s="73"/>
      <c r="L252" s="73"/>
      <c r="M252" s="74"/>
      <c r="N252" s="71" t="str">
        <f t="shared" si="3"/>
        <v/>
      </c>
      <c r="O252" s="75"/>
      <c r="P252" s="72"/>
      <c r="Q252" s="72"/>
      <c r="R252" s="72"/>
      <c r="S252" s="72"/>
      <c r="T252" s="72"/>
      <c r="U252" s="72"/>
      <c r="V252" s="76"/>
    </row>
    <row r="253" spans="1:25" ht="27.75" customHeight="1">
      <c r="A253" s="87" t="str">
        <f>IF(ISBLANK(C253)," ",248-COUNTBLANK($C$6:C253))</f>
        <v xml:space="preserve"> </v>
      </c>
      <c r="B253" s="88"/>
      <c r="C253" s="88"/>
      <c r="D253" s="89"/>
      <c r="E253" s="89"/>
      <c r="F253" s="73"/>
      <c r="G253" s="73"/>
      <c r="H253" s="73"/>
      <c r="I253" s="73"/>
      <c r="J253" s="73"/>
      <c r="K253" s="73"/>
      <c r="L253" s="73"/>
      <c r="M253" s="74"/>
      <c r="N253" s="71" t="str">
        <f t="shared" si="3"/>
        <v/>
      </c>
      <c r="O253" s="75"/>
      <c r="P253" s="72"/>
      <c r="Q253" s="72"/>
      <c r="R253" s="72"/>
      <c r="S253" s="72"/>
      <c r="T253" s="72"/>
      <c r="U253" s="72"/>
      <c r="V253" s="76"/>
    </row>
    <row r="254" spans="1:25" ht="27.75" customHeight="1">
      <c r="A254" s="87" t="str">
        <f>IF(ISBLANK(C254)," ",249-COUNTBLANK($C$6:C254))</f>
        <v xml:space="preserve"> </v>
      </c>
      <c r="B254" s="88"/>
      <c r="C254" s="88"/>
      <c r="D254" s="89"/>
      <c r="E254" s="89"/>
      <c r="F254" s="73"/>
      <c r="G254" s="73"/>
      <c r="H254" s="73"/>
      <c r="I254" s="73"/>
      <c r="J254" s="73"/>
      <c r="K254" s="73"/>
      <c r="L254" s="73"/>
      <c r="M254" s="74"/>
      <c r="N254" s="71" t="str">
        <f t="shared" si="3"/>
        <v/>
      </c>
      <c r="O254" s="75"/>
      <c r="P254" s="72"/>
      <c r="Q254" s="72"/>
      <c r="R254" s="72"/>
      <c r="S254" s="72"/>
      <c r="T254" s="72"/>
      <c r="U254" s="72"/>
      <c r="V254" s="76"/>
    </row>
    <row r="255" spans="1:25" ht="27.75" customHeight="1">
      <c r="A255" s="87" t="str">
        <f>IF(ISBLANK(C255)," ",250-COUNTBLANK($C$6:C255))</f>
        <v xml:space="preserve"> </v>
      </c>
      <c r="B255" s="88"/>
      <c r="C255" s="88"/>
      <c r="D255" s="89"/>
      <c r="E255" s="89"/>
      <c r="F255" s="73"/>
      <c r="G255" s="73"/>
      <c r="H255" s="73"/>
      <c r="I255" s="73"/>
      <c r="J255" s="73"/>
      <c r="K255" s="73"/>
      <c r="L255" s="73"/>
      <c r="M255" s="74"/>
      <c r="N255" s="71" t="str">
        <f t="shared" si="3"/>
        <v/>
      </c>
      <c r="O255" s="75"/>
      <c r="P255" s="72"/>
      <c r="Q255" s="72"/>
      <c r="R255" s="72"/>
      <c r="S255" s="72"/>
      <c r="T255" s="72"/>
      <c r="U255" s="72"/>
      <c r="V255" s="76"/>
    </row>
    <row r="256" spans="1:25" ht="27.75" customHeight="1">
      <c r="A256" s="87" t="str">
        <f>IF(ISBLANK(C256)," ",251-COUNTBLANK($C$6:C256))</f>
        <v xml:space="preserve"> </v>
      </c>
      <c r="B256" s="88"/>
      <c r="C256" s="88"/>
      <c r="D256" s="89"/>
      <c r="E256" s="89"/>
      <c r="F256" s="73"/>
      <c r="G256" s="73"/>
      <c r="H256" s="73"/>
      <c r="I256" s="73"/>
      <c r="J256" s="73"/>
      <c r="K256" s="73"/>
      <c r="L256" s="73"/>
      <c r="M256" s="74"/>
      <c r="N256" s="71" t="str">
        <f t="shared" si="3"/>
        <v/>
      </c>
      <c r="O256" s="72"/>
      <c r="P256" s="72"/>
      <c r="Q256" s="72"/>
      <c r="R256" s="72"/>
      <c r="S256" s="72"/>
      <c r="T256" s="72"/>
      <c r="U256" s="72"/>
      <c r="V256" s="79"/>
      <c r="W256" s="72"/>
      <c r="X256" s="72"/>
      <c r="Y256" s="72"/>
    </row>
    <row r="257" spans="1:25" ht="27.75" customHeight="1">
      <c r="A257" s="80" t="s">
        <v>52</v>
      </c>
      <c r="B257" s="81"/>
      <c r="C257" s="96"/>
      <c r="D257" s="82"/>
      <c r="E257" s="82">
        <f>SUM(E237:E256)</f>
        <v>0</v>
      </c>
      <c r="F257" s="83"/>
      <c r="G257" s="83"/>
      <c r="H257" s="83"/>
      <c r="I257" s="83"/>
      <c r="J257" s="83"/>
      <c r="K257" s="83"/>
      <c r="L257" s="83"/>
      <c r="M257" s="84"/>
      <c r="N257" s="71" t="str">
        <f t="shared" si="3"/>
        <v/>
      </c>
      <c r="O257" s="75"/>
      <c r="P257" s="72"/>
      <c r="Q257" s="72"/>
      <c r="R257" s="72"/>
      <c r="S257" s="72"/>
      <c r="T257" s="72"/>
      <c r="U257" s="72"/>
      <c r="V257" s="79"/>
      <c r="W257" s="72"/>
      <c r="X257" s="72"/>
      <c r="Y257" s="72"/>
    </row>
    <row r="258" spans="1:25" ht="27.75" customHeight="1">
      <c r="A258" s="93" t="str">
        <f>IF(ISBLANK(C258)," ",253-COUNTBLANK($C$6:C258))</f>
        <v xml:space="preserve"> </v>
      </c>
      <c r="B258" s="94"/>
      <c r="C258" s="94"/>
      <c r="D258" s="95"/>
      <c r="E258" s="95"/>
      <c r="F258" s="85"/>
      <c r="G258" s="85"/>
      <c r="H258" s="85"/>
      <c r="I258" s="85"/>
      <c r="J258" s="85"/>
      <c r="K258" s="85"/>
      <c r="L258" s="85"/>
      <c r="M258" s="86"/>
      <c r="N258" s="71" t="str">
        <f t="shared" si="3"/>
        <v/>
      </c>
      <c r="O258" s="72"/>
      <c r="P258" s="72"/>
      <c r="Q258" s="72"/>
      <c r="R258" s="72"/>
      <c r="S258" s="72"/>
      <c r="T258" s="72"/>
      <c r="U258" s="72"/>
      <c r="V258" s="72"/>
    </row>
    <row r="259" spans="1:25" ht="27.75" customHeight="1">
      <c r="A259" s="87" t="str">
        <f>IF(ISBLANK(C259)," ",254-COUNTBLANK($C$6:C259))</f>
        <v xml:space="preserve"> </v>
      </c>
      <c r="B259" s="88"/>
      <c r="C259" s="88"/>
      <c r="D259" s="89"/>
      <c r="E259" s="89"/>
      <c r="F259" s="73"/>
      <c r="G259" s="73"/>
      <c r="H259" s="73"/>
      <c r="I259" s="73"/>
      <c r="J259" s="73"/>
      <c r="K259" s="73"/>
      <c r="L259" s="73"/>
      <c r="M259" s="74"/>
      <c r="N259" s="71" t="str">
        <f t="shared" si="3"/>
        <v/>
      </c>
      <c r="O259" s="72"/>
      <c r="P259" s="72"/>
      <c r="Q259" s="72"/>
      <c r="R259" s="72"/>
      <c r="S259" s="72"/>
      <c r="T259" s="72"/>
      <c r="U259" s="72"/>
      <c r="V259" s="72"/>
    </row>
    <row r="260" spans="1:25" ht="27.75" customHeight="1">
      <c r="A260" s="87" t="str">
        <f>IF(ISBLANK(C260)," ",255-COUNTBLANK($C$6:C260))</f>
        <v xml:space="preserve"> </v>
      </c>
      <c r="B260" s="88"/>
      <c r="C260" s="88"/>
      <c r="D260" s="89"/>
      <c r="E260" s="89"/>
      <c r="F260" s="73"/>
      <c r="G260" s="73"/>
      <c r="H260" s="73"/>
      <c r="I260" s="73"/>
      <c r="J260" s="73"/>
      <c r="K260" s="73"/>
      <c r="L260" s="73"/>
      <c r="M260" s="74"/>
      <c r="N260" s="71" t="str">
        <f t="shared" si="3"/>
        <v/>
      </c>
      <c r="O260" s="72"/>
      <c r="P260" s="72"/>
      <c r="Q260" s="72"/>
      <c r="R260" s="72"/>
      <c r="S260" s="72"/>
      <c r="T260" s="72"/>
      <c r="U260" s="72"/>
      <c r="V260" s="72"/>
    </row>
    <row r="261" spans="1:25" ht="27.75" customHeight="1">
      <c r="A261" s="87" t="str">
        <f>IF(ISBLANK(C261)," ",256-COUNTBLANK($C$6:C261))</f>
        <v xml:space="preserve"> </v>
      </c>
      <c r="B261" s="88"/>
      <c r="C261" s="88"/>
      <c r="D261" s="89"/>
      <c r="E261" s="89"/>
      <c r="F261" s="73"/>
      <c r="G261" s="73"/>
      <c r="H261" s="73"/>
      <c r="I261" s="73"/>
      <c r="J261" s="73"/>
      <c r="K261" s="73"/>
      <c r="L261" s="73"/>
      <c r="M261" s="74"/>
      <c r="N261" s="71" t="str">
        <f t="shared" si="3"/>
        <v/>
      </c>
      <c r="O261" s="72"/>
      <c r="P261" s="72"/>
      <c r="Q261" s="72"/>
      <c r="R261" s="72"/>
      <c r="S261" s="72"/>
      <c r="T261" s="72"/>
      <c r="U261" s="72"/>
      <c r="V261" s="72"/>
    </row>
    <row r="262" spans="1:25" ht="27.75" customHeight="1">
      <c r="A262" s="87" t="str">
        <f>IF(ISBLANK(C262)," ",257-COUNTBLANK($C$6:C262))</f>
        <v xml:space="preserve"> </v>
      </c>
      <c r="B262" s="88"/>
      <c r="C262" s="88"/>
      <c r="D262" s="89"/>
      <c r="E262" s="89"/>
      <c r="F262" s="73"/>
      <c r="G262" s="73"/>
      <c r="H262" s="73"/>
      <c r="I262" s="73"/>
      <c r="J262" s="73"/>
      <c r="K262" s="73"/>
      <c r="L262" s="73"/>
      <c r="M262" s="74"/>
      <c r="N262" s="71" t="str">
        <f t="shared" ref="N262:N325" si="4">CONCATENATE(C262,H262)</f>
        <v/>
      </c>
      <c r="O262" s="72"/>
      <c r="P262" s="72"/>
      <c r="Q262" s="72"/>
      <c r="R262" s="72"/>
      <c r="S262" s="72"/>
      <c r="T262" s="72"/>
      <c r="U262" s="72"/>
      <c r="V262" s="72"/>
    </row>
    <row r="263" spans="1:25" ht="27.75" customHeight="1">
      <c r="A263" s="87" t="str">
        <f>IF(ISBLANK(C263)," ",258-COUNTBLANK($C$6:C263))</f>
        <v xml:space="preserve"> </v>
      </c>
      <c r="B263" s="88"/>
      <c r="C263" s="88"/>
      <c r="D263" s="89"/>
      <c r="E263" s="89"/>
      <c r="F263" s="73"/>
      <c r="G263" s="73"/>
      <c r="H263" s="73"/>
      <c r="I263" s="73"/>
      <c r="J263" s="73"/>
      <c r="K263" s="73"/>
      <c r="L263" s="73"/>
      <c r="M263" s="74"/>
      <c r="N263" s="71" t="str">
        <f t="shared" si="4"/>
        <v/>
      </c>
      <c r="O263" s="72"/>
      <c r="P263" s="72"/>
      <c r="Q263" s="72"/>
      <c r="R263" s="72"/>
      <c r="S263" s="72"/>
      <c r="T263" s="72"/>
      <c r="U263" s="72"/>
      <c r="V263" s="72"/>
    </row>
    <row r="264" spans="1:25" ht="27.75" customHeight="1">
      <c r="A264" s="87" t="str">
        <f>IF(ISBLANK(C264)," ",259-COUNTBLANK($C$6:C264))</f>
        <v xml:space="preserve"> </v>
      </c>
      <c r="B264" s="88"/>
      <c r="C264" s="88"/>
      <c r="D264" s="89"/>
      <c r="E264" s="89"/>
      <c r="F264" s="73"/>
      <c r="G264" s="73"/>
      <c r="H264" s="73"/>
      <c r="I264" s="73"/>
      <c r="J264" s="73"/>
      <c r="K264" s="73"/>
      <c r="L264" s="73"/>
      <c r="M264" s="74"/>
      <c r="N264" s="71" t="str">
        <f t="shared" si="4"/>
        <v/>
      </c>
      <c r="O264" s="72"/>
      <c r="P264" s="72"/>
      <c r="Q264" s="72"/>
      <c r="R264" s="72"/>
      <c r="S264" s="72"/>
      <c r="T264" s="72"/>
      <c r="U264" s="72"/>
      <c r="V264" s="72"/>
    </row>
    <row r="265" spans="1:25" ht="27.75" customHeight="1">
      <c r="A265" s="87" t="str">
        <f>IF(ISBLANK(C265)," ",260-COUNTBLANK($C$6:C265))</f>
        <v xml:space="preserve"> </v>
      </c>
      <c r="B265" s="88"/>
      <c r="C265" s="88"/>
      <c r="D265" s="89"/>
      <c r="E265" s="89"/>
      <c r="F265" s="73"/>
      <c r="G265" s="73"/>
      <c r="H265" s="73"/>
      <c r="I265" s="73"/>
      <c r="J265" s="73"/>
      <c r="K265" s="73"/>
      <c r="L265" s="73"/>
      <c r="M265" s="74"/>
      <c r="N265" s="71" t="str">
        <f t="shared" si="4"/>
        <v/>
      </c>
      <c r="O265" s="72"/>
      <c r="P265" s="72"/>
      <c r="Q265" s="72"/>
      <c r="R265" s="72"/>
      <c r="S265" s="72"/>
      <c r="T265" s="72"/>
      <c r="U265" s="72"/>
      <c r="V265" s="72"/>
    </row>
    <row r="266" spans="1:25" ht="27.75" customHeight="1">
      <c r="A266" s="87" t="str">
        <f>IF(ISBLANK(C266)," ",261-COUNTBLANK($C$6:C266))</f>
        <v xml:space="preserve"> </v>
      </c>
      <c r="B266" s="88"/>
      <c r="C266" s="88"/>
      <c r="D266" s="89"/>
      <c r="E266" s="89"/>
      <c r="F266" s="73"/>
      <c r="G266" s="73"/>
      <c r="H266" s="73"/>
      <c r="I266" s="73"/>
      <c r="J266" s="73"/>
      <c r="K266" s="73"/>
      <c r="L266" s="73"/>
      <c r="M266" s="74"/>
      <c r="N266" s="71" t="str">
        <f t="shared" si="4"/>
        <v/>
      </c>
      <c r="O266" s="72"/>
      <c r="P266" s="72"/>
      <c r="Q266" s="72"/>
      <c r="R266" s="72"/>
      <c r="S266" s="72"/>
      <c r="T266" s="72"/>
      <c r="U266" s="72"/>
      <c r="V266" s="72"/>
    </row>
    <row r="267" spans="1:25" ht="27.75" customHeight="1">
      <c r="A267" s="87" t="str">
        <f>IF(ISBLANK(C267)," ",262-COUNTBLANK($C$6:C267))</f>
        <v xml:space="preserve"> </v>
      </c>
      <c r="B267" s="88"/>
      <c r="C267" s="88"/>
      <c r="D267" s="89"/>
      <c r="E267" s="89"/>
      <c r="F267" s="73"/>
      <c r="G267" s="73"/>
      <c r="H267" s="73"/>
      <c r="I267" s="73"/>
      <c r="J267" s="73"/>
      <c r="K267" s="73"/>
      <c r="L267" s="73"/>
      <c r="M267" s="74"/>
      <c r="N267" s="71" t="str">
        <f t="shared" si="4"/>
        <v/>
      </c>
      <c r="O267" s="72"/>
      <c r="P267" s="72"/>
      <c r="Q267" s="72"/>
      <c r="R267" s="72"/>
      <c r="S267" s="72"/>
      <c r="T267" s="72"/>
      <c r="U267" s="72"/>
      <c r="V267" s="72"/>
    </row>
    <row r="268" spans="1:25" ht="27.75" customHeight="1">
      <c r="A268" s="87" t="str">
        <f>IF(ISBLANK(C268)," ",263-COUNTBLANK($C$6:C268))</f>
        <v xml:space="preserve"> </v>
      </c>
      <c r="B268" s="88"/>
      <c r="C268" s="88"/>
      <c r="D268" s="89"/>
      <c r="E268" s="89"/>
      <c r="F268" s="73"/>
      <c r="G268" s="73"/>
      <c r="H268" s="73"/>
      <c r="I268" s="73"/>
      <c r="J268" s="73"/>
      <c r="K268" s="73"/>
      <c r="L268" s="73"/>
      <c r="M268" s="74"/>
      <c r="N268" s="71" t="str">
        <f t="shared" si="4"/>
        <v/>
      </c>
      <c r="O268" s="72"/>
      <c r="P268" s="72"/>
      <c r="Q268" s="72"/>
      <c r="R268" s="72"/>
      <c r="S268" s="72"/>
      <c r="T268" s="72"/>
      <c r="U268" s="72"/>
      <c r="V268" s="72"/>
    </row>
    <row r="269" spans="1:25" ht="27.75" customHeight="1">
      <c r="A269" s="87" t="str">
        <f>IF(ISBLANK(C269)," ",264-COUNTBLANK($C$6:C269))</f>
        <v xml:space="preserve"> </v>
      </c>
      <c r="B269" s="88"/>
      <c r="C269" s="88"/>
      <c r="D269" s="89"/>
      <c r="E269" s="89"/>
      <c r="F269" s="73"/>
      <c r="G269" s="73"/>
      <c r="H269" s="73"/>
      <c r="I269" s="73"/>
      <c r="J269" s="73"/>
      <c r="K269" s="73"/>
      <c r="L269" s="73"/>
      <c r="M269" s="74"/>
      <c r="N269" s="71" t="str">
        <f t="shared" si="4"/>
        <v/>
      </c>
      <c r="O269" s="72"/>
      <c r="P269" s="72"/>
      <c r="Q269" s="72"/>
      <c r="R269" s="72"/>
      <c r="S269" s="72"/>
      <c r="T269" s="72"/>
      <c r="U269" s="72"/>
      <c r="V269" s="72"/>
    </row>
    <row r="270" spans="1:25" ht="27.75" customHeight="1">
      <c r="A270" s="87" t="str">
        <f>IF(ISBLANK(C270)," ",265-COUNTBLANK($C$6:C270))</f>
        <v xml:space="preserve"> </v>
      </c>
      <c r="B270" s="88"/>
      <c r="C270" s="88"/>
      <c r="D270" s="89"/>
      <c r="E270" s="89"/>
      <c r="F270" s="73"/>
      <c r="G270" s="73"/>
      <c r="H270" s="73"/>
      <c r="I270" s="73"/>
      <c r="J270" s="73"/>
      <c r="K270" s="73"/>
      <c r="L270" s="73"/>
      <c r="M270" s="74"/>
      <c r="N270" s="71" t="str">
        <f t="shared" si="4"/>
        <v/>
      </c>
      <c r="O270" s="72"/>
      <c r="P270" s="72"/>
      <c r="Q270" s="72"/>
      <c r="R270" s="72"/>
      <c r="S270" s="72"/>
      <c r="T270" s="72"/>
      <c r="U270" s="72"/>
      <c r="V270" s="72"/>
    </row>
    <row r="271" spans="1:25" ht="27.75" customHeight="1">
      <c r="A271" s="87" t="str">
        <f>IF(ISBLANK(C271)," ",266-COUNTBLANK($C$6:C271))</f>
        <v xml:space="preserve"> </v>
      </c>
      <c r="B271" s="88"/>
      <c r="C271" s="88"/>
      <c r="D271" s="89"/>
      <c r="E271" s="89"/>
      <c r="F271" s="73"/>
      <c r="G271" s="73"/>
      <c r="H271" s="73"/>
      <c r="I271" s="73"/>
      <c r="J271" s="73"/>
      <c r="K271" s="73"/>
      <c r="L271" s="73"/>
      <c r="M271" s="74"/>
      <c r="N271" s="71" t="str">
        <f t="shared" si="4"/>
        <v/>
      </c>
      <c r="O271" s="72"/>
      <c r="P271" s="72"/>
      <c r="Q271" s="72"/>
      <c r="R271" s="72"/>
      <c r="S271" s="72"/>
      <c r="T271" s="72"/>
      <c r="U271" s="72"/>
      <c r="V271" s="72"/>
    </row>
    <row r="272" spans="1:25" ht="27.75" customHeight="1">
      <c r="A272" s="87" t="str">
        <f>IF(ISBLANK(C272)," ",267-COUNTBLANK($C$6:C272))</f>
        <v xml:space="preserve"> </v>
      </c>
      <c r="B272" s="88"/>
      <c r="C272" s="88"/>
      <c r="D272" s="89"/>
      <c r="E272" s="89"/>
      <c r="F272" s="73"/>
      <c r="G272" s="73"/>
      <c r="H272" s="73"/>
      <c r="I272" s="73"/>
      <c r="J272" s="73"/>
      <c r="K272" s="73"/>
      <c r="L272" s="73"/>
      <c r="M272" s="74"/>
      <c r="N272" s="71" t="str">
        <f t="shared" si="4"/>
        <v/>
      </c>
      <c r="O272" s="72"/>
      <c r="P272" s="72"/>
      <c r="Q272" s="72"/>
      <c r="R272" s="72"/>
      <c r="S272" s="72"/>
      <c r="T272" s="72"/>
      <c r="U272" s="72"/>
      <c r="V272" s="72"/>
    </row>
    <row r="273" spans="1:25" ht="27.75" customHeight="1">
      <c r="A273" s="87" t="str">
        <f>IF(ISBLANK(C273)," ",268-COUNTBLANK($C$6:C273))</f>
        <v xml:space="preserve"> </v>
      </c>
      <c r="B273" s="88"/>
      <c r="C273" s="88"/>
      <c r="D273" s="89"/>
      <c r="E273" s="89"/>
      <c r="F273" s="73"/>
      <c r="G273" s="73"/>
      <c r="H273" s="73"/>
      <c r="I273" s="73"/>
      <c r="J273" s="73"/>
      <c r="K273" s="73"/>
      <c r="L273" s="73"/>
      <c r="M273" s="74"/>
      <c r="N273" s="71" t="str">
        <f t="shared" si="4"/>
        <v/>
      </c>
      <c r="O273" s="75"/>
      <c r="P273" s="72"/>
      <c r="Q273" s="72"/>
      <c r="R273" s="72"/>
      <c r="S273" s="72"/>
      <c r="T273" s="72"/>
      <c r="U273" s="72"/>
      <c r="V273" s="76"/>
    </row>
    <row r="274" spans="1:25" ht="27.75" customHeight="1">
      <c r="A274" s="87" t="str">
        <f>IF(ISBLANK(C274)," ",269-COUNTBLANK($C$6:C274))</f>
        <v xml:space="preserve"> </v>
      </c>
      <c r="B274" s="88"/>
      <c r="C274" s="88"/>
      <c r="D274" s="89"/>
      <c r="E274" s="89"/>
      <c r="F274" s="73"/>
      <c r="G274" s="73"/>
      <c r="H274" s="73"/>
      <c r="I274" s="73"/>
      <c r="J274" s="73"/>
      <c r="K274" s="73"/>
      <c r="L274" s="73"/>
      <c r="M274" s="74"/>
      <c r="N274" s="71" t="str">
        <f t="shared" si="4"/>
        <v/>
      </c>
      <c r="O274" s="75"/>
      <c r="P274" s="72"/>
      <c r="Q274" s="72"/>
      <c r="R274" s="72"/>
      <c r="S274" s="72"/>
      <c r="T274" s="72"/>
      <c r="U274" s="72"/>
      <c r="V274" s="76"/>
    </row>
    <row r="275" spans="1:25" ht="27.75" customHeight="1">
      <c r="A275" s="87" t="str">
        <f>IF(ISBLANK(C275)," ",270-COUNTBLANK($C$6:C275))</f>
        <v xml:space="preserve"> </v>
      </c>
      <c r="B275" s="88"/>
      <c r="C275" s="88"/>
      <c r="D275" s="89"/>
      <c r="E275" s="89"/>
      <c r="F275" s="73"/>
      <c r="G275" s="73"/>
      <c r="H275" s="73"/>
      <c r="I275" s="73"/>
      <c r="J275" s="73"/>
      <c r="K275" s="73"/>
      <c r="L275" s="73"/>
      <c r="M275" s="74"/>
      <c r="N275" s="71" t="str">
        <f t="shared" si="4"/>
        <v/>
      </c>
      <c r="O275" s="75"/>
      <c r="P275" s="72"/>
      <c r="Q275" s="72"/>
      <c r="R275" s="72"/>
      <c r="S275" s="72"/>
      <c r="T275" s="72"/>
      <c r="U275" s="72"/>
      <c r="V275" s="76"/>
    </row>
    <row r="276" spans="1:25" ht="27.75" customHeight="1">
      <c r="A276" s="87" t="str">
        <f>IF(ISBLANK(C276)," ",271-COUNTBLANK($C$6:C276))</f>
        <v xml:space="preserve"> </v>
      </c>
      <c r="B276" s="88"/>
      <c r="C276" s="88"/>
      <c r="D276" s="89"/>
      <c r="E276" s="89"/>
      <c r="F276" s="73"/>
      <c r="G276" s="73"/>
      <c r="H276" s="73"/>
      <c r="I276" s="73"/>
      <c r="J276" s="73"/>
      <c r="K276" s="73"/>
      <c r="L276" s="73"/>
      <c r="M276" s="74"/>
      <c r="N276" s="71" t="str">
        <f t="shared" si="4"/>
        <v/>
      </c>
      <c r="O276" s="75"/>
      <c r="P276" s="72"/>
      <c r="Q276" s="72"/>
      <c r="R276" s="72"/>
      <c r="S276" s="72"/>
      <c r="T276" s="72"/>
      <c r="U276" s="72"/>
      <c r="V276" s="76"/>
    </row>
    <row r="277" spans="1:25" ht="27.75" customHeight="1">
      <c r="A277" s="87" t="str">
        <f>IF(ISBLANK(C277)," ",272-COUNTBLANK($C$6:C277))</f>
        <v xml:space="preserve"> </v>
      </c>
      <c r="B277" s="88"/>
      <c r="C277" s="88"/>
      <c r="D277" s="89"/>
      <c r="E277" s="89"/>
      <c r="F277" s="73"/>
      <c r="G277" s="73"/>
      <c r="H277" s="73"/>
      <c r="I277" s="73"/>
      <c r="J277" s="73"/>
      <c r="K277" s="73"/>
      <c r="L277" s="73"/>
      <c r="M277" s="74"/>
      <c r="N277" s="71" t="str">
        <f t="shared" si="4"/>
        <v/>
      </c>
      <c r="O277" s="72"/>
      <c r="P277" s="72"/>
      <c r="Q277" s="72"/>
      <c r="R277" s="72"/>
      <c r="S277" s="72"/>
      <c r="T277" s="72"/>
      <c r="U277" s="72"/>
      <c r="V277" s="79"/>
      <c r="W277" s="72"/>
      <c r="X277" s="72"/>
      <c r="Y277" s="72"/>
    </row>
    <row r="278" spans="1:25" ht="27.75" customHeight="1">
      <c r="A278" s="80" t="s">
        <v>52</v>
      </c>
      <c r="B278" s="81"/>
      <c r="C278" s="96"/>
      <c r="D278" s="82"/>
      <c r="E278" s="82">
        <f>SUM(E258:E277)</f>
        <v>0</v>
      </c>
      <c r="F278" s="83"/>
      <c r="G278" s="83"/>
      <c r="H278" s="83"/>
      <c r="I278" s="83"/>
      <c r="J278" s="83"/>
      <c r="K278" s="83"/>
      <c r="L278" s="83"/>
      <c r="M278" s="84"/>
      <c r="N278" s="71" t="str">
        <f t="shared" si="4"/>
        <v/>
      </c>
      <c r="O278" s="75"/>
      <c r="P278" s="72"/>
      <c r="Q278" s="72"/>
      <c r="R278" s="72"/>
      <c r="S278" s="72"/>
      <c r="T278" s="72"/>
      <c r="U278" s="72"/>
      <c r="V278" s="79"/>
      <c r="W278" s="72"/>
      <c r="X278" s="72"/>
      <c r="Y278" s="72"/>
    </row>
    <row r="279" spans="1:25" ht="27.75" customHeight="1">
      <c r="A279" s="93" t="str">
        <f>IF(ISBLANK(C279)," ",274-COUNTBLANK($C$6:C279))</f>
        <v xml:space="preserve"> </v>
      </c>
      <c r="B279" s="94"/>
      <c r="C279" s="94"/>
      <c r="D279" s="95"/>
      <c r="E279" s="95"/>
      <c r="F279" s="85"/>
      <c r="G279" s="85"/>
      <c r="H279" s="85"/>
      <c r="I279" s="85"/>
      <c r="J279" s="85"/>
      <c r="K279" s="85"/>
      <c r="L279" s="85"/>
      <c r="M279" s="86"/>
      <c r="N279" s="71" t="str">
        <f t="shared" si="4"/>
        <v/>
      </c>
      <c r="O279" s="72"/>
      <c r="P279" s="72"/>
      <c r="Q279" s="72"/>
      <c r="R279" s="72"/>
      <c r="S279" s="72"/>
      <c r="T279" s="72"/>
      <c r="U279" s="72"/>
      <c r="V279" s="72"/>
    </row>
    <row r="280" spans="1:25" ht="27.75" customHeight="1">
      <c r="A280" s="87" t="str">
        <f>IF(ISBLANK(C280)," ",275-COUNTBLANK($C$6:C280))</f>
        <v xml:space="preserve"> </v>
      </c>
      <c r="B280" s="88"/>
      <c r="C280" s="88"/>
      <c r="D280" s="89"/>
      <c r="E280" s="89"/>
      <c r="F280" s="73"/>
      <c r="G280" s="73"/>
      <c r="H280" s="73"/>
      <c r="I280" s="73"/>
      <c r="J280" s="73"/>
      <c r="K280" s="73"/>
      <c r="L280" s="73"/>
      <c r="M280" s="74"/>
      <c r="N280" s="71" t="str">
        <f t="shared" si="4"/>
        <v/>
      </c>
      <c r="O280" s="72"/>
      <c r="P280" s="72"/>
      <c r="Q280" s="72"/>
      <c r="R280" s="72"/>
      <c r="S280" s="72"/>
      <c r="T280" s="72"/>
      <c r="U280" s="72"/>
      <c r="V280" s="72"/>
    </row>
    <row r="281" spans="1:25" ht="27.75" customHeight="1">
      <c r="A281" s="87" t="str">
        <f>IF(ISBLANK(C281)," ",276-COUNTBLANK($C$6:C281))</f>
        <v xml:space="preserve"> </v>
      </c>
      <c r="B281" s="88"/>
      <c r="C281" s="88"/>
      <c r="D281" s="89"/>
      <c r="E281" s="89"/>
      <c r="F281" s="73"/>
      <c r="G281" s="73"/>
      <c r="H281" s="73"/>
      <c r="I281" s="73"/>
      <c r="J281" s="73"/>
      <c r="K281" s="73"/>
      <c r="L281" s="73"/>
      <c r="M281" s="74"/>
      <c r="N281" s="71" t="str">
        <f t="shared" si="4"/>
        <v/>
      </c>
      <c r="O281" s="72"/>
      <c r="P281" s="72"/>
      <c r="Q281" s="72"/>
      <c r="R281" s="72"/>
      <c r="S281" s="72"/>
      <c r="T281" s="72"/>
      <c r="U281" s="72"/>
      <c r="V281" s="72"/>
    </row>
    <row r="282" spans="1:25" ht="27.75" customHeight="1">
      <c r="A282" s="87" t="str">
        <f>IF(ISBLANK(C282)," ",277-COUNTBLANK($C$6:C282))</f>
        <v xml:space="preserve"> </v>
      </c>
      <c r="B282" s="88"/>
      <c r="C282" s="88"/>
      <c r="D282" s="89"/>
      <c r="E282" s="89"/>
      <c r="F282" s="73"/>
      <c r="G282" s="73"/>
      <c r="H282" s="73"/>
      <c r="I282" s="73"/>
      <c r="J282" s="73"/>
      <c r="K282" s="73"/>
      <c r="L282" s="73"/>
      <c r="M282" s="74"/>
      <c r="N282" s="71" t="str">
        <f t="shared" si="4"/>
        <v/>
      </c>
      <c r="O282" s="72"/>
      <c r="P282" s="72"/>
      <c r="Q282" s="72"/>
      <c r="R282" s="72"/>
      <c r="S282" s="72"/>
      <c r="T282" s="72"/>
      <c r="U282" s="72"/>
      <c r="V282" s="72"/>
    </row>
    <row r="283" spans="1:25" ht="27.75" customHeight="1">
      <c r="A283" s="87" t="str">
        <f>IF(ISBLANK(C283)," ",278-COUNTBLANK($C$6:C283))</f>
        <v xml:space="preserve"> </v>
      </c>
      <c r="B283" s="88"/>
      <c r="C283" s="88"/>
      <c r="D283" s="89"/>
      <c r="E283" s="89"/>
      <c r="F283" s="73"/>
      <c r="G283" s="73"/>
      <c r="H283" s="73"/>
      <c r="I283" s="73"/>
      <c r="J283" s="73"/>
      <c r="K283" s="73"/>
      <c r="L283" s="73"/>
      <c r="M283" s="74"/>
      <c r="N283" s="71" t="str">
        <f t="shared" si="4"/>
        <v/>
      </c>
      <c r="O283" s="72"/>
      <c r="P283" s="72"/>
      <c r="Q283" s="72"/>
      <c r="R283" s="72"/>
      <c r="S283" s="72"/>
      <c r="T283" s="72"/>
      <c r="U283" s="72"/>
      <c r="V283" s="72"/>
    </row>
    <row r="284" spans="1:25" ht="27.75" customHeight="1">
      <c r="A284" s="87" t="str">
        <f>IF(ISBLANK(C284)," ",279-COUNTBLANK($C$6:C284))</f>
        <v xml:space="preserve"> </v>
      </c>
      <c r="B284" s="88"/>
      <c r="C284" s="88"/>
      <c r="D284" s="89"/>
      <c r="E284" s="89"/>
      <c r="F284" s="73"/>
      <c r="G284" s="73"/>
      <c r="H284" s="73"/>
      <c r="I284" s="73"/>
      <c r="J284" s="73"/>
      <c r="K284" s="73"/>
      <c r="L284" s="73"/>
      <c r="M284" s="74"/>
      <c r="N284" s="71" t="str">
        <f t="shared" si="4"/>
        <v/>
      </c>
      <c r="O284" s="72"/>
      <c r="P284" s="72"/>
      <c r="Q284" s="72"/>
      <c r="R284" s="72"/>
      <c r="S284" s="72"/>
      <c r="T284" s="72"/>
      <c r="U284" s="72"/>
      <c r="V284" s="72"/>
    </row>
    <row r="285" spans="1:25" ht="27.75" customHeight="1">
      <c r="A285" s="87" t="str">
        <f>IF(ISBLANK(C285)," ",280-COUNTBLANK($C$6:C285))</f>
        <v xml:space="preserve"> </v>
      </c>
      <c r="B285" s="88"/>
      <c r="C285" s="88"/>
      <c r="D285" s="89"/>
      <c r="E285" s="89"/>
      <c r="F285" s="73"/>
      <c r="G285" s="73"/>
      <c r="H285" s="73"/>
      <c r="I285" s="73"/>
      <c r="J285" s="73"/>
      <c r="K285" s="73"/>
      <c r="L285" s="73"/>
      <c r="M285" s="74"/>
      <c r="N285" s="71" t="str">
        <f t="shared" si="4"/>
        <v/>
      </c>
      <c r="O285" s="72"/>
      <c r="P285" s="72"/>
      <c r="Q285" s="72"/>
      <c r="R285" s="72"/>
      <c r="S285" s="72"/>
      <c r="T285" s="72"/>
      <c r="U285" s="72"/>
      <c r="V285" s="72"/>
    </row>
    <row r="286" spans="1:25" ht="27.75" customHeight="1">
      <c r="A286" s="87" t="str">
        <f>IF(ISBLANK(C286)," ",281-COUNTBLANK($C$6:C286))</f>
        <v xml:space="preserve"> </v>
      </c>
      <c r="B286" s="88"/>
      <c r="C286" s="88"/>
      <c r="D286" s="89"/>
      <c r="E286" s="89"/>
      <c r="F286" s="73"/>
      <c r="G286" s="73"/>
      <c r="H286" s="73"/>
      <c r="I286" s="73"/>
      <c r="J286" s="73"/>
      <c r="K286" s="73"/>
      <c r="L286" s="73"/>
      <c r="M286" s="74"/>
      <c r="N286" s="71" t="str">
        <f t="shared" si="4"/>
        <v/>
      </c>
      <c r="O286" s="72"/>
      <c r="P286" s="72"/>
      <c r="Q286" s="72"/>
      <c r="R286" s="72"/>
      <c r="S286" s="72"/>
      <c r="T286" s="72"/>
      <c r="U286" s="72"/>
      <c r="V286" s="72"/>
    </row>
    <row r="287" spans="1:25" ht="27.75" customHeight="1">
      <c r="A287" s="87" t="str">
        <f>IF(ISBLANK(C287)," ",282-COUNTBLANK($C$6:C287))</f>
        <v xml:space="preserve"> </v>
      </c>
      <c r="B287" s="88"/>
      <c r="C287" s="88"/>
      <c r="D287" s="89"/>
      <c r="E287" s="89"/>
      <c r="F287" s="73"/>
      <c r="G287" s="73"/>
      <c r="H287" s="73"/>
      <c r="I287" s="73"/>
      <c r="J287" s="73"/>
      <c r="K287" s="73"/>
      <c r="L287" s="73"/>
      <c r="M287" s="74"/>
      <c r="N287" s="71" t="str">
        <f t="shared" si="4"/>
        <v/>
      </c>
      <c r="O287" s="72"/>
      <c r="P287" s="72"/>
      <c r="Q287" s="72"/>
      <c r="R287" s="72"/>
      <c r="S287" s="72"/>
      <c r="T287" s="72"/>
      <c r="U287" s="72"/>
      <c r="V287" s="72"/>
    </row>
    <row r="288" spans="1:25" ht="27.75" customHeight="1">
      <c r="A288" s="87" t="str">
        <f>IF(ISBLANK(C288)," ",283-COUNTBLANK($C$6:C288))</f>
        <v xml:space="preserve"> </v>
      </c>
      <c r="B288" s="88"/>
      <c r="C288" s="88"/>
      <c r="D288" s="89"/>
      <c r="E288" s="89"/>
      <c r="F288" s="73"/>
      <c r="G288" s="73"/>
      <c r="H288" s="73"/>
      <c r="I288" s="73"/>
      <c r="J288" s="73"/>
      <c r="K288" s="73"/>
      <c r="L288" s="73"/>
      <c r="M288" s="74"/>
      <c r="N288" s="71" t="str">
        <f t="shared" si="4"/>
        <v/>
      </c>
      <c r="O288" s="72"/>
      <c r="P288" s="72"/>
      <c r="Q288" s="72"/>
      <c r="R288" s="72"/>
      <c r="S288" s="72"/>
      <c r="T288" s="72"/>
      <c r="U288" s="72"/>
      <c r="V288" s="72"/>
    </row>
    <row r="289" spans="1:25" ht="27.75" customHeight="1">
      <c r="A289" s="87" t="str">
        <f>IF(ISBLANK(C289)," ",284-COUNTBLANK($C$6:C289))</f>
        <v xml:space="preserve"> </v>
      </c>
      <c r="B289" s="88"/>
      <c r="C289" s="88"/>
      <c r="D289" s="89"/>
      <c r="E289" s="89"/>
      <c r="F289" s="73"/>
      <c r="G289" s="73"/>
      <c r="H289" s="73"/>
      <c r="I289" s="73"/>
      <c r="J289" s="73"/>
      <c r="K289" s="73"/>
      <c r="L289" s="73"/>
      <c r="M289" s="74"/>
      <c r="N289" s="71" t="str">
        <f t="shared" si="4"/>
        <v/>
      </c>
      <c r="O289" s="72"/>
      <c r="P289" s="72"/>
      <c r="Q289" s="72"/>
      <c r="R289" s="72"/>
      <c r="S289" s="72"/>
      <c r="T289" s="72"/>
      <c r="U289" s="72"/>
      <c r="V289" s="72"/>
    </row>
    <row r="290" spans="1:25" ht="27.75" customHeight="1">
      <c r="A290" s="87" t="str">
        <f>IF(ISBLANK(C290)," ",285-COUNTBLANK($C$6:C290))</f>
        <v xml:space="preserve"> </v>
      </c>
      <c r="B290" s="88"/>
      <c r="C290" s="88"/>
      <c r="D290" s="89"/>
      <c r="E290" s="89"/>
      <c r="F290" s="73"/>
      <c r="G290" s="73"/>
      <c r="H290" s="73"/>
      <c r="I290" s="73"/>
      <c r="J290" s="73"/>
      <c r="K290" s="73"/>
      <c r="L290" s="73"/>
      <c r="M290" s="74"/>
      <c r="N290" s="71" t="str">
        <f t="shared" si="4"/>
        <v/>
      </c>
      <c r="O290" s="72"/>
      <c r="P290" s="72"/>
      <c r="Q290" s="72"/>
      <c r="R290" s="72"/>
      <c r="S290" s="72"/>
      <c r="T290" s="72"/>
      <c r="U290" s="72"/>
      <c r="V290" s="72"/>
    </row>
    <row r="291" spans="1:25" ht="27.75" customHeight="1">
      <c r="A291" s="87" t="str">
        <f>IF(ISBLANK(C291)," ",286-COUNTBLANK($C$6:C291))</f>
        <v xml:space="preserve"> </v>
      </c>
      <c r="B291" s="88"/>
      <c r="C291" s="88"/>
      <c r="D291" s="89"/>
      <c r="E291" s="89"/>
      <c r="F291" s="73"/>
      <c r="G291" s="73"/>
      <c r="H291" s="73"/>
      <c r="I291" s="73"/>
      <c r="J291" s="73"/>
      <c r="K291" s="73"/>
      <c r="L291" s="73"/>
      <c r="M291" s="74"/>
      <c r="N291" s="71" t="str">
        <f t="shared" si="4"/>
        <v/>
      </c>
      <c r="O291" s="72"/>
      <c r="P291" s="72"/>
      <c r="Q291" s="72"/>
      <c r="R291" s="72"/>
      <c r="S291" s="72"/>
      <c r="T291" s="72"/>
      <c r="U291" s="72"/>
      <c r="V291" s="72"/>
    </row>
    <row r="292" spans="1:25" ht="27.75" customHeight="1">
      <c r="A292" s="87" t="str">
        <f>IF(ISBLANK(C292)," ",287-COUNTBLANK($C$6:C292))</f>
        <v xml:space="preserve"> </v>
      </c>
      <c r="B292" s="88"/>
      <c r="C292" s="88"/>
      <c r="D292" s="89"/>
      <c r="E292" s="89"/>
      <c r="F292" s="73"/>
      <c r="G292" s="73"/>
      <c r="H292" s="73"/>
      <c r="I292" s="73"/>
      <c r="J292" s="73"/>
      <c r="K292" s="73"/>
      <c r="L292" s="73"/>
      <c r="M292" s="74"/>
      <c r="N292" s="71" t="str">
        <f t="shared" si="4"/>
        <v/>
      </c>
      <c r="O292" s="72"/>
      <c r="P292" s="72"/>
      <c r="Q292" s="72"/>
      <c r="R292" s="72"/>
      <c r="S292" s="72"/>
      <c r="T292" s="72"/>
      <c r="U292" s="72"/>
      <c r="V292" s="72"/>
    </row>
    <row r="293" spans="1:25" ht="27.75" customHeight="1">
      <c r="A293" s="87" t="str">
        <f>IF(ISBLANK(C293)," ",288-COUNTBLANK($C$6:C293))</f>
        <v xml:space="preserve"> </v>
      </c>
      <c r="B293" s="88"/>
      <c r="C293" s="88"/>
      <c r="D293" s="89"/>
      <c r="E293" s="89"/>
      <c r="F293" s="73"/>
      <c r="G293" s="73"/>
      <c r="H293" s="73"/>
      <c r="I293" s="73"/>
      <c r="J293" s="73"/>
      <c r="K293" s="73"/>
      <c r="L293" s="73"/>
      <c r="M293" s="74"/>
      <c r="N293" s="71" t="str">
        <f t="shared" si="4"/>
        <v/>
      </c>
      <c r="O293" s="72"/>
      <c r="P293" s="72"/>
      <c r="Q293" s="72"/>
      <c r="R293" s="72"/>
      <c r="S293" s="72"/>
      <c r="T293" s="72"/>
      <c r="U293" s="72"/>
      <c r="V293" s="72"/>
    </row>
    <row r="294" spans="1:25" ht="27.75" customHeight="1">
      <c r="A294" s="87" t="str">
        <f>IF(ISBLANK(C294)," ",289-COUNTBLANK($C$6:C294))</f>
        <v xml:space="preserve"> </v>
      </c>
      <c r="B294" s="88"/>
      <c r="C294" s="88"/>
      <c r="D294" s="89"/>
      <c r="E294" s="89"/>
      <c r="F294" s="73"/>
      <c r="G294" s="73"/>
      <c r="H294" s="73"/>
      <c r="I294" s="73"/>
      <c r="J294" s="73"/>
      <c r="K294" s="73"/>
      <c r="L294" s="73"/>
      <c r="M294" s="74"/>
      <c r="N294" s="71" t="str">
        <f t="shared" si="4"/>
        <v/>
      </c>
      <c r="O294" s="75"/>
      <c r="P294" s="72"/>
      <c r="Q294" s="72"/>
      <c r="R294" s="72"/>
      <c r="S294" s="72"/>
      <c r="T294" s="72"/>
      <c r="U294" s="72"/>
      <c r="V294" s="76"/>
    </row>
    <row r="295" spans="1:25" ht="27.75" customHeight="1">
      <c r="A295" s="87" t="str">
        <f>IF(ISBLANK(C295)," ",290-COUNTBLANK($C$6:C295))</f>
        <v xml:space="preserve"> </v>
      </c>
      <c r="B295" s="88"/>
      <c r="C295" s="88"/>
      <c r="D295" s="89"/>
      <c r="E295" s="89"/>
      <c r="F295" s="73"/>
      <c r="G295" s="73"/>
      <c r="H295" s="73"/>
      <c r="I295" s="73"/>
      <c r="J295" s="73"/>
      <c r="K295" s="73"/>
      <c r="L295" s="73"/>
      <c r="M295" s="74"/>
      <c r="N295" s="71" t="str">
        <f t="shared" si="4"/>
        <v/>
      </c>
      <c r="O295" s="75"/>
      <c r="P295" s="72"/>
      <c r="Q295" s="72"/>
      <c r="R295" s="72"/>
      <c r="S295" s="72"/>
      <c r="T295" s="72"/>
      <c r="U295" s="72"/>
      <c r="V295" s="76"/>
    </row>
    <row r="296" spans="1:25" ht="27.75" customHeight="1">
      <c r="A296" s="87" t="str">
        <f>IF(ISBLANK(C296)," ",291-COUNTBLANK($C$6:C296))</f>
        <v xml:space="preserve"> </v>
      </c>
      <c r="B296" s="88"/>
      <c r="C296" s="88"/>
      <c r="D296" s="89"/>
      <c r="E296" s="89"/>
      <c r="F296" s="73"/>
      <c r="G296" s="73"/>
      <c r="H296" s="73"/>
      <c r="I296" s="73"/>
      <c r="J296" s="73"/>
      <c r="K296" s="73"/>
      <c r="L296" s="73"/>
      <c r="M296" s="74"/>
      <c r="N296" s="71" t="str">
        <f t="shared" si="4"/>
        <v/>
      </c>
      <c r="O296" s="75"/>
      <c r="P296" s="72"/>
      <c r="Q296" s="72"/>
      <c r="R296" s="72"/>
      <c r="S296" s="72"/>
      <c r="T296" s="72"/>
      <c r="U296" s="72"/>
      <c r="V296" s="76"/>
    </row>
    <row r="297" spans="1:25" ht="27.75" customHeight="1">
      <c r="A297" s="87" t="str">
        <f>IF(ISBLANK(C297)," ",292-COUNTBLANK($C$6:C297))</f>
        <v xml:space="preserve"> </v>
      </c>
      <c r="B297" s="88"/>
      <c r="C297" s="88"/>
      <c r="D297" s="89"/>
      <c r="E297" s="89"/>
      <c r="F297" s="73"/>
      <c r="G297" s="73"/>
      <c r="H297" s="73"/>
      <c r="I297" s="73"/>
      <c r="J297" s="73"/>
      <c r="K297" s="73"/>
      <c r="L297" s="73"/>
      <c r="M297" s="74"/>
      <c r="N297" s="71" t="str">
        <f t="shared" si="4"/>
        <v/>
      </c>
      <c r="O297" s="75"/>
      <c r="P297" s="72"/>
      <c r="Q297" s="72"/>
      <c r="R297" s="72"/>
      <c r="S297" s="72"/>
      <c r="T297" s="72"/>
      <c r="U297" s="72"/>
      <c r="V297" s="76"/>
    </row>
    <row r="298" spans="1:25" ht="27.75" customHeight="1">
      <c r="A298" s="87" t="str">
        <f>IF(ISBLANK(C298)," ",293-COUNTBLANK($C$6:C298))</f>
        <v xml:space="preserve"> </v>
      </c>
      <c r="B298" s="88"/>
      <c r="C298" s="88"/>
      <c r="D298" s="89"/>
      <c r="E298" s="89"/>
      <c r="F298" s="73"/>
      <c r="G298" s="73"/>
      <c r="H298" s="73"/>
      <c r="I298" s="73"/>
      <c r="J298" s="73"/>
      <c r="K298" s="73"/>
      <c r="L298" s="73"/>
      <c r="M298" s="74"/>
      <c r="N298" s="71" t="str">
        <f t="shared" si="4"/>
        <v/>
      </c>
      <c r="O298" s="72"/>
      <c r="P298" s="72"/>
      <c r="Q298" s="72"/>
      <c r="R298" s="72"/>
      <c r="S298" s="72"/>
      <c r="T298" s="72"/>
      <c r="U298" s="72"/>
      <c r="V298" s="79"/>
      <c r="W298" s="72"/>
      <c r="X298" s="72"/>
      <c r="Y298" s="72"/>
    </row>
    <row r="299" spans="1:25" ht="27.75" customHeight="1">
      <c r="A299" s="80" t="s">
        <v>52</v>
      </c>
      <c r="B299" s="81"/>
      <c r="C299" s="96"/>
      <c r="D299" s="82"/>
      <c r="E299" s="82">
        <f>SUM(E279:E298)</f>
        <v>0</v>
      </c>
      <c r="F299" s="83"/>
      <c r="G299" s="83"/>
      <c r="H299" s="83"/>
      <c r="I299" s="83"/>
      <c r="J299" s="83"/>
      <c r="K299" s="83"/>
      <c r="L299" s="83"/>
      <c r="M299" s="84"/>
      <c r="N299" s="71" t="str">
        <f t="shared" si="4"/>
        <v/>
      </c>
      <c r="O299" s="75"/>
      <c r="P299" s="72"/>
      <c r="Q299" s="72"/>
      <c r="R299" s="72"/>
      <c r="S299" s="72"/>
      <c r="T299" s="72"/>
      <c r="U299" s="72"/>
      <c r="V299" s="79"/>
      <c r="W299" s="72"/>
      <c r="X299" s="72"/>
      <c r="Y299" s="72"/>
    </row>
    <row r="300" spans="1:25" ht="27.75" customHeight="1">
      <c r="A300" s="93" t="str">
        <f>IF(ISBLANK(C300)," ",295-COUNTBLANK($C$6:C300))</f>
        <v xml:space="preserve"> </v>
      </c>
      <c r="B300" s="94"/>
      <c r="C300" s="94"/>
      <c r="D300" s="95"/>
      <c r="E300" s="95"/>
      <c r="F300" s="85"/>
      <c r="G300" s="85"/>
      <c r="H300" s="85"/>
      <c r="I300" s="85"/>
      <c r="J300" s="85"/>
      <c r="K300" s="85"/>
      <c r="L300" s="85"/>
      <c r="M300" s="86"/>
      <c r="N300" s="71" t="str">
        <f t="shared" si="4"/>
        <v/>
      </c>
      <c r="O300" s="72"/>
      <c r="P300" s="72"/>
      <c r="Q300" s="72"/>
      <c r="R300" s="72"/>
      <c r="S300" s="72"/>
      <c r="T300" s="72"/>
      <c r="U300" s="72"/>
      <c r="V300" s="72"/>
    </row>
    <row r="301" spans="1:25" ht="27.75" customHeight="1">
      <c r="A301" s="87" t="str">
        <f>IF(ISBLANK(C301)," ",296-COUNTBLANK($C$6:C301))</f>
        <v xml:space="preserve"> </v>
      </c>
      <c r="B301" s="88"/>
      <c r="C301" s="88"/>
      <c r="D301" s="89"/>
      <c r="E301" s="89"/>
      <c r="F301" s="73"/>
      <c r="G301" s="73"/>
      <c r="H301" s="73"/>
      <c r="I301" s="73"/>
      <c r="J301" s="73"/>
      <c r="K301" s="73"/>
      <c r="L301" s="73"/>
      <c r="M301" s="74"/>
      <c r="N301" s="71" t="str">
        <f t="shared" si="4"/>
        <v/>
      </c>
      <c r="O301" s="72"/>
      <c r="P301" s="72"/>
      <c r="Q301" s="72"/>
      <c r="R301" s="72"/>
      <c r="S301" s="72"/>
      <c r="T301" s="72"/>
      <c r="U301" s="72"/>
      <c r="V301" s="72"/>
    </row>
    <row r="302" spans="1:25" ht="27.75" customHeight="1">
      <c r="A302" s="87" t="str">
        <f>IF(ISBLANK(C302)," ",297-COUNTBLANK($C$6:C302))</f>
        <v xml:space="preserve"> </v>
      </c>
      <c r="B302" s="88"/>
      <c r="C302" s="88"/>
      <c r="D302" s="89"/>
      <c r="E302" s="89"/>
      <c r="F302" s="73"/>
      <c r="G302" s="73"/>
      <c r="H302" s="73"/>
      <c r="I302" s="73"/>
      <c r="J302" s="73"/>
      <c r="K302" s="73"/>
      <c r="L302" s="73"/>
      <c r="M302" s="74"/>
      <c r="N302" s="71" t="str">
        <f t="shared" si="4"/>
        <v/>
      </c>
      <c r="O302" s="72"/>
      <c r="P302" s="72"/>
      <c r="Q302" s="72"/>
      <c r="R302" s="72"/>
      <c r="S302" s="72"/>
      <c r="T302" s="72"/>
      <c r="U302" s="72"/>
      <c r="V302" s="72"/>
    </row>
    <row r="303" spans="1:25" ht="27.75" customHeight="1">
      <c r="A303" s="87" t="str">
        <f>IF(ISBLANK(C303)," ",298-COUNTBLANK($C$6:C303))</f>
        <v xml:space="preserve"> </v>
      </c>
      <c r="B303" s="88"/>
      <c r="C303" s="88"/>
      <c r="D303" s="89"/>
      <c r="E303" s="89"/>
      <c r="F303" s="73"/>
      <c r="G303" s="73"/>
      <c r="H303" s="73"/>
      <c r="I303" s="73"/>
      <c r="J303" s="73"/>
      <c r="K303" s="73"/>
      <c r="L303" s="73"/>
      <c r="M303" s="74"/>
      <c r="N303" s="71" t="str">
        <f t="shared" si="4"/>
        <v/>
      </c>
      <c r="O303" s="72"/>
      <c r="P303" s="72"/>
      <c r="Q303" s="72"/>
      <c r="R303" s="72"/>
      <c r="S303" s="72"/>
      <c r="T303" s="72"/>
      <c r="U303" s="72"/>
      <c r="V303" s="72"/>
    </row>
    <row r="304" spans="1:25" ht="27.75" customHeight="1">
      <c r="A304" s="87" t="str">
        <f>IF(ISBLANK(C304)," ",299-COUNTBLANK($C$6:C304))</f>
        <v xml:space="preserve"> </v>
      </c>
      <c r="B304" s="88"/>
      <c r="C304" s="88"/>
      <c r="D304" s="89"/>
      <c r="E304" s="89"/>
      <c r="F304" s="73"/>
      <c r="G304" s="73"/>
      <c r="H304" s="73"/>
      <c r="I304" s="73"/>
      <c r="J304" s="73"/>
      <c r="K304" s="73"/>
      <c r="L304" s="73"/>
      <c r="M304" s="74"/>
      <c r="N304" s="71" t="str">
        <f t="shared" si="4"/>
        <v/>
      </c>
      <c r="O304" s="72"/>
      <c r="P304" s="72"/>
      <c r="Q304" s="72"/>
      <c r="R304" s="72"/>
      <c r="S304" s="72"/>
      <c r="T304" s="72"/>
      <c r="U304" s="72"/>
      <c r="V304" s="72"/>
    </row>
    <row r="305" spans="1:25" ht="27.75" customHeight="1">
      <c r="A305" s="87" t="str">
        <f>IF(ISBLANK(C305)," ",300-COUNTBLANK($C$6:C305))</f>
        <v xml:space="preserve"> </v>
      </c>
      <c r="B305" s="88"/>
      <c r="C305" s="88"/>
      <c r="D305" s="89"/>
      <c r="E305" s="89"/>
      <c r="F305" s="73"/>
      <c r="G305" s="73"/>
      <c r="H305" s="73"/>
      <c r="I305" s="73"/>
      <c r="J305" s="73"/>
      <c r="K305" s="73"/>
      <c r="L305" s="73"/>
      <c r="M305" s="74"/>
      <c r="N305" s="71" t="str">
        <f t="shared" si="4"/>
        <v/>
      </c>
      <c r="O305" s="72"/>
      <c r="P305" s="72"/>
      <c r="Q305" s="72"/>
      <c r="R305" s="72"/>
      <c r="S305" s="72"/>
      <c r="T305" s="72"/>
      <c r="U305" s="72"/>
      <c r="V305" s="72"/>
    </row>
    <row r="306" spans="1:25" ht="27.75" customHeight="1">
      <c r="A306" s="87" t="str">
        <f>IF(ISBLANK(C306)," ",301-COUNTBLANK($C$6:C306))</f>
        <v xml:space="preserve"> </v>
      </c>
      <c r="B306" s="88"/>
      <c r="C306" s="88"/>
      <c r="D306" s="89"/>
      <c r="E306" s="89"/>
      <c r="F306" s="73"/>
      <c r="G306" s="73"/>
      <c r="H306" s="73"/>
      <c r="I306" s="73"/>
      <c r="J306" s="73"/>
      <c r="K306" s="73"/>
      <c r="L306" s="73"/>
      <c r="M306" s="74"/>
      <c r="N306" s="71" t="str">
        <f t="shared" si="4"/>
        <v/>
      </c>
      <c r="O306" s="72"/>
      <c r="P306" s="72"/>
      <c r="Q306" s="72"/>
      <c r="R306" s="72"/>
      <c r="S306" s="72"/>
      <c r="T306" s="72"/>
      <c r="U306" s="72"/>
      <c r="V306" s="72"/>
    </row>
    <row r="307" spans="1:25" ht="27.75" customHeight="1">
      <c r="A307" s="87" t="str">
        <f>IF(ISBLANK(C307)," ",302-COUNTBLANK($C$6:C307))</f>
        <v xml:space="preserve"> </v>
      </c>
      <c r="B307" s="88"/>
      <c r="C307" s="88"/>
      <c r="D307" s="89"/>
      <c r="E307" s="89"/>
      <c r="F307" s="73"/>
      <c r="G307" s="73"/>
      <c r="H307" s="73"/>
      <c r="I307" s="73"/>
      <c r="J307" s="73"/>
      <c r="K307" s="73"/>
      <c r="L307" s="73"/>
      <c r="M307" s="74"/>
      <c r="N307" s="71" t="str">
        <f t="shared" si="4"/>
        <v/>
      </c>
      <c r="O307" s="72"/>
      <c r="P307" s="72"/>
      <c r="Q307" s="72"/>
      <c r="R307" s="72"/>
      <c r="S307" s="72"/>
      <c r="T307" s="72"/>
      <c r="U307" s="72"/>
      <c r="V307" s="72"/>
    </row>
    <row r="308" spans="1:25" ht="27.75" customHeight="1">
      <c r="A308" s="87" t="str">
        <f>IF(ISBLANK(C308)," ",303-COUNTBLANK($C$6:C308))</f>
        <v xml:space="preserve"> </v>
      </c>
      <c r="B308" s="88"/>
      <c r="C308" s="88"/>
      <c r="D308" s="89"/>
      <c r="E308" s="89"/>
      <c r="F308" s="73"/>
      <c r="G308" s="73"/>
      <c r="H308" s="73"/>
      <c r="I308" s="73"/>
      <c r="J308" s="73"/>
      <c r="K308" s="73"/>
      <c r="L308" s="73"/>
      <c r="M308" s="74"/>
      <c r="N308" s="71" t="str">
        <f t="shared" si="4"/>
        <v/>
      </c>
      <c r="O308" s="72"/>
      <c r="P308" s="72"/>
      <c r="Q308" s="72"/>
      <c r="R308" s="72"/>
      <c r="S308" s="72"/>
      <c r="T308" s="72"/>
      <c r="U308" s="72"/>
      <c r="V308" s="72"/>
    </row>
    <row r="309" spans="1:25" ht="27.75" customHeight="1">
      <c r="A309" s="87" t="str">
        <f>IF(ISBLANK(C309)," ",304-COUNTBLANK($C$6:C309))</f>
        <v xml:space="preserve"> </v>
      </c>
      <c r="B309" s="88"/>
      <c r="C309" s="88"/>
      <c r="D309" s="89"/>
      <c r="E309" s="89"/>
      <c r="F309" s="73"/>
      <c r="G309" s="73"/>
      <c r="H309" s="73"/>
      <c r="I309" s="73"/>
      <c r="J309" s="73"/>
      <c r="K309" s="73"/>
      <c r="L309" s="73"/>
      <c r="M309" s="74"/>
      <c r="N309" s="71" t="str">
        <f t="shared" si="4"/>
        <v/>
      </c>
      <c r="O309" s="72"/>
      <c r="P309" s="72"/>
      <c r="Q309" s="72"/>
      <c r="R309" s="72"/>
      <c r="S309" s="72"/>
      <c r="T309" s="72"/>
      <c r="U309" s="72"/>
      <c r="V309" s="72"/>
    </row>
    <row r="310" spans="1:25" ht="27.75" customHeight="1">
      <c r="A310" s="87" t="str">
        <f>IF(ISBLANK(C310)," ",305-COUNTBLANK($C$6:C310))</f>
        <v xml:space="preserve"> </v>
      </c>
      <c r="B310" s="88"/>
      <c r="C310" s="88"/>
      <c r="D310" s="89"/>
      <c r="E310" s="89"/>
      <c r="F310" s="73"/>
      <c r="G310" s="73"/>
      <c r="H310" s="73"/>
      <c r="I310" s="73"/>
      <c r="J310" s="73"/>
      <c r="K310" s="73"/>
      <c r="L310" s="73"/>
      <c r="M310" s="74"/>
      <c r="N310" s="71" t="str">
        <f t="shared" si="4"/>
        <v/>
      </c>
      <c r="O310" s="72"/>
      <c r="P310" s="72"/>
      <c r="Q310" s="72"/>
      <c r="R310" s="72"/>
      <c r="S310" s="72"/>
      <c r="T310" s="72"/>
      <c r="U310" s="72"/>
      <c r="V310" s="72"/>
    </row>
    <row r="311" spans="1:25" ht="27.75" customHeight="1">
      <c r="A311" s="87" t="str">
        <f>IF(ISBLANK(C311)," ",306-COUNTBLANK($C$6:C311))</f>
        <v xml:space="preserve"> </v>
      </c>
      <c r="B311" s="88"/>
      <c r="C311" s="88"/>
      <c r="D311" s="89"/>
      <c r="E311" s="89"/>
      <c r="F311" s="73"/>
      <c r="G311" s="73"/>
      <c r="H311" s="73"/>
      <c r="I311" s="73"/>
      <c r="J311" s="73"/>
      <c r="K311" s="73"/>
      <c r="L311" s="73"/>
      <c r="M311" s="74"/>
      <c r="N311" s="71" t="str">
        <f t="shared" si="4"/>
        <v/>
      </c>
      <c r="O311" s="72"/>
      <c r="P311" s="72"/>
      <c r="Q311" s="72"/>
      <c r="R311" s="72"/>
      <c r="S311" s="72"/>
      <c r="T311" s="72"/>
      <c r="U311" s="72"/>
      <c r="V311" s="72"/>
    </row>
    <row r="312" spans="1:25" ht="27.75" customHeight="1">
      <c r="A312" s="87" t="str">
        <f>IF(ISBLANK(C312)," ",307-COUNTBLANK($C$6:C312))</f>
        <v xml:space="preserve"> </v>
      </c>
      <c r="B312" s="88"/>
      <c r="C312" s="88"/>
      <c r="D312" s="89"/>
      <c r="E312" s="89"/>
      <c r="F312" s="73"/>
      <c r="G312" s="73"/>
      <c r="H312" s="73"/>
      <c r="I312" s="73"/>
      <c r="J312" s="73"/>
      <c r="K312" s="73"/>
      <c r="L312" s="73"/>
      <c r="M312" s="74"/>
      <c r="N312" s="71" t="str">
        <f t="shared" si="4"/>
        <v/>
      </c>
      <c r="O312" s="72"/>
      <c r="P312" s="72"/>
      <c r="Q312" s="72"/>
      <c r="R312" s="72"/>
      <c r="S312" s="72"/>
      <c r="T312" s="72"/>
      <c r="U312" s="72"/>
      <c r="V312" s="72"/>
    </row>
    <row r="313" spans="1:25" ht="27.75" customHeight="1">
      <c r="A313" s="87" t="str">
        <f>IF(ISBLANK(C313)," ",308-COUNTBLANK($C$6:C313))</f>
        <v xml:space="preserve"> </v>
      </c>
      <c r="B313" s="88"/>
      <c r="C313" s="88"/>
      <c r="D313" s="89"/>
      <c r="E313" s="89"/>
      <c r="F313" s="73"/>
      <c r="G313" s="73"/>
      <c r="H313" s="73"/>
      <c r="I313" s="73"/>
      <c r="J313" s="73"/>
      <c r="K313" s="73"/>
      <c r="L313" s="73"/>
      <c r="M313" s="74"/>
      <c r="N313" s="71" t="str">
        <f t="shared" si="4"/>
        <v/>
      </c>
      <c r="O313" s="72"/>
      <c r="P313" s="72"/>
      <c r="Q313" s="72"/>
      <c r="R313" s="72"/>
      <c r="S313" s="72"/>
      <c r="T313" s="72"/>
      <c r="U313" s="72"/>
      <c r="V313" s="72"/>
    </row>
    <row r="314" spans="1:25" ht="27.75" customHeight="1">
      <c r="A314" s="87" t="str">
        <f>IF(ISBLANK(C314)," ",309-COUNTBLANK($C$6:C314))</f>
        <v xml:space="preserve"> </v>
      </c>
      <c r="B314" s="88"/>
      <c r="C314" s="88"/>
      <c r="D314" s="89"/>
      <c r="E314" s="89"/>
      <c r="F314" s="73"/>
      <c r="G314" s="73"/>
      <c r="H314" s="73"/>
      <c r="I314" s="73"/>
      <c r="J314" s="73"/>
      <c r="K314" s="73"/>
      <c r="L314" s="73"/>
      <c r="M314" s="74"/>
      <c r="N314" s="71" t="str">
        <f t="shared" si="4"/>
        <v/>
      </c>
      <c r="O314" s="72"/>
      <c r="P314" s="72"/>
      <c r="Q314" s="72"/>
      <c r="R314" s="72"/>
      <c r="S314" s="72"/>
      <c r="T314" s="72"/>
      <c r="U314" s="72"/>
      <c r="V314" s="72"/>
    </row>
    <row r="315" spans="1:25" ht="27.75" customHeight="1">
      <c r="A315" s="87" t="str">
        <f>IF(ISBLANK(C315)," ",310-COUNTBLANK($C$6:C315))</f>
        <v xml:space="preserve"> </v>
      </c>
      <c r="B315" s="88"/>
      <c r="C315" s="88"/>
      <c r="D315" s="89"/>
      <c r="E315" s="89"/>
      <c r="F315" s="73"/>
      <c r="G315" s="73"/>
      <c r="H315" s="73"/>
      <c r="I315" s="73"/>
      <c r="J315" s="73"/>
      <c r="K315" s="73"/>
      <c r="L315" s="73"/>
      <c r="M315" s="74"/>
      <c r="N315" s="71" t="str">
        <f t="shared" si="4"/>
        <v/>
      </c>
      <c r="O315" s="75"/>
      <c r="P315" s="72"/>
      <c r="Q315" s="72"/>
      <c r="R315" s="72"/>
      <c r="S315" s="72"/>
      <c r="T315" s="72"/>
      <c r="U315" s="72"/>
      <c r="V315" s="76"/>
    </row>
    <row r="316" spans="1:25" ht="27.75" customHeight="1">
      <c r="A316" s="87" t="str">
        <f>IF(ISBLANK(C316)," ",311-COUNTBLANK($C$6:C316))</f>
        <v xml:space="preserve"> </v>
      </c>
      <c r="B316" s="88"/>
      <c r="C316" s="88"/>
      <c r="D316" s="89"/>
      <c r="E316" s="89"/>
      <c r="F316" s="73"/>
      <c r="G316" s="73"/>
      <c r="H316" s="73"/>
      <c r="I316" s="73"/>
      <c r="J316" s="73"/>
      <c r="K316" s="73"/>
      <c r="L316" s="73"/>
      <c r="M316" s="74"/>
      <c r="N316" s="71" t="str">
        <f t="shared" si="4"/>
        <v/>
      </c>
      <c r="O316" s="75"/>
      <c r="P316" s="72"/>
      <c r="Q316" s="72"/>
      <c r="R316" s="72"/>
      <c r="S316" s="72"/>
      <c r="T316" s="72"/>
      <c r="U316" s="72"/>
      <c r="V316" s="76"/>
    </row>
    <row r="317" spans="1:25" ht="27.75" customHeight="1">
      <c r="A317" s="87" t="str">
        <f>IF(ISBLANK(C317)," ",312-COUNTBLANK($C$6:C317))</f>
        <v xml:space="preserve"> </v>
      </c>
      <c r="B317" s="88"/>
      <c r="C317" s="88"/>
      <c r="D317" s="89"/>
      <c r="E317" s="89"/>
      <c r="F317" s="73"/>
      <c r="G317" s="73"/>
      <c r="H317" s="73"/>
      <c r="I317" s="73"/>
      <c r="J317" s="73"/>
      <c r="K317" s="73"/>
      <c r="L317" s="73"/>
      <c r="M317" s="74"/>
      <c r="N317" s="71" t="str">
        <f t="shared" si="4"/>
        <v/>
      </c>
      <c r="O317" s="75"/>
      <c r="P317" s="72"/>
      <c r="Q317" s="72"/>
      <c r="R317" s="72"/>
      <c r="S317" s="72"/>
      <c r="T317" s="72"/>
      <c r="U317" s="72"/>
      <c r="V317" s="76"/>
    </row>
    <row r="318" spans="1:25" ht="27.75" customHeight="1">
      <c r="A318" s="87" t="str">
        <f>IF(ISBLANK(C318)," ",313-COUNTBLANK($C$6:C318))</f>
        <v xml:space="preserve"> </v>
      </c>
      <c r="B318" s="88"/>
      <c r="C318" s="88"/>
      <c r="D318" s="89"/>
      <c r="E318" s="89"/>
      <c r="F318" s="73"/>
      <c r="G318" s="73"/>
      <c r="H318" s="73"/>
      <c r="I318" s="73"/>
      <c r="J318" s="73"/>
      <c r="K318" s="73"/>
      <c r="L318" s="73"/>
      <c r="M318" s="74"/>
      <c r="N318" s="71" t="str">
        <f t="shared" si="4"/>
        <v/>
      </c>
      <c r="O318" s="75"/>
      <c r="P318" s="72"/>
      <c r="Q318" s="72"/>
      <c r="R318" s="72"/>
      <c r="S318" s="72"/>
      <c r="T318" s="72"/>
      <c r="U318" s="72"/>
      <c r="V318" s="76"/>
    </row>
    <row r="319" spans="1:25" ht="27.75" customHeight="1">
      <c r="A319" s="87" t="str">
        <f>IF(ISBLANK(C319)," ",314-COUNTBLANK($C$6:C319))</f>
        <v xml:space="preserve"> </v>
      </c>
      <c r="B319" s="88"/>
      <c r="C319" s="88"/>
      <c r="D319" s="89"/>
      <c r="E319" s="89"/>
      <c r="F319" s="73"/>
      <c r="G319" s="73"/>
      <c r="H319" s="73"/>
      <c r="I319" s="73"/>
      <c r="J319" s="73"/>
      <c r="K319" s="73"/>
      <c r="L319" s="73"/>
      <c r="M319" s="74"/>
      <c r="N319" s="71" t="str">
        <f t="shared" si="4"/>
        <v/>
      </c>
      <c r="O319" s="72"/>
      <c r="P319" s="72"/>
      <c r="Q319" s="72"/>
      <c r="R319" s="72"/>
      <c r="S319" s="72"/>
      <c r="T319" s="72"/>
      <c r="U319" s="72"/>
      <c r="V319" s="79"/>
      <c r="W319" s="72"/>
      <c r="X319" s="72"/>
      <c r="Y319" s="72"/>
    </row>
    <row r="320" spans="1:25" ht="27.75" customHeight="1">
      <c r="A320" s="80" t="s">
        <v>52</v>
      </c>
      <c r="B320" s="81"/>
      <c r="C320" s="96"/>
      <c r="D320" s="82"/>
      <c r="E320" s="82">
        <f>SUM(E300:E319)</f>
        <v>0</v>
      </c>
      <c r="F320" s="83"/>
      <c r="G320" s="83"/>
      <c r="H320" s="83"/>
      <c r="I320" s="83"/>
      <c r="J320" s="83"/>
      <c r="K320" s="83"/>
      <c r="L320" s="83"/>
      <c r="M320" s="84"/>
      <c r="N320" s="71" t="str">
        <f t="shared" si="4"/>
        <v/>
      </c>
      <c r="O320" s="75"/>
      <c r="P320" s="72"/>
      <c r="Q320" s="72"/>
      <c r="R320" s="72"/>
      <c r="S320" s="72"/>
      <c r="T320" s="72"/>
      <c r="U320" s="72"/>
      <c r="V320" s="79"/>
      <c r="W320" s="72"/>
      <c r="X320" s="72"/>
      <c r="Y320" s="72"/>
    </row>
    <row r="321" spans="1:22" ht="27.75" customHeight="1">
      <c r="A321" s="93" t="str">
        <f>IF(ISBLANK(C321)," ",316-COUNTBLANK($C$6:C321))</f>
        <v xml:space="preserve"> </v>
      </c>
      <c r="B321" s="94"/>
      <c r="C321" s="94"/>
      <c r="D321" s="95"/>
      <c r="E321" s="95"/>
      <c r="F321" s="85"/>
      <c r="G321" s="85"/>
      <c r="H321" s="85"/>
      <c r="I321" s="85"/>
      <c r="J321" s="85"/>
      <c r="K321" s="85"/>
      <c r="L321" s="85"/>
      <c r="M321" s="86"/>
      <c r="N321" s="71" t="str">
        <f t="shared" si="4"/>
        <v/>
      </c>
      <c r="O321" s="72"/>
      <c r="P321" s="72"/>
      <c r="Q321" s="72"/>
      <c r="R321" s="72"/>
      <c r="S321" s="72"/>
      <c r="T321" s="72"/>
      <c r="U321" s="72"/>
      <c r="V321" s="72"/>
    </row>
    <row r="322" spans="1:22" ht="27.75" customHeight="1">
      <c r="A322" s="87" t="str">
        <f>IF(ISBLANK(C322)," ",317-COUNTBLANK($C$6:C322))</f>
        <v xml:space="preserve"> </v>
      </c>
      <c r="B322" s="88"/>
      <c r="C322" s="88"/>
      <c r="D322" s="89"/>
      <c r="E322" s="89"/>
      <c r="F322" s="73"/>
      <c r="G322" s="73"/>
      <c r="H322" s="73"/>
      <c r="I322" s="73"/>
      <c r="J322" s="73"/>
      <c r="K322" s="73"/>
      <c r="L322" s="73"/>
      <c r="M322" s="74"/>
      <c r="N322" s="71" t="str">
        <f t="shared" si="4"/>
        <v/>
      </c>
      <c r="O322" s="72"/>
      <c r="P322" s="72"/>
      <c r="Q322" s="72"/>
      <c r="R322" s="72"/>
      <c r="S322" s="72"/>
      <c r="T322" s="72"/>
      <c r="U322" s="72"/>
      <c r="V322" s="72"/>
    </row>
    <row r="323" spans="1:22" ht="27.75" customHeight="1">
      <c r="A323" s="87" t="str">
        <f>IF(ISBLANK(C323)," ",318-COUNTBLANK($C$6:C323))</f>
        <v xml:space="preserve"> </v>
      </c>
      <c r="B323" s="88"/>
      <c r="C323" s="88"/>
      <c r="D323" s="89"/>
      <c r="E323" s="89"/>
      <c r="F323" s="73"/>
      <c r="G323" s="73"/>
      <c r="H323" s="73"/>
      <c r="I323" s="73"/>
      <c r="J323" s="73"/>
      <c r="K323" s="73"/>
      <c r="L323" s="73"/>
      <c r="M323" s="74"/>
      <c r="N323" s="71" t="str">
        <f t="shared" si="4"/>
        <v/>
      </c>
      <c r="O323" s="72"/>
      <c r="P323" s="72"/>
      <c r="Q323" s="72"/>
      <c r="R323" s="72"/>
      <c r="S323" s="72"/>
      <c r="T323" s="72"/>
      <c r="U323" s="72"/>
      <c r="V323" s="72"/>
    </row>
    <row r="324" spans="1:22" ht="27.75" customHeight="1">
      <c r="A324" s="87" t="str">
        <f>IF(ISBLANK(C324)," ",319-COUNTBLANK($C$6:C324))</f>
        <v xml:space="preserve"> </v>
      </c>
      <c r="B324" s="88"/>
      <c r="C324" s="88"/>
      <c r="D324" s="89"/>
      <c r="E324" s="89"/>
      <c r="F324" s="73"/>
      <c r="G324" s="73"/>
      <c r="H324" s="73"/>
      <c r="I324" s="73"/>
      <c r="J324" s="73"/>
      <c r="K324" s="73"/>
      <c r="L324" s="73"/>
      <c r="M324" s="74"/>
      <c r="N324" s="71" t="str">
        <f t="shared" si="4"/>
        <v/>
      </c>
      <c r="O324" s="72"/>
      <c r="P324" s="72"/>
      <c r="Q324" s="72"/>
      <c r="R324" s="72"/>
      <c r="S324" s="72"/>
      <c r="T324" s="72"/>
      <c r="U324" s="72"/>
      <c r="V324" s="72"/>
    </row>
    <row r="325" spans="1:22" ht="27.75" customHeight="1">
      <c r="A325" s="87" t="str">
        <f>IF(ISBLANK(C325)," ",320-COUNTBLANK($C$6:C325))</f>
        <v xml:space="preserve"> </v>
      </c>
      <c r="B325" s="88"/>
      <c r="C325" s="88"/>
      <c r="D325" s="89"/>
      <c r="E325" s="89"/>
      <c r="F325" s="73"/>
      <c r="G325" s="73"/>
      <c r="H325" s="73"/>
      <c r="I325" s="73"/>
      <c r="J325" s="73"/>
      <c r="K325" s="73"/>
      <c r="L325" s="73"/>
      <c r="M325" s="74"/>
      <c r="N325" s="71" t="str">
        <f t="shared" si="4"/>
        <v/>
      </c>
      <c r="O325" s="72"/>
      <c r="P325" s="72"/>
      <c r="Q325" s="72"/>
      <c r="R325" s="72"/>
      <c r="S325" s="72"/>
      <c r="T325" s="72"/>
      <c r="U325" s="72"/>
      <c r="V325" s="72"/>
    </row>
    <row r="326" spans="1:22" ht="27.75" customHeight="1">
      <c r="A326" s="87" t="str">
        <f>IF(ISBLANK(C326)," ",321-COUNTBLANK($C$6:C326))</f>
        <v xml:space="preserve"> </v>
      </c>
      <c r="B326" s="88"/>
      <c r="C326" s="88"/>
      <c r="D326" s="89"/>
      <c r="E326" s="89"/>
      <c r="F326" s="73"/>
      <c r="G326" s="73"/>
      <c r="H326" s="73"/>
      <c r="I326" s="73"/>
      <c r="J326" s="73"/>
      <c r="K326" s="73"/>
      <c r="L326" s="73"/>
      <c r="M326" s="74"/>
      <c r="N326" s="71" t="str">
        <f t="shared" ref="N326:N389" si="5">CONCATENATE(C326,H326)</f>
        <v/>
      </c>
      <c r="O326" s="72"/>
      <c r="P326" s="72"/>
      <c r="Q326" s="72"/>
      <c r="R326" s="72"/>
      <c r="S326" s="72"/>
      <c r="T326" s="72"/>
      <c r="U326" s="72"/>
      <c r="V326" s="72"/>
    </row>
    <row r="327" spans="1:22" ht="27.75" customHeight="1">
      <c r="A327" s="87" t="str">
        <f>IF(ISBLANK(C327)," ",322-COUNTBLANK($C$6:C327))</f>
        <v xml:space="preserve"> </v>
      </c>
      <c r="B327" s="88"/>
      <c r="C327" s="88"/>
      <c r="D327" s="89"/>
      <c r="E327" s="89"/>
      <c r="F327" s="73"/>
      <c r="G327" s="73"/>
      <c r="H327" s="73"/>
      <c r="I327" s="73"/>
      <c r="J327" s="73"/>
      <c r="K327" s="73"/>
      <c r="L327" s="73"/>
      <c r="M327" s="74"/>
      <c r="N327" s="71" t="str">
        <f t="shared" si="5"/>
        <v/>
      </c>
      <c r="O327" s="72"/>
      <c r="P327" s="72"/>
      <c r="Q327" s="72"/>
      <c r="R327" s="72"/>
      <c r="S327" s="72"/>
      <c r="T327" s="72"/>
      <c r="U327" s="72"/>
      <c r="V327" s="72"/>
    </row>
    <row r="328" spans="1:22" ht="27.75" customHeight="1">
      <c r="A328" s="87" t="str">
        <f>IF(ISBLANK(C328)," ",323-COUNTBLANK($C$6:C328))</f>
        <v xml:space="preserve"> </v>
      </c>
      <c r="B328" s="88"/>
      <c r="C328" s="88"/>
      <c r="D328" s="89"/>
      <c r="E328" s="89"/>
      <c r="F328" s="73"/>
      <c r="G328" s="73"/>
      <c r="H328" s="73"/>
      <c r="I328" s="73"/>
      <c r="J328" s="73"/>
      <c r="K328" s="73"/>
      <c r="L328" s="73"/>
      <c r="M328" s="74"/>
      <c r="N328" s="71" t="str">
        <f t="shared" si="5"/>
        <v/>
      </c>
      <c r="O328" s="72"/>
      <c r="P328" s="72"/>
      <c r="Q328" s="72"/>
      <c r="R328" s="72"/>
      <c r="S328" s="72"/>
      <c r="T328" s="72"/>
      <c r="U328" s="72"/>
      <c r="V328" s="72"/>
    </row>
    <row r="329" spans="1:22" ht="27.75" customHeight="1">
      <c r="A329" s="87" t="str">
        <f>IF(ISBLANK(C329)," ",324-COUNTBLANK($C$6:C329))</f>
        <v xml:space="preserve"> </v>
      </c>
      <c r="B329" s="88"/>
      <c r="C329" s="88"/>
      <c r="D329" s="89"/>
      <c r="E329" s="89"/>
      <c r="F329" s="73"/>
      <c r="G329" s="73"/>
      <c r="H329" s="73"/>
      <c r="I329" s="73"/>
      <c r="J329" s="73"/>
      <c r="K329" s="73"/>
      <c r="L329" s="73"/>
      <c r="M329" s="74"/>
      <c r="N329" s="71" t="str">
        <f t="shared" si="5"/>
        <v/>
      </c>
      <c r="O329" s="72"/>
      <c r="P329" s="72"/>
      <c r="Q329" s="72"/>
      <c r="R329" s="72"/>
      <c r="S329" s="72"/>
      <c r="T329" s="72"/>
      <c r="U329" s="72"/>
      <c r="V329" s="72"/>
    </row>
    <row r="330" spans="1:22" ht="27.75" customHeight="1">
      <c r="A330" s="87" t="str">
        <f>IF(ISBLANK(C330)," ",325-COUNTBLANK($C$6:C330))</f>
        <v xml:space="preserve"> </v>
      </c>
      <c r="B330" s="88"/>
      <c r="C330" s="88"/>
      <c r="D330" s="89"/>
      <c r="E330" s="89"/>
      <c r="F330" s="73"/>
      <c r="G330" s="73"/>
      <c r="H330" s="73"/>
      <c r="I330" s="73"/>
      <c r="J330" s="73"/>
      <c r="K330" s="73"/>
      <c r="L330" s="73"/>
      <c r="M330" s="74"/>
      <c r="N330" s="71" t="str">
        <f t="shared" si="5"/>
        <v/>
      </c>
      <c r="O330" s="72"/>
      <c r="P330" s="72"/>
      <c r="Q330" s="72"/>
      <c r="R330" s="72"/>
      <c r="S330" s="72"/>
      <c r="T330" s="72"/>
      <c r="U330" s="72"/>
      <c r="V330" s="72"/>
    </row>
    <row r="331" spans="1:22" ht="27.75" customHeight="1">
      <c r="A331" s="87" t="str">
        <f>IF(ISBLANK(C331)," ",326-COUNTBLANK($C$6:C331))</f>
        <v xml:space="preserve"> </v>
      </c>
      <c r="B331" s="88"/>
      <c r="C331" s="88"/>
      <c r="D331" s="89"/>
      <c r="E331" s="89"/>
      <c r="F331" s="73"/>
      <c r="G331" s="73"/>
      <c r="H331" s="73"/>
      <c r="I331" s="73"/>
      <c r="J331" s="73"/>
      <c r="K331" s="73"/>
      <c r="L331" s="73"/>
      <c r="M331" s="74"/>
      <c r="N331" s="71" t="str">
        <f t="shared" si="5"/>
        <v/>
      </c>
      <c r="O331" s="72"/>
      <c r="P331" s="72"/>
      <c r="Q331" s="72"/>
      <c r="R331" s="72"/>
      <c r="S331" s="72"/>
      <c r="T331" s="72"/>
      <c r="U331" s="72"/>
      <c r="V331" s="72"/>
    </row>
    <row r="332" spans="1:22" ht="27.75" customHeight="1">
      <c r="A332" s="87" t="str">
        <f>IF(ISBLANK(C332)," ",327-COUNTBLANK($C$6:C332))</f>
        <v xml:space="preserve"> </v>
      </c>
      <c r="B332" s="88"/>
      <c r="C332" s="88"/>
      <c r="D332" s="89"/>
      <c r="E332" s="89"/>
      <c r="F332" s="73"/>
      <c r="G332" s="73"/>
      <c r="H332" s="73"/>
      <c r="I332" s="73"/>
      <c r="J332" s="73"/>
      <c r="K332" s="73"/>
      <c r="L332" s="73"/>
      <c r="M332" s="74"/>
      <c r="N332" s="71" t="str">
        <f t="shared" si="5"/>
        <v/>
      </c>
      <c r="O332" s="72"/>
      <c r="P332" s="72"/>
      <c r="Q332" s="72"/>
      <c r="R332" s="72"/>
      <c r="S332" s="72"/>
      <c r="T332" s="72"/>
      <c r="U332" s="72"/>
      <c r="V332" s="72"/>
    </row>
    <row r="333" spans="1:22" ht="27.75" customHeight="1">
      <c r="A333" s="87" t="str">
        <f>IF(ISBLANK(C333)," ",328-COUNTBLANK($C$6:C333))</f>
        <v xml:space="preserve"> </v>
      </c>
      <c r="B333" s="88"/>
      <c r="C333" s="88"/>
      <c r="D333" s="89"/>
      <c r="E333" s="89"/>
      <c r="F333" s="73"/>
      <c r="G333" s="73"/>
      <c r="H333" s="73"/>
      <c r="I333" s="73"/>
      <c r="J333" s="73"/>
      <c r="K333" s="73"/>
      <c r="L333" s="73"/>
      <c r="M333" s="74"/>
      <c r="N333" s="71" t="str">
        <f t="shared" si="5"/>
        <v/>
      </c>
      <c r="O333" s="72"/>
      <c r="P333" s="72"/>
      <c r="Q333" s="72"/>
      <c r="R333" s="72"/>
      <c r="S333" s="72"/>
      <c r="T333" s="72"/>
      <c r="U333" s="72"/>
      <c r="V333" s="72"/>
    </row>
    <row r="334" spans="1:22" ht="27.75" customHeight="1">
      <c r="A334" s="87" t="str">
        <f>IF(ISBLANK(C334)," ",329-COUNTBLANK($C$6:C334))</f>
        <v xml:space="preserve"> </v>
      </c>
      <c r="B334" s="88"/>
      <c r="C334" s="88"/>
      <c r="D334" s="89"/>
      <c r="E334" s="89"/>
      <c r="F334" s="73"/>
      <c r="G334" s="73"/>
      <c r="H334" s="73"/>
      <c r="I334" s="73"/>
      <c r="J334" s="73"/>
      <c r="K334" s="73"/>
      <c r="L334" s="73"/>
      <c r="M334" s="74"/>
      <c r="N334" s="71" t="str">
        <f t="shared" si="5"/>
        <v/>
      </c>
      <c r="O334" s="72"/>
      <c r="P334" s="72"/>
      <c r="Q334" s="72"/>
      <c r="R334" s="72"/>
      <c r="S334" s="72"/>
      <c r="T334" s="72"/>
      <c r="U334" s="72"/>
      <c r="V334" s="72"/>
    </row>
    <row r="335" spans="1:22" ht="27.75" customHeight="1">
      <c r="A335" s="87" t="str">
        <f>IF(ISBLANK(C335)," ",330-COUNTBLANK($C$6:C335))</f>
        <v xml:space="preserve"> </v>
      </c>
      <c r="B335" s="88"/>
      <c r="C335" s="88"/>
      <c r="D335" s="89"/>
      <c r="E335" s="89"/>
      <c r="F335" s="73"/>
      <c r="G335" s="73"/>
      <c r="H335" s="73"/>
      <c r="I335" s="73"/>
      <c r="J335" s="73"/>
      <c r="K335" s="73"/>
      <c r="L335" s="73"/>
      <c r="M335" s="74"/>
      <c r="N335" s="71" t="str">
        <f t="shared" si="5"/>
        <v/>
      </c>
      <c r="O335" s="72"/>
      <c r="P335" s="72"/>
      <c r="Q335" s="72"/>
      <c r="R335" s="72"/>
      <c r="S335" s="72"/>
      <c r="T335" s="72"/>
      <c r="U335" s="72"/>
      <c r="V335" s="72"/>
    </row>
    <row r="336" spans="1:22" ht="27.75" customHeight="1">
      <c r="A336" s="87" t="str">
        <f>IF(ISBLANK(C336)," ",331-COUNTBLANK($C$6:C336))</f>
        <v xml:space="preserve"> </v>
      </c>
      <c r="B336" s="88"/>
      <c r="C336" s="88"/>
      <c r="D336" s="89"/>
      <c r="E336" s="89"/>
      <c r="F336" s="73"/>
      <c r="G336" s="73"/>
      <c r="H336" s="73"/>
      <c r="I336" s="73"/>
      <c r="J336" s="73"/>
      <c r="K336" s="73"/>
      <c r="L336" s="73"/>
      <c r="M336" s="74"/>
      <c r="N336" s="71" t="str">
        <f t="shared" si="5"/>
        <v/>
      </c>
      <c r="O336" s="75"/>
      <c r="P336" s="72"/>
      <c r="Q336" s="72"/>
      <c r="R336" s="72"/>
      <c r="S336" s="72"/>
      <c r="T336" s="72"/>
      <c r="U336" s="72"/>
      <c r="V336" s="76"/>
    </row>
    <row r="337" spans="1:25" ht="27.75" customHeight="1">
      <c r="A337" s="87" t="str">
        <f>IF(ISBLANK(C337)," ",332-COUNTBLANK($C$6:C337))</f>
        <v xml:space="preserve"> </v>
      </c>
      <c r="B337" s="88"/>
      <c r="C337" s="88"/>
      <c r="D337" s="89"/>
      <c r="E337" s="89"/>
      <c r="F337" s="73"/>
      <c r="G337" s="73"/>
      <c r="H337" s="73"/>
      <c r="I337" s="73"/>
      <c r="J337" s="73"/>
      <c r="K337" s="73"/>
      <c r="L337" s="73"/>
      <c r="M337" s="74"/>
      <c r="N337" s="71" t="str">
        <f t="shared" si="5"/>
        <v/>
      </c>
      <c r="O337" s="75"/>
      <c r="P337" s="72"/>
      <c r="Q337" s="72"/>
      <c r="R337" s="72"/>
      <c r="S337" s="72"/>
      <c r="T337" s="72"/>
      <c r="U337" s="72"/>
      <c r="V337" s="76"/>
    </row>
    <row r="338" spans="1:25" ht="27.75" customHeight="1">
      <c r="A338" s="87" t="str">
        <f>IF(ISBLANK(C338)," ",333-COUNTBLANK($C$6:C338))</f>
        <v xml:space="preserve"> </v>
      </c>
      <c r="B338" s="88"/>
      <c r="C338" s="88"/>
      <c r="D338" s="89"/>
      <c r="E338" s="89"/>
      <c r="F338" s="73"/>
      <c r="G338" s="73"/>
      <c r="H338" s="73"/>
      <c r="I338" s="73"/>
      <c r="J338" s="73"/>
      <c r="K338" s="73"/>
      <c r="L338" s="73"/>
      <c r="M338" s="74"/>
      <c r="N338" s="71" t="str">
        <f t="shared" si="5"/>
        <v/>
      </c>
      <c r="O338" s="75"/>
      <c r="P338" s="72"/>
      <c r="Q338" s="72"/>
      <c r="R338" s="72"/>
      <c r="S338" s="72"/>
      <c r="T338" s="72"/>
      <c r="U338" s="72"/>
      <c r="V338" s="76"/>
    </row>
    <row r="339" spans="1:25" ht="27.75" customHeight="1">
      <c r="A339" s="87" t="str">
        <f>IF(ISBLANK(C339)," ",334-COUNTBLANK($C$6:C339))</f>
        <v xml:space="preserve"> </v>
      </c>
      <c r="B339" s="88"/>
      <c r="C339" s="88"/>
      <c r="D339" s="89"/>
      <c r="E339" s="89"/>
      <c r="F339" s="73"/>
      <c r="G339" s="73"/>
      <c r="H339" s="73"/>
      <c r="I339" s="73"/>
      <c r="J339" s="73"/>
      <c r="K339" s="73"/>
      <c r="L339" s="73"/>
      <c r="M339" s="74"/>
      <c r="N339" s="71" t="str">
        <f t="shared" si="5"/>
        <v/>
      </c>
      <c r="O339" s="75"/>
      <c r="P339" s="72"/>
      <c r="Q339" s="72"/>
      <c r="R339" s="72"/>
      <c r="S339" s="72"/>
      <c r="T339" s="72"/>
      <c r="U339" s="72"/>
      <c r="V339" s="76"/>
    </row>
    <row r="340" spans="1:25" ht="27.75" customHeight="1">
      <c r="A340" s="87" t="str">
        <f>IF(ISBLANK(C340)," ",335-COUNTBLANK($C$6:C340))</f>
        <v xml:space="preserve"> </v>
      </c>
      <c r="B340" s="88"/>
      <c r="C340" s="88"/>
      <c r="D340" s="89"/>
      <c r="E340" s="89"/>
      <c r="F340" s="73"/>
      <c r="G340" s="73"/>
      <c r="H340" s="73"/>
      <c r="I340" s="73"/>
      <c r="J340" s="73"/>
      <c r="K340" s="73"/>
      <c r="L340" s="73"/>
      <c r="M340" s="74"/>
      <c r="N340" s="71" t="str">
        <f t="shared" si="5"/>
        <v/>
      </c>
      <c r="O340" s="72"/>
      <c r="P340" s="72"/>
      <c r="Q340" s="72"/>
      <c r="R340" s="72"/>
      <c r="S340" s="72"/>
      <c r="T340" s="72"/>
      <c r="U340" s="72"/>
      <c r="V340" s="79"/>
      <c r="W340" s="72"/>
      <c r="X340" s="72"/>
      <c r="Y340" s="72"/>
    </row>
    <row r="341" spans="1:25" ht="27.75" customHeight="1">
      <c r="A341" s="80" t="s">
        <v>52</v>
      </c>
      <c r="B341" s="81"/>
      <c r="C341" s="96"/>
      <c r="D341" s="82"/>
      <c r="E341" s="82">
        <f>SUM(E321:E340)</f>
        <v>0</v>
      </c>
      <c r="F341" s="83"/>
      <c r="G341" s="83"/>
      <c r="H341" s="83"/>
      <c r="I341" s="83"/>
      <c r="J341" s="83"/>
      <c r="K341" s="83"/>
      <c r="L341" s="83"/>
      <c r="M341" s="84"/>
      <c r="N341" s="71" t="str">
        <f t="shared" si="5"/>
        <v/>
      </c>
      <c r="O341" s="75"/>
      <c r="P341" s="72"/>
      <c r="Q341" s="72"/>
      <c r="R341" s="72"/>
      <c r="S341" s="72"/>
      <c r="T341" s="72"/>
      <c r="U341" s="72"/>
      <c r="V341" s="79"/>
      <c r="W341" s="72"/>
      <c r="X341" s="72"/>
      <c r="Y341" s="72"/>
    </row>
    <row r="342" spans="1:25" ht="27.75" customHeight="1">
      <c r="A342" s="93" t="str">
        <f>IF(ISBLANK(C342)," ",337-COUNTBLANK($C$6:C342))</f>
        <v xml:space="preserve"> </v>
      </c>
      <c r="B342" s="94"/>
      <c r="C342" s="94"/>
      <c r="D342" s="95"/>
      <c r="E342" s="95"/>
      <c r="F342" s="85"/>
      <c r="G342" s="85"/>
      <c r="H342" s="85"/>
      <c r="I342" s="85"/>
      <c r="J342" s="85"/>
      <c r="K342" s="85"/>
      <c r="L342" s="85"/>
      <c r="M342" s="86"/>
      <c r="N342" s="71" t="str">
        <f t="shared" si="5"/>
        <v/>
      </c>
      <c r="O342" s="72"/>
      <c r="P342" s="72"/>
      <c r="Q342" s="72"/>
      <c r="R342" s="72"/>
      <c r="S342" s="72"/>
      <c r="T342" s="72"/>
      <c r="U342" s="72"/>
      <c r="V342" s="72"/>
    </row>
    <row r="343" spans="1:25" ht="27.75" customHeight="1">
      <c r="A343" s="87" t="str">
        <f>IF(ISBLANK(C343)," ",338-COUNTBLANK($C$6:C343))</f>
        <v xml:space="preserve"> </v>
      </c>
      <c r="B343" s="88"/>
      <c r="C343" s="88"/>
      <c r="D343" s="89"/>
      <c r="E343" s="89"/>
      <c r="F343" s="73"/>
      <c r="G343" s="73"/>
      <c r="H343" s="73"/>
      <c r="I343" s="73"/>
      <c r="J343" s="73"/>
      <c r="K343" s="73"/>
      <c r="L343" s="73"/>
      <c r="M343" s="74"/>
      <c r="N343" s="71" t="str">
        <f t="shared" si="5"/>
        <v/>
      </c>
      <c r="O343" s="72"/>
      <c r="P343" s="72"/>
      <c r="Q343" s="72"/>
      <c r="R343" s="72"/>
      <c r="S343" s="72"/>
      <c r="T343" s="72"/>
      <c r="U343" s="72"/>
      <c r="V343" s="72"/>
    </row>
    <row r="344" spans="1:25" ht="27.75" customHeight="1">
      <c r="A344" s="87" t="str">
        <f>IF(ISBLANK(C344)," ",339-COUNTBLANK($C$6:C344))</f>
        <v xml:space="preserve"> </v>
      </c>
      <c r="B344" s="88"/>
      <c r="C344" s="88"/>
      <c r="D344" s="89"/>
      <c r="E344" s="89"/>
      <c r="F344" s="73"/>
      <c r="G344" s="73"/>
      <c r="H344" s="73"/>
      <c r="I344" s="73"/>
      <c r="J344" s="73"/>
      <c r="K344" s="73"/>
      <c r="L344" s="73"/>
      <c r="M344" s="74"/>
      <c r="N344" s="71" t="str">
        <f t="shared" si="5"/>
        <v/>
      </c>
      <c r="O344" s="72"/>
      <c r="P344" s="72"/>
      <c r="Q344" s="72"/>
      <c r="R344" s="72"/>
      <c r="S344" s="72"/>
      <c r="T344" s="72"/>
      <c r="U344" s="72"/>
      <c r="V344" s="72"/>
    </row>
    <row r="345" spans="1:25" ht="27.75" customHeight="1">
      <c r="A345" s="87" t="str">
        <f>IF(ISBLANK(C345)," ",340-COUNTBLANK($C$6:C345))</f>
        <v xml:space="preserve"> </v>
      </c>
      <c r="B345" s="88"/>
      <c r="C345" s="88"/>
      <c r="D345" s="89"/>
      <c r="E345" s="89"/>
      <c r="F345" s="73"/>
      <c r="G345" s="73"/>
      <c r="H345" s="73"/>
      <c r="I345" s="73"/>
      <c r="J345" s="73"/>
      <c r="K345" s="73"/>
      <c r="L345" s="73"/>
      <c r="M345" s="74"/>
      <c r="N345" s="71" t="str">
        <f t="shared" si="5"/>
        <v/>
      </c>
      <c r="O345" s="72"/>
      <c r="P345" s="72"/>
      <c r="Q345" s="72"/>
      <c r="R345" s="72"/>
      <c r="S345" s="72"/>
      <c r="T345" s="72"/>
      <c r="U345" s="72"/>
      <c r="V345" s="72"/>
    </row>
    <row r="346" spans="1:25" ht="27.75" customHeight="1">
      <c r="A346" s="87" t="str">
        <f>IF(ISBLANK(C346)," ",341-COUNTBLANK($C$6:C346))</f>
        <v xml:space="preserve"> </v>
      </c>
      <c r="B346" s="88"/>
      <c r="C346" s="88"/>
      <c r="D346" s="89"/>
      <c r="E346" s="89"/>
      <c r="F346" s="73"/>
      <c r="G346" s="73"/>
      <c r="H346" s="73"/>
      <c r="I346" s="73"/>
      <c r="J346" s="73"/>
      <c r="K346" s="73"/>
      <c r="L346" s="73"/>
      <c r="M346" s="74"/>
      <c r="N346" s="71" t="str">
        <f t="shared" si="5"/>
        <v/>
      </c>
      <c r="O346" s="72"/>
      <c r="P346" s="72"/>
      <c r="Q346" s="72"/>
      <c r="R346" s="72"/>
      <c r="S346" s="72"/>
      <c r="T346" s="72"/>
      <c r="U346" s="72"/>
      <c r="V346" s="72"/>
    </row>
    <row r="347" spans="1:25" ht="27.75" customHeight="1">
      <c r="A347" s="87" t="str">
        <f>IF(ISBLANK(C347)," ",342-COUNTBLANK($C$6:C347))</f>
        <v xml:space="preserve"> </v>
      </c>
      <c r="B347" s="88"/>
      <c r="C347" s="88"/>
      <c r="D347" s="89"/>
      <c r="E347" s="89"/>
      <c r="F347" s="73"/>
      <c r="G347" s="73"/>
      <c r="H347" s="73"/>
      <c r="I347" s="73"/>
      <c r="J347" s="73"/>
      <c r="K347" s="73"/>
      <c r="L347" s="73"/>
      <c r="M347" s="74"/>
      <c r="N347" s="71" t="str">
        <f t="shared" si="5"/>
        <v/>
      </c>
      <c r="O347" s="72"/>
      <c r="P347" s="72"/>
      <c r="Q347" s="72"/>
      <c r="R347" s="72"/>
      <c r="S347" s="72"/>
      <c r="T347" s="72"/>
      <c r="U347" s="72"/>
      <c r="V347" s="72"/>
    </row>
    <row r="348" spans="1:25" ht="27.75" customHeight="1">
      <c r="A348" s="87" t="str">
        <f>IF(ISBLANK(C348)," ",343-COUNTBLANK($C$6:C348))</f>
        <v xml:space="preserve"> </v>
      </c>
      <c r="B348" s="88"/>
      <c r="C348" s="88"/>
      <c r="D348" s="89"/>
      <c r="E348" s="89"/>
      <c r="F348" s="73"/>
      <c r="G348" s="73"/>
      <c r="H348" s="73"/>
      <c r="I348" s="73"/>
      <c r="J348" s="73"/>
      <c r="K348" s="73"/>
      <c r="L348" s="73"/>
      <c r="M348" s="74"/>
      <c r="N348" s="71" t="str">
        <f t="shared" si="5"/>
        <v/>
      </c>
      <c r="O348" s="72"/>
      <c r="P348" s="72"/>
      <c r="Q348" s="72"/>
      <c r="R348" s="72"/>
      <c r="S348" s="72"/>
      <c r="T348" s="72"/>
      <c r="U348" s="72"/>
      <c r="V348" s="72"/>
    </row>
    <row r="349" spans="1:25" ht="27.75" customHeight="1">
      <c r="A349" s="87" t="str">
        <f>IF(ISBLANK(C349)," ",344-COUNTBLANK($C$6:C349))</f>
        <v xml:space="preserve"> </v>
      </c>
      <c r="B349" s="88"/>
      <c r="C349" s="88"/>
      <c r="D349" s="89"/>
      <c r="E349" s="89"/>
      <c r="F349" s="73"/>
      <c r="G349" s="73"/>
      <c r="H349" s="73"/>
      <c r="I349" s="73"/>
      <c r="J349" s="73"/>
      <c r="K349" s="73"/>
      <c r="L349" s="73"/>
      <c r="M349" s="74"/>
      <c r="N349" s="71" t="str">
        <f t="shared" si="5"/>
        <v/>
      </c>
      <c r="O349" s="72"/>
      <c r="P349" s="72"/>
      <c r="Q349" s="72"/>
      <c r="R349" s="72"/>
      <c r="S349" s="72"/>
      <c r="T349" s="72"/>
      <c r="U349" s="72"/>
      <c r="V349" s="72"/>
    </row>
    <row r="350" spans="1:25" ht="27.75" customHeight="1">
      <c r="A350" s="87" t="str">
        <f>IF(ISBLANK(C350)," ",345-COUNTBLANK($C$6:C350))</f>
        <v xml:space="preserve"> </v>
      </c>
      <c r="B350" s="88"/>
      <c r="C350" s="88"/>
      <c r="D350" s="89"/>
      <c r="E350" s="89"/>
      <c r="F350" s="73"/>
      <c r="G350" s="73"/>
      <c r="H350" s="73"/>
      <c r="I350" s="73"/>
      <c r="J350" s="73"/>
      <c r="K350" s="73"/>
      <c r="L350" s="73"/>
      <c r="M350" s="74"/>
      <c r="N350" s="71" t="str">
        <f t="shared" si="5"/>
        <v/>
      </c>
      <c r="O350" s="72"/>
      <c r="P350" s="72"/>
      <c r="Q350" s="72"/>
      <c r="R350" s="72"/>
      <c r="S350" s="72"/>
      <c r="T350" s="72"/>
      <c r="U350" s="72"/>
      <c r="V350" s="72"/>
    </row>
    <row r="351" spans="1:25" ht="27.75" customHeight="1">
      <c r="A351" s="87" t="str">
        <f>IF(ISBLANK(C351)," ",346-COUNTBLANK($C$6:C351))</f>
        <v xml:space="preserve"> </v>
      </c>
      <c r="B351" s="88"/>
      <c r="C351" s="88"/>
      <c r="D351" s="89"/>
      <c r="E351" s="89"/>
      <c r="F351" s="73"/>
      <c r="G351" s="73"/>
      <c r="H351" s="73"/>
      <c r="I351" s="73"/>
      <c r="J351" s="73"/>
      <c r="K351" s="73"/>
      <c r="L351" s="73"/>
      <c r="M351" s="74"/>
      <c r="N351" s="71" t="str">
        <f t="shared" si="5"/>
        <v/>
      </c>
      <c r="O351" s="72"/>
      <c r="P351" s="72"/>
      <c r="Q351" s="72"/>
      <c r="R351" s="72"/>
      <c r="S351" s="72"/>
      <c r="T351" s="72"/>
      <c r="U351" s="72"/>
      <c r="V351" s="72"/>
    </row>
    <row r="352" spans="1:25" ht="27.75" customHeight="1">
      <c r="A352" s="87" t="str">
        <f>IF(ISBLANK(C352)," ",347-COUNTBLANK($C$6:C352))</f>
        <v xml:space="preserve"> </v>
      </c>
      <c r="B352" s="88"/>
      <c r="C352" s="88"/>
      <c r="D352" s="89"/>
      <c r="E352" s="89"/>
      <c r="F352" s="73"/>
      <c r="G352" s="73"/>
      <c r="H352" s="73"/>
      <c r="I352" s="73"/>
      <c r="J352" s="73"/>
      <c r="K352" s="73"/>
      <c r="L352" s="73"/>
      <c r="M352" s="74"/>
      <c r="N352" s="71" t="str">
        <f t="shared" si="5"/>
        <v/>
      </c>
      <c r="O352" s="72"/>
      <c r="P352" s="72"/>
      <c r="Q352" s="72"/>
      <c r="R352" s="72"/>
      <c r="S352" s="72"/>
      <c r="T352" s="72"/>
      <c r="U352" s="72"/>
      <c r="V352" s="72"/>
    </row>
    <row r="353" spans="1:25" ht="27.75" customHeight="1">
      <c r="A353" s="87" t="str">
        <f>IF(ISBLANK(C353)," ",348-COUNTBLANK($C$6:C353))</f>
        <v xml:space="preserve"> </v>
      </c>
      <c r="B353" s="88"/>
      <c r="C353" s="88"/>
      <c r="D353" s="89"/>
      <c r="E353" s="89"/>
      <c r="F353" s="73"/>
      <c r="G353" s="73"/>
      <c r="H353" s="73"/>
      <c r="I353" s="73"/>
      <c r="J353" s="73"/>
      <c r="K353" s="73"/>
      <c r="L353" s="73"/>
      <c r="M353" s="74"/>
      <c r="N353" s="71" t="str">
        <f t="shared" si="5"/>
        <v/>
      </c>
      <c r="O353" s="72"/>
      <c r="P353" s="72"/>
      <c r="Q353" s="72"/>
      <c r="R353" s="72"/>
      <c r="S353" s="72"/>
      <c r="T353" s="72"/>
      <c r="U353" s="72"/>
      <c r="V353" s="72"/>
    </row>
    <row r="354" spans="1:25" ht="27.75" customHeight="1">
      <c r="A354" s="87" t="str">
        <f>IF(ISBLANK(C354)," ",349-COUNTBLANK($C$6:C354))</f>
        <v xml:space="preserve"> </v>
      </c>
      <c r="B354" s="88"/>
      <c r="C354" s="88"/>
      <c r="D354" s="89"/>
      <c r="E354" s="89"/>
      <c r="F354" s="73"/>
      <c r="G354" s="73"/>
      <c r="H354" s="73"/>
      <c r="I354" s="73"/>
      <c r="J354" s="73"/>
      <c r="K354" s="73"/>
      <c r="L354" s="73"/>
      <c r="M354" s="74"/>
      <c r="N354" s="71" t="str">
        <f t="shared" si="5"/>
        <v/>
      </c>
      <c r="O354" s="72"/>
      <c r="P354" s="72"/>
      <c r="Q354" s="72"/>
      <c r="R354" s="72"/>
      <c r="S354" s="72"/>
      <c r="T354" s="72"/>
      <c r="U354" s="72"/>
      <c r="V354" s="72"/>
    </row>
    <row r="355" spans="1:25" ht="27.75" customHeight="1">
      <c r="A355" s="87" t="str">
        <f>IF(ISBLANK(C355)," ",350-COUNTBLANK($C$6:C355))</f>
        <v xml:space="preserve"> </v>
      </c>
      <c r="B355" s="88"/>
      <c r="C355" s="88"/>
      <c r="D355" s="89"/>
      <c r="E355" s="89"/>
      <c r="F355" s="73"/>
      <c r="G355" s="73"/>
      <c r="H355" s="73"/>
      <c r="I355" s="73"/>
      <c r="J355" s="73"/>
      <c r="K355" s="73"/>
      <c r="L355" s="73"/>
      <c r="M355" s="74"/>
      <c r="N355" s="71" t="str">
        <f t="shared" si="5"/>
        <v/>
      </c>
      <c r="O355" s="72"/>
      <c r="P355" s="72"/>
      <c r="Q355" s="72"/>
      <c r="R355" s="72"/>
      <c r="S355" s="72"/>
      <c r="T355" s="72"/>
      <c r="U355" s="72"/>
      <c r="V355" s="72"/>
    </row>
    <row r="356" spans="1:25" ht="27.75" customHeight="1">
      <c r="A356" s="87" t="str">
        <f>IF(ISBLANK(C356)," ",351-COUNTBLANK($C$6:C356))</f>
        <v xml:space="preserve"> </v>
      </c>
      <c r="B356" s="88"/>
      <c r="C356" s="88"/>
      <c r="D356" s="89"/>
      <c r="E356" s="89"/>
      <c r="F356" s="73"/>
      <c r="G356" s="73"/>
      <c r="H356" s="73"/>
      <c r="I356" s="73"/>
      <c r="J356" s="73"/>
      <c r="K356" s="73"/>
      <c r="L356" s="73"/>
      <c r="M356" s="74"/>
      <c r="N356" s="71" t="str">
        <f t="shared" si="5"/>
        <v/>
      </c>
      <c r="O356" s="72"/>
      <c r="P356" s="72"/>
      <c r="Q356" s="72"/>
      <c r="R356" s="72"/>
      <c r="S356" s="72"/>
      <c r="T356" s="72"/>
      <c r="U356" s="72"/>
      <c r="V356" s="72"/>
    </row>
    <row r="357" spans="1:25" ht="27.75" customHeight="1">
      <c r="A357" s="87" t="str">
        <f>IF(ISBLANK(C357)," ",352-COUNTBLANK($C$6:C357))</f>
        <v xml:space="preserve"> </v>
      </c>
      <c r="B357" s="88"/>
      <c r="C357" s="88"/>
      <c r="D357" s="89"/>
      <c r="E357" s="89"/>
      <c r="F357" s="73"/>
      <c r="G357" s="73"/>
      <c r="H357" s="73"/>
      <c r="I357" s="73"/>
      <c r="J357" s="73"/>
      <c r="K357" s="73"/>
      <c r="L357" s="73"/>
      <c r="M357" s="74"/>
      <c r="N357" s="71" t="str">
        <f t="shared" si="5"/>
        <v/>
      </c>
      <c r="O357" s="75"/>
      <c r="P357" s="72"/>
      <c r="Q357" s="72"/>
      <c r="R357" s="72"/>
      <c r="S357" s="72"/>
      <c r="T357" s="72"/>
      <c r="U357" s="72"/>
      <c r="V357" s="76"/>
    </row>
    <row r="358" spans="1:25" ht="27.75" customHeight="1">
      <c r="A358" s="87" t="str">
        <f>IF(ISBLANK(C358)," ",353-COUNTBLANK($C$6:C358))</f>
        <v xml:space="preserve"> </v>
      </c>
      <c r="B358" s="88"/>
      <c r="C358" s="88"/>
      <c r="D358" s="89"/>
      <c r="E358" s="89"/>
      <c r="F358" s="73"/>
      <c r="G358" s="73"/>
      <c r="H358" s="73"/>
      <c r="I358" s="73"/>
      <c r="J358" s="73"/>
      <c r="K358" s="73"/>
      <c r="L358" s="73"/>
      <c r="M358" s="74"/>
      <c r="N358" s="71" t="str">
        <f t="shared" si="5"/>
        <v/>
      </c>
      <c r="O358" s="75"/>
      <c r="P358" s="72"/>
      <c r="Q358" s="72"/>
      <c r="R358" s="72"/>
      <c r="S358" s="72"/>
      <c r="T358" s="72"/>
      <c r="U358" s="72"/>
      <c r="V358" s="76"/>
    </row>
    <row r="359" spans="1:25" ht="27.75" customHeight="1">
      <c r="A359" s="87" t="str">
        <f>IF(ISBLANK(C359)," ",354-COUNTBLANK($C$6:C359))</f>
        <v xml:space="preserve"> </v>
      </c>
      <c r="B359" s="88"/>
      <c r="C359" s="88"/>
      <c r="D359" s="89"/>
      <c r="E359" s="89"/>
      <c r="F359" s="73"/>
      <c r="G359" s="73"/>
      <c r="H359" s="73"/>
      <c r="I359" s="73"/>
      <c r="J359" s="73"/>
      <c r="K359" s="73"/>
      <c r="L359" s="73"/>
      <c r="M359" s="74"/>
      <c r="N359" s="71" t="str">
        <f t="shared" si="5"/>
        <v/>
      </c>
      <c r="O359" s="75"/>
      <c r="P359" s="72"/>
      <c r="Q359" s="72"/>
      <c r="R359" s="72"/>
      <c r="S359" s="72"/>
      <c r="T359" s="72"/>
      <c r="U359" s="72"/>
      <c r="V359" s="76"/>
    </row>
    <row r="360" spans="1:25" ht="27.75" customHeight="1">
      <c r="A360" s="87" t="str">
        <f>IF(ISBLANK(C360)," ",355-COUNTBLANK($C$6:C360))</f>
        <v xml:space="preserve"> </v>
      </c>
      <c r="B360" s="88"/>
      <c r="C360" s="88"/>
      <c r="D360" s="89"/>
      <c r="E360" s="89"/>
      <c r="F360" s="73"/>
      <c r="G360" s="73"/>
      <c r="H360" s="73"/>
      <c r="I360" s="73"/>
      <c r="J360" s="73"/>
      <c r="K360" s="73"/>
      <c r="L360" s="73"/>
      <c r="M360" s="74"/>
      <c r="N360" s="71" t="str">
        <f t="shared" si="5"/>
        <v/>
      </c>
      <c r="O360" s="75"/>
      <c r="P360" s="72"/>
      <c r="Q360" s="72"/>
      <c r="R360" s="72"/>
      <c r="S360" s="72"/>
      <c r="T360" s="72"/>
      <c r="U360" s="72"/>
      <c r="V360" s="76"/>
    </row>
    <row r="361" spans="1:25" ht="27.75" customHeight="1">
      <c r="A361" s="87" t="str">
        <f>IF(ISBLANK(C361)," ",356-COUNTBLANK($C$6:C361))</f>
        <v xml:space="preserve"> </v>
      </c>
      <c r="B361" s="88"/>
      <c r="C361" s="88"/>
      <c r="D361" s="89"/>
      <c r="E361" s="89"/>
      <c r="F361" s="73"/>
      <c r="G361" s="73"/>
      <c r="H361" s="73"/>
      <c r="I361" s="73"/>
      <c r="J361" s="73"/>
      <c r="K361" s="73"/>
      <c r="L361" s="73"/>
      <c r="M361" s="74"/>
      <c r="N361" s="71" t="str">
        <f t="shared" si="5"/>
        <v/>
      </c>
      <c r="O361" s="72"/>
      <c r="P361" s="72"/>
      <c r="Q361" s="72"/>
      <c r="R361" s="72"/>
      <c r="S361" s="72"/>
      <c r="T361" s="72"/>
      <c r="U361" s="72"/>
      <c r="V361" s="79"/>
      <c r="W361" s="72"/>
      <c r="X361" s="72"/>
      <c r="Y361" s="72"/>
    </row>
    <row r="362" spans="1:25" ht="27.75" customHeight="1">
      <c r="A362" s="80" t="s">
        <v>52</v>
      </c>
      <c r="B362" s="81"/>
      <c r="C362" s="96"/>
      <c r="D362" s="82"/>
      <c r="E362" s="82">
        <f>SUM(E342:E361)</f>
        <v>0</v>
      </c>
      <c r="F362" s="83"/>
      <c r="G362" s="83"/>
      <c r="H362" s="83"/>
      <c r="I362" s="83"/>
      <c r="J362" s="83"/>
      <c r="K362" s="83"/>
      <c r="L362" s="83"/>
      <c r="M362" s="84"/>
      <c r="N362" s="71" t="str">
        <f t="shared" si="5"/>
        <v/>
      </c>
      <c r="O362" s="75"/>
      <c r="P362" s="72"/>
      <c r="Q362" s="72"/>
      <c r="R362" s="72"/>
      <c r="S362" s="72"/>
      <c r="T362" s="72"/>
      <c r="U362" s="72"/>
      <c r="V362" s="79"/>
      <c r="W362" s="72"/>
      <c r="X362" s="72"/>
      <c r="Y362" s="72"/>
    </row>
    <row r="363" spans="1:25" ht="27.75" customHeight="1">
      <c r="A363" s="93" t="str">
        <f>IF(ISBLANK(C363)," ",358-COUNTBLANK($C$6:C363))</f>
        <v xml:space="preserve"> </v>
      </c>
      <c r="B363" s="94"/>
      <c r="C363" s="94"/>
      <c r="D363" s="95"/>
      <c r="E363" s="95"/>
      <c r="F363" s="85"/>
      <c r="G363" s="85"/>
      <c r="H363" s="85"/>
      <c r="I363" s="85"/>
      <c r="J363" s="85"/>
      <c r="K363" s="85"/>
      <c r="L363" s="85"/>
      <c r="M363" s="86"/>
      <c r="N363" s="71" t="str">
        <f t="shared" si="5"/>
        <v/>
      </c>
      <c r="O363" s="72"/>
      <c r="P363" s="72"/>
      <c r="Q363" s="72"/>
      <c r="R363" s="72"/>
      <c r="S363" s="72"/>
      <c r="T363" s="72"/>
      <c r="U363" s="72"/>
      <c r="V363" s="72"/>
    </row>
    <row r="364" spans="1:25" ht="27.75" customHeight="1">
      <c r="A364" s="87" t="str">
        <f>IF(ISBLANK(C364)," ",359-COUNTBLANK($C$6:C364))</f>
        <v xml:space="preserve"> </v>
      </c>
      <c r="B364" s="88"/>
      <c r="C364" s="88"/>
      <c r="D364" s="89"/>
      <c r="E364" s="89"/>
      <c r="F364" s="73"/>
      <c r="G364" s="73"/>
      <c r="H364" s="73"/>
      <c r="I364" s="73"/>
      <c r="J364" s="73"/>
      <c r="K364" s="73"/>
      <c r="L364" s="73"/>
      <c r="M364" s="74"/>
      <c r="N364" s="71" t="str">
        <f t="shared" si="5"/>
        <v/>
      </c>
      <c r="O364" s="72"/>
      <c r="P364" s="72"/>
      <c r="Q364" s="72"/>
      <c r="R364" s="72"/>
      <c r="S364" s="72"/>
      <c r="T364" s="72"/>
      <c r="U364" s="72"/>
      <c r="V364" s="72"/>
    </row>
    <row r="365" spans="1:25" ht="27.75" customHeight="1">
      <c r="A365" s="87" t="str">
        <f>IF(ISBLANK(C365)," ",360-COUNTBLANK($C$6:C365))</f>
        <v xml:space="preserve"> </v>
      </c>
      <c r="B365" s="88"/>
      <c r="C365" s="88"/>
      <c r="D365" s="89"/>
      <c r="E365" s="89"/>
      <c r="F365" s="73"/>
      <c r="G365" s="73"/>
      <c r="H365" s="73"/>
      <c r="I365" s="73"/>
      <c r="J365" s="73"/>
      <c r="K365" s="73"/>
      <c r="L365" s="73"/>
      <c r="M365" s="74"/>
      <c r="N365" s="71" t="str">
        <f t="shared" si="5"/>
        <v/>
      </c>
      <c r="O365" s="72"/>
      <c r="P365" s="72"/>
      <c r="Q365" s="72"/>
      <c r="R365" s="72"/>
      <c r="S365" s="72"/>
      <c r="T365" s="72"/>
      <c r="U365" s="72"/>
      <c r="V365" s="72"/>
    </row>
    <row r="366" spans="1:25" ht="27.75" customHeight="1">
      <c r="A366" s="87" t="str">
        <f>IF(ISBLANK(C366)," ",361-COUNTBLANK($C$6:C366))</f>
        <v xml:space="preserve"> </v>
      </c>
      <c r="B366" s="88"/>
      <c r="C366" s="88"/>
      <c r="D366" s="89"/>
      <c r="E366" s="89"/>
      <c r="F366" s="73"/>
      <c r="G366" s="73"/>
      <c r="H366" s="73"/>
      <c r="I366" s="73"/>
      <c r="J366" s="73"/>
      <c r="K366" s="73"/>
      <c r="L366" s="73"/>
      <c r="M366" s="74"/>
      <c r="N366" s="71" t="str">
        <f t="shared" si="5"/>
        <v/>
      </c>
      <c r="O366" s="72"/>
      <c r="P366" s="72"/>
      <c r="Q366" s="72"/>
      <c r="R366" s="72"/>
      <c r="S366" s="72"/>
      <c r="T366" s="72"/>
      <c r="U366" s="72"/>
      <c r="V366" s="72"/>
    </row>
    <row r="367" spans="1:25" ht="27.75" customHeight="1">
      <c r="A367" s="87" t="str">
        <f>IF(ISBLANK(C367)," ",362-COUNTBLANK($C$6:C367))</f>
        <v xml:space="preserve"> </v>
      </c>
      <c r="B367" s="88"/>
      <c r="C367" s="88"/>
      <c r="D367" s="89"/>
      <c r="E367" s="89"/>
      <c r="F367" s="73"/>
      <c r="G367" s="73"/>
      <c r="H367" s="73"/>
      <c r="I367" s="73"/>
      <c r="J367" s="73"/>
      <c r="K367" s="73"/>
      <c r="L367" s="73"/>
      <c r="M367" s="74"/>
      <c r="N367" s="71" t="str">
        <f t="shared" si="5"/>
        <v/>
      </c>
      <c r="O367" s="72"/>
      <c r="P367" s="72"/>
      <c r="Q367" s="72"/>
      <c r="R367" s="72"/>
      <c r="S367" s="72"/>
      <c r="T367" s="72"/>
      <c r="U367" s="72"/>
      <c r="V367" s="72"/>
    </row>
    <row r="368" spans="1:25" ht="27.75" customHeight="1">
      <c r="A368" s="87" t="str">
        <f>IF(ISBLANK(C368)," ",363-COUNTBLANK($C$6:C368))</f>
        <v xml:space="preserve"> </v>
      </c>
      <c r="B368" s="88"/>
      <c r="C368" s="88"/>
      <c r="D368" s="89"/>
      <c r="E368" s="89"/>
      <c r="F368" s="73"/>
      <c r="G368" s="73"/>
      <c r="H368" s="73"/>
      <c r="I368" s="73"/>
      <c r="J368" s="73"/>
      <c r="K368" s="73"/>
      <c r="L368" s="73"/>
      <c r="M368" s="74"/>
      <c r="N368" s="71" t="str">
        <f t="shared" si="5"/>
        <v/>
      </c>
      <c r="O368" s="72"/>
      <c r="P368" s="72"/>
      <c r="Q368" s="72"/>
      <c r="R368" s="72"/>
      <c r="S368" s="72"/>
      <c r="T368" s="72"/>
      <c r="U368" s="72"/>
      <c r="V368" s="72"/>
    </row>
    <row r="369" spans="1:25" ht="27.75" customHeight="1">
      <c r="A369" s="87" t="str">
        <f>IF(ISBLANK(C369)," ",364-COUNTBLANK($C$6:C369))</f>
        <v xml:space="preserve"> </v>
      </c>
      <c r="B369" s="88"/>
      <c r="C369" s="88"/>
      <c r="D369" s="89"/>
      <c r="E369" s="89"/>
      <c r="F369" s="73"/>
      <c r="G369" s="73"/>
      <c r="H369" s="73"/>
      <c r="I369" s="73"/>
      <c r="J369" s="73"/>
      <c r="K369" s="73"/>
      <c r="L369" s="73"/>
      <c r="M369" s="74"/>
      <c r="N369" s="71" t="str">
        <f t="shared" si="5"/>
        <v/>
      </c>
      <c r="O369" s="72"/>
      <c r="P369" s="72"/>
      <c r="Q369" s="72"/>
      <c r="R369" s="72"/>
      <c r="S369" s="72"/>
      <c r="T369" s="72"/>
      <c r="U369" s="72"/>
      <c r="V369" s="72"/>
    </row>
    <row r="370" spans="1:25" ht="27.75" customHeight="1">
      <c r="A370" s="87" t="str">
        <f>IF(ISBLANK(C370)," ",365-COUNTBLANK($C$6:C370))</f>
        <v xml:space="preserve"> </v>
      </c>
      <c r="B370" s="88"/>
      <c r="C370" s="88"/>
      <c r="D370" s="89"/>
      <c r="E370" s="89"/>
      <c r="F370" s="73"/>
      <c r="G370" s="73"/>
      <c r="H370" s="73"/>
      <c r="I370" s="73"/>
      <c r="J370" s="73"/>
      <c r="K370" s="73"/>
      <c r="L370" s="73"/>
      <c r="M370" s="74"/>
      <c r="N370" s="71" t="str">
        <f t="shared" si="5"/>
        <v/>
      </c>
      <c r="O370" s="72"/>
      <c r="P370" s="72"/>
      <c r="Q370" s="72"/>
      <c r="R370" s="72"/>
      <c r="S370" s="72"/>
      <c r="T370" s="72"/>
      <c r="U370" s="72"/>
      <c r="V370" s="72"/>
    </row>
    <row r="371" spans="1:25" ht="27.75" customHeight="1">
      <c r="A371" s="87" t="str">
        <f>IF(ISBLANK(C371)," ",366-COUNTBLANK($C$6:C371))</f>
        <v xml:space="preserve"> </v>
      </c>
      <c r="B371" s="88"/>
      <c r="C371" s="88"/>
      <c r="D371" s="89"/>
      <c r="E371" s="89"/>
      <c r="F371" s="73"/>
      <c r="G371" s="73"/>
      <c r="H371" s="73"/>
      <c r="I371" s="73"/>
      <c r="J371" s="73"/>
      <c r="K371" s="73"/>
      <c r="L371" s="73"/>
      <c r="M371" s="74"/>
      <c r="N371" s="71" t="str">
        <f t="shared" si="5"/>
        <v/>
      </c>
      <c r="O371" s="72"/>
      <c r="P371" s="72"/>
      <c r="Q371" s="72"/>
      <c r="R371" s="72"/>
      <c r="S371" s="72"/>
      <c r="T371" s="72"/>
      <c r="U371" s="72"/>
      <c r="V371" s="72"/>
    </row>
    <row r="372" spans="1:25" ht="27.75" customHeight="1">
      <c r="A372" s="87" t="str">
        <f>IF(ISBLANK(C372)," ",367-COUNTBLANK($C$6:C372))</f>
        <v xml:space="preserve"> </v>
      </c>
      <c r="B372" s="88"/>
      <c r="C372" s="88"/>
      <c r="D372" s="89"/>
      <c r="E372" s="89"/>
      <c r="F372" s="73"/>
      <c r="G372" s="73"/>
      <c r="H372" s="73"/>
      <c r="I372" s="73"/>
      <c r="J372" s="73"/>
      <c r="K372" s="73"/>
      <c r="L372" s="73"/>
      <c r="M372" s="74"/>
      <c r="N372" s="71" t="str">
        <f t="shared" si="5"/>
        <v/>
      </c>
      <c r="O372" s="72"/>
      <c r="P372" s="72"/>
      <c r="Q372" s="72"/>
      <c r="R372" s="72"/>
      <c r="S372" s="72"/>
      <c r="T372" s="72"/>
      <c r="U372" s="72"/>
      <c r="V372" s="72"/>
    </row>
    <row r="373" spans="1:25" ht="27.75" customHeight="1">
      <c r="A373" s="87" t="str">
        <f>IF(ISBLANK(C373)," ",368-COUNTBLANK($C$6:C373))</f>
        <v xml:space="preserve"> </v>
      </c>
      <c r="B373" s="88"/>
      <c r="C373" s="88"/>
      <c r="D373" s="89"/>
      <c r="E373" s="89"/>
      <c r="F373" s="73"/>
      <c r="G373" s="73"/>
      <c r="H373" s="73"/>
      <c r="I373" s="73"/>
      <c r="J373" s="73"/>
      <c r="K373" s="73"/>
      <c r="L373" s="73"/>
      <c r="M373" s="74"/>
      <c r="N373" s="71" t="str">
        <f t="shared" si="5"/>
        <v/>
      </c>
      <c r="O373" s="72"/>
      <c r="P373" s="72"/>
      <c r="Q373" s="72"/>
      <c r="R373" s="72"/>
      <c r="S373" s="72"/>
      <c r="T373" s="72"/>
      <c r="U373" s="72"/>
      <c r="V373" s="72"/>
    </row>
    <row r="374" spans="1:25" ht="27.75" customHeight="1">
      <c r="A374" s="87" t="str">
        <f>IF(ISBLANK(C374)," ",369-COUNTBLANK($C$6:C374))</f>
        <v xml:space="preserve"> </v>
      </c>
      <c r="B374" s="88"/>
      <c r="C374" s="88"/>
      <c r="D374" s="89"/>
      <c r="E374" s="89"/>
      <c r="F374" s="73"/>
      <c r="G374" s="73"/>
      <c r="H374" s="73"/>
      <c r="I374" s="73"/>
      <c r="J374" s="73"/>
      <c r="K374" s="73"/>
      <c r="L374" s="73"/>
      <c r="M374" s="74"/>
      <c r="N374" s="71" t="str">
        <f t="shared" si="5"/>
        <v/>
      </c>
      <c r="O374" s="72"/>
      <c r="P374" s="72"/>
      <c r="Q374" s="72"/>
      <c r="R374" s="72"/>
      <c r="S374" s="72"/>
      <c r="T374" s="72"/>
      <c r="U374" s="72"/>
      <c r="V374" s="72"/>
    </row>
    <row r="375" spans="1:25" ht="27.75" customHeight="1">
      <c r="A375" s="87" t="str">
        <f>IF(ISBLANK(C375)," ",370-COUNTBLANK($C$6:C375))</f>
        <v xml:space="preserve"> </v>
      </c>
      <c r="B375" s="88"/>
      <c r="C375" s="88"/>
      <c r="D375" s="89"/>
      <c r="E375" s="89"/>
      <c r="F375" s="73"/>
      <c r="G375" s="73"/>
      <c r="H375" s="73"/>
      <c r="I375" s="73"/>
      <c r="J375" s="73"/>
      <c r="K375" s="73"/>
      <c r="L375" s="73"/>
      <c r="M375" s="74"/>
      <c r="N375" s="71" t="str">
        <f t="shared" si="5"/>
        <v/>
      </c>
      <c r="O375" s="72"/>
      <c r="P375" s="72"/>
      <c r="Q375" s="72"/>
      <c r="R375" s="72"/>
      <c r="S375" s="72"/>
      <c r="T375" s="72"/>
      <c r="U375" s="72"/>
      <c r="V375" s="72"/>
    </row>
    <row r="376" spans="1:25" ht="27.75" customHeight="1">
      <c r="A376" s="87" t="str">
        <f>IF(ISBLANK(C376)," ",371-COUNTBLANK($C$6:C376))</f>
        <v xml:space="preserve"> </v>
      </c>
      <c r="B376" s="88"/>
      <c r="C376" s="88"/>
      <c r="D376" s="89"/>
      <c r="E376" s="89"/>
      <c r="F376" s="73"/>
      <c r="G376" s="73"/>
      <c r="H376" s="73"/>
      <c r="I376" s="73"/>
      <c r="J376" s="73"/>
      <c r="K376" s="73"/>
      <c r="L376" s="73"/>
      <c r="M376" s="74"/>
      <c r="N376" s="71" t="str">
        <f t="shared" si="5"/>
        <v/>
      </c>
      <c r="O376" s="72"/>
      <c r="P376" s="72"/>
      <c r="Q376" s="72"/>
      <c r="R376" s="72"/>
      <c r="S376" s="72"/>
      <c r="T376" s="72"/>
      <c r="U376" s="72"/>
      <c r="V376" s="72"/>
    </row>
    <row r="377" spans="1:25" ht="27.75" customHeight="1">
      <c r="A377" s="87" t="str">
        <f>IF(ISBLANK(C377)," ",372-COUNTBLANK($C$6:C377))</f>
        <v xml:space="preserve"> </v>
      </c>
      <c r="B377" s="88"/>
      <c r="C377" s="88"/>
      <c r="D377" s="89"/>
      <c r="E377" s="89"/>
      <c r="F377" s="73"/>
      <c r="G377" s="73"/>
      <c r="H377" s="73"/>
      <c r="I377" s="73"/>
      <c r="J377" s="73"/>
      <c r="K377" s="73"/>
      <c r="L377" s="73"/>
      <c r="M377" s="74"/>
      <c r="N377" s="71" t="str">
        <f t="shared" si="5"/>
        <v/>
      </c>
      <c r="O377" s="72"/>
      <c r="P377" s="72"/>
      <c r="Q377" s="72"/>
      <c r="R377" s="72"/>
      <c r="S377" s="72"/>
      <c r="T377" s="72"/>
      <c r="U377" s="72"/>
      <c r="V377" s="72"/>
    </row>
    <row r="378" spans="1:25" ht="27.75" customHeight="1">
      <c r="A378" s="87" t="str">
        <f>IF(ISBLANK(C378)," ",373-COUNTBLANK($C$6:C378))</f>
        <v xml:space="preserve"> </v>
      </c>
      <c r="B378" s="88"/>
      <c r="C378" s="88"/>
      <c r="D378" s="89"/>
      <c r="E378" s="89"/>
      <c r="F378" s="73"/>
      <c r="G378" s="73"/>
      <c r="H378" s="73"/>
      <c r="I378" s="73"/>
      <c r="J378" s="73"/>
      <c r="K378" s="73"/>
      <c r="L378" s="73"/>
      <c r="M378" s="74"/>
      <c r="N378" s="71" t="str">
        <f t="shared" si="5"/>
        <v/>
      </c>
      <c r="O378" s="75"/>
      <c r="P378" s="72"/>
      <c r="Q378" s="72"/>
      <c r="R378" s="72"/>
      <c r="S378" s="72"/>
      <c r="T378" s="72"/>
      <c r="U378" s="72"/>
      <c r="V378" s="76"/>
    </row>
    <row r="379" spans="1:25" ht="27.75" customHeight="1">
      <c r="A379" s="87" t="str">
        <f>IF(ISBLANK(C379)," ",374-COUNTBLANK($C$6:C379))</f>
        <v xml:space="preserve"> </v>
      </c>
      <c r="B379" s="88"/>
      <c r="C379" s="88"/>
      <c r="D379" s="89"/>
      <c r="E379" s="89"/>
      <c r="F379" s="73"/>
      <c r="G379" s="73"/>
      <c r="H379" s="73"/>
      <c r="I379" s="73"/>
      <c r="J379" s="73"/>
      <c r="K379" s="73"/>
      <c r="L379" s="73"/>
      <c r="M379" s="74"/>
      <c r="N379" s="71" t="str">
        <f t="shared" si="5"/>
        <v/>
      </c>
      <c r="O379" s="75"/>
      <c r="P379" s="72"/>
      <c r="Q379" s="72"/>
      <c r="R379" s="72"/>
      <c r="S379" s="72"/>
      <c r="T379" s="72"/>
      <c r="U379" s="72"/>
      <c r="V379" s="76"/>
    </row>
    <row r="380" spans="1:25" ht="27.75" customHeight="1">
      <c r="A380" s="87" t="str">
        <f>IF(ISBLANK(C380)," ",375-COUNTBLANK($C$6:C380))</f>
        <v xml:space="preserve"> </v>
      </c>
      <c r="B380" s="88"/>
      <c r="C380" s="88"/>
      <c r="D380" s="89"/>
      <c r="E380" s="89"/>
      <c r="F380" s="73"/>
      <c r="G380" s="73"/>
      <c r="H380" s="73"/>
      <c r="I380" s="73"/>
      <c r="J380" s="73"/>
      <c r="K380" s="73"/>
      <c r="L380" s="73"/>
      <c r="M380" s="74"/>
      <c r="N380" s="71" t="str">
        <f t="shared" si="5"/>
        <v/>
      </c>
      <c r="O380" s="75"/>
      <c r="P380" s="72"/>
      <c r="Q380" s="72"/>
      <c r="R380" s="72"/>
      <c r="S380" s="72"/>
      <c r="T380" s="72"/>
      <c r="U380" s="72"/>
      <c r="V380" s="76"/>
    </row>
    <row r="381" spans="1:25" ht="27.75" customHeight="1">
      <c r="A381" s="87" t="str">
        <f>IF(ISBLANK(C381)," ",376-COUNTBLANK($C$6:C381))</f>
        <v xml:space="preserve"> </v>
      </c>
      <c r="B381" s="88"/>
      <c r="C381" s="88"/>
      <c r="D381" s="89"/>
      <c r="E381" s="89"/>
      <c r="F381" s="73"/>
      <c r="G381" s="73"/>
      <c r="H381" s="73"/>
      <c r="I381" s="73"/>
      <c r="J381" s="73"/>
      <c r="K381" s="73"/>
      <c r="L381" s="73"/>
      <c r="M381" s="74"/>
      <c r="N381" s="71" t="str">
        <f t="shared" si="5"/>
        <v/>
      </c>
      <c r="O381" s="75"/>
      <c r="P381" s="72"/>
      <c r="Q381" s="72"/>
      <c r="R381" s="72"/>
      <c r="S381" s="72"/>
      <c r="T381" s="72"/>
      <c r="U381" s="72"/>
      <c r="V381" s="76"/>
    </row>
    <row r="382" spans="1:25" ht="27.75" customHeight="1">
      <c r="A382" s="87" t="str">
        <f>IF(ISBLANK(C382)," ",377-COUNTBLANK($C$6:C382))</f>
        <v xml:space="preserve"> </v>
      </c>
      <c r="B382" s="88"/>
      <c r="C382" s="88"/>
      <c r="D382" s="89"/>
      <c r="E382" s="89"/>
      <c r="F382" s="73"/>
      <c r="G382" s="73"/>
      <c r="H382" s="73"/>
      <c r="I382" s="73"/>
      <c r="J382" s="73"/>
      <c r="K382" s="73"/>
      <c r="L382" s="73"/>
      <c r="M382" s="74"/>
      <c r="N382" s="71" t="str">
        <f t="shared" si="5"/>
        <v/>
      </c>
      <c r="O382" s="72"/>
      <c r="P382" s="72"/>
      <c r="Q382" s="72"/>
      <c r="R382" s="72"/>
      <c r="S382" s="72"/>
      <c r="T382" s="72"/>
      <c r="U382" s="72"/>
      <c r="V382" s="79"/>
      <c r="W382" s="72"/>
      <c r="X382" s="72"/>
      <c r="Y382" s="72"/>
    </row>
    <row r="383" spans="1:25" ht="27.75" customHeight="1">
      <c r="A383" s="80" t="s">
        <v>52</v>
      </c>
      <c r="B383" s="81"/>
      <c r="C383" s="96"/>
      <c r="D383" s="82"/>
      <c r="E383" s="82">
        <f>SUM(E363:E382)</f>
        <v>0</v>
      </c>
      <c r="F383" s="83"/>
      <c r="G383" s="83"/>
      <c r="H383" s="83"/>
      <c r="I383" s="83"/>
      <c r="J383" s="83"/>
      <c r="K383" s="83"/>
      <c r="L383" s="83"/>
      <c r="M383" s="84"/>
      <c r="N383" s="71" t="str">
        <f t="shared" si="5"/>
        <v/>
      </c>
      <c r="O383" s="75"/>
      <c r="P383" s="72"/>
      <c r="Q383" s="72"/>
      <c r="R383" s="72"/>
      <c r="S383" s="72"/>
      <c r="T383" s="72"/>
      <c r="U383" s="72"/>
      <c r="V383" s="79"/>
      <c r="W383" s="72"/>
      <c r="X383" s="72"/>
      <c r="Y383" s="72"/>
    </row>
    <row r="384" spans="1:25" ht="27.75" customHeight="1">
      <c r="A384" s="93" t="str">
        <f>IF(ISBLANK(C384)," ",379-COUNTBLANK($C$6:C384))</f>
        <v xml:space="preserve"> </v>
      </c>
      <c r="B384" s="94"/>
      <c r="C384" s="94"/>
      <c r="D384" s="95"/>
      <c r="E384" s="95"/>
      <c r="F384" s="85"/>
      <c r="G384" s="85"/>
      <c r="H384" s="85"/>
      <c r="I384" s="85"/>
      <c r="J384" s="85"/>
      <c r="K384" s="85"/>
      <c r="L384" s="85"/>
      <c r="M384" s="86"/>
      <c r="N384" s="71" t="str">
        <f t="shared" si="5"/>
        <v/>
      </c>
      <c r="O384" s="72"/>
      <c r="P384" s="72"/>
      <c r="Q384" s="72"/>
      <c r="R384" s="72"/>
      <c r="S384" s="72"/>
      <c r="T384" s="72"/>
      <c r="U384" s="72"/>
      <c r="V384" s="72"/>
    </row>
    <row r="385" spans="1:22" ht="27.75" customHeight="1">
      <c r="A385" s="87" t="str">
        <f>IF(ISBLANK(C385)," ",380-COUNTBLANK($C$6:C385))</f>
        <v xml:space="preserve"> </v>
      </c>
      <c r="B385" s="88"/>
      <c r="C385" s="88"/>
      <c r="D385" s="89"/>
      <c r="E385" s="89"/>
      <c r="F385" s="73"/>
      <c r="G385" s="73"/>
      <c r="H385" s="73"/>
      <c r="I385" s="73"/>
      <c r="J385" s="73"/>
      <c r="K385" s="73"/>
      <c r="L385" s="73"/>
      <c r="M385" s="74"/>
      <c r="N385" s="71" t="str">
        <f t="shared" si="5"/>
        <v/>
      </c>
      <c r="O385" s="72"/>
      <c r="P385" s="72"/>
      <c r="Q385" s="72"/>
      <c r="R385" s="72"/>
      <c r="S385" s="72"/>
      <c r="T385" s="72"/>
      <c r="U385" s="72"/>
      <c r="V385" s="72"/>
    </row>
    <row r="386" spans="1:22" ht="27.75" customHeight="1">
      <c r="A386" s="87" t="str">
        <f>IF(ISBLANK(C386)," ",381-COUNTBLANK($C$6:C386))</f>
        <v xml:space="preserve"> </v>
      </c>
      <c r="B386" s="88"/>
      <c r="C386" s="88"/>
      <c r="D386" s="89"/>
      <c r="E386" s="89"/>
      <c r="F386" s="73"/>
      <c r="G386" s="73"/>
      <c r="H386" s="73"/>
      <c r="I386" s="73"/>
      <c r="J386" s="73"/>
      <c r="K386" s="73"/>
      <c r="L386" s="73"/>
      <c r="M386" s="74"/>
      <c r="N386" s="71" t="str">
        <f t="shared" si="5"/>
        <v/>
      </c>
      <c r="O386" s="72"/>
      <c r="P386" s="72"/>
      <c r="Q386" s="72"/>
      <c r="R386" s="72"/>
      <c r="S386" s="72"/>
      <c r="T386" s="72"/>
      <c r="U386" s="72"/>
      <c r="V386" s="72"/>
    </row>
    <row r="387" spans="1:22" ht="27.75" customHeight="1">
      <c r="A387" s="87" t="str">
        <f>IF(ISBLANK(C387)," ",382-COUNTBLANK($C$6:C387))</f>
        <v xml:space="preserve"> </v>
      </c>
      <c r="B387" s="88"/>
      <c r="C387" s="88"/>
      <c r="D387" s="89"/>
      <c r="E387" s="89"/>
      <c r="F387" s="73"/>
      <c r="G387" s="73"/>
      <c r="H387" s="73"/>
      <c r="I387" s="73"/>
      <c r="J387" s="73"/>
      <c r="K387" s="73"/>
      <c r="L387" s="73"/>
      <c r="M387" s="74"/>
      <c r="N387" s="71" t="str">
        <f t="shared" si="5"/>
        <v/>
      </c>
      <c r="O387" s="72"/>
      <c r="P387" s="72"/>
      <c r="Q387" s="72"/>
      <c r="R387" s="72"/>
      <c r="S387" s="72"/>
      <c r="T387" s="72"/>
      <c r="U387" s="72"/>
      <c r="V387" s="72"/>
    </row>
    <row r="388" spans="1:22" ht="27.75" customHeight="1">
      <c r="A388" s="87" t="str">
        <f>IF(ISBLANK(C388)," ",383-COUNTBLANK($C$6:C388))</f>
        <v xml:space="preserve"> </v>
      </c>
      <c r="B388" s="88"/>
      <c r="C388" s="88"/>
      <c r="D388" s="89"/>
      <c r="E388" s="89"/>
      <c r="F388" s="73"/>
      <c r="G388" s="73"/>
      <c r="H388" s="73"/>
      <c r="I388" s="73"/>
      <c r="J388" s="73"/>
      <c r="K388" s="73"/>
      <c r="L388" s="73"/>
      <c r="M388" s="74"/>
      <c r="N388" s="71" t="str">
        <f t="shared" si="5"/>
        <v/>
      </c>
      <c r="O388" s="72"/>
      <c r="P388" s="72"/>
      <c r="Q388" s="72"/>
      <c r="R388" s="72"/>
      <c r="S388" s="72"/>
      <c r="T388" s="72"/>
      <c r="U388" s="72"/>
      <c r="V388" s="72"/>
    </row>
    <row r="389" spans="1:22" ht="27.75" customHeight="1">
      <c r="A389" s="87" t="str">
        <f>IF(ISBLANK(C389)," ",384-COUNTBLANK($C$6:C389))</f>
        <v xml:space="preserve"> </v>
      </c>
      <c r="B389" s="88"/>
      <c r="C389" s="88"/>
      <c r="D389" s="89"/>
      <c r="E389" s="89"/>
      <c r="F389" s="73"/>
      <c r="G389" s="73"/>
      <c r="H389" s="73"/>
      <c r="I389" s="73"/>
      <c r="J389" s="73"/>
      <c r="K389" s="73"/>
      <c r="L389" s="73"/>
      <c r="M389" s="74"/>
      <c r="N389" s="71" t="str">
        <f t="shared" si="5"/>
        <v/>
      </c>
      <c r="O389" s="72"/>
      <c r="P389" s="72"/>
      <c r="Q389" s="72"/>
      <c r="R389" s="72"/>
      <c r="S389" s="72"/>
      <c r="T389" s="72"/>
      <c r="U389" s="72"/>
      <c r="V389" s="72"/>
    </row>
    <row r="390" spans="1:22" ht="27.75" customHeight="1">
      <c r="A390" s="87" t="str">
        <f>IF(ISBLANK(C390)," ",385-COUNTBLANK($C$6:C390))</f>
        <v xml:space="preserve"> </v>
      </c>
      <c r="B390" s="88"/>
      <c r="C390" s="88"/>
      <c r="D390" s="89"/>
      <c r="E390" s="89"/>
      <c r="F390" s="73"/>
      <c r="G390" s="73"/>
      <c r="H390" s="73"/>
      <c r="I390" s="73"/>
      <c r="J390" s="73"/>
      <c r="K390" s="73"/>
      <c r="L390" s="73"/>
      <c r="M390" s="74"/>
      <c r="N390" s="71" t="str">
        <f t="shared" ref="N390:N453" si="6">CONCATENATE(C390,H390)</f>
        <v/>
      </c>
      <c r="O390" s="72"/>
      <c r="P390" s="72"/>
      <c r="Q390" s="72"/>
      <c r="R390" s="72"/>
      <c r="S390" s="72"/>
      <c r="T390" s="72"/>
      <c r="U390" s="72"/>
      <c r="V390" s="72"/>
    </row>
    <row r="391" spans="1:22" ht="27.75" customHeight="1">
      <c r="A391" s="87" t="str">
        <f>IF(ISBLANK(C391)," ",386-COUNTBLANK($C$6:C391))</f>
        <v xml:space="preserve"> </v>
      </c>
      <c r="B391" s="88"/>
      <c r="C391" s="88"/>
      <c r="D391" s="89"/>
      <c r="E391" s="89"/>
      <c r="F391" s="73"/>
      <c r="G391" s="73"/>
      <c r="H391" s="73"/>
      <c r="I391" s="73"/>
      <c r="J391" s="73"/>
      <c r="K391" s="73"/>
      <c r="L391" s="73"/>
      <c r="M391" s="74"/>
      <c r="N391" s="71" t="str">
        <f t="shared" si="6"/>
        <v/>
      </c>
      <c r="O391" s="72"/>
      <c r="P391" s="72"/>
      <c r="Q391" s="72"/>
      <c r="R391" s="72"/>
      <c r="S391" s="72"/>
      <c r="T391" s="72"/>
      <c r="U391" s="72"/>
      <c r="V391" s="72"/>
    </row>
    <row r="392" spans="1:22" ht="27.75" customHeight="1">
      <c r="A392" s="87" t="str">
        <f>IF(ISBLANK(C392)," ",387-COUNTBLANK($C$6:C392))</f>
        <v xml:space="preserve"> </v>
      </c>
      <c r="B392" s="88"/>
      <c r="C392" s="88"/>
      <c r="D392" s="89"/>
      <c r="E392" s="89"/>
      <c r="F392" s="73"/>
      <c r="G392" s="73"/>
      <c r="H392" s="73"/>
      <c r="I392" s="73"/>
      <c r="J392" s="73"/>
      <c r="K392" s="73"/>
      <c r="L392" s="73"/>
      <c r="M392" s="74"/>
      <c r="N392" s="71" t="str">
        <f t="shared" si="6"/>
        <v/>
      </c>
      <c r="O392" s="72"/>
      <c r="P392" s="72"/>
      <c r="Q392" s="72"/>
      <c r="R392" s="72"/>
      <c r="S392" s="72"/>
      <c r="T392" s="72"/>
      <c r="U392" s="72"/>
      <c r="V392" s="72"/>
    </row>
    <row r="393" spans="1:22" ht="27.75" customHeight="1">
      <c r="A393" s="87" t="str">
        <f>IF(ISBLANK(C393)," ",388-COUNTBLANK($C$6:C393))</f>
        <v xml:space="preserve"> </v>
      </c>
      <c r="B393" s="88"/>
      <c r="C393" s="88"/>
      <c r="D393" s="89"/>
      <c r="E393" s="89"/>
      <c r="F393" s="73"/>
      <c r="G393" s="73"/>
      <c r="H393" s="73"/>
      <c r="I393" s="73"/>
      <c r="J393" s="73"/>
      <c r="K393" s="73"/>
      <c r="L393" s="73"/>
      <c r="M393" s="74"/>
      <c r="N393" s="71" t="str">
        <f t="shared" si="6"/>
        <v/>
      </c>
      <c r="O393" s="72"/>
      <c r="P393" s="72"/>
      <c r="Q393" s="72"/>
      <c r="R393" s="72"/>
      <c r="S393" s="72"/>
      <c r="T393" s="72"/>
      <c r="U393" s="72"/>
      <c r="V393" s="72"/>
    </row>
    <row r="394" spans="1:22" ht="27.75" customHeight="1">
      <c r="A394" s="87" t="str">
        <f>IF(ISBLANK(C394)," ",389-COUNTBLANK($C$6:C394))</f>
        <v xml:space="preserve"> </v>
      </c>
      <c r="B394" s="88"/>
      <c r="C394" s="88"/>
      <c r="D394" s="89"/>
      <c r="E394" s="89"/>
      <c r="F394" s="73"/>
      <c r="G394" s="73"/>
      <c r="H394" s="73"/>
      <c r="I394" s="73"/>
      <c r="J394" s="73"/>
      <c r="K394" s="73"/>
      <c r="L394" s="73"/>
      <c r="M394" s="74"/>
      <c r="N394" s="71" t="str">
        <f t="shared" si="6"/>
        <v/>
      </c>
      <c r="O394" s="72"/>
      <c r="P394" s="72"/>
      <c r="Q394" s="72"/>
      <c r="R394" s="72"/>
      <c r="S394" s="72"/>
      <c r="T394" s="72"/>
      <c r="U394" s="72"/>
      <c r="V394" s="72"/>
    </row>
    <row r="395" spans="1:22" ht="27.75" customHeight="1">
      <c r="A395" s="87" t="str">
        <f>IF(ISBLANK(C395)," ",390-COUNTBLANK($C$6:C395))</f>
        <v xml:space="preserve"> </v>
      </c>
      <c r="B395" s="88"/>
      <c r="C395" s="88"/>
      <c r="D395" s="89"/>
      <c r="E395" s="89"/>
      <c r="F395" s="73"/>
      <c r="G395" s="73"/>
      <c r="H395" s="73"/>
      <c r="I395" s="73"/>
      <c r="J395" s="73"/>
      <c r="K395" s="73"/>
      <c r="L395" s="73"/>
      <c r="M395" s="74"/>
      <c r="N395" s="71" t="str">
        <f t="shared" si="6"/>
        <v/>
      </c>
      <c r="O395" s="72"/>
      <c r="P395" s="72"/>
      <c r="Q395" s="72"/>
      <c r="R395" s="72"/>
      <c r="S395" s="72"/>
      <c r="T395" s="72"/>
      <c r="U395" s="72"/>
      <c r="V395" s="72"/>
    </row>
    <row r="396" spans="1:22" ht="27.75" customHeight="1">
      <c r="A396" s="87" t="str">
        <f>IF(ISBLANK(C396)," ",391-COUNTBLANK($C$6:C396))</f>
        <v xml:space="preserve"> </v>
      </c>
      <c r="B396" s="88"/>
      <c r="C396" s="88"/>
      <c r="D396" s="89"/>
      <c r="E396" s="89"/>
      <c r="F396" s="73"/>
      <c r="G396" s="73"/>
      <c r="H396" s="73"/>
      <c r="I396" s="73"/>
      <c r="J396" s="73"/>
      <c r="K396" s="73"/>
      <c r="L396" s="73"/>
      <c r="M396" s="74"/>
      <c r="N396" s="71" t="str">
        <f t="shared" si="6"/>
        <v/>
      </c>
      <c r="O396" s="72"/>
      <c r="P396" s="72"/>
      <c r="Q396" s="72"/>
      <c r="R396" s="72"/>
      <c r="S396" s="72"/>
      <c r="T396" s="72"/>
      <c r="U396" s="72"/>
      <c r="V396" s="72"/>
    </row>
    <row r="397" spans="1:22" ht="27.75" customHeight="1">
      <c r="A397" s="87" t="str">
        <f>IF(ISBLANK(C397)," ",392-COUNTBLANK($C$6:C397))</f>
        <v xml:space="preserve"> </v>
      </c>
      <c r="B397" s="88"/>
      <c r="C397" s="88"/>
      <c r="D397" s="89"/>
      <c r="E397" s="89"/>
      <c r="F397" s="73"/>
      <c r="G397" s="73"/>
      <c r="H397" s="73"/>
      <c r="I397" s="73"/>
      <c r="J397" s="73"/>
      <c r="K397" s="73"/>
      <c r="L397" s="73"/>
      <c r="M397" s="74"/>
      <c r="N397" s="71" t="str">
        <f t="shared" si="6"/>
        <v/>
      </c>
      <c r="O397" s="72"/>
      <c r="P397" s="72"/>
      <c r="Q397" s="72"/>
      <c r="R397" s="72"/>
      <c r="S397" s="72"/>
      <c r="T397" s="72"/>
      <c r="U397" s="72"/>
      <c r="V397" s="72"/>
    </row>
    <row r="398" spans="1:22" ht="27.75" customHeight="1">
      <c r="A398" s="87" t="str">
        <f>IF(ISBLANK(C398)," ",393-COUNTBLANK($C$6:C398))</f>
        <v xml:space="preserve"> </v>
      </c>
      <c r="B398" s="88"/>
      <c r="C398" s="88"/>
      <c r="D398" s="89"/>
      <c r="E398" s="89"/>
      <c r="F398" s="73"/>
      <c r="G398" s="73"/>
      <c r="H398" s="73"/>
      <c r="I398" s="73"/>
      <c r="J398" s="73"/>
      <c r="K398" s="73"/>
      <c r="L398" s="73"/>
      <c r="M398" s="74"/>
      <c r="N398" s="71" t="str">
        <f t="shared" si="6"/>
        <v/>
      </c>
      <c r="O398" s="72"/>
      <c r="P398" s="72"/>
      <c r="Q398" s="72"/>
      <c r="R398" s="72"/>
      <c r="S398" s="72"/>
      <c r="T398" s="72"/>
      <c r="U398" s="72"/>
      <c r="V398" s="72"/>
    </row>
    <row r="399" spans="1:22" ht="27.75" customHeight="1">
      <c r="A399" s="87" t="str">
        <f>IF(ISBLANK(C399)," ",394-COUNTBLANK($C$6:C399))</f>
        <v xml:space="preserve"> </v>
      </c>
      <c r="B399" s="88"/>
      <c r="C399" s="88"/>
      <c r="D399" s="89"/>
      <c r="E399" s="89"/>
      <c r="F399" s="73"/>
      <c r="G399" s="73"/>
      <c r="H399" s="73"/>
      <c r="I399" s="73"/>
      <c r="J399" s="73"/>
      <c r="K399" s="73"/>
      <c r="L399" s="73"/>
      <c r="M399" s="74"/>
      <c r="N399" s="71" t="str">
        <f t="shared" si="6"/>
        <v/>
      </c>
      <c r="O399" s="75"/>
      <c r="P399" s="72"/>
      <c r="Q399" s="72"/>
      <c r="R399" s="72"/>
      <c r="S399" s="72"/>
      <c r="T399" s="72"/>
      <c r="U399" s="72"/>
      <c r="V399" s="76"/>
    </row>
    <row r="400" spans="1:22" ht="27.75" customHeight="1">
      <c r="A400" s="87" t="str">
        <f>IF(ISBLANK(C400)," ",395-COUNTBLANK($C$6:C400))</f>
        <v xml:space="preserve"> </v>
      </c>
      <c r="B400" s="88"/>
      <c r="C400" s="88"/>
      <c r="D400" s="89"/>
      <c r="E400" s="89"/>
      <c r="F400" s="73"/>
      <c r="G400" s="73"/>
      <c r="H400" s="73"/>
      <c r="I400" s="73"/>
      <c r="J400" s="73"/>
      <c r="K400" s="73"/>
      <c r="L400" s="73"/>
      <c r="M400" s="74"/>
      <c r="N400" s="71" t="str">
        <f t="shared" si="6"/>
        <v/>
      </c>
      <c r="O400" s="75"/>
      <c r="P400" s="72"/>
      <c r="Q400" s="72"/>
      <c r="R400" s="72"/>
      <c r="S400" s="72"/>
      <c r="T400" s="72"/>
      <c r="U400" s="72"/>
      <c r="V400" s="76"/>
    </row>
    <row r="401" spans="1:25" ht="27.75" customHeight="1">
      <c r="A401" s="87" t="str">
        <f>IF(ISBLANK(C401)," ",396-COUNTBLANK($C$6:C401))</f>
        <v xml:space="preserve"> </v>
      </c>
      <c r="B401" s="88"/>
      <c r="C401" s="88"/>
      <c r="D401" s="89"/>
      <c r="E401" s="89"/>
      <c r="F401" s="73"/>
      <c r="G401" s="73"/>
      <c r="H401" s="73"/>
      <c r="I401" s="73"/>
      <c r="J401" s="73"/>
      <c r="K401" s="73"/>
      <c r="L401" s="73"/>
      <c r="M401" s="74"/>
      <c r="N401" s="71" t="str">
        <f t="shared" si="6"/>
        <v/>
      </c>
      <c r="O401" s="75"/>
      <c r="P401" s="72"/>
      <c r="Q401" s="72"/>
      <c r="R401" s="72"/>
      <c r="S401" s="72"/>
      <c r="T401" s="72"/>
      <c r="U401" s="72"/>
      <c r="V401" s="76"/>
    </row>
    <row r="402" spans="1:25" ht="27.75" customHeight="1">
      <c r="A402" s="87" t="str">
        <f>IF(ISBLANK(C402)," ",397-COUNTBLANK($C$6:C402))</f>
        <v xml:space="preserve"> </v>
      </c>
      <c r="B402" s="88"/>
      <c r="C402" s="88"/>
      <c r="D402" s="89"/>
      <c r="E402" s="89"/>
      <c r="F402" s="73"/>
      <c r="G402" s="73"/>
      <c r="H402" s="73"/>
      <c r="I402" s="73"/>
      <c r="J402" s="73"/>
      <c r="K402" s="73"/>
      <c r="L402" s="73"/>
      <c r="M402" s="74"/>
      <c r="N402" s="71" t="str">
        <f t="shared" si="6"/>
        <v/>
      </c>
      <c r="O402" s="75"/>
      <c r="P402" s="72"/>
      <c r="Q402" s="72"/>
      <c r="R402" s="72"/>
      <c r="S402" s="72"/>
      <c r="T402" s="72"/>
      <c r="U402" s="72"/>
      <c r="V402" s="76"/>
    </row>
    <row r="403" spans="1:25" ht="27.75" customHeight="1">
      <c r="A403" s="87" t="str">
        <f>IF(ISBLANK(C403)," ",398-COUNTBLANK($C$6:C403))</f>
        <v xml:space="preserve"> </v>
      </c>
      <c r="B403" s="88"/>
      <c r="C403" s="88"/>
      <c r="D403" s="89"/>
      <c r="E403" s="89"/>
      <c r="F403" s="73"/>
      <c r="G403" s="73"/>
      <c r="H403" s="73"/>
      <c r="I403" s="73"/>
      <c r="J403" s="73"/>
      <c r="K403" s="73"/>
      <c r="L403" s="73"/>
      <c r="M403" s="74"/>
      <c r="N403" s="71" t="str">
        <f t="shared" si="6"/>
        <v/>
      </c>
      <c r="O403" s="72"/>
      <c r="P403" s="72"/>
      <c r="Q403" s="72"/>
      <c r="R403" s="72"/>
      <c r="S403" s="72"/>
      <c r="T403" s="72"/>
      <c r="U403" s="72"/>
      <c r="V403" s="79"/>
      <c r="W403" s="72"/>
      <c r="X403" s="72"/>
      <c r="Y403" s="72"/>
    </row>
    <row r="404" spans="1:25" ht="27.75" customHeight="1">
      <c r="A404" s="80" t="s">
        <v>52</v>
      </c>
      <c r="B404" s="81"/>
      <c r="C404" s="96"/>
      <c r="D404" s="82"/>
      <c r="E404" s="82">
        <f>SUM(E384:E403)</f>
        <v>0</v>
      </c>
      <c r="F404" s="83"/>
      <c r="G404" s="83"/>
      <c r="H404" s="83"/>
      <c r="I404" s="83"/>
      <c r="J404" s="83"/>
      <c r="K404" s="83"/>
      <c r="L404" s="83"/>
      <c r="M404" s="84"/>
      <c r="N404" s="71" t="str">
        <f t="shared" si="6"/>
        <v/>
      </c>
      <c r="O404" s="75"/>
      <c r="P404" s="72"/>
      <c r="Q404" s="72"/>
      <c r="R404" s="72"/>
      <c r="S404" s="72"/>
      <c r="T404" s="72"/>
      <c r="U404" s="72"/>
      <c r="V404" s="79"/>
      <c r="W404" s="72"/>
      <c r="X404" s="72"/>
      <c r="Y404" s="72"/>
    </row>
    <row r="405" spans="1:25" ht="27.75" customHeight="1">
      <c r="A405" s="93" t="str">
        <f>IF(ISBLANK(C405)," ",400-COUNTBLANK($C$6:C405))</f>
        <v xml:space="preserve"> </v>
      </c>
      <c r="B405" s="94"/>
      <c r="C405" s="94"/>
      <c r="D405" s="95"/>
      <c r="E405" s="95"/>
      <c r="F405" s="85"/>
      <c r="G405" s="85"/>
      <c r="H405" s="85"/>
      <c r="I405" s="85"/>
      <c r="J405" s="85"/>
      <c r="K405" s="85"/>
      <c r="L405" s="85"/>
      <c r="M405" s="86"/>
      <c r="N405" s="71" t="str">
        <f t="shared" si="6"/>
        <v/>
      </c>
      <c r="O405" s="72"/>
      <c r="P405" s="72"/>
      <c r="Q405" s="72"/>
      <c r="R405" s="72"/>
      <c r="S405" s="72"/>
      <c r="T405" s="72"/>
      <c r="U405" s="72"/>
      <c r="V405" s="72"/>
    </row>
    <row r="406" spans="1:25" ht="27.75" customHeight="1">
      <c r="A406" s="87" t="str">
        <f>IF(ISBLANK(C406)," ",401-COUNTBLANK($C$6:C406))</f>
        <v xml:space="preserve"> </v>
      </c>
      <c r="B406" s="88"/>
      <c r="C406" s="88"/>
      <c r="D406" s="89"/>
      <c r="E406" s="89"/>
      <c r="F406" s="73"/>
      <c r="G406" s="73"/>
      <c r="H406" s="73"/>
      <c r="I406" s="73"/>
      <c r="J406" s="73"/>
      <c r="K406" s="73"/>
      <c r="L406" s="73"/>
      <c r="M406" s="74"/>
      <c r="N406" s="71" t="str">
        <f t="shared" si="6"/>
        <v/>
      </c>
      <c r="O406" s="72"/>
      <c r="P406" s="72"/>
      <c r="Q406" s="72"/>
      <c r="R406" s="72"/>
      <c r="S406" s="72"/>
      <c r="T406" s="72"/>
      <c r="U406" s="72"/>
      <c r="V406" s="72"/>
    </row>
    <row r="407" spans="1:25" ht="27.75" customHeight="1">
      <c r="A407" s="87" t="str">
        <f>IF(ISBLANK(C407)," ",402-COUNTBLANK($C$6:C407))</f>
        <v xml:space="preserve"> </v>
      </c>
      <c r="B407" s="88"/>
      <c r="C407" s="88"/>
      <c r="D407" s="89"/>
      <c r="E407" s="89"/>
      <c r="F407" s="73"/>
      <c r="G407" s="73"/>
      <c r="H407" s="73"/>
      <c r="I407" s="73"/>
      <c r="J407" s="73"/>
      <c r="K407" s="73"/>
      <c r="L407" s="73"/>
      <c r="M407" s="74"/>
      <c r="N407" s="71" t="str">
        <f t="shared" si="6"/>
        <v/>
      </c>
      <c r="O407" s="72"/>
      <c r="P407" s="72"/>
      <c r="Q407" s="72"/>
      <c r="R407" s="72"/>
      <c r="S407" s="72"/>
      <c r="T407" s="72"/>
      <c r="U407" s="72"/>
      <c r="V407" s="72"/>
    </row>
    <row r="408" spans="1:25" ht="27.75" customHeight="1">
      <c r="A408" s="87" t="str">
        <f>IF(ISBLANK(C408)," ",403-COUNTBLANK($C$6:C408))</f>
        <v xml:space="preserve"> </v>
      </c>
      <c r="B408" s="88"/>
      <c r="C408" s="88"/>
      <c r="D408" s="89"/>
      <c r="E408" s="89"/>
      <c r="F408" s="73"/>
      <c r="G408" s="73"/>
      <c r="H408" s="73"/>
      <c r="I408" s="73"/>
      <c r="J408" s="73"/>
      <c r="K408" s="73"/>
      <c r="L408" s="73"/>
      <c r="M408" s="74"/>
      <c r="N408" s="71" t="str">
        <f t="shared" si="6"/>
        <v/>
      </c>
      <c r="O408" s="72"/>
      <c r="P408" s="72"/>
      <c r="Q408" s="72"/>
      <c r="R408" s="72"/>
      <c r="S408" s="72"/>
      <c r="T408" s="72"/>
      <c r="U408" s="72"/>
      <c r="V408" s="72"/>
    </row>
    <row r="409" spans="1:25" ht="27.75" customHeight="1">
      <c r="A409" s="87" t="str">
        <f>IF(ISBLANK(C409)," ",404-COUNTBLANK($C$6:C409))</f>
        <v xml:space="preserve"> </v>
      </c>
      <c r="B409" s="88"/>
      <c r="C409" s="88"/>
      <c r="D409" s="89"/>
      <c r="E409" s="89"/>
      <c r="F409" s="73"/>
      <c r="G409" s="73"/>
      <c r="H409" s="73"/>
      <c r="I409" s="73"/>
      <c r="J409" s="73"/>
      <c r="K409" s="73"/>
      <c r="L409" s="73"/>
      <c r="M409" s="74"/>
      <c r="N409" s="71" t="str">
        <f t="shared" si="6"/>
        <v/>
      </c>
      <c r="O409" s="72"/>
      <c r="P409" s="72"/>
      <c r="Q409" s="72"/>
      <c r="R409" s="72"/>
      <c r="S409" s="72"/>
      <c r="T409" s="72"/>
      <c r="U409" s="72"/>
      <c r="V409" s="72"/>
    </row>
    <row r="410" spans="1:25" ht="27.75" customHeight="1">
      <c r="A410" s="87" t="str">
        <f>IF(ISBLANK(C410)," ",405-COUNTBLANK($C$6:C410))</f>
        <v xml:space="preserve"> </v>
      </c>
      <c r="B410" s="88"/>
      <c r="C410" s="88"/>
      <c r="D410" s="89"/>
      <c r="E410" s="89"/>
      <c r="F410" s="73"/>
      <c r="G410" s="73"/>
      <c r="H410" s="73"/>
      <c r="I410" s="73"/>
      <c r="J410" s="73"/>
      <c r="K410" s="73"/>
      <c r="L410" s="73"/>
      <c r="M410" s="74"/>
      <c r="N410" s="71" t="str">
        <f t="shared" si="6"/>
        <v/>
      </c>
      <c r="O410" s="72"/>
      <c r="P410" s="72"/>
      <c r="Q410" s="72"/>
      <c r="R410" s="72"/>
      <c r="S410" s="72"/>
      <c r="T410" s="72"/>
      <c r="U410" s="72"/>
      <c r="V410" s="72"/>
    </row>
    <row r="411" spans="1:25" ht="27.75" customHeight="1">
      <c r="A411" s="87" t="str">
        <f>IF(ISBLANK(C411)," ",406-COUNTBLANK($C$6:C411))</f>
        <v xml:space="preserve"> </v>
      </c>
      <c r="B411" s="88"/>
      <c r="C411" s="88"/>
      <c r="D411" s="89"/>
      <c r="E411" s="89"/>
      <c r="F411" s="73"/>
      <c r="G411" s="73"/>
      <c r="H411" s="73"/>
      <c r="I411" s="73"/>
      <c r="J411" s="73"/>
      <c r="K411" s="73"/>
      <c r="L411" s="73"/>
      <c r="M411" s="74"/>
      <c r="N411" s="71" t="str">
        <f t="shared" si="6"/>
        <v/>
      </c>
      <c r="O411" s="72"/>
      <c r="P411" s="72"/>
      <c r="Q411" s="72"/>
      <c r="R411" s="72"/>
      <c r="S411" s="72"/>
      <c r="T411" s="72"/>
      <c r="U411" s="72"/>
      <c r="V411" s="72"/>
    </row>
    <row r="412" spans="1:25" ht="27.75" customHeight="1">
      <c r="A412" s="87" t="str">
        <f>IF(ISBLANK(C412)," ",407-COUNTBLANK($C$6:C412))</f>
        <v xml:space="preserve"> </v>
      </c>
      <c r="B412" s="88"/>
      <c r="C412" s="88"/>
      <c r="D412" s="89"/>
      <c r="E412" s="89"/>
      <c r="F412" s="73"/>
      <c r="G412" s="73"/>
      <c r="H412" s="73"/>
      <c r="I412" s="73"/>
      <c r="J412" s="73"/>
      <c r="K412" s="73"/>
      <c r="L412" s="73"/>
      <c r="M412" s="74"/>
      <c r="N412" s="71" t="str">
        <f t="shared" si="6"/>
        <v/>
      </c>
      <c r="O412" s="72"/>
      <c r="P412" s="72"/>
      <c r="Q412" s="72"/>
      <c r="R412" s="72"/>
      <c r="S412" s="72"/>
      <c r="T412" s="72"/>
      <c r="U412" s="72"/>
      <c r="V412" s="72"/>
    </row>
    <row r="413" spans="1:25" ht="27.75" customHeight="1">
      <c r="A413" s="87" t="str">
        <f>IF(ISBLANK(C413)," ",408-COUNTBLANK($C$6:C413))</f>
        <v xml:space="preserve"> </v>
      </c>
      <c r="B413" s="88"/>
      <c r="C413" s="88"/>
      <c r="D413" s="89"/>
      <c r="E413" s="89"/>
      <c r="F413" s="73"/>
      <c r="G413" s="73"/>
      <c r="H413" s="73"/>
      <c r="I413" s="73"/>
      <c r="J413" s="73"/>
      <c r="K413" s="73"/>
      <c r="L413" s="73"/>
      <c r="M413" s="74"/>
      <c r="N413" s="71" t="str">
        <f t="shared" si="6"/>
        <v/>
      </c>
      <c r="O413" s="72"/>
      <c r="P413" s="72"/>
      <c r="Q413" s="72"/>
      <c r="R413" s="72"/>
      <c r="S413" s="72"/>
      <c r="T413" s="72"/>
      <c r="U413" s="72"/>
      <c r="V413" s="72"/>
    </row>
    <row r="414" spans="1:25" ht="27.75" customHeight="1">
      <c r="A414" s="87" t="str">
        <f>IF(ISBLANK(C414)," ",409-COUNTBLANK($C$6:C414))</f>
        <v xml:space="preserve"> </v>
      </c>
      <c r="B414" s="88"/>
      <c r="C414" s="88"/>
      <c r="D414" s="89"/>
      <c r="E414" s="89"/>
      <c r="F414" s="73"/>
      <c r="G414" s="73"/>
      <c r="H414" s="73"/>
      <c r="I414" s="73"/>
      <c r="J414" s="73"/>
      <c r="K414" s="73"/>
      <c r="L414" s="73"/>
      <c r="M414" s="74"/>
      <c r="N414" s="71" t="str">
        <f t="shared" si="6"/>
        <v/>
      </c>
      <c r="O414" s="72"/>
      <c r="P414" s="72"/>
      <c r="Q414" s="72"/>
      <c r="R414" s="72"/>
      <c r="S414" s="72"/>
      <c r="T414" s="72"/>
      <c r="U414" s="72"/>
      <c r="V414" s="72"/>
    </row>
    <row r="415" spans="1:25" ht="27.75" customHeight="1">
      <c r="A415" s="87" t="str">
        <f>IF(ISBLANK(C415)," ",410-COUNTBLANK($C$6:C415))</f>
        <v xml:space="preserve"> </v>
      </c>
      <c r="B415" s="88"/>
      <c r="C415" s="88"/>
      <c r="D415" s="89"/>
      <c r="E415" s="89"/>
      <c r="F415" s="73"/>
      <c r="G415" s="73"/>
      <c r="H415" s="73"/>
      <c r="I415" s="73"/>
      <c r="J415" s="73"/>
      <c r="K415" s="73"/>
      <c r="L415" s="73"/>
      <c r="M415" s="74"/>
      <c r="N415" s="71" t="str">
        <f t="shared" si="6"/>
        <v/>
      </c>
      <c r="O415" s="72"/>
      <c r="P415" s="72"/>
      <c r="Q415" s="72"/>
      <c r="R415" s="72"/>
      <c r="S415" s="72"/>
      <c r="T415" s="72"/>
      <c r="U415" s="72"/>
      <c r="V415" s="72"/>
    </row>
    <row r="416" spans="1:25" ht="27.75" customHeight="1">
      <c r="A416" s="87" t="str">
        <f>IF(ISBLANK(C416)," ",411-COUNTBLANK($C$6:C416))</f>
        <v xml:space="preserve"> </v>
      </c>
      <c r="B416" s="88"/>
      <c r="C416" s="88"/>
      <c r="D416" s="89"/>
      <c r="E416" s="89"/>
      <c r="F416" s="73"/>
      <c r="G416" s="73"/>
      <c r="H416" s="73"/>
      <c r="I416" s="73"/>
      <c r="J416" s="73"/>
      <c r="K416" s="73"/>
      <c r="L416" s="73"/>
      <c r="M416" s="74"/>
      <c r="N416" s="71" t="str">
        <f t="shared" si="6"/>
        <v/>
      </c>
      <c r="O416" s="72"/>
      <c r="P416" s="72"/>
      <c r="Q416" s="72"/>
      <c r="R416" s="72"/>
      <c r="S416" s="72"/>
      <c r="T416" s="72"/>
      <c r="U416" s="72"/>
      <c r="V416" s="72"/>
    </row>
    <row r="417" spans="1:25" ht="27.75" customHeight="1">
      <c r="A417" s="87" t="str">
        <f>IF(ISBLANK(C417)," ",412-COUNTBLANK($C$6:C417))</f>
        <v xml:space="preserve"> </v>
      </c>
      <c r="B417" s="88"/>
      <c r="C417" s="88"/>
      <c r="D417" s="89"/>
      <c r="E417" s="89"/>
      <c r="F417" s="73"/>
      <c r="G417" s="73"/>
      <c r="H417" s="73"/>
      <c r="I417" s="73"/>
      <c r="J417" s="73"/>
      <c r="K417" s="73"/>
      <c r="L417" s="73"/>
      <c r="M417" s="74"/>
      <c r="N417" s="71" t="str">
        <f t="shared" si="6"/>
        <v/>
      </c>
      <c r="O417" s="72"/>
      <c r="P417" s="72"/>
      <c r="Q417" s="72"/>
      <c r="R417" s="72"/>
      <c r="S417" s="72"/>
      <c r="T417" s="72"/>
      <c r="U417" s="72"/>
      <c r="V417" s="72"/>
    </row>
    <row r="418" spans="1:25" ht="27.75" customHeight="1">
      <c r="A418" s="87" t="str">
        <f>IF(ISBLANK(C418)," ",413-COUNTBLANK($C$6:C418))</f>
        <v xml:space="preserve"> </v>
      </c>
      <c r="B418" s="88"/>
      <c r="C418" s="88"/>
      <c r="D418" s="89"/>
      <c r="E418" s="89"/>
      <c r="F418" s="73"/>
      <c r="G418" s="73"/>
      <c r="H418" s="73"/>
      <c r="I418" s="73"/>
      <c r="J418" s="73"/>
      <c r="K418" s="73"/>
      <c r="L418" s="73"/>
      <c r="M418" s="74"/>
      <c r="N418" s="71" t="str">
        <f t="shared" si="6"/>
        <v/>
      </c>
      <c r="O418" s="72"/>
      <c r="P418" s="72"/>
      <c r="Q418" s="72"/>
      <c r="R418" s="72"/>
      <c r="S418" s="72"/>
      <c r="T418" s="72"/>
      <c r="U418" s="72"/>
      <c r="V418" s="72"/>
    </row>
    <row r="419" spans="1:25" ht="27.75" customHeight="1">
      <c r="A419" s="87" t="str">
        <f>IF(ISBLANK(C419)," ",414-COUNTBLANK($C$6:C419))</f>
        <v xml:space="preserve"> </v>
      </c>
      <c r="B419" s="88"/>
      <c r="C419" s="88"/>
      <c r="D419" s="89"/>
      <c r="E419" s="89"/>
      <c r="F419" s="73"/>
      <c r="G419" s="73"/>
      <c r="H419" s="73"/>
      <c r="I419" s="73"/>
      <c r="J419" s="73"/>
      <c r="K419" s="73"/>
      <c r="L419" s="73"/>
      <c r="M419" s="74"/>
      <c r="N419" s="71" t="str">
        <f t="shared" si="6"/>
        <v/>
      </c>
      <c r="O419" s="72"/>
      <c r="P419" s="72"/>
      <c r="Q419" s="72"/>
      <c r="R419" s="72"/>
      <c r="S419" s="72"/>
      <c r="T419" s="72"/>
      <c r="U419" s="72"/>
      <c r="V419" s="72"/>
    </row>
    <row r="420" spans="1:25" ht="27.75" customHeight="1">
      <c r="A420" s="87" t="str">
        <f>IF(ISBLANK(C420)," ",415-COUNTBLANK($C$6:C420))</f>
        <v xml:space="preserve"> </v>
      </c>
      <c r="B420" s="88"/>
      <c r="C420" s="88"/>
      <c r="D420" s="89"/>
      <c r="E420" s="89"/>
      <c r="F420" s="73"/>
      <c r="G420" s="73"/>
      <c r="H420" s="73"/>
      <c r="I420" s="73"/>
      <c r="J420" s="73"/>
      <c r="K420" s="73"/>
      <c r="L420" s="73"/>
      <c r="M420" s="74"/>
      <c r="N420" s="71" t="str">
        <f t="shared" si="6"/>
        <v/>
      </c>
      <c r="O420" s="75"/>
      <c r="P420" s="72"/>
      <c r="Q420" s="72"/>
      <c r="R420" s="72"/>
      <c r="S420" s="72"/>
      <c r="T420" s="72"/>
      <c r="U420" s="72"/>
      <c r="V420" s="76"/>
    </row>
    <row r="421" spans="1:25" ht="27.75" customHeight="1">
      <c r="A421" s="87" t="str">
        <f>IF(ISBLANK(C421)," ",416-COUNTBLANK($C$6:C421))</f>
        <v xml:space="preserve"> </v>
      </c>
      <c r="B421" s="88"/>
      <c r="C421" s="88"/>
      <c r="D421" s="89"/>
      <c r="E421" s="89"/>
      <c r="F421" s="73"/>
      <c r="G421" s="73"/>
      <c r="H421" s="73"/>
      <c r="I421" s="73"/>
      <c r="J421" s="73"/>
      <c r="K421" s="73"/>
      <c r="L421" s="73"/>
      <c r="M421" s="74"/>
      <c r="N421" s="71" t="str">
        <f t="shared" si="6"/>
        <v/>
      </c>
      <c r="O421" s="75"/>
      <c r="P421" s="72"/>
      <c r="Q421" s="72"/>
      <c r="R421" s="72"/>
      <c r="S421" s="72"/>
      <c r="T421" s="72"/>
      <c r="U421" s="72"/>
      <c r="V421" s="76"/>
    </row>
    <row r="422" spans="1:25" ht="27.75" customHeight="1">
      <c r="A422" s="87" t="str">
        <f>IF(ISBLANK(C422)," ",417-COUNTBLANK($C$6:C422))</f>
        <v xml:space="preserve"> </v>
      </c>
      <c r="B422" s="88"/>
      <c r="C422" s="88"/>
      <c r="D422" s="89"/>
      <c r="E422" s="89"/>
      <c r="F422" s="73"/>
      <c r="G422" s="73"/>
      <c r="H422" s="73"/>
      <c r="I422" s="73"/>
      <c r="J422" s="73"/>
      <c r="K422" s="73"/>
      <c r="L422" s="73"/>
      <c r="M422" s="74"/>
      <c r="N422" s="71" t="str">
        <f t="shared" si="6"/>
        <v/>
      </c>
      <c r="O422" s="75"/>
      <c r="P422" s="72"/>
      <c r="Q422" s="72"/>
      <c r="R422" s="72"/>
      <c r="S422" s="72"/>
      <c r="T422" s="72"/>
      <c r="U422" s="72"/>
      <c r="V422" s="76"/>
    </row>
    <row r="423" spans="1:25" ht="27.75" customHeight="1">
      <c r="A423" s="87" t="str">
        <f>IF(ISBLANK(C423)," ",418-COUNTBLANK($C$6:C423))</f>
        <v xml:space="preserve"> </v>
      </c>
      <c r="B423" s="88"/>
      <c r="C423" s="88"/>
      <c r="D423" s="89"/>
      <c r="E423" s="89"/>
      <c r="F423" s="73"/>
      <c r="G423" s="73"/>
      <c r="H423" s="73"/>
      <c r="I423" s="73"/>
      <c r="J423" s="73"/>
      <c r="K423" s="73"/>
      <c r="L423" s="73"/>
      <c r="M423" s="74"/>
      <c r="N423" s="71" t="str">
        <f t="shared" si="6"/>
        <v/>
      </c>
      <c r="O423" s="75"/>
      <c r="P423" s="72"/>
      <c r="Q423" s="72"/>
      <c r="R423" s="72"/>
      <c r="S423" s="72"/>
      <c r="T423" s="72"/>
      <c r="U423" s="72"/>
      <c r="V423" s="76"/>
    </row>
    <row r="424" spans="1:25" ht="27.75" customHeight="1">
      <c r="A424" s="87" t="str">
        <f>IF(ISBLANK(C424)," ",419-COUNTBLANK($C$6:C424))</f>
        <v xml:space="preserve"> </v>
      </c>
      <c r="B424" s="88"/>
      <c r="C424" s="88"/>
      <c r="D424" s="89"/>
      <c r="E424" s="89"/>
      <c r="F424" s="73"/>
      <c r="G424" s="73"/>
      <c r="H424" s="73"/>
      <c r="I424" s="73"/>
      <c r="J424" s="73"/>
      <c r="K424" s="73"/>
      <c r="L424" s="73"/>
      <c r="M424" s="74"/>
      <c r="N424" s="71" t="str">
        <f t="shared" si="6"/>
        <v/>
      </c>
      <c r="O424" s="72"/>
      <c r="P424" s="72"/>
      <c r="Q424" s="72"/>
      <c r="R424" s="72"/>
      <c r="S424" s="72"/>
      <c r="T424" s="72"/>
      <c r="U424" s="72"/>
      <c r="V424" s="79"/>
      <c r="W424" s="72"/>
      <c r="X424" s="72"/>
      <c r="Y424" s="72"/>
    </row>
    <row r="425" spans="1:25" ht="27.75" customHeight="1">
      <c r="A425" s="80" t="s">
        <v>52</v>
      </c>
      <c r="B425" s="81"/>
      <c r="C425" s="96"/>
      <c r="D425" s="82"/>
      <c r="E425" s="82">
        <f>SUM(E405:E424)</f>
        <v>0</v>
      </c>
      <c r="F425" s="83"/>
      <c r="G425" s="83"/>
      <c r="H425" s="83"/>
      <c r="I425" s="83"/>
      <c r="J425" s="83"/>
      <c r="K425" s="83"/>
      <c r="L425" s="83"/>
      <c r="M425" s="84"/>
      <c r="N425" s="71" t="str">
        <f t="shared" si="6"/>
        <v/>
      </c>
      <c r="O425" s="75"/>
      <c r="P425" s="72"/>
      <c r="Q425" s="72"/>
      <c r="R425" s="72"/>
      <c r="S425" s="72"/>
      <c r="T425" s="72"/>
      <c r="U425" s="72"/>
      <c r="V425" s="79"/>
      <c r="W425" s="72"/>
      <c r="X425" s="72"/>
      <c r="Y425" s="72"/>
    </row>
    <row r="426" spans="1:25" ht="27.75" customHeight="1">
      <c r="A426" s="93" t="str">
        <f>IF(ISBLANK(C426)," ",421-COUNTBLANK($C$6:C426))</f>
        <v xml:space="preserve"> </v>
      </c>
      <c r="B426" s="94"/>
      <c r="C426" s="94"/>
      <c r="D426" s="95"/>
      <c r="E426" s="95"/>
      <c r="F426" s="85"/>
      <c r="G426" s="85"/>
      <c r="H426" s="85"/>
      <c r="I426" s="85"/>
      <c r="J426" s="85"/>
      <c r="K426" s="85"/>
      <c r="L426" s="85"/>
      <c r="M426" s="86"/>
      <c r="N426" s="71" t="str">
        <f t="shared" si="6"/>
        <v/>
      </c>
      <c r="O426" s="72"/>
      <c r="P426" s="72"/>
      <c r="Q426" s="72"/>
      <c r="R426" s="72"/>
      <c r="S426" s="72"/>
      <c r="T426" s="72"/>
      <c r="U426" s="72"/>
      <c r="V426" s="72"/>
    </row>
    <row r="427" spans="1:25" ht="27.75" customHeight="1">
      <c r="A427" s="87" t="str">
        <f>IF(ISBLANK(C427)," ",422-COUNTBLANK($C$6:C427))</f>
        <v xml:space="preserve"> </v>
      </c>
      <c r="B427" s="88"/>
      <c r="C427" s="88"/>
      <c r="D427" s="89"/>
      <c r="E427" s="89"/>
      <c r="F427" s="73"/>
      <c r="G427" s="73"/>
      <c r="H427" s="73"/>
      <c r="I427" s="73"/>
      <c r="J427" s="73"/>
      <c r="K427" s="73"/>
      <c r="L427" s="73"/>
      <c r="M427" s="74"/>
      <c r="N427" s="71" t="str">
        <f t="shared" si="6"/>
        <v/>
      </c>
      <c r="O427" s="72"/>
      <c r="P427" s="72"/>
      <c r="Q427" s="72"/>
      <c r="R427" s="72"/>
      <c r="S427" s="72"/>
      <c r="T427" s="72"/>
      <c r="U427" s="72"/>
      <c r="V427" s="72"/>
    </row>
    <row r="428" spans="1:25" ht="27.75" customHeight="1">
      <c r="A428" s="87" t="str">
        <f>IF(ISBLANK(C428)," ",423-COUNTBLANK($C$6:C428))</f>
        <v xml:space="preserve"> </v>
      </c>
      <c r="B428" s="88"/>
      <c r="C428" s="88"/>
      <c r="D428" s="89"/>
      <c r="E428" s="89"/>
      <c r="F428" s="73"/>
      <c r="G428" s="73"/>
      <c r="H428" s="73"/>
      <c r="I428" s="73"/>
      <c r="J428" s="73"/>
      <c r="K428" s="73"/>
      <c r="L428" s="73"/>
      <c r="M428" s="74"/>
      <c r="N428" s="71" t="str">
        <f t="shared" si="6"/>
        <v/>
      </c>
      <c r="O428" s="72"/>
      <c r="P428" s="72"/>
      <c r="Q428" s="72"/>
      <c r="R428" s="72"/>
      <c r="S428" s="72"/>
      <c r="T428" s="72"/>
      <c r="U428" s="72"/>
      <c r="V428" s="72"/>
    </row>
    <row r="429" spans="1:25" ht="27.75" customHeight="1">
      <c r="A429" s="87" t="str">
        <f>IF(ISBLANK(C429)," ",424-COUNTBLANK($C$6:C429))</f>
        <v xml:space="preserve"> </v>
      </c>
      <c r="B429" s="88"/>
      <c r="C429" s="88"/>
      <c r="D429" s="89"/>
      <c r="E429" s="89"/>
      <c r="F429" s="73"/>
      <c r="G429" s="73"/>
      <c r="H429" s="73"/>
      <c r="I429" s="73"/>
      <c r="J429" s="73"/>
      <c r="K429" s="73"/>
      <c r="L429" s="73"/>
      <c r="M429" s="74"/>
      <c r="N429" s="71" t="str">
        <f t="shared" si="6"/>
        <v/>
      </c>
      <c r="O429" s="72"/>
      <c r="P429" s="72"/>
      <c r="Q429" s="72"/>
      <c r="R429" s="72"/>
      <c r="S429" s="72"/>
      <c r="T429" s="72"/>
      <c r="U429" s="72"/>
      <c r="V429" s="72"/>
    </row>
    <row r="430" spans="1:25" ht="27.75" customHeight="1">
      <c r="A430" s="87" t="str">
        <f>IF(ISBLANK(C430)," ",425-COUNTBLANK($C$6:C430))</f>
        <v xml:space="preserve"> </v>
      </c>
      <c r="B430" s="88"/>
      <c r="C430" s="88"/>
      <c r="D430" s="89"/>
      <c r="E430" s="89"/>
      <c r="F430" s="73"/>
      <c r="G430" s="73"/>
      <c r="H430" s="73"/>
      <c r="I430" s="73"/>
      <c r="J430" s="73"/>
      <c r="K430" s="73"/>
      <c r="L430" s="73"/>
      <c r="M430" s="74"/>
      <c r="N430" s="71" t="str">
        <f t="shared" si="6"/>
        <v/>
      </c>
      <c r="O430" s="72"/>
      <c r="P430" s="72"/>
      <c r="Q430" s="72"/>
      <c r="R430" s="72"/>
      <c r="S430" s="72"/>
      <c r="T430" s="72"/>
      <c r="U430" s="72"/>
      <c r="V430" s="72"/>
    </row>
    <row r="431" spans="1:25" ht="27.75" customHeight="1">
      <c r="A431" s="87" t="str">
        <f>IF(ISBLANK(C431)," ",426-COUNTBLANK($C$6:C431))</f>
        <v xml:space="preserve"> </v>
      </c>
      <c r="B431" s="88"/>
      <c r="C431" s="88"/>
      <c r="D431" s="89"/>
      <c r="E431" s="89"/>
      <c r="F431" s="73"/>
      <c r="G431" s="73"/>
      <c r="H431" s="73"/>
      <c r="I431" s="73"/>
      <c r="J431" s="73"/>
      <c r="K431" s="73"/>
      <c r="L431" s="73"/>
      <c r="M431" s="74"/>
      <c r="N431" s="71" t="str">
        <f t="shared" si="6"/>
        <v/>
      </c>
      <c r="O431" s="72"/>
      <c r="P431" s="72"/>
      <c r="Q431" s="72"/>
      <c r="R431" s="72"/>
      <c r="S431" s="72"/>
      <c r="T431" s="72"/>
      <c r="U431" s="72"/>
      <c r="V431" s="72"/>
    </row>
    <row r="432" spans="1:25" ht="27.75" customHeight="1">
      <c r="A432" s="87" t="str">
        <f>IF(ISBLANK(C432)," ",427-COUNTBLANK($C$6:C432))</f>
        <v xml:space="preserve"> </v>
      </c>
      <c r="B432" s="88"/>
      <c r="C432" s="88"/>
      <c r="D432" s="89"/>
      <c r="E432" s="89"/>
      <c r="F432" s="73"/>
      <c r="G432" s="73"/>
      <c r="H432" s="73"/>
      <c r="I432" s="73"/>
      <c r="J432" s="73"/>
      <c r="K432" s="73"/>
      <c r="L432" s="73"/>
      <c r="M432" s="74"/>
      <c r="N432" s="71" t="str">
        <f t="shared" si="6"/>
        <v/>
      </c>
      <c r="O432" s="72"/>
      <c r="P432" s="72"/>
      <c r="Q432" s="72"/>
      <c r="R432" s="72"/>
      <c r="S432" s="72"/>
      <c r="T432" s="72"/>
      <c r="U432" s="72"/>
      <c r="V432" s="72"/>
    </row>
    <row r="433" spans="1:25" ht="27.75" customHeight="1">
      <c r="A433" s="87" t="str">
        <f>IF(ISBLANK(C433)," ",428-COUNTBLANK($C$6:C433))</f>
        <v xml:space="preserve"> </v>
      </c>
      <c r="B433" s="88"/>
      <c r="C433" s="88"/>
      <c r="D433" s="89"/>
      <c r="E433" s="89"/>
      <c r="F433" s="73"/>
      <c r="G433" s="73"/>
      <c r="H433" s="73"/>
      <c r="I433" s="73"/>
      <c r="J433" s="73"/>
      <c r="K433" s="73"/>
      <c r="L433" s="73"/>
      <c r="M433" s="74"/>
      <c r="N433" s="71" t="str">
        <f t="shared" si="6"/>
        <v/>
      </c>
      <c r="O433" s="72"/>
      <c r="P433" s="72"/>
      <c r="Q433" s="72"/>
      <c r="R433" s="72"/>
      <c r="S433" s="72"/>
      <c r="T433" s="72"/>
      <c r="U433" s="72"/>
      <c r="V433" s="72"/>
    </row>
    <row r="434" spans="1:25" ht="27.75" customHeight="1">
      <c r="A434" s="87" t="str">
        <f>IF(ISBLANK(C434)," ",429-COUNTBLANK($C$6:C434))</f>
        <v xml:space="preserve"> </v>
      </c>
      <c r="B434" s="88"/>
      <c r="C434" s="88"/>
      <c r="D434" s="89"/>
      <c r="E434" s="89"/>
      <c r="F434" s="73"/>
      <c r="G434" s="73"/>
      <c r="H434" s="73"/>
      <c r="I434" s="73"/>
      <c r="J434" s="73"/>
      <c r="K434" s="73"/>
      <c r="L434" s="73"/>
      <c r="M434" s="74"/>
      <c r="N434" s="71" t="str">
        <f t="shared" si="6"/>
        <v/>
      </c>
      <c r="O434" s="72"/>
      <c r="P434" s="72"/>
      <c r="Q434" s="72"/>
      <c r="R434" s="72"/>
      <c r="S434" s="72"/>
      <c r="T434" s="72"/>
      <c r="U434" s="72"/>
      <c r="V434" s="72"/>
    </row>
    <row r="435" spans="1:25" ht="27.75" customHeight="1">
      <c r="A435" s="87" t="str">
        <f>IF(ISBLANK(C435)," ",430-COUNTBLANK($C$6:C435))</f>
        <v xml:space="preserve"> </v>
      </c>
      <c r="B435" s="88"/>
      <c r="C435" s="88"/>
      <c r="D435" s="89"/>
      <c r="E435" s="89"/>
      <c r="F435" s="73"/>
      <c r="G435" s="73"/>
      <c r="H435" s="73"/>
      <c r="I435" s="73"/>
      <c r="J435" s="73"/>
      <c r="K435" s="73"/>
      <c r="L435" s="73"/>
      <c r="M435" s="74"/>
      <c r="N435" s="71" t="str">
        <f t="shared" si="6"/>
        <v/>
      </c>
      <c r="O435" s="72"/>
      <c r="P435" s="72"/>
      <c r="Q435" s="72"/>
      <c r="R435" s="72"/>
      <c r="S435" s="72"/>
      <c r="T435" s="72"/>
      <c r="U435" s="72"/>
      <c r="V435" s="72"/>
    </row>
    <row r="436" spans="1:25" ht="27.75" customHeight="1">
      <c r="A436" s="87" t="str">
        <f>IF(ISBLANK(C436)," ",431-COUNTBLANK($C$6:C436))</f>
        <v xml:space="preserve"> </v>
      </c>
      <c r="B436" s="88"/>
      <c r="C436" s="88"/>
      <c r="D436" s="89"/>
      <c r="E436" s="89"/>
      <c r="F436" s="73"/>
      <c r="G436" s="73"/>
      <c r="H436" s="73"/>
      <c r="I436" s="73"/>
      <c r="J436" s="73"/>
      <c r="K436" s="73"/>
      <c r="L436" s="73"/>
      <c r="M436" s="74"/>
      <c r="N436" s="71" t="str">
        <f t="shared" si="6"/>
        <v/>
      </c>
      <c r="O436" s="72"/>
      <c r="P436" s="72"/>
      <c r="Q436" s="72"/>
      <c r="R436" s="72"/>
      <c r="S436" s="72"/>
      <c r="T436" s="72"/>
      <c r="U436" s="72"/>
      <c r="V436" s="72"/>
    </row>
    <row r="437" spans="1:25" ht="27.75" customHeight="1">
      <c r="A437" s="87" t="str">
        <f>IF(ISBLANK(C437)," ",432-COUNTBLANK($C$6:C437))</f>
        <v xml:space="preserve"> </v>
      </c>
      <c r="B437" s="88"/>
      <c r="C437" s="88"/>
      <c r="D437" s="89"/>
      <c r="E437" s="89"/>
      <c r="F437" s="73"/>
      <c r="G437" s="73"/>
      <c r="H437" s="73"/>
      <c r="I437" s="73"/>
      <c r="J437" s="73"/>
      <c r="K437" s="73"/>
      <c r="L437" s="73"/>
      <c r="M437" s="74"/>
      <c r="N437" s="71" t="str">
        <f t="shared" si="6"/>
        <v/>
      </c>
      <c r="O437" s="72"/>
      <c r="P437" s="72"/>
      <c r="Q437" s="72"/>
      <c r="R437" s="72"/>
      <c r="S437" s="72"/>
      <c r="T437" s="72"/>
      <c r="U437" s="72"/>
      <c r="V437" s="72"/>
    </row>
    <row r="438" spans="1:25" ht="27.75" customHeight="1">
      <c r="A438" s="87" t="str">
        <f>IF(ISBLANK(C438)," ",433-COUNTBLANK($C$6:C438))</f>
        <v xml:space="preserve"> </v>
      </c>
      <c r="B438" s="88"/>
      <c r="C438" s="88"/>
      <c r="D438" s="89"/>
      <c r="E438" s="89"/>
      <c r="F438" s="73"/>
      <c r="G438" s="73"/>
      <c r="H438" s="73"/>
      <c r="I438" s="73"/>
      <c r="J438" s="73"/>
      <c r="K438" s="73"/>
      <c r="L438" s="73"/>
      <c r="M438" s="74"/>
      <c r="N438" s="71" t="str">
        <f t="shared" si="6"/>
        <v/>
      </c>
      <c r="O438" s="72"/>
      <c r="P438" s="72"/>
      <c r="Q438" s="72"/>
      <c r="R438" s="72"/>
      <c r="S438" s="72"/>
      <c r="T438" s="72"/>
      <c r="U438" s="72"/>
      <c r="V438" s="72"/>
    </row>
    <row r="439" spans="1:25" ht="27.75" customHeight="1">
      <c r="A439" s="87" t="str">
        <f>IF(ISBLANK(C439)," ",434-COUNTBLANK($C$6:C439))</f>
        <v xml:space="preserve"> </v>
      </c>
      <c r="B439" s="88"/>
      <c r="C439" s="88"/>
      <c r="D439" s="89"/>
      <c r="E439" s="89"/>
      <c r="F439" s="73"/>
      <c r="G439" s="73"/>
      <c r="H439" s="73"/>
      <c r="I439" s="73"/>
      <c r="J439" s="73"/>
      <c r="K439" s="73"/>
      <c r="L439" s="73"/>
      <c r="M439" s="74"/>
      <c r="N439" s="71" t="str">
        <f t="shared" si="6"/>
        <v/>
      </c>
      <c r="O439" s="72"/>
      <c r="P439" s="72"/>
      <c r="Q439" s="72"/>
      <c r="R439" s="72"/>
      <c r="S439" s="72"/>
      <c r="T439" s="72"/>
      <c r="U439" s="72"/>
      <c r="V439" s="72"/>
    </row>
    <row r="440" spans="1:25" ht="27.75" customHeight="1">
      <c r="A440" s="87" t="str">
        <f>IF(ISBLANK(C440)," ",435-COUNTBLANK($C$6:C440))</f>
        <v xml:space="preserve"> </v>
      </c>
      <c r="B440" s="88"/>
      <c r="C440" s="88"/>
      <c r="D440" s="89"/>
      <c r="E440" s="89"/>
      <c r="F440" s="73"/>
      <c r="G440" s="73"/>
      <c r="H440" s="73"/>
      <c r="I440" s="73"/>
      <c r="J440" s="73"/>
      <c r="K440" s="73"/>
      <c r="L440" s="73"/>
      <c r="M440" s="74"/>
      <c r="N440" s="71" t="str">
        <f t="shared" si="6"/>
        <v/>
      </c>
      <c r="O440" s="72"/>
      <c r="P440" s="72"/>
      <c r="Q440" s="72"/>
      <c r="R440" s="72"/>
      <c r="S440" s="72"/>
      <c r="T440" s="72"/>
      <c r="U440" s="72"/>
      <c r="V440" s="72"/>
    </row>
    <row r="441" spans="1:25" ht="27.75" customHeight="1">
      <c r="A441" s="87" t="str">
        <f>IF(ISBLANK(C441)," ",436-COUNTBLANK($C$6:C441))</f>
        <v xml:space="preserve"> </v>
      </c>
      <c r="B441" s="88"/>
      <c r="C441" s="88"/>
      <c r="D441" s="89"/>
      <c r="E441" s="89"/>
      <c r="F441" s="73"/>
      <c r="G441" s="73"/>
      <c r="H441" s="73"/>
      <c r="I441" s="73"/>
      <c r="J441" s="73"/>
      <c r="K441" s="73"/>
      <c r="L441" s="73"/>
      <c r="M441" s="74"/>
      <c r="N441" s="71" t="str">
        <f t="shared" si="6"/>
        <v/>
      </c>
      <c r="O441" s="75"/>
      <c r="P441" s="72"/>
      <c r="Q441" s="72"/>
      <c r="R441" s="72"/>
      <c r="S441" s="72"/>
      <c r="T441" s="72"/>
      <c r="U441" s="72"/>
      <c r="V441" s="76"/>
    </row>
    <row r="442" spans="1:25" ht="27.75" customHeight="1">
      <c r="A442" s="87" t="str">
        <f>IF(ISBLANK(C442)," ",437-COUNTBLANK($C$6:C442))</f>
        <v xml:space="preserve"> </v>
      </c>
      <c r="B442" s="88"/>
      <c r="C442" s="88"/>
      <c r="D442" s="89"/>
      <c r="E442" s="89"/>
      <c r="F442" s="73"/>
      <c r="G442" s="73"/>
      <c r="H442" s="73"/>
      <c r="I442" s="73"/>
      <c r="J442" s="73"/>
      <c r="K442" s="73"/>
      <c r="L442" s="73"/>
      <c r="M442" s="74"/>
      <c r="N442" s="71" t="str">
        <f t="shared" si="6"/>
        <v/>
      </c>
      <c r="O442" s="75"/>
      <c r="P442" s="72"/>
      <c r="Q442" s="72"/>
      <c r="R442" s="72"/>
      <c r="S442" s="72"/>
      <c r="T442" s="72"/>
      <c r="U442" s="72"/>
      <c r="V442" s="76"/>
    </row>
    <row r="443" spans="1:25" ht="27.75" customHeight="1">
      <c r="A443" s="87" t="str">
        <f>IF(ISBLANK(C443)," ",438-COUNTBLANK($C$6:C443))</f>
        <v xml:space="preserve"> </v>
      </c>
      <c r="B443" s="88"/>
      <c r="C443" s="88"/>
      <c r="D443" s="89"/>
      <c r="E443" s="89"/>
      <c r="F443" s="73"/>
      <c r="G443" s="73"/>
      <c r="H443" s="73"/>
      <c r="I443" s="73"/>
      <c r="J443" s="73"/>
      <c r="K443" s="73"/>
      <c r="L443" s="73"/>
      <c r="M443" s="74"/>
      <c r="N443" s="71" t="str">
        <f t="shared" si="6"/>
        <v/>
      </c>
      <c r="O443" s="75"/>
      <c r="P443" s="72"/>
      <c r="Q443" s="72"/>
      <c r="R443" s="72"/>
      <c r="S443" s="72"/>
      <c r="T443" s="72"/>
      <c r="U443" s="72"/>
      <c r="V443" s="76"/>
    </row>
    <row r="444" spans="1:25" ht="27.75" customHeight="1">
      <c r="A444" s="87" t="str">
        <f>IF(ISBLANK(C444)," ",439-COUNTBLANK($C$6:C444))</f>
        <v xml:space="preserve"> </v>
      </c>
      <c r="B444" s="88"/>
      <c r="C444" s="88"/>
      <c r="D444" s="89"/>
      <c r="E444" s="89"/>
      <c r="F444" s="73"/>
      <c r="G444" s="73"/>
      <c r="H444" s="73"/>
      <c r="I444" s="73"/>
      <c r="J444" s="73"/>
      <c r="K444" s="73"/>
      <c r="L444" s="73"/>
      <c r="M444" s="74"/>
      <c r="N444" s="71" t="str">
        <f t="shared" si="6"/>
        <v/>
      </c>
      <c r="O444" s="75"/>
      <c r="P444" s="72"/>
      <c r="Q444" s="72"/>
      <c r="R444" s="72"/>
      <c r="S444" s="72"/>
      <c r="T444" s="72"/>
      <c r="U444" s="72"/>
      <c r="V444" s="76"/>
    </row>
    <row r="445" spans="1:25" ht="27.75" customHeight="1">
      <c r="A445" s="87" t="str">
        <f>IF(ISBLANK(C445)," ",440-COUNTBLANK($C$6:C445))</f>
        <v xml:space="preserve"> </v>
      </c>
      <c r="B445" s="88"/>
      <c r="C445" s="88"/>
      <c r="D445" s="89"/>
      <c r="E445" s="89"/>
      <c r="F445" s="73"/>
      <c r="G445" s="73"/>
      <c r="H445" s="73"/>
      <c r="I445" s="73"/>
      <c r="J445" s="73"/>
      <c r="K445" s="73"/>
      <c r="L445" s="73"/>
      <c r="M445" s="74"/>
      <c r="N445" s="71" t="str">
        <f t="shared" si="6"/>
        <v/>
      </c>
      <c r="O445" s="72"/>
      <c r="P445" s="72"/>
      <c r="Q445" s="72"/>
      <c r="R445" s="72"/>
      <c r="S445" s="72"/>
      <c r="T445" s="72"/>
      <c r="U445" s="72"/>
      <c r="V445" s="79"/>
      <c r="W445" s="72"/>
      <c r="X445" s="72"/>
      <c r="Y445" s="72"/>
    </row>
    <row r="446" spans="1:25" ht="27.75" customHeight="1">
      <c r="A446" s="80" t="s">
        <v>52</v>
      </c>
      <c r="B446" s="81"/>
      <c r="C446" s="96"/>
      <c r="D446" s="82"/>
      <c r="E446" s="82">
        <f>SUM(E426:E445)</f>
        <v>0</v>
      </c>
      <c r="F446" s="83"/>
      <c r="G446" s="83"/>
      <c r="H446" s="83"/>
      <c r="I446" s="83"/>
      <c r="J446" s="83"/>
      <c r="K446" s="83"/>
      <c r="L446" s="83"/>
      <c r="M446" s="84"/>
      <c r="N446" s="71" t="str">
        <f t="shared" si="6"/>
        <v/>
      </c>
      <c r="O446" s="75"/>
      <c r="P446" s="72"/>
      <c r="Q446" s="72"/>
      <c r="R446" s="72"/>
      <c r="S446" s="72"/>
      <c r="T446" s="72"/>
      <c r="U446" s="72"/>
      <c r="V446" s="79"/>
      <c r="W446" s="72"/>
      <c r="X446" s="72"/>
      <c r="Y446" s="72"/>
    </row>
    <row r="447" spans="1:25" ht="27.75" customHeight="1">
      <c r="A447" s="93" t="str">
        <f>IF(ISBLANK(C447)," ",442-COUNTBLANK($C$6:C447))</f>
        <v xml:space="preserve"> </v>
      </c>
      <c r="B447" s="94"/>
      <c r="C447" s="94"/>
      <c r="D447" s="95"/>
      <c r="E447" s="95"/>
      <c r="F447" s="85"/>
      <c r="G447" s="85"/>
      <c r="H447" s="85"/>
      <c r="I447" s="85"/>
      <c r="J447" s="85"/>
      <c r="K447" s="85"/>
      <c r="L447" s="85"/>
      <c r="M447" s="86"/>
      <c r="N447" s="71" t="str">
        <f t="shared" si="6"/>
        <v/>
      </c>
      <c r="O447" s="72"/>
      <c r="P447" s="72"/>
      <c r="Q447" s="72"/>
      <c r="R447" s="72"/>
      <c r="S447" s="72"/>
      <c r="T447" s="72"/>
      <c r="U447" s="72"/>
      <c r="V447" s="72"/>
    </row>
    <row r="448" spans="1:25" ht="27.75" customHeight="1">
      <c r="A448" s="87" t="str">
        <f>IF(ISBLANK(C448)," ",443-COUNTBLANK($C$6:C448))</f>
        <v xml:space="preserve"> </v>
      </c>
      <c r="B448" s="88"/>
      <c r="C448" s="88"/>
      <c r="D448" s="89"/>
      <c r="E448" s="89"/>
      <c r="F448" s="73"/>
      <c r="G448" s="73"/>
      <c r="H448" s="73"/>
      <c r="I448" s="73"/>
      <c r="J448" s="73"/>
      <c r="K448" s="73"/>
      <c r="L448" s="73"/>
      <c r="M448" s="74"/>
      <c r="N448" s="71" t="str">
        <f t="shared" si="6"/>
        <v/>
      </c>
      <c r="O448" s="72"/>
      <c r="P448" s="72"/>
      <c r="Q448" s="72"/>
      <c r="R448" s="72"/>
      <c r="S448" s="72"/>
      <c r="T448" s="72"/>
      <c r="U448" s="72"/>
      <c r="V448" s="72"/>
    </row>
    <row r="449" spans="1:22" ht="27.75" customHeight="1">
      <c r="A449" s="87" t="str">
        <f>IF(ISBLANK(C449)," ",444-COUNTBLANK($C$6:C449))</f>
        <v xml:space="preserve"> </v>
      </c>
      <c r="B449" s="88"/>
      <c r="C449" s="88"/>
      <c r="D449" s="89"/>
      <c r="E449" s="89"/>
      <c r="F449" s="73"/>
      <c r="G449" s="73"/>
      <c r="H449" s="73"/>
      <c r="I449" s="73"/>
      <c r="J449" s="73"/>
      <c r="K449" s="73"/>
      <c r="L449" s="73"/>
      <c r="M449" s="74"/>
      <c r="N449" s="71" t="str">
        <f t="shared" si="6"/>
        <v/>
      </c>
      <c r="O449" s="72"/>
      <c r="P449" s="72"/>
      <c r="Q449" s="72"/>
      <c r="R449" s="72"/>
      <c r="S449" s="72"/>
      <c r="T449" s="72"/>
      <c r="U449" s="72"/>
      <c r="V449" s="72"/>
    </row>
    <row r="450" spans="1:22" ht="27.75" customHeight="1">
      <c r="A450" s="87" t="str">
        <f>IF(ISBLANK(C450)," ",445-COUNTBLANK($C$6:C450))</f>
        <v xml:space="preserve"> </v>
      </c>
      <c r="B450" s="88"/>
      <c r="C450" s="88"/>
      <c r="D450" s="89"/>
      <c r="E450" s="89"/>
      <c r="F450" s="73"/>
      <c r="G450" s="73"/>
      <c r="H450" s="73"/>
      <c r="I450" s="73"/>
      <c r="J450" s="73"/>
      <c r="K450" s="73"/>
      <c r="L450" s="73"/>
      <c r="M450" s="74"/>
      <c r="N450" s="71" t="str">
        <f t="shared" si="6"/>
        <v/>
      </c>
      <c r="O450" s="72"/>
      <c r="P450" s="72"/>
      <c r="Q450" s="72"/>
      <c r="R450" s="72"/>
      <c r="S450" s="72"/>
      <c r="T450" s="72"/>
      <c r="U450" s="72"/>
      <c r="V450" s="72"/>
    </row>
    <row r="451" spans="1:22" ht="27.75" customHeight="1">
      <c r="A451" s="87" t="str">
        <f>IF(ISBLANK(C451)," ",446-COUNTBLANK($C$6:C451))</f>
        <v xml:space="preserve"> </v>
      </c>
      <c r="B451" s="88"/>
      <c r="C451" s="88"/>
      <c r="D451" s="89"/>
      <c r="E451" s="89"/>
      <c r="F451" s="73"/>
      <c r="G451" s="73"/>
      <c r="H451" s="73"/>
      <c r="I451" s="73"/>
      <c r="J451" s="73"/>
      <c r="K451" s="73"/>
      <c r="L451" s="73"/>
      <c r="M451" s="74"/>
      <c r="N451" s="71" t="str">
        <f t="shared" si="6"/>
        <v/>
      </c>
      <c r="O451" s="72"/>
      <c r="P451" s="72"/>
      <c r="Q451" s="72"/>
      <c r="R451" s="72"/>
      <c r="S451" s="72"/>
      <c r="T451" s="72"/>
      <c r="U451" s="72"/>
      <c r="V451" s="72"/>
    </row>
    <row r="452" spans="1:22" ht="27.75" customHeight="1">
      <c r="A452" s="87" t="str">
        <f>IF(ISBLANK(C452)," ",447-COUNTBLANK($C$6:C452))</f>
        <v xml:space="preserve"> </v>
      </c>
      <c r="B452" s="88"/>
      <c r="C452" s="88"/>
      <c r="D452" s="89"/>
      <c r="E452" s="89"/>
      <c r="F452" s="73"/>
      <c r="G452" s="73"/>
      <c r="H452" s="73"/>
      <c r="I452" s="73"/>
      <c r="J452" s="73"/>
      <c r="K452" s="73"/>
      <c r="L452" s="73"/>
      <c r="M452" s="74"/>
      <c r="N452" s="71" t="str">
        <f t="shared" si="6"/>
        <v/>
      </c>
      <c r="O452" s="72"/>
      <c r="P452" s="72"/>
      <c r="Q452" s="72"/>
      <c r="R452" s="72"/>
      <c r="S452" s="72"/>
      <c r="T452" s="72"/>
      <c r="U452" s="72"/>
      <c r="V452" s="72"/>
    </row>
    <row r="453" spans="1:22" ht="27.75" customHeight="1">
      <c r="A453" s="87" t="str">
        <f>IF(ISBLANK(C453)," ",448-COUNTBLANK($C$6:C453))</f>
        <v xml:space="preserve"> </v>
      </c>
      <c r="B453" s="88"/>
      <c r="C453" s="88"/>
      <c r="D453" s="89"/>
      <c r="E453" s="89"/>
      <c r="F453" s="73"/>
      <c r="G453" s="73"/>
      <c r="H453" s="73"/>
      <c r="I453" s="73"/>
      <c r="J453" s="73"/>
      <c r="K453" s="73"/>
      <c r="L453" s="73"/>
      <c r="M453" s="74"/>
      <c r="N453" s="71" t="str">
        <f t="shared" si="6"/>
        <v/>
      </c>
      <c r="O453" s="72"/>
      <c r="P453" s="72"/>
      <c r="Q453" s="72"/>
      <c r="R453" s="72"/>
      <c r="S453" s="72"/>
      <c r="T453" s="72"/>
      <c r="U453" s="72"/>
      <c r="V453" s="72"/>
    </row>
    <row r="454" spans="1:22" ht="27.75" customHeight="1">
      <c r="A454" s="87" t="str">
        <f>IF(ISBLANK(C454)," ",449-COUNTBLANK($C$6:C454))</f>
        <v xml:space="preserve"> </v>
      </c>
      <c r="B454" s="88"/>
      <c r="C454" s="88"/>
      <c r="D454" s="89"/>
      <c r="E454" s="89"/>
      <c r="F454" s="73"/>
      <c r="G454" s="73"/>
      <c r="H454" s="73"/>
      <c r="I454" s="73"/>
      <c r="J454" s="73"/>
      <c r="K454" s="73"/>
      <c r="L454" s="73"/>
      <c r="M454" s="74"/>
      <c r="N454" s="71" t="str">
        <f t="shared" ref="N454:N517" si="7">CONCATENATE(C454,H454)</f>
        <v/>
      </c>
      <c r="O454" s="72"/>
      <c r="P454" s="72"/>
      <c r="Q454" s="72"/>
      <c r="R454" s="72"/>
      <c r="S454" s="72"/>
      <c r="T454" s="72"/>
      <c r="U454" s="72"/>
      <c r="V454" s="72"/>
    </row>
    <row r="455" spans="1:22" ht="27.75" customHeight="1">
      <c r="A455" s="87" t="str">
        <f>IF(ISBLANK(C455)," ",450-COUNTBLANK($C$6:C455))</f>
        <v xml:space="preserve"> </v>
      </c>
      <c r="B455" s="88"/>
      <c r="C455" s="88"/>
      <c r="D455" s="89"/>
      <c r="E455" s="89"/>
      <c r="F455" s="73"/>
      <c r="G455" s="73"/>
      <c r="H455" s="73"/>
      <c r="I455" s="73"/>
      <c r="J455" s="73"/>
      <c r="K455" s="73"/>
      <c r="L455" s="73"/>
      <c r="M455" s="74"/>
      <c r="N455" s="71" t="str">
        <f t="shared" si="7"/>
        <v/>
      </c>
      <c r="O455" s="72"/>
      <c r="P455" s="72"/>
      <c r="Q455" s="72"/>
      <c r="R455" s="72"/>
      <c r="S455" s="72"/>
      <c r="T455" s="72"/>
      <c r="U455" s="72"/>
      <c r="V455" s="72"/>
    </row>
    <row r="456" spans="1:22" ht="27.75" customHeight="1">
      <c r="A456" s="87" t="str">
        <f>IF(ISBLANK(C456)," ",451-COUNTBLANK($C$6:C456))</f>
        <v xml:space="preserve"> </v>
      </c>
      <c r="B456" s="88"/>
      <c r="C456" s="88"/>
      <c r="D456" s="89"/>
      <c r="E456" s="89"/>
      <c r="F456" s="73"/>
      <c r="G456" s="73"/>
      <c r="H456" s="73"/>
      <c r="I456" s="73"/>
      <c r="J456" s="73"/>
      <c r="K456" s="73"/>
      <c r="L456" s="73"/>
      <c r="M456" s="74"/>
      <c r="N456" s="71" t="str">
        <f t="shared" si="7"/>
        <v/>
      </c>
      <c r="O456" s="72"/>
      <c r="P456" s="72"/>
      <c r="Q456" s="72"/>
      <c r="R456" s="72"/>
      <c r="S456" s="72"/>
      <c r="T456" s="72"/>
      <c r="U456" s="72"/>
      <c r="V456" s="72"/>
    </row>
    <row r="457" spans="1:22" ht="27.75" customHeight="1">
      <c r="A457" s="87" t="str">
        <f>IF(ISBLANK(C457)," ",452-COUNTBLANK($C$6:C457))</f>
        <v xml:space="preserve"> </v>
      </c>
      <c r="B457" s="88"/>
      <c r="C457" s="88"/>
      <c r="D457" s="89"/>
      <c r="E457" s="89"/>
      <c r="F457" s="73"/>
      <c r="G457" s="73"/>
      <c r="H457" s="73"/>
      <c r="I457" s="73"/>
      <c r="J457" s="73"/>
      <c r="K457" s="73"/>
      <c r="L457" s="73"/>
      <c r="M457" s="74"/>
      <c r="N457" s="71" t="str">
        <f t="shared" si="7"/>
        <v/>
      </c>
      <c r="O457" s="72"/>
      <c r="P457" s="72"/>
      <c r="Q457" s="72"/>
      <c r="R457" s="72"/>
      <c r="S457" s="72"/>
      <c r="T457" s="72"/>
      <c r="U457" s="72"/>
      <c r="V457" s="72"/>
    </row>
    <row r="458" spans="1:22" ht="27.75" customHeight="1">
      <c r="A458" s="87" t="str">
        <f>IF(ISBLANK(C458)," ",453-COUNTBLANK($C$6:C458))</f>
        <v xml:space="preserve"> </v>
      </c>
      <c r="B458" s="88"/>
      <c r="C458" s="88"/>
      <c r="D458" s="89"/>
      <c r="E458" s="89"/>
      <c r="F458" s="73"/>
      <c r="G458" s="73"/>
      <c r="H458" s="73"/>
      <c r="I458" s="73"/>
      <c r="J458" s="73"/>
      <c r="K458" s="73"/>
      <c r="L458" s="73"/>
      <c r="M458" s="74"/>
      <c r="N458" s="71" t="str">
        <f t="shared" si="7"/>
        <v/>
      </c>
      <c r="O458" s="72"/>
      <c r="P458" s="72"/>
      <c r="Q458" s="72"/>
      <c r="R458" s="72"/>
      <c r="S458" s="72"/>
      <c r="T458" s="72"/>
      <c r="U458" s="72"/>
      <c r="V458" s="72"/>
    </row>
    <row r="459" spans="1:22" ht="27.75" customHeight="1">
      <c r="A459" s="87" t="str">
        <f>IF(ISBLANK(C459)," ",454-COUNTBLANK($C$6:C459))</f>
        <v xml:space="preserve"> </v>
      </c>
      <c r="B459" s="88"/>
      <c r="C459" s="88"/>
      <c r="D459" s="89"/>
      <c r="E459" s="89"/>
      <c r="F459" s="73"/>
      <c r="G459" s="73"/>
      <c r="H459" s="73"/>
      <c r="I459" s="73"/>
      <c r="J459" s="73"/>
      <c r="K459" s="73"/>
      <c r="L459" s="73"/>
      <c r="M459" s="74"/>
      <c r="N459" s="71" t="str">
        <f t="shared" si="7"/>
        <v/>
      </c>
      <c r="O459" s="72"/>
      <c r="P459" s="72"/>
      <c r="Q459" s="72"/>
      <c r="R459" s="72"/>
      <c r="S459" s="72"/>
      <c r="T459" s="72"/>
      <c r="U459" s="72"/>
      <c r="V459" s="72"/>
    </row>
    <row r="460" spans="1:22" ht="27.75" customHeight="1">
      <c r="A460" s="87" t="str">
        <f>IF(ISBLANK(C460)," ",455-COUNTBLANK($C$6:C460))</f>
        <v xml:space="preserve"> </v>
      </c>
      <c r="B460" s="88"/>
      <c r="C460" s="88"/>
      <c r="D460" s="89"/>
      <c r="E460" s="89"/>
      <c r="F460" s="73"/>
      <c r="G460" s="73"/>
      <c r="H460" s="73"/>
      <c r="I460" s="73"/>
      <c r="J460" s="73"/>
      <c r="K460" s="73"/>
      <c r="L460" s="73"/>
      <c r="M460" s="74"/>
      <c r="N460" s="71" t="str">
        <f t="shared" si="7"/>
        <v/>
      </c>
      <c r="O460" s="72"/>
      <c r="P460" s="72"/>
      <c r="Q460" s="72"/>
      <c r="R460" s="72"/>
      <c r="S460" s="72"/>
      <c r="T460" s="72"/>
      <c r="U460" s="72"/>
      <c r="V460" s="72"/>
    </row>
    <row r="461" spans="1:22" ht="27.75" customHeight="1">
      <c r="A461" s="87" t="str">
        <f>IF(ISBLANK(C461)," ",456-COUNTBLANK($C$6:C461))</f>
        <v xml:space="preserve"> </v>
      </c>
      <c r="B461" s="88"/>
      <c r="C461" s="88"/>
      <c r="D461" s="89"/>
      <c r="E461" s="89"/>
      <c r="F461" s="73"/>
      <c r="G461" s="73"/>
      <c r="H461" s="73"/>
      <c r="I461" s="73"/>
      <c r="J461" s="73"/>
      <c r="K461" s="73"/>
      <c r="L461" s="73"/>
      <c r="M461" s="74"/>
      <c r="N461" s="71" t="str">
        <f t="shared" si="7"/>
        <v/>
      </c>
      <c r="O461" s="72"/>
      <c r="P461" s="72"/>
      <c r="Q461" s="72"/>
      <c r="R461" s="72"/>
      <c r="S461" s="72"/>
      <c r="T461" s="72"/>
      <c r="U461" s="72"/>
      <c r="V461" s="72"/>
    </row>
    <row r="462" spans="1:22" ht="27.75" customHeight="1">
      <c r="A462" s="87" t="str">
        <f>IF(ISBLANK(C462)," ",457-COUNTBLANK($C$6:C462))</f>
        <v xml:space="preserve"> </v>
      </c>
      <c r="B462" s="88"/>
      <c r="C462" s="88"/>
      <c r="D462" s="89"/>
      <c r="E462" s="89"/>
      <c r="F462" s="73"/>
      <c r="G462" s="73"/>
      <c r="H462" s="73"/>
      <c r="I462" s="73"/>
      <c r="J462" s="73"/>
      <c r="K462" s="73"/>
      <c r="L462" s="73"/>
      <c r="M462" s="74"/>
      <c r="N462" s="71" t="str">
        <f t="shared" si="7"/>
        <v/>
      </c>
      <c r="O462" s="75"/>
      <c r="P462" s="72"/>
      <c r="Q462" s="72"/>
      <c r="R462" s="72"/>
      <c r="S462" s="72"/>
      <c r="T462" s="72"/>
      <c r="U462" s="72"/>
      <c r="V462" s="76"/>
    </row>
    <row r="463" spans="1:22" ht="27.75" customHeight="1">
      <c r="A463" s="87" t="str">
        <f>IF(ISBLANK(C463)," ",458-COUNTBLANK($C$6:C463))</f>
        <v xml:space="preserve"> </v>
      </c>
      <c r="B463" s="88"/>
      <c r="C463" s="88"/>
      <c r="D463" s="89"/>
      <c r="E463" s="89"/>
      <c r="F463" s="73"/>
      <c r="G463" s="73"/>
      <c r="H463" s="73"/>
      <c r="I463" s="73"/>
      <c r="J463" s="73"/>
      <c r="K463" s="73"/>
      <c r="L463" s="73"/>
      <c r="M463" s="74"/>
      <c r="N463" s="71" t="str">
        <f t="shared" si="7"/>
        <v/>
      </c>
      <c r="O463" s="75"/>
      <c r="P463" s="72"/>
      <c r="Q463" s="72"/>
      <c r="R463" s="72"/>
      <c r="S463" s="72"/>
      <c r="T463" s="72"/>
      <c r="U463" s="72"/>
      <c r="V463" s="76"/>
    </row>
    <row r="464" spans="1:22" ht="27.75" customHeight="1">
      <c r="A464" s="87" t="str">
        <f>IF(ISBLANK(C464)," ",459-COUNTBLANK($C$6:C464))</f>
        <v xml:space="preserve"> </v>
      </c>
      <c r="B464" s="88"/>
      <c r="C464" s="88"/>
      <c r="D464" s="89"/>
      <c r="E464" s="89"/>
      <c r="F464" s="73"/>
      <c r="G464" s="73"/>
      <c r="H464" s="73"/>
      <c r="I464" s="73"/>
      <c r="J464" s="73"/>
      <c r="K464" s="73"/>
      <c r="L464" s="73"/>
      <c r="M464" s="74"/>
      <c r="N464" s="71" t="str">
        <f t="shared" si="7"/>
        <v/>
      </c>
      <c r="O464" s="75"/>
      <c r="P464" s="72"/>
      <c r="Q464" s="72"/>
      <c r="R464" s="72"/>
      <c r="S464" s="72"/>
      <c r="T464" s="72"/>
      <c r="U464" s="72"/>
      <c r="V464" s="76"/>
    </row>
    <row r="465" spans="1:25" ht="27.75" customHeight="1">
      <c r="A465" s="87" t="str">
        <f>IF(ISBLANK(C465)," ",460-COUNTBLANK($C$6:C465))</f>
        <v xml:space="preserve"> </v>
      </c>
      <c r="B465" s="88"/>
      <c r="C465" s="88"/>
      <c r="D465" s="89"/>
      <c r="E465" s="89"/>
      <c r="F465" s="73"/>
      <c r="G465" s="73"/>
      <c r="H465" s="73"/>
      <c r="I465" s="73"/>
      <c r="J465" s="73"/>
      <c r="K465" s="73"/>
      <c r="L465" s="73"/>
      <c r="M465" s="74"/>
      <c r="N465" s="71" t="str">
        <f t="shared" si="7"/>
        <v/>
      </c>
      <c r="O465" s="75"/>
      <c r="P465" s="72"/>
      <c r="Q465" s="72"/>
      <c r="R465" s="72"/>
      <c r="S465" s="72"/>
      <c r="T465" s="72"/>
      <c r="U465" s="72"/>
      <c r="V465" s="76"/>
    </row>
    <row r="466" spans="1:25" ht="27.75" customHeight="1">
      <c r="A466" s="87" t="str">
        <f>IF(ISBLANK(C466)," ",461-COUNTBLANK($C$6:C466))</f>
        <v xml:space="preserve"> </v>
      </c>
      <c r="B466" s="88"/>
      <c r="C466" s="88"/>
      <c r="D466" s="89"/>
      <c r="E466" s="89"/>
      <c r="F466" s="73"/>
      <c r="G466" s="73"/>
      <c r="H466" s="73"/>
      <c r="I466" s="73"/>
      <c r="J466" s="73"/>
      <c r="K466" s="73"/>
      <c r="L466" s="73"/>
      <c r="M466" s="74"/>
      <c r="N466" s="71" t="str">
        <f t="shared" si="7"/>
        <v/>
      </c>
      <c r="O466" s="72"/>
      <c r="P466" s="72"/>
      <c r="Q466" s="72"/>
      <c r="R466" s="72"/>
      <c r="S466" s="72"/>
      <c r="T466" s="72"/>
      <c r="U466" s="72"/>
      <c r="V466" s="79"/>
      <c r="W466" s="72"/>
      <c r="X466" s="72"/>
      <c r="Y466" s="72"/>
    </row>
    <row r="467" spans="1:25" ht="27.75" customHeight="1">
      <c r="A467" s="80" t="s">
        <v>52</v>
      </c>
      <c r="B467" s="81"/>
      <c r="C467" s="96"/>
      <c r="D467" s="82"/>
      <c r="E467" s="82">
        <f>SUM(E447:E466)</f>
        <v>0</v>
      </c>
      <c r="F467" s="83"/>
      <c r="G467" s="83"/>
      <c r="H467" s="83"/>
      <c r="I467" s="83"/>
      <c r="J467" s="83"/>
      <c r="K467" s="83"/>
      <c r="L467" s="83"/>
      <c r="M467" s="84"/>
      <c r="N467" s="71" t="str">
        <f t="shared" si="7"/>
        <v/>
      </c>
      <c r="O467" s="75"/>
      <c r="P467" s="72"/>
      <c r="Q467" s="72"/>
      <c r="R467" s="72"/>
      <c r="S467" s="72"/>
      <c r="T467" s="72"/>
      <c r="U467" s="72"/>
      <c r="V467" s="79"/>
      <c r="W467" s="72"/>
      <c r="X467" s="72"/>
      <c r="Y467" s="72"/>
    </row>
    <row r="468" spans="1:25" ht="27.75" customHeight="1">
      <c r="A468" s="93" t="str">
        <f>IF(ISBLANK(C468)," ",463-COUNTBLANK($C$6:C468))</f>
        <v xml:space="preserve"> </v>
      </c>
      <c r="B468" s="94"/>
      <c r="C468" s="94"/>
      <c r="D468" s="95"/>
      <c r="E468" s="95"/>
      <c r="F468" s="85"/>
      <c r="G468" s="85"/>
      <c r="H468" s="85"/>
      <c r="I468" s="85"/>
      <c r="J468" s="85"/>
      <c r="K468" s="85"/>
      <c r="L468" s="85"/>
      <c r="M468" s="86"/>
      <c r="N468" s="71" t="str">
        <f t="shared" si="7"/>
        <v/>
      </c>
      <c r="O468" s="72"/>
      <c r="P468" s="72"/>
      <c r="Q468" s="72"/>
      <c r="R468" s="72"/>
      <c r="S468" s="72"/>
      <c r="T468" s="72"/>
      <c r="U468" s="72"/>
      <c r="V468" s="72"/>
    </row>
    <row r="469" spans="1:25" ht="27.75" customHeight="1">
      <c r="A469" s="87" t="str">
        <f>IF(ISBLANK(C469)," ",464-COUNTBLANK($C$6:C469))</f>
        <v xml:space="preserve"> </v>
      </c>
      <c r="B469" s="88"/>
      <c r="C469" s="88"/>
      <c r="D469" s="89"/>
      <c r="E469" s="89"/>
      <c r="F469" s="73"/>
      <c r="G469" s="73"/>
      <c r="H469" s="73"/>
      <c r="I469" s="73"/>
      <c r="J469" s="73"/>
      <c r="K469" s="73"/>
      <c r="L469" s="73"/>
      <c r="M469" s="74"/>
      <c r="N469" s="71" t="str">
        <f t="shared" si="7"/>
        <v/>
      </c>
      <c r="O469" s="72"/>
      <c r="P469" s="72"/>
      <c r="Q469" s="72"/>
      <c r="R469" s="72"/>
      <c r="S469" s="72"/>
      <c r="T469" s="72"/>
      <c r="U469" s="72"/>
      <c r="V469" s="72"/>
    </row>
    <row r="470" spans="1:25" ht="27.75" customHeight="1">
      <c r="A470" s="87" t="str">
        <f>IF(ISBLANK(C470)," ",465-COUNTBLANK($C$6:C470))</f>
        <v xml:space="preserve"> </v>
      </c>
      <c r="B470" s="88"/>
      <c r="C470" s="88"/>
      <c r="D470" s="89"/>
      <c r="E470" s="89"/>
      <c r="F470" s="73"/>
      <c r="G470" s="73"/>
      <c r="H470" s="73"/>
      <c r="I470" s="73"/>
      <c r="J470" s="73"/>
      <c r="K470" s="73"/>
      <c r="L470" s="73"/>
      <c r="M470" s="74"/>
      <c r="N470" s="71" t="str">
        <f t="shared" si="7"/>
        <v/>
      </c>
      <c r="O470" s="72"/>
      <c r="P470" s="72"/>
      <c r="Q470" s="72"/>
      <c r="R470" s="72"/>
      <c r="S470" s="72"/>
      <c r="T470" s="72"/>
      <c r="U470" s="72"/>
      <c r="V470" s="72"/>
    </row>
    <row r="471" spans="1:25" ht="27.75" customHeight="1">
      <c r="A471" s="87" t="str">
        <f>IF(ISBLANK(C471)," ",466-COUNTBLANK($C$6:C471))</f>
        <v xml:space="preserve"> </v>
      </c>
      <c r="B471" s="88"/>
      <c r="C471" s="88"/>
      <c r="D471" s="89"/>
      <c r="E471" s="89"/>
      <c r="F471" s="73"/>
      <c r="G471" s="73"/>
      <c r="H471" s="73"/>
      <c r="I471" s="73"/>
      <c r="J471" s="73"/>
      <c r="K471" s="73"/>
      <c r="L471" s="73"/>
      <c r="M471" s="74"/>
      <c r="N471" s="71" t="str">
        <f t="shared" si="7"/>
        <v/>
      </c>
      <c r="O471" s="72"/>
      <c r="P471" s="72"/>
      <c r="Q471" s="72"/>
      <c r="R471" s="72"/>
      <c r="S471" s="72"/>
      <c r="T471" s="72"/>
      <c r="U471" s="72"/>
      <c r="V471" s="72"/>
    </row>
    <row r="472" spans="1:25" ht="27.75" customHeight="1">
      <c r="A472" s="87" t="str">
        <f>IF(ISBLANK(C472)," ",467-COUNTBLANK($C$6:C472))</f>
        <v xml:space="preserve"> </v>
      </c>
      <c r="B472" s="88"/>
      <c r="C472" s="88"/>
      <c r="D472" s="89"/>
      <c r="E472" s="89"/>
      <c r="F472" s="73"/>
      <c r="G472" s="73"/>
      <c r="H472" s="73"/>
      <c r="I472" s="73"/>
      <c r="J472" s="73"/>
      <c r="K472" s="73"/>
      <c r="L472" s="73"/>
      <c r="M472" s="74"/>
      <c r="N472" s="71" t="str">
        <f t="shared" si="7"/>
        <v/>
      </c>
      <c r="O472" s="72"/>
      <c r="P472" s="72"/>
      <c r="Q472" s="72"/>
      <c r="R472" s="72"/>
      <c r="S472" s="72"/>
      <c r="T472" s="72"/>
      <c r="U472" s="72"/>
      <c r="V472" s="72"/>
    </row>
    <row r="473" spans="1:25" ht="27.75" customHeight="1">
      <c r="A473" s="87" t="str">
        <f>IF(ISBLANK(C473)," ",468-COUNTBLANK($C$6:C473))</f>
        <v xml:space="preserve"> </v>
      </c>
      <c r="B473" s="88"/>
      <c r="C473" s="88"/>
      <c r="D473" s="89"/>
      <c r="E473" s="89"/>
      <c r="F473" s="73"/>
      <c r="G473" s="73"/>
      <c r="H473" s="73"/>
      <c r="I473" s="73"/>
      <c r="J473" s="73"/>
      <c r="K473" s="73"/>
      <c r="L473" s="73"/>
      <c r="M473" s="74"/>
      <c r="N473" s="71" t="str">
        <f t="shared" si="7"/>
        <v/>
      </c>
      <c r="O473" s="72"/>
      <c r="P473" s="72"/>
      <c r="Q473" s="72"/>
      <c r="R473" s="72"/>
      <c r="S473" s="72"/>
      <c r="T473" s="72"/>
      <c r="U473" s="72"/>
      <c r="V473" s="72"/>
    </row>
    <row r="474" spans="1:25" ht="27.75" customHeight="1">
      <c r="A474" s="87" t="str">
        <f>IF(ISBLANK(C474)," ",469-COUNTBLANK($C$6:C474))</f>
        <v xml:space="preserve"> </v>
      </c>
      <c r="B474" s="88"/>
      <c r="C474" s="88"/>
      <c r="D474" s="89"/>
      <c r="E474" s="89"/>
      <c r="F474" s="73"/>
      <c r="G474" s="73"/>
      <c r="H474" s="73"/>
      <c r="I474" s="73"/>
      <c r="J474" s="73"/>
      <c r="K474" s="73"/>
      <c r="L474" s="73"/>
      <c r="M474" s="74"/>
      <c r="N474" s="71" t="str">
        <f t="shared" si="7"/>
        <v/>
      </c>
      <c r="O474" s="72"/>
      <c r="P474" s="72"/>
      <c r="Q474" s="72"/>
      <c r="R474" s="72"/>
      <c r="S474" s="72"/>
      <c r="T474" s="72"/>
      <c r="U474" s="72"/>
      <c r="V474" s="72"/>
    </row>
    <row r="475" spans="1:25" ht="27.75" customHeight="1">
      <c r="A475" s="87" t="str">
        <f>IF(ISBLANK(C475)," ",470-COUNTBLANK($C$6:C475))</f>
        <v xml:space="preserve"> </v>
      </c>
      <c r="B475" s="88"/>
      <c r="C475" s="88"/>
      <c r="D475" s="89"/>
      <c r="E475" s="89"/>
      <c r="F475" s="73"/>
      <c r="G475" s="73"/>
      <c r="H475" s="73"/>
      <c r="I475" s="73"/>
      <c r="J475" s="73"/>
      <c r="K475" s="73"/>
      <c r="L475" s="73"/>
      <c r="M475" s="74"/>
      <c r="N475" s="71" t="str">
        <f t="shared" si="7"/>
        <v/>
      </c>
      <c r="O475" s="72"/>
      <c r="P475" s="72"/>
      <c r="Q475" s="72"/>
      <c r="R475" s="72"/>
      <c r="S475" s="72"/>
      <c r="T475" s="72"/>
      <c r="U475" s="72"/>
      <c r="V475" s="72"/>
    </row>
    <row r="476" spans="1:25" ht="27.75" customHeight="1">
      <c r="A476" s="87" t="str">
        <f>IF(ISBLANK(C476)," ",471-COUNTBLANK($C$6:C476))</f>
        <v xml:space="preserve"> </v>
      </c>
      <c r="B476" s="88"/>
      <c r="C476" s="88"/>
      <c r="D476" s="89"/>
      <c r="E476" s="89"/>
      <c r="F476" s="73"/>
      <c r="G476" s="73"/>
      <c r="H476" s="73"/>
      <c r="I476" s="73"/>
      <c r="J476" s="73"/>
      <c r="K476" s="73"/>
      <c r="L476" s="73"/>
      <c r="M476" s="74"/>
      <c r="N476" s="71" t="str">
        <f t="shared" si="7"/>
        <v/>
      </c>
      <c r="O476" s="72"/>
      <c r="P476" s="72"/>
      <c r="Q476" s="72"/>
      <c r="R476" s="72"/>
      <c r="S476" s="72"/>
      <c r="T476" s="72"/>
      <c r="U476" s="72"/>
      <c r="V476" s="72"/>
    </row>
    <row r="477" spans="1:25" ht="27.75" customHeight="1">
      <c r="A477" s="87" t="str">
        <f>IF(ISBLANK(C477)," ",472-COUNTBLANK($C$6:C477))</f>
        <v xml:space="preserve"> </v>
      </c>
      <c r="B477" s="88"/>
      <c r="C477" s="88"/>
      <c r="D477" s="89"/>
      <c r="E477" s="89"/>
      <c r="F477" s="73"/>
      <c r="G477" s="73"/>
      <c r="H477" s="73"/>
      <c r="I477" s="73"/>
      <c r="J477" s="73"/>
      <c r="K477" s="73"/>
      <c r="L477" s="73"/>
      <c r="M477" s="74"/>
      <c r="N477" s="71" t="str">
        <f t="shared" si="7"/>
        <v/>
      </c>
      <c r="O477" s="72"/>
      <c r="P477" s="72"/>
      <c r="Q477" s="72"/>
      <c r="R477" s="72"/>
      <c r="S477" s="72"/>
      <c r="T477" s="72"/>
      <c r="U477" s="72"/>
      <c r="V477" s="72"/>
    </row>
    <row r="478" spans="1:25" ht="27.75" customHeight="1">
      <c r="A478" s="87" t="str">
        <f>IF(ISBLANK(C478)," ",473-COUNTBLANK($C$6:C478))</f>
        <v xml:space="preserve"> </v>
      </c>
      <c r="B478" s="88"/>
      <c r="C478" s="88"/>
      <c r="D478" s="89"/>
      <c r="E478" s="89"/>
      <c r="F478" s="73"/>
      <c r="G478" s="73"/>
      <c r="H478" s="73"/>
      <c r="I478" s="73"/>
      <c r="J478" s="73"/>
      <c r="K478" s="73"/>
      <c r="L478" s="73"/>
      <c r="M478" s="74"/>
      <c r="N478" s="71" t="str">
        <f t="shared" si="7"/>
        <v/>
      </c>
      <c r="O478" s="72"/>
      <c r="P478" s="72"/>
      <c r="Q478" s="72"/>
      <c r="R478" s="72"/>
      <c r="S478" s="72"/>
      <c r="T478" s="72"/>
      <c r="U478" s="72"/>
      <c r="V478" s="72"/>
    </row>
    <row r="479" spans="1:25" ht="27.75" customHeight="1">
      <c r="A479" s="87" t="str">
        <f>IF(ISBLANK(C479)," ",474-COUNTBLANK($C$6:C479))</f>
        <v xml:space="preserve"> </v>
      </c>
      <c r="B479" s="88"/>
      <c r="C479" s="88"/>
      <c r="D479" s="89"/>
      <c r="E479" s="89"/>
      <c r="F479" s="73"/>
      <c r="G479" s="73"/>
      <c r="H479" s="73"/>
      <c r="I479" s="73"/>
      <c r="J479" s="73"/>
      <c r="K479" s="73"/>
      <c r="L479" s="73"/>
      <c r="M479" s="74"/>
      <c r="N479" s="71" t="str">
        <f t="shared" si="7"/>
        <v/>
      </c>
      <c r="O479" s="72"/>
      <c r="P479" s="72"/>
      <c r="Q479" s="72"/>
      <c r="R479" s="72"/>
      <c r="S479" s="72"/>
      <c r="T479" s="72"/>
      <c r="U479" s="72"/>
      <c r="V479" s="72"/>
    </row>
    <row r="480" spans="1:25" ht="27.75" customHeight="1">
      <c r="A480" s="87" t="str">
        <f>IF(ISBLANK(C480)," ",475-COUNTBLANK($C$6:C480))</f>
        <v xml:space="preserve"> </v>
      </c>
      <c r="B480" s="88"/>
      <c r="C480" s="88"/>
      <c r="D480" s="89"/>
      <c r="E480" s="89"/>
      <c r="F480" s="73"/>
      <c r="G480" s="73"/>
      <c r="H480" s="73"/>
      <c r="I480" s="73"/>
      <c r="J480" s="73"/>
      <c r="K480" s="73"/>
      <c r="L480" s="73"/>
      <c r="M480" s="74"/>
      <c r="N480" s="71" t="str">
        <f t="shared" si="7"/>
        <v/>
      </c>
      <c r="O480" s="72"/>
      <c r="P480" s="72"/>
      <c r="Q480" s="72"/>
      <c r="R480" s="72"/>
      <c r="S480" s="72"/>
      <c r="T480" s="72"/>
      <c r="U480" s="72"/>
      <c r="V480" s="72"/>
    </row>
    <row r="481" spans="1:25" ht="27.75" customHeight="1">
      <c r="A481" s="87" t="str">
        <f>IF(ISBLANK(C481)," ",476-COUNTBLANK($C$6:C481))</f>
        <v xml:space="preserve"> </v>
      </c>
      <c r="B481" s="88"/>
      <c r="C481" s="88"/>
      <c r="D481" s="89"/>
      <c r="E481" s="89"/>
      <c r="F481" s="73"/>
      <c r="G481" s="73"/>
      <c r="H481" s="73"/>
      <c r="I481" s="73"/>
      <c r="J481" s="73"/>
      <c r="K481" s="73"/>
      <c r="L481" s="73"/>
      <c r="M481" s="74"/>
      <c r="N481" s="71" t="str">
        <f t="shared" si="7"/>
        <v/>
      </c>
      <c r="O481" s="72"/>
      <c r="P481" s="72"/>
      <c r="Q481" s="72"/>
      <c r="R481" s="72"/>
      <c r="S481" s="72"/>
      <c r="T481" s="72"/>
      <c r="U481" s="72"/>
      <c r="V481" s="72"/>
    </row>
    <row r="482" spans="1:25" ht="27.75" customHeight="1">
      <c r="A482" s="87" t="str">
        <f>IF(ISBLANK(C482)," ",477-COUNTBLANK($C$6:C482))</f>
        <v xml:space="preserve"> </v>
      </c>
      <c r="B482" s="88"/>
      <c r="C482" s="88"/>
      <c r="D482" s="89"/>
      <c r="E482" s="89"/>
      <c r="F482" s="73"/>
      <c r="G482" s="73"/>
      <c r="H482" s="73"/>
      <c r="I482" s="73"/>
      <c r="J482" s="73"/>
      <c r="K482" s="73"/>
      <c r="L482" s="73"/>
      <c r="M482" s="74"/>
      <c r="N482" s="71" t="str">
        <f t="shared" si="7"/>
        <v/>
      </c>
      <c r="O482" s="72"/>
      <c r="P482" s="72"/>
      <c r="Q482" s="72"/>
      <c r="R482" s="72"/>
      <c r="S482" s="72"/>
      <c r="T482" s="72"/>
      <c r="U482" s="72"/>
      <c r="V482" s="72"/>
    </row>
    <row r="483" spans="1:25" ht="27.75" customHeight="1">
      <c r="A483" s="87" t="str">
        <f>IF(ISBLANK(C483)," ",478-COUNTBLANK($C$6:C483))</f>
        <v xml:space="preserve"> </v>
      </c>
      <c r="B483" s="88"/>
      <c r="C483" s="88"/>
      <c r="D483" s="89"/>
      <c r="E483" s="89"/>
      <c r="F483" s="73"/>
      <c r="G483" s="73"/>
      <c r="H483" s="73"/>
      <c r="I483" s="73"/>
      <c r="J483" s="73"/>
      <c r="K483" s="73"/>
      <c r="L483" s="73"/>
      <c r="M483" s="74"/>
      <c r="N483" s="71" t="str">
        <f t="shared" si="7"/>
        <v/>
      </c>
      <c r="O483" s="75"/>
      <c r="P483" s="72"/>
      <c r="Q483" s="72"/>
      <c r="R483" s="72"/>
      <c r="S483" s="72"/>
      <c r="T483" s="72"/>
      <c r="U483" s="72"/>
      <c r="V483" s="76"/>
    </row>
    <row r="484" spans="1:25" ht="27.75" customHeight="1">
      <c r="A484" s="87" t="str">
        <f>IF(ISBLANK(C484)," ",479-COUNTBLANK($C$6:C484))</f>
        <v xml:space="preserve"> </v>
      </c>
      <c r="B484" s="88"/>
      <c r="C484" s="88"/>
      <c r="D484" s="89"/>
      <c r="E484" s="89"/>
      <c r="F484" s="73"/>
      <c r="G484" s="73"/>
      <c r="H484" s="73"/>
      <c r="I484" s="73"/>
      <c r="J484" s="73"/>
      <c r="K484" s="73"/>
      <c r="L484" s="73"/>
      <c r="M484" s="74"/>
      <c r="N484" s="71" t="str">
        <f t="shared" si="7"/>
        <v/>
      </c>
      <c r="O484" s="75"/>
      <c r="P484" s="72"/>
      <c r="Q484" s="72"/>
      <c r="R484" s="72"/>
      <c r="S484" s="72"/>
      <c r="T484" s="72"/>
      <c r="U484" s="72"/>
      <c r="V484" s="76"/>
    </row>
    <row r="485" spans="1:25" ht="27.75" customHeight="1">
      <c r="A485" s="87" t="str">
        <f>IF(ISBLANK(C485)," ",480-COUNTBLANK($C$6:C485))</f>
        <v xml:space="preserve"> </v>
      </c>
      <c r="B485" s="88"/>
      <c r="C485" s="88"/>
      <c r="D485" s="89"/>
      <c r="E485" s="89"/>
      <c r="F485" s="73"/>
      <c r="G485" s="73"/>
      <c r="H485" s="73"/>
      <c r="I485" s="73"/>
      <c r="J485" s="73"/>
      <c r="K485" s="73"/>
      <c r="L485" s="73"/>
      <c r="M485" s="74"/>
      <c r="N485" s="71" t="str">
        <f t="shared" si="7"/>
        <v/>
      </c>
      <c r="O485" s="75"/>
      <c r="P485" s="72"/>
      <c r="Q485" s="72"/>
      <c r="R485" s="72"/>
      <c r="S485" s="72"/>
      <c r="T485" s="72"/>
      <c r="U485" s="72"/>
      <c r="V485" s="76"/>
    </row>
    <row r="486" spans="1:25" ht="27.75" customHeight="1">
      <c r="A486" s="87" t="str">
        <f>IF(ISBLANK(C486)," ",481-COUNTBLANK($C$6:C486))</f>
        <v xml:space="preserve"> </v>
      </c>
      <c r="B486" s="88"/>
      <c r="C486" s="88"/>
      <c r="D486" s="89"/>
      <c r="E486" s="89"/>
      <c r="F486" s="73"/>
      <c r="G486" s="73"/>
      <c r="H486" s="73"/>
      <c r="I486" s="73"/>
      <c r="J486" s="73"/>
      <c r="K486" s="73"/>
      <c r="L486" s="73"/>
      <c r="M486" s="74"/>
      <c r="N486" s="71" t="str">
        <f t="shared" si="7"/>
        <v/>
      </c>
      <c r="O486" s="75"/>
      <c r="P486" s="72"/>
      <c r="Q486" s="72"/>
      <c r="R486" s="72"/>
      <c r="S486" s="72"/>
      <c r="T486" s="72"/>
      <c r="U486" s="72"/>
      <c r="V486" s="76"/>
    </row>
    <row r="487" spans="1:25" ht="27.75" customHeight="1">
      <c r="A487" s="87" t="str">
        <f>IF(ISBLANK(C487)," ",482-COUNTBLANK($C$6:C487))</f>
        <v xml:space="preserve"> </v>
      </c>
      <c r="B487" s="88"/>
      <c r="C487" s="88"/>
      <c r="D487" s="89"/>
      <c r="E487" s="89"/>
      <c r="F487" s="73"/>
      <c r="G487" s="73"/>
      <c r="H487" s="73"/>
      <c r="I487" s="73"/>
      <c r="J487" s="73"/>
      <c r="K487" s="73"/>
      <c r="L487" s="73"/>
      <c r="M487" s="74"/>
      <c r="N487" s="71" t="str">
        <f t="shared" si="7"/>
        <v/>
      </c>
      <c r="O487" s="72"/>
      <c r="P487" s="72"/>
      <c r="Q487" s="72"/>
      <c r="R487" s="72"/>
      <c r="S487" s="72"/>
      <c r="T487" s="72"/>
      <c r="U487" s="72"/>
      <c r="V487" s="79"/>
      <c r="W487" s="72"/>
      <c r="X487" s="72"/>
      <c r="Y487" s="72"/>
    </row>
    <row r="488" spans="1:25" ht="27.75" customHeight="1">
      <c r="A488" s="80" t="s">
        <v>52</v>
      </c>
      <c r="B488" s="81"/>
      <c r="C488" s="96"/>
      <c r="D488" s="82"/>
      <c r="E488" s="82">
        <f>SUM(E468:E487)</f>
        <v>0</v>
      </c>
      <c r="F488" s="83"/>
      <c r="G488" s="83"/>
      <c r="H488" s="83"/>
      <c r="I488" s="83"/>
      <c r="J488" s="83"/>
      <c r="K488" s="83"/>
      <c r="L488" s="83"/>
      <c r="M488" s="84"/>
      <c r="N488" s="71" t="str">
        <f t="shared" si="7"/>
        <v/>
      </c>
      <c r="O488" s="75"/>
      <c r="P488" s="72"/>
      <c r="Q488" s="72"/>
      <c r="R488" s="72"/>
      <c r="S488" s="72"/>
      <c r="T488" s="72"/>
      <c r="U488" s="72"/>
      <c r="V488" s="79"/>
      <c r="W488" s="72"/>
      <c r="X488" s="72"/>
      <c r="Y488" s="72"/>
    </row>
    <row r="489" spans="1:25" ht="27.75" customHeight="1">
      <c r="A489" s="93" t="str">
        <f>IF(ISBLANK(C489)," ",484-COUNTBLANK($C$6:C489))</f>
        <v xml:space="preserve"> </v>
      </c>
      <c r="B489" s="94"/>
      <c r="C489" s="94"/>
      <c r="D489" s="95"/>
      <c r="E489" s="95"/>
      <c r="F489" s="85"/>
      <c r="G489" s="85"/>
      <c r="H489" s="85"/>
      <c r="I489" s="85"/>
      <c r="J489" s="85"/>
      <c r="K489" s="85"/>
      <c r="L489" s="85"/>
      <c r="M489" s="86"/>
      <c r="N489" s="71" t="str">
        <f t="shared" si="7"/>
        <v/>
      </c>
      <c r="O489" s="72"/>
      <c r="P489" s="72"/>
      <c r="Q489" s="72"/>
      <c r="R489" s="72"/>
      <c r="S489" s="72"/>
      <c r="T489" s="72"/>
      <c r="U489" s="72"/>
      <c r="V489" s="72"/>
    </row>
    <row r="490" spans="1:25" ht="27.75" customHeight="1">
      <c r="A490" s="87" t="str">
        <f>IF(ISBLANK(C490)," ",485-COUNTBLANK($C$6:C490))</f>
        <v xml:space="preserve"> </v>
      </c>
      <c r="B490" s="88"/>
      <c r="C490" s="88"/>
      <c r="D490" s="89"/>
      <c r="E490" s="89"/>
      <c r="F490" s="73"/>
      <c r="G490" s="73"/>
      <c r="H490" s="73"/>
      <c r="I490" s="73"/>
      <c r="J490" s="73"/>
      <c r="K490" s="73"/>
      <c r="L490" s="73"/>
      <c r="M490" s="74"/>
      <c r="N490" s="71" t="str">
        <f t="shared" si="7"/>
        <v/>
      </c>
      <c r="O490" s="72"/>
      <c r="P490" s="72"/>
      <c r="Q490" s="72"/>
      <c r="R490" s="72"/>
      <c r="S490" s="72"/>
      <c r="T490" s="72"/>
      <c r="U490" s="72"/>
      <c r="V490" s="72"/>
    </row>
    <row r="491" spans="1:25" ht="27.75" customHeight="1">
      <c r="A491" s="87" t="str">
        <f>IF(ISBLANK(C491)," ",486-COUNTBLANK($C$6:C491))</f>
        <v xml:space="preserve"> </v>
      </c>
      <c r="B491" s="88"/>
      <c r="C491" s="88"/>
      <c r="D491" s="89"/>
      <c r="E491" s="89"/>
      <c r="F491" s="73"/>
      <c r="G491" s="73"/>
      <c r="H491" s="73"/>
      <c r="I491" s="73"/>
      <c r="J491" s="73"/>
      <c r="K491" s="73"/>
      <c r="L491" s="73"/>
      <c r="M491" s="74"/>
      <c r="N491" s="71" t="str">
        <f t="shared" si="7"/>
        <v/>
      </c>
      <c r="O491" s="72"/>
      <c r="P491" s="72"/>
      <c r="Q491" s="72"/>
      <c r="R491" s="72"/>
      <c r="S491" s="72"/>
      <c r="T491" s="72"/>
      <c r="U491" s="72"/>
      <c r="V491" s="72"/>
    </row>
    <row r="492" spans="1:25" ht="27.75" customHeight="1">
      <c r="A492" s="87" t="str">
        <f>IF(ISBLANK(C492)," ",487-COUNTBLANK($C$6:C492))</f>
        <v xml:space="preserve"> </v>
      </c>
      <c r="B492" s="88"/>
      <c r="C492" s="88"/>
      <c r="D492" s="89"/>
      <c r="E492" s="89"/>
      <c r="F492" s="73"/>
      <c r="G492" s="73"/>
      <c r="H492" s="73"/>
      <c r="I492" s="73"/>
      <c r="J492" s="73"/>
      <c r="K492" s="73"/>
      <c r="L492" s="73"/>
      <c r="M492" s="74"/>
      <c r="N492" s="71" t="str">
        <f t="shared" si="7"/>
        <v/>
      </c>
      <c r="O492" s="72"/>
      <c r="P492" s="72"/>
      <c r="Q492" s="72"/>
      <c r="R492" s="72"/>
      <c r="S492" s="72"/>
      <c r="T492" s="72"/>
      <c r="U492" s="72"/>
      <c r="V492" s="72"/>
    </row>
    <row r="493" spans="1:25" ht="27.75" customHeight="1">
      <c r="A493" s="87" t="str">
        <f>IF(ISBLANK(C493)," ",488-COUNTBLANK($C$6:C493))</f>
        <v xml:space="preserve"> </v>
      </c>
      <c r="B493" s="88"/>
      <c r="C493" s="88"/>
      <c r="D493" s="89"/>
      <c r="E493" s="89"/>
      <c r="F493" s="73"/>
      <c r="G493" s="73"/>
      <c r="H493" s="73"/>
      <c r="I493" s="73"/>
      <c r="J493" s="73"/>
      <c r="K493" s="73"/>
      <c r="L493" s="73"/>
      <c r="M493" s="74"/>
      <c r="N493" s="71" t="str">
        <f t="shared" si="7"/>
        <v/>
      </c>
      <c r="O493" s="72"/>
      <c r="P493" s="72"/>
      <c r="Q493" s="72"/>
      <c r="R493" s="72"/>
      <c r="S493" s="72"/>
      <c r="T493" s="72"/>
      <c r="U493" s="72"/>
      <c r="V493" s="72"/>
    </row>
    <row r="494" spans="1:25" ht="27.75" customHeight="1">
      <c r="A494" s="87" t="str">
        <f>IF(ISBLANK(C494)," ",489-COUNTBLANK($C$6:C494))</f>
        <v xml:space="preserve"> </v>
      </c>
      <c r="B494" s="88"/>
      <c r="C494" s="88"/>
      <c r="D494" s="89"/>
      <c r="E494" s="89"/>
      <c r="F494" s="73"/>
      <c r="G494" s="73"/>
      <c r="H494" s="73"/>
      <c r="I494" s="73"/>
      <c r="J494" s="73"/>
      <c r="K494" s="73"/>
      <c r="L494" s="73"/>
      <c r="M494" s="74"/>
      <c r="N494" s="71" t="str">
        <f t="shared" si="7"/>
        <v/>
      </c>
      <c r="O494" s="72"/>
      <c r="P494" s="72"/>
      <c r="Q494" s="72"/>
      <c r="R494" s="72"/>
      <c r="S494" s="72"/>
      <c r="T494" s="72"/>
      <c r="U494" s="72"/>
      <c r="V494" s="72"/>
    </row>
    <row r="495" spans="1:25" ht="27.75" customHeight="1">
      <c r="A495" s="87" t="str">
        <f>IF(ISBLANK(C495)," ",490-COUNTBLANK($C$6:C495))</f>
        <v xml:space="preserve"> </v>
      </c>
      <c r="B495" s="88"/>
      <c r="C495" s="88"/>
      <c r="D495" s="89"/>
      <c r="E495" s="89"/>
      <c r="F495" s="73"/>
      <c r="G495" s="73"/>
      <c r="H495" s="73"/>
      <c r="I495" s="73"/>
      <c r="J495" s="73"/>
      <c r="K495" s="73"/>
      <c r="L495" s="73"/>
      <c r="M495" s="74"/>
      <c r="N495" s="71" t="str">
        <f t="shared" si="7"/>
        <v/>
      </c>
      <c r="O495" s="72"/>
      <c r="P495" s="72"/>
      <c r="Q495" s="72"/>
      <c r="R495" s="72"/>
      <c r="S495" s="72"/>
      <c r="T495" s="72"/>
      <c r="U495" s="72"/>
      <c r="V495" s="72"/>
    </row>
    <row r="496" spans="1:25" ht="27.75" customHeight="1">
      <c r="A496" s="87" t="str">
        <f>IF(ISBLANK(C496)," ",491-COUNTBLANK($C$6:C496))</f>
        <v xml:space="preserve"> </v>
      </c>
      <c r="B496" s="88"/>
      <c r="C496" s="88"/>
      <c r="D496" s="89"/>
      <c r="E496" s="89"/>
      <c r="F496" s="73"/>
      <c r="G496" s="73"/>
      <c r="H496" s="73"/>
      <c r="I496" s="73"/>
      <c r="J496" s="73"/>
      <c r="K496" s="73"/>
      <c r="L496" s="73"/>
      <c r="M496" s="74"/>
      <c r="N496" s="71" t="str">
        <f t="shared" si="7"/>
        <v/>
      </c>
      <c r="O496" s="72"/>
      <c r="P496" s="72"/>
      <c r="Q496" s="72"/>
      <c r="R496" s="72"/>
      <c r="S496" s="72"/>
      <c r="T496" s="72"/>
      <c r="U496" s="72"/>
      <c r="V496" s="72"/>
    </row>
    <row r="497" spans="1:25" ht="27.75" customHeight="1">
      <c r="A497" s="87" t="str">
        <f>IF(ISBLANK(C497)," ",492-COUNTBLANK($C$6:C497))</f>
        <v xml:space="preserve"> </v>
      </c>
      <c r="B497" s="88"/>
      <c r="C497" s="88"/>
      <c r="D497" s="89"/>
      <c r="E497" s="89"/>
      <c r="F497" s="73"/>
      <c r="G497" s="73"/>
      <c r="H497" s="73"/>
      <c r="I497" s="73"/>
      <c r="J497" s="73"/>
      <c r="K497" s="73"/>
      <c r="L497" s="73"/>
      <c r="M497" s="74"/>
      <c r="N497" s="71" t="str">
        <f t="shared" si="7"/>
        <v/>
      </c>
      <c r="O497" s="72"/>
      <c r="P497" s="72"/>
      <c r="Q497" s="72"/>
      <c r="R497" s="72"/>
      <c r="S497" s="72"/>
      <c r="T497" s="72"/>
      <c r="U497" s="72"/>
      <c r="V497" s="72"/>
    </row>
    <row r="498" spans="1:25" ht="27.75" customHeight="1">
      <c r="A498" s="87" t="str">
        <f>IF(ISBLANK(C498)," ",493-COUNTBLANK($C$6:C498))</f>
        <v xml:space="preserve"> </v>
      </c>
      <c r="B498" s="88"/>
      <c r="C498" s="88"/>
      <c r="D498" s="89"/>
      <c r="E498" s="89"/>
      <c r="F498" s="73"/>
      <c r="G498" s="73"/>
      <c r="H498" s="73"/>
      <c r="I498" s="73"/>
      <c r="J498" s="73"/>
      <c r="K498" s="73"/>
      <c r="L498" s="73"/>
      <c r="M498" s="74"/>
      <c r="N498" s="71" t="str">
        <f t="shared" si="7"/>
        <v/>
      </c>
      <c r="O498" s="72"/>
      <c r="P498" s="72"/>
      <c r="Q498" s="72"/>
      <c r="R498" s="72"/>
      <c r="S498" s="72"/>
      <c r="T498" s="72"/>
      <c r="U498" s="72"/>
      <c r="V498" s="72"/>
    </row>
    <row r="499" spans="1:25" ht="27.75" customHeight="1">
      <c r="A499" s="87" t="str">
        <f>IF(ISBLANK(C499)," ",494-COUNTBLANK($C$6:C499))</f>
        <v xml:space="preserve"> </v>
      </c>
      <c r="B499" s="88"/>
      <c r="C499" s="88"/>
      <c r="D499" s="89"/>
      <c r="E499" s="89"/>
      <c r="F499" s="73"/>
      <c r="G499" s="73"/>
      <c r="H499" s="73"/>
      <c r="I499" s="73"/>
      <c r="J499" s="73"/>
      <c r="K499" s="73"/>
      <c r="L499" s="73"/>
      <c r="M499" s="74"/>
      <c r="N499" s="71" t="str">
        <f t="shared" si="7"/>
        <v/>
      </c>
      <c r="O499" s="72"/>
      <c r="P499" s="72"/>
      <c r="Q499" s="72"/>
      <c r="R499" s="72"/>
      <c r="S499" s="72"/>
      <c r="T499" s="72"/>
      <c r="U499" s="72"/>
      <c r="V499" s="72"/>
    </row>
    <row r="500" spans="1:25" ht="27.75" customHeight="1">
      <c r="A500" s="87" t="str">
        <f>IF(ISBLANK(C500)," ",495-COUNTBLANK($C$6:C500))</f>
        <v xml:space="preserve"> </v>
      </c>
      <c r="B500" s="88"/>
      <c r="C500" s="88"/>
      <c r="D500" s="89"/>
      <c r="E500" s="89"/>
      <c r="F500" s="73"/>
      <c r="G500" s="73"/>
      <c r="H500" s="73"/>
      <c r="I500" s="73"/>
      <c r="J500" s="73"/>
      <c r="K500" s="73"/>
      <c r="L500" s="73"/>
      <c r="M500" s="74"/>
      <c r="N500" s="71" t="str">
        <f t="shared" si="7"/>
        <v/>
      </c>
      <c r="O500" s="72"/>
      <c r="P500" s="72"/>
      <c r="Q500" s="72"/>
      <c r="R500" s="72"/>
      <c r="S500" s="72"/>
      <c r="T500" s="72"/>
      <c r="U500" s="72"/>
      <c r="V500" s="72"/>
    </row>
    <row r="501" spans="1:25" ht="27.75" customHeight="1">
      <c r="A501" s="87" t="str">
        <f>IF(ISBLANK(C501)," ",496-COUNTBLANK($C$6:C501))</f>
        <v xml:space="preserve"> </v>
      </c>
      <c r="B501" s="88"/>
      <c r="C501" s="88"/>
      <c r="D501" s="89"/>
      <c r="E501" s="89"/>
      <c r="F501" s="73"/>
      <c r="G501" s="73"/>
      <c r="H501" s="73"/>
      <c r="I501" s="73"/>
      <c r="J501" s="73"/>
      <c r="K501" s="73"/>
      <c r="L501" s="73"/>
      <c r="M501" s="74"/>
      <c r="N501" s="71" t="str">
        <f t="shared" si="7"/>
        <v/>
      </c>
      <c r="O501" s="72"/>
      <c r="P501" s="72"/>
      <c r="Q501" s="72"/>
      <c r="R501" s="72"/>
      <c r="S501" s="72"/>
      <c r="T501" s="72"/>
      <c r="U501" s="72"/>
      <c r="V501" s="72"/>
    </row>
    <row r="502" spans="1:25" ht="27.75" customHeight="1">
      <c r="A502" s="87" t="str">
        <f>IF(ISBLANK(C502)," ",497-COUNTBLANK($C$6:C502))</f>
        <v xml:space="preserve"> </v>
      </c>
      <c r="B502" s="88"/>
      <c r="C502" s="88"/>
      <c r="D502" s="89"/>
      <c r="E502" s="89"/>
      <c r="F502" s="73"/>
      <c r="G502" s="73"/>
      <c r="H502" s="73"/>
      <c r="I502" s="73"/>
      <c r="J502" s="73"/>
      <c r="K502" s="73"/>
      <c r="L502" s="73"/>
      <c r="M502" s="74"/>
      <c r="N502" s="71" t="str">
        <f t="shared" si="7"/>
        <v/>
      </c>
      <c r="O502" s="72"/>
      <c r="P502" s="72"/>
      <c r="Q502" s="72"/>
      <c r="R502" s="72"/>
      <c r="S502" s="72"/>
      <c r="T502" s="72"/>
      <c r="U502" s="72"/>
      <c r="V502" s="72"/>
    </row>
    <row r="503" spans="1:25" ht="27.75" customHeight="1">
      <c r="A503" s="87" t="str">
        <f>IF(ISBLANK(C503)," ",498-COUNTBLANK($C$6:C503))</f>
        <v xml:space="preserve"> </v>
      </c>
      <c r="B503" s="88"/>
      <c r="C503" s="88"/>
      <c r="D503" s="89"/>
      <c r="E503" s="89"/>
      <c r="F503" s="73"/>
      <c r="G503" s="73"/>
      <c r="H503" s="73"/>
      <c r="I503" s="73"/>
      <c r="J503" s="73"/>
      <c r="K503" s="73"/>
      <c r="L503" s="73"/>
      <c r="M503" s="74"/>
      <c r="N503" s="71" t="str">
        <f t="shared" si="7"/>
        <v/>
      </c>
      <c r="O503" s="72"/>
      <c r="P503" s="72"/>
      <c r="Q503" s="72"/>
      <c r="R503" s="72"/>
      <c r="S503" s="72"/>
      <c r="T503" s="72"/>
      <c r="U503" s="72"/>
      <c r="V503" s="72"/>
    </row>
    <row r="504" spans="1:25" ht="27.75" customHeight="1">
      <c r="A504" s="87" t="str">
        <f>IF(ISBLANK(C504)," ",499-COUNTBLANK($C$6:C504))</f>
        <v xml:space="preserve"> </v>
      </c>
      <c r="B504" s="88"/>
      <c r="C504" s="88"/>
      <c r="D504" s="89"/>
      <c r="E504" s="89"/>
      <c r="F504" s="73"/>
      <c r="G504" s="73"/>
      <c r="H504" s="73"/>
      <c r="I504" s="73"/>
      <c r="J504" s="73"/>
      <c r="K504" s="73"/>
      <c r="L504" s="73"/>
      <c r="M504" s="74"/>
      <c r="N504" s="71" t="str">
        <f t="shared" si="7"/>
        <v/>
      </c>
      <c r="O504" s="75"/>
      <c r="P504" s="72"/>
      <c r="Q504" s="72"/>
      <c r="R504" s="72"/>
      <c r="S504" s="72"/>
      <c r="T504" s="72"/>
      <c r="U504" s="72"/>
      <c r="V504" s="76"/>
    </row>
    <row r="505" spans="1:25" ht="27.75" customHeight="1">
      <c r="A505" s="87" t="str">
        <f>IF(ISBLANK(C505)," ",500-COUNTBLANK($C$6:C505))</f>
        <v xml:space="preserve"> </v>
      </c>
      <c r="B505" s="88"/>
      <c r="C505" s="88"/>
      <c r="D505" s="89"/>
      <c r="E505" s="89"/>
      <c r="F505" s="73"/>
      <c r="G505" s="73"/>
      <c r="H505" s="73"/>
      <c r="I505" s="73"/>
      <c r="J505" s="73"/>
      <c r="K505" s="73"/>
      <c r="L505" s="73"/>
      <c r="M505" s="74"/>
      <c r="N505" s="71" t="str">
        <f t="shared" si="7"/>
        <v/>
      </c>
      <c r="O505" s="75"/>
      <c r="P505" s="72"/>
      <c r="Q505" s="72"/>
      <c r="R505" s="72"/>
      <c r="S505" s="72"/>
      <c r="T505" s="72"/>
      <c r="U505" s="72"/>
      <c r="V505" s="76"/>
    </row>
    <row r="506" spans="1:25" ht="27.75" customHeight="1">
      <c r="A506" s="87" t="str">
        <f>IF(ISBLANK(C506)," ",501-COUNTBLANK($C$6:C506))</f>
        <v xml:space="preserve"> </v>
      </c>
      <c r="B506" s="88"/>
      <c r="C506" s="88"/>
      <c r="D506" s="89"/>
      <c r="E506" s="89"/>
      <c r="F506" s="73"/>
      <c r="G506" s="73"/>
      <c r="H506" s="73"/>
      <c r="I506" s="73"/>
      <c r="J506" s="73"/>
      <c r="K506" s="73"/>
      <c r="L506" s="73"/>
      <c r="M506" s="74"/>
      <c r="N506" s="71" t="str">
        <f t="shared" si="7"/>
        <v/>
      </c>
      <c r="O506" s="75"/>
      <c r="P506" s="72"/>
      <c r="Q506" s="72"/>
      <c r="R506" s="72"/>
      <c r="S506" s="72"/>
      <c r="T506" s="72"/>
      <c r="U506" s="72"/>
      <c r="V506" s="76"/>
    </row>
    <row r="507" spans="1:25" ht="27.75" customHeight="1">
      <c r="A507" s="87" t="str">
        <f>IF(ISBLANK(C507)," ",502-COUNTBLANK($C$6:C507))</f>
        <v xml:space="preserve"> </v>
      </c>
      <c r="B507" s="88"/>
      <c r="C507" s="88"/>
      <c r="D507" s="89"/>
      <c r="E507" s="89"/>
      <c r="F507" s="73"/>
      <c r="G507" s="73"/>
      <c r="H507" s="73"/>
      <c r="I507" s="73"/>
      <c r="J507" s="73"/>
      <c r="K507" s="73"/>
      <c r="L507" s="73"/>
      <c r="M507" s="74"/>
      <c r="N507" s="71" t="str">
        <f t="shared" si="7"/>
        <v/>
      </c>
      <c r="O507" s="75"/>
      <c r="P507" s="72"/>
      <c r="Q507" s="72"/>
      <c r="R507" s="72"/>
      <c r="S507" s="72"/>
      <c r="T507" s="72"/>
      <c r="U507" s="72"/>
      <c r="V507" s="76"/>
    </row>
    <row r="508" spans="1:25" ht="27.75" customHeight="1">
      <c r="A508" s="87" t="str">
        <f>IF(ISBLANK(C508)," ",503-COUNTBLANK($C$6:C508))</f>
        <v xml:space="preserve"> </v>
      </c>
      <c r="B508" s="88"/>
      <c r="C508" s="88"/>
      <c r="D508" s="89"/>
      <c r="E508" s="89"/>
      <c r="F508" s="73"/>
      <c r="G508" s="73"/>
      <c r="H508" s="73"/>
      <c r="I508" s="73"/>
      <c r="J508" s="73"/>
      <c r="K508" s="73"/>
      <c r="L508" s="73"/>
      <c r="M508" s="74"/>
      <c r="N508" s="71" t="str">
        <f t="shared" si="7"/>
        <v/>
      </c>
      <c r="O508" s="72"/>
      <c r="P508" s="72"/>
      <c r="Q508" s="72"/>
      <c r="R508" s="72"/>
      <c r="S508" s="72"/>
      <c r="T508" s="72"/>
      <c r="U508" s="72"/>
      <c r="V508" s="79"/>
      <c r="W508" s="72"/>
      <c r="X508" s="72"/>
      <c r="Y508" s="72"/>
    </row>
    <row r="509" spans="1:25" ht="27.75" customHeight="1">
      <c r="A509" s="80" t="s">
        <v>52</v>
      </c>
      <c r="B509" s="81"/>
      <c r="C509" s="96"/>
      <c r="D509" s="82"/>
      <c r="E509" s="82">
        <f>SUM(E489:E508)</f>
        <v>0</v>
      </c>
      <c r="F509" s="83"/>
      <c r="G509" s="83"/>
      <c r="H509" s="83"/>
      <c r="I509" s="83"/>
      <c r="J509" s="83"/>
      <c r="K509" s="83"/>
      <c r="L509" s="83"/>
      <c r="M509" s="84"/>
      <c r="N509" s="71" t="str">
        <f t="shared" si="7"/>
        <v/>
      </c>
      <c r="O509" s="75"/>
      <c r="P509" s="72"/>
      <c r="Q509" s="72"/>
      <c r="R509" s="72"/>
      <c r="S509" s="72"/>
      <c r="T509" s="72"/>
      <c r="U509" s="72"/>
      <c r="V509" s="79"/>
      <c r="W509" s="72"/>
      <c r="X509" s="72"/>
      <c r="Y509" s="72"/>
    </row>
    <row r="510" spans="1:25" ht="27.75" customHeight="1">
      <c r="A510" s="93" t="str">
        <f>IF(ISBLANK(C510)," ",505-COUNTBLANK($C$6:C510))</f>
        <v xml:space="preserve"> </v>
      </c>
      <c r="B510" s="94"/>
      <c r="C510" s="94"/>
      <c r="D510" s="95"/>
      <c r="E510" s="95"/>
      <c r="F510" s="85"/>
      <c r="G510" s="85"/>
      <c r="H510" s="85"/>
      <c r="I510" s="85"/>
      <c r="J510" s="85"/>
      <c r="K510" s="85"/>
      <c r="L510" s="85"/>
      <c r="M510" s="86"/>
      <c r="N510" s="71" t="str">
        <f t="shared" si="7"/>
        <v/>
      </c>
      <c r="O510" s="72"/>
      <c r="P510" s="72"/>
      <c r="Q510" s="72"/>
      <c r="R510" s="72"/>
      <c r="S510" s="72"/>
      <c r="T510" s="72"/>
      <c r="U510" s="72"/>
      <c r="V510" s="72"/>
    </row>
    <row r="511" spans="1:25" ht="27.75" customHeight="1">
      <c r="A511" s="87" t="str">
        <f>IF(ISBLANK(C511)," ",506-COUNTBLANK($C$6:C511))</f>
        <v xml:space="preserve"> </v>
      </c>
      <c r="B511" s="88"/>
      <c r="C511" s="88"/>
      <c r="D511" s="89"/>
      <c r="E511" s="89"/>
      <c r="F511" s="73"/>
      <c r="G511" s="73"/>
      <c r="H511" s="73"/>
      <c r="I511" s="73"/>
      <c r="J511" s="73"/>
      <c r="K511" s="73"/>
      <c r="L511" s="73"/>
      <c r="M511" s="74"/>
      <c r="N511" s="71" t="str">
        <f t="shared" si="7"/>
        <v/>
      </c>
      <c r="O511" s="72"/>
      <c r="P511" s="72"/>
      <c r="Q511" s="72"/>
      <c r="R511" s="72"/>
      <c r="S511" s="72"/>
      <c r="T511" s="72"/>
      <c r="U511" s="72"/>
      <c r="V511" s="72"/>
    </row>
    <row r="512" spans="1:25" ht="27.75" customHeight="1">
      <c r="A512" s="87" t="str">
        <f>IF(ISBLANK(C512)," ",507-COUNTBLANK($C$6:C512))</f>
        <v xml:space="preserve"> </v>
      </c>
      <c r="B512" s="88"/>
      <c r="C512" s="88"/>
      <c r="D512" s="89"/>
      <c r="E512" s="89"/>
      <c r="F512" s="73"/>
      <c r="G512" s="73"/>
      <c r="H512" s="73"/>
      <c r="I512" s="73"/>
      <c r="J512" s="73"/>
      <c r="K512" s="73"/>
      <c r="L512" s="73"/>
      <c r="M512" s="74"/>
      <c r="N512" s="71" t="str">
        <f t="shared" si="7"/>
        <v/>
      </c>
      <c r="O512" s="72"/>
      <c r="P512" s="72"/>
      <c r="Q512" s="72"/>
      <c r="R512" s="72"/>
      <c r="S512" s="72"/>
      <c r="T512" s="72"/>
      <c r="U512" s="72"/>
      <c r="V512" s="72"/>
    </row>
    <row r="513" spans="1:22" ht="27.75" customHeight="1">
      <c r="A513" s="87" t="str">
        <f>IF(ISBLANK(C513)," ",508-COUNTBLANK($C$6:C513))</f>
        <v xml:space="preserve"> </v>
      </c>
      <c r="B513" s="88"/>
      <c r="C513" s="88"/>
      <c r="D513" s="89"/>
      <c r="E513" s="89"/>
      <c r="F513" s="73"/>
      <c r="G513" s="73"/>
      <c r="H513" s="73"/>
      <c r="I513" s="73"/>
      <c r="J513" s="73"/>
      <c r="K513" s="73"/>
      <c r="L513" s="73"/>
      <c r="M513" s="74"/>
      <c r="N513" s="71" t="str">
        <f t="shared" si="7"/>
        <v/>
      </c>
      <c r="O513" s="72"/>
      <c r="P513" s="72"/>
      <c r="Q513" s="72"/>
      <c r="R513" s="72"/>
      <c r="S513" s="72"/>
      <c r="T513" s="72"/>
      <c r="U513" s="72"/>
      <c r="V513" s="72"/>
    </row>
    <row r="514" spans="1:22" ht="27.75" customHeight="1">
      <c r="A514" s="87" t="str">
        <f>IF(ISBLANK(C514)," ",509-COUNTBLANK($C$6:C514))</f>
        <v xml:space="preserve"> </v>
      </c>
      <c r="B514" s="88"/>
      <c r="C514" s="88"/>
      <c r="D514" s="89"/>
      <c r="E514" s="89"/>
      <c r="F514" s="73"/>
      <c r="G514" s="73"/>
      <c r="H514" s="73"/>
      <c r="I514" s="73"/>
      <c r="J514" s="73"/>
      <c r="K514" s="73"/>
      <c r="L514" s="73"/>
      <c r="M514" s="74"/>
      <c r="N514" s="71" t="str">
        <f t="shared" si="7"/>
        <v/>
      </c>
      <c r="O514" s="72"/>
      <c r="P514" s="72"/>
      <c r="Q514" s="72"/>
      <c r="R514" s="72"/>
      <c r="S514" s="72"/>
      <c r="T514" s="72"/>
      <c r="U514" s="72"/>
      <c r="V514" s="72"/>
    </row>
    <row r="515" spans="1:22" ht="27.75" customHeight="1">
      <c r="A515" s="87" t="str">
        <f>IF(ISBLANK(C515)," ",510-COUNTBLANK($C$6:C515))</f>
        <v xml:space="preserve"> </v>
      </c>
      <c r="B515" s="88"/>
      <c r="C515" s="88"/>
      <c r="D515" s="89"/>
      <c r="E515" s="89"/>
      <c r="F515" s="73"/>
      <c r="G515" s="73"/>
      <c r="H515" s="73"/>
      <c r="I515" s="73"/>
      <c r="J515" s="73"/>
      <c r="K515" s="73"/>
      <c r="L515" s="73"/>
      <c r="M515" s="74"/>
      <c r="N515" s="71" t="str">
        <f t="shared" si="7"/>
        <v/>
      </c>
      <c r="O515" s="72"/>
      <c r="P515" s="72"/>
      <c r="Q515" s="72"/>
      <c r="R515" s="72"/>
      <c r="S515" s="72"/>
      <c r="T515" s="72"/>
      <c r="U515" s="72"/>
      <c r="V515" s="72"/>
    </row>
    <row r="516" spans="1:22" ht="27.75" customHeight="1">
      <c r="A516" s="87" t="str">
        <f>IF(ISBLANK(C516)," ",511-COUNTBLANK($C$6:C516))</f>
        <v xml:space="preserve"> </v>
      </c>
      <c r="B516" s="88"/>
      <c r="C516" s="88"/>
      <c r="D516" s="89"/>
      <c r="E516" s="89"/>
      <c r="F516" s="73"/>
      <c r="G516" s="73"/>
      <c r="H516" s="73"/>
      <c r="I516" s="73"/>
      <c r="J516" s="73"/>
      <c r="K516" s="73"/>
      <c r="L516" s="73"/>
      <c r="M516" s="74"/>
      <c r="N516" s="71" t="str">
        <f t="shared" si="7"/>
        <v/>
      </c>
      <c r="O516" s="72"/>
      <c r="P516" s="72"/>
      <c r="Q516" s="72"/>
      <c r="R516" s="72"/>
      <c r="S516" s="72"/>
      <c r="T516" s="72"/>
      <c r="U516" s="72"/>
      <c r="V516" s="72"/>
    </row>
    <row r="517" spans="1:22" ht="27.75" customHeight="1">
      <c r="A517" s="87" t="str">
        <f>IF(ISBLANK(C517)," ",512-COUNTBLANK($C$6:C517))</f>
        <v xml:space="preserve"> </v>
      </c>
      <c r="B517" s="88"/>
      <c r="C517" s="88"/>
      <c r="D517" s="89"/>
      <c r="E517" s="89"/>
      <c r="F517" s="73"/>
      <c r="G517" s="73"/>
      <c r="H517" s="73"/>
      <c r="I517" s="73"/>
      <c r="J517" s="73"/>
      <c r="K517" s="73"/>
      <c r="L517" s="73"/>
      <c r="M517" s="74"/>
      <c r="N517" s="71" t="str">
        <f t="shared" si="7"/>
        <v/>
      </c>
      <c r="O517" s="72"/>
      <c r="P517" s="72"/>
      <c r="Q517" s="72"/>
      <c r="R517" s="72"/>
      <c r="S517" s="72"/>
      <c r="T517" s="72"/>
      <c r="U517" s="72"/>
      <c r="V517" s="72"/>
    </row>
    <row r="518" spans="1:22" ht="27.75" customHeight="1">
      <c r="A518" s="87" t="str">
        <f>IF(ISBLANK(C518)," ",513-COUNTBLANK($C$6:C518))</f>
        <v xml:space="preserve"> </v>
      </c>
      <c r="B518" s="88"/>
      <c r="C518" s="88"/>
      <c r="D518" s="89"/>
      <c r="E518" s="89"/>
      <c r="F518" s="73"/>
      <c r="G518" s="73"/>
      <c r="H518" s="73"/>
      <c r="I518" s="73"/>
      <c r="J518" s="73"/>
      <c r="K518" s="73"/>
      <c r="L518" s="73"/>
      <c r="M518" s="74"/>
      <c r="N518" s="71" t="str">
        <f t="shared" ref="N518:N530" si="8">CONCATENATE(C518,H518)</f>
        <v/>
      </c>
      <c r="O518" s="72"/>
      <c r="P518" s="72"/>
      <c r="Q518" s="72"/>
      <c r="R518" s="72"/>
      <c r="S518" s="72"/>
      <c r="T518" s="72"/>
      <c r="U518" s="72"/>
      <c r="V518" s="72"/>
    </row>
    <row r="519" spans="1:22" ht="27.75" customHeight="1">
      <c r="A519" s="87" t="str">
        <f>IF(ISBLANK(C519)," ",514-COUNTBLANK($C$6:C519))</f>
        <v xml:space="preserve"> </v>
      </c>
      <c r="B519" s="88"/>
      <c r="C519" s="88"/>
      <c r="D519" s="89"/>
      <c r="E519" s="89"/>
      <c r="F519" s="73"/>
      <c r="G519" s="73"/>
      <c r="H519" s="73"/>
      <c r="I519" s="73"/>
      <c r="J519" s="73"/>
      <c r="K519" s="73"/>
      <c r="L519" s="73"/>
      <c r="M519" s="74"/>
      <c r="N519" s="71" t="str">
        <f t="shared" si="8"/>
        <v/>
      </c>
      <c r="O519" s="72"/>
      <c r="P519" s="72"/>
      <c r="Q519" s="72"/>
      <c r="R519" s="72"/>
      <c r="S519" s="72"/>
      <c r="T519" s="72"/>
      <c r="U519" s="72"/>
      <c r="V519" s="72"/>
    </row>
    <row r="520" spans="1:22" ht="27.75" customHeight="1">
      <c r="A520" s="87" t="str">
        <f>IF(ISBLANK(C520)," ",515-COUNTBLANK($C$6:C520))</f>
        <v xml:space="preserve"> </v>
      </c>
      <c r="B520" s="88"/>
      <c r="C520" s="88"/>
      <c r="D520" s="89"/>
      <c r="E520" s="89"/>
      <c r="F520" s="73"/>
      <c r="G520" s="73"/>
      <c r="H520" s="73"/>
      <c r="I520" s="73"/>
      <c r="J520" s="73"/>
      <c r="K520" s="73"/>
      <c r="L520" s="73"/>
      <c r="M520" s="74"/>
      <c r="N520" s="71" t="str">
        <f t="shared" si="8"/>
        <v/>
      </c>
      <c r="O520" s="72"/>
      <c r="P520" s="72"/>
      <c r="Q520" s="72"/>
      <c r="R520" s="72"/>
      <c r="S520" s="72"/>
      <c r="T520" s="72"/>
      <c r="U520" s="72"/>
      <c r="V520" s="72"/>
    </row>
    <row r="521" spans="1:22" ht="27.75" customHeight="1">
      <c r="A521" s="87" t="str">
        <f>IF(ISBLANK(C521)," ",516-COUNTBLANK($C$6:C521))</f>
        <v xml:space="preserve"> </v>
      </c>
      <c r="B521" s="88"/>
      <c r="C521" s="88"/>
      <c r="D521" s="89"/>
      <c r="E521" s="89"/>
      <c r="F521" s="73"/>
      <c r="G521" s="73"/>
      <c r="H521" s="73"/>
      <c r="I521" s="73"/>
      <c r="J521" s="73"/>
      <c r="K521" s="73"/>
      <c r="L521" s="73"/>
      <c r="M521" s="74"/>
      <c r="N521" s="71" t="str">
        <f t="shared" si="8"/>
        <v/>
      </c>
      <c r="O521" s="72"/>
      <c r="P521" s="72"/>
      <c r="Q521" s="72"/>
      <c r="R521" s="72"/>
      <c r="S521" s="72"/>
      <c r="T521" s="72"/>
      <c r="U521" s="72"/>
      <c r="V521" s="72"/>
    </row>
    <row r="522" spans="1:22" ht="27.75" customHeight="1">
      <c r="A522" s="87" t="str">
        <f>IF(ISBLANK(C522)," ",517-COUNTBLANK($C$6:C522))</f>
        <v xml:space="preserve"> </v>
      </c>
      <c r="B522" s="88"/>
      <c r="C522" s="88"/>
      <c r="D522" s="89"/>
      <c r="E522" s="89"/>
      <c r="F522" s="73"/>
      <c r="G522" s="73"/>
      <c r="H522" s="73"/>
      <c r="I522" s="73"/>
      <c r="J522" s="73"/>
      <c r="K522" s="73"/>
      <c r="L522" s="73"/>
      <c r="M522" s="74"/>
      <c r="N522" s="71" t="str">
        <f t="shared" si="8"/>
        <v/>
      </c>
      <c r="O522" s="72"/>
      <c r="P522" s="72"/>
      <c r="Q522" s="72"/>
      <c r="R522" s="72"/>
      <c r="S522" s="72"/>
      <c r="T522" s="72"/>
      <c r="U522" s="72"/>
      <c r="V522" s="72"/>
    </row>
    <row r="523" spans="1:22" ht="27.75" customHeight="1">
      <c r="A523" s="87" t="str">
        <f>IF(ISBLANK(C523)," ",518-COUNTBLANK($C$6:C523))</f>
        <v xml:space="preserve"> </v>
      </c>
      <c r="B523" s="88"/>
      <c r="C523" s="88"/>
      <c r="D523" s="89"/>
      <c r="E523" s="89"/>
      <c r="F523" s="73"/>
      <c r="G523" s="73"/>
      <c r="H523" s="73"/>
      <c r="I523" s="73"/>
      <c r="J523" s="73"/>
      <c r="K523" s="73"/>
      <c r="L523" s="73"/>
      <c r="M523" s="74"/>
      <c r="N523" s="71" t="str">
        <f t="shared" si="8"/>
        <v/>
      </c>
      <c r="O523" s="72"/>
      <c r="P523" s="72"/>
      <c r="Q523" s="72"/>
      <c r="R523" s="72"/>
      <c r="S523" s="72"/>
      <c r="T523" s="72"/>
      <c r="U523" s="72"/>
      <c r="V523" s="72"/>
    </row>
    <row r="524" spans="1:22" ht="27.75" customHeight="1">
      <c r="A524" s="87" t="str">
        <f>IF(ISBLANK(C524)," ",519-COUNTBLANK($C$6:C524))</f>
        <v xml:space="preserve"> </v>
      </c>
      <c r="B524" s="88"/>
      <c r="C524" s="88"/>
      <c r="D524" s="89"/>
      <c r="E524" s="89"/>
      <c r="F524" s="73"/>
      <c r="G524" s="73"/>
      <c r="H524" s="73"/>
      <c r="I524" s="73"/>
      <c r="J524" s="73"/>
      <c r="K524" s="73"/>
      <c r="L524" s="73"/>
      <c r="M524" s="74"/>
      <c r="N524" s="71" t="str">
        <f t="shared" si="8"/>
        <v/>
      </c>
      <c r="O524" s="72"/>
      <c r="P524" s="72"/>
      <c r="Q524" s="72"/>
      <c r="R524" s="72"/>
      <c r="S524" s="72"/>
      <c r="T524" s="72"/>
      <c r="U524" s="72"/>
      <c r="V524" s="72"/>
    </row>
    <row r="525" spans="1:22" ht="27.75" customHeight="1">
      <c r="A525" s="87" t="str">
        <f>IF(ISBLANK(C525)," ",520-COUNTBLANK($C$6:C525))</f>
        <v xml:space="preserve"> </v>
      </c>
      <c r="B525" s="88"/>
      <c r="C525" s="88"/>
      <c r="D525" s="89"/>
      <c r="E525" s="89"/>
      <c r="F525" s="73"/>
      <c r="G525" s="73"/>
      <c r="H525" s="73"/>
      <c r="I525" s="73"/>
      <c r="J525" s="73"/>
      <c r="K525" s="73"/>
      <c r="L525" s="73"/>
      <c r="M525" s="74"/>
      <c r="N525" s="71" t="str">
        <f t="shared" si="8"/>
        <v/>
      </c>
      <c r="O525" s="75"/>
      <c r="P525" s="72"/>
      <c r="Q525" s="72"/>
      <c r="R525" s="72"/>
      <c r="S525" s="72"/>
      <c r="T525" s="72"/>
      <c r="U525" s="72"/>
      <c r="V525" s="76"/>
    </row>
    <row r="526" spans="1:22" ht="27.75" customHeight="1">
      <c r="A526" s="87" t="str">
        <f>IF(ISBLANK(C526)," ",521-COUNTBLANK($C$6:C526))</f>
        <v xml:space="preserve"> </v>
      </c>
      <c r="B526" s="88"/>
      <c r="C526" s="88"/>
      <c r="D526" s="89"/>
      <c r="E526" s="89"/>
      <c r="F526" s="73"/>
      <c r="G526" s="73"/>
      <c r="H526" s="73"/>
      <c r="I526" s="73"/>
      <c r="J526" s="73"/>
      <c r="K526" s="73"/>
      <c r="L526" s="73"/>
      <c r="M526" s="74"/>
      <c r="N526" s="71" t="str">
        <f t="shared" si="8"/>
        <v/>
      </c>
      <c r="O526" s="75"/>
      <c r="P526" s="72"/>
      <c r="Q526" s="72"/>
      <c r="R526" s="72"/>
      <c r="S526" s="72"/>
      <c r="T526" s="72"/>
      <c r="U526" s="72"/>
      <c r="V526" s="76"/>
    </row>
    <row r="527" spans="1:22" ht="27.75" customHeight="1">
      <c r="A527" s="87" t="str">
        <f>IF(ISBLANK(C527)," ",522-COUNTBLANK($C$6:C527))</f>
        <v xml:space="preserve"> </v>
      </c>
      <c r="B527" s="88"/>
      <c r="C527" s="88"/>
      <c r="D527" s="89"/>
      <c r="E527" s="89"/>
      <c r="F527" s="73"/>
      <c r="G527" s="73"/>
      <c r="H527" s="73"/>
      <c r="I527" s="73"/>
      <c r="J527" s="73"/>
      <c r="K527" s="73"/>
      <c r="L527" s="73"/>
      <c r="M527" s="74"/>
      <c r="N527" s="71" t="str">
        <f t="shared" si="8"/>
        <v/>
      </c>
      <c r="O527" s="75"/>
      <c r="P527" s="72"/>
      <c r="Q527" s="72"/>
      <c r="R527" s="72"/>
      <c r="S527" s="72"/>
      <c r="T527" s="72"/>
      <c r="U527" s="72"/>
      <c r="V527" s="76"/>
    </row>
    <row r="528" spans="1:22" ht="27.75" customHeight="1">
      <c r="A528" s="87" t="str">
        <f>IF(ISBLANK(C528)," ",523-COUNTBLANK($C$6:C528))</f>
        <v xml:space="preserve"> </v>
      </c>
      <c r="B528" s="88"/>
      <c r="C528" s="88"/>
      <c r="D528" s="89"/>
      <c r="E528" s="89"/>
      <c r="F528" s="73"/>
      <c r="G528" s="73"/>
      <c r="H528" s="73"/>
      <c r="I528" s="73"/>
      <c r="J528" s="73"/>
      <c r="K528" s="73"/>
      <c r="L528" s="73"/>
      <c r="M528" s="74"/>
      <c r="N528" s="71" t="str">
        <f t="shared" si="8"/>
        <v/>
      </c>
      <c r="O528" s="75"/>
      <c r="P528" s="72"/>
      <c r="Q528" s="72"/>
      <c r="R528" s="72"/>
      <c r="S528" s="72"/>
      <c r="T528" s="72"/>
      <c r="U528" s="72"/>
      <c r="V528" s="76"/>
    </row>
    <row r="529" spans="1:25" ht="27.75" customHeight="1">
      <c r="A529" s="87" t="str">
        <f>IF(ISBLANK(C529)," ",524-COUNTBLANK($C$6:C529))</f>
        <v xml:space="preserve"> </v>
      </c>
      <c r="B529" s="88"/>
      <c r="C529" s="88"/>
      <c r="D529" s="89"/>
      <c r="E529" s="89"/>
      <c r="F529" s="73"/>
      <c r="G529" s="73"/>
      <c r="H529" s="73"/>
      <c r="I529" s="73"/>
      <c r="J529" s="73"/>
      <c r="K529" s="73"/>
      <c r="L529" s="73"/>
      <c r="M529" s="74"/>
      <c r="N529" s="71" t="str">
        <f t="shared" si="8"/>
        <v/>
      </c>
      <c r="O529" s="72"/>
      <c r="P529" s="72"/>
      <c r="Q529" s="72"/>
      <c r="R529" s="72"/>
      <c r="S529" s="72"/>
      <c r="T529" s="72"/>
      <c r="U529" s="72"/>
      <c r="V529" s="79"/>
      <c r="W529" s="72"/>
      <c r="X529" s="72"/>
      <c r="Y529" s="72"/>
    </row>
    <row r="530" spans="1:25" ht="27.75" customHeight="1">
      <c r="A530" s="80" t="s">
        <v>52</v>
      </c>
      <c r="B530" s="81"/>
      <c r="C530" s="96"/>
      <c r="D530" s="82"/>
      <c r="E530" s="82">
        <f>SUM(E510:E529)</f>
        <v>0</v>
      </c>
      <c r="F530" s="83"/>
      <c r="G530" s="83"/>
      <c r="H530" s="83"/>
      <c r="I530" s="83"/>
      <c r="J530" s="83"/>
      <c r="K530" s="83"/>
      <c r="L530" s="83"/>
      <c r="M530" s="84"/>
      <c r="N530" s="71" t="str">
        <f t="shared" si="8"/>
        <v/>
      </c>
      <c r="O530" s="75"/>
      <c r="P530" s="72"/>
      <c r="Q530" s="72"/>
      <c r="R530" s="72"/>
      <c r="S530" s="72"/>
      <c r="T530" s="72"/>
      <c r="U530" s="72"/>
      <c r="V530" s="79"/>
      <c r="W530" s="72"/>
      <c r="X530" s="72"/>
      <c r="Y530" s="72"/>
    </row>
    <row r="531" spans="1:25">
      <c r="O531" s="99"/>
      <c r="P531" s="99"/>
      <c r="Q531" s="99"/>
      <c r="R531" s="99"/>
      <c r="S531" s="99"/>
      <c r="T531" s="99"/>
      <c r="U531" s="99"/>
      <c r="V531" s="99"/>
    </row>
    <row r="532" spans="1:25">
      <c r="O532" s="99"/>
      <c r="P532" s="99"/>
      <c r="Q532" s="99"/>
      <c r="R532" s="99"/>
      <c r="S532" s="99"/>
      <c r="T532" s="99"/>
      <c r="U532" s="99"/>
      <c r="V532" s="99"/>
    </row>
  </sheetData>
  <mergeCells count="4">
    <mergeCell ref="B4:B5"/>
    <mergeCell ref="C4:C5"/>
    <mergeCell ref="H4:I4"/>
    <mergeCell ref="M4:M5"/>
  </mergeCells>
  <phoneticPr fontId="12" type="noConversion"/>
  <printOptions horizontalCentered="1" verticalCentered="1"/>
  <pageMargins left="0.19685039370078741" right="0.19685039370078741" top="1.1811023622047245" bottom="0.59055118110236227" header="0.59055118110236227" footer="0.19685039370078741"/>
  <pageSetup paperSize="9" orientation="portrait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2"/>
  <sheetViews>
    <sheetView showGridLines="0" showZeros="0" view="pageBreakPreview" zoomScaleNormal="55" workbookViewId="0">
      <selection activeCell="A26" sqref="A26:IV26"/>
    </sheetView>
  </sheetViews>
  <sheetFormatPr defaultRowHeight="11.25"/>
  <cols>
    <col min="1" max="1" width="4.33203125" style="51" customWidth="1"/>
    <col min="2" max="2" width="6.33203125" style="97" customWidth="1"/>
    <col min="3" max="3" width="3.77734375" style="51" customWidth="1"/>
    <col min="4" max="4" width="6.77734375" style="51" customWidth="1"/>
    <col min="5" max="5" width="6.77734375" style="98" customWidth="1"/>
    <col min="6" max="6" width="4.109375" style="51" customWidth="1"/>
    <col min="7" max="7" width="4.77734375" style="51" customWidth="1"/>
    <col min="8" max="8" width="7.33203125" style="51" customWidth="1"/>
    <col min="9" max="9" width="11.77734375" style="51" customWidth="1"/>
    <col min="10" max="10" width="6.77734375" style="51" customWidth="1"/>
    <col min="11" max="11" width="11.77734375" style="51" customWidth="1"/>
    <col min="12" max="12" width="6.77734375" style="51" customWidth="1"/>
    <col min="13" max="13" width="3.77734375" style="51" customWidth="1"/>
    <col min="14" max="14" width="20.77734375" style="99" hidden="1" customWidth="1"/>
    <col min="15" max="21" width="9.77734375" style="51" customWidth="1"/>
    <col min="22" max="22" width="10.77734375" style="51" customWidth="1"/>
    <col min="23" max="16384" width="8.88671875" style="51"/>
  </cols>
  <sheetData>
    <row r="1" spans="1:22" ht="30" customHeight="1">
      <c r="A1" s="45" t="s">
        <v>58</v>
      </c>
      <c r="B1" s="46"/>
      <c r="C1" s="47"/>
      <c r="D1" s="47"/>
      <c r="E1" s="48"/>
      <c r="F1" s="47"/>
      <c r="G1" s="47"/>
      <c r="H1" s="47"/>
      <c r="I1" s="47"/>
      <c r="J1" s="47"/>
      <c r="K1" s="47"/>
      <c r="L1" s="47"/>
      <c r="M1" s="47"/>
      <c r="N1" s="49"/>
      <c r="O1" s="50"/>
      <c r="P1" s="50"/>
      <c r="Q1" s="50"/>
      <c r="R1" s="50"/>
      <c r="S1" s="50"/>
      <c r="T1" s="50"/>
      <c r="U1" s="50"/>
      <c r="V1" s="50"/>
    </row>
    <row r="2" spans="1:22" ht="19.899999999999999" customHeight="1">
      <c r="A2" s="50"/>
      <c r="B2" s="52"/>
      <c r="C2" s="50"/>
      <c r="D2" s="50"/>
      <c r="E2" s="53"/>
      <c r="F2" s="50"/>
      <c r="G2" s="50"/>
      <c r="H2" s="50"/>
      <c r="I2" s="50"/>
      <c r="J2" s="54"/>
      <c r="K2" s="55">
        <v>3</v>
      </c>
      <c r="L2" s="47"/>
      <c r="M2" s="47"/>
      <c r="N2" s="56"/>
      <c r="O2" s="50"/>
      <c r="P2" s="50"/>
      <c r="Q2" s="50"/>
      <c r="R2" s="50"/>
      <c r="S2" s="50"/>
      <c r="T2" s="50"/>
      <c r="U2" s="50"/>
      <c r="V2" s="50"/>
    </row>
    <row r="3" spans="1:22" ht="10.15" customHeight="1">
      <c r="A3" s="50"/>
      <c r="B3" s="52"/>
      <c r="C3" s="50"/>
      <c r="D3" s="50"/>
      <c r="E3" s="53"/>
      <c r="F3" s="50"/>
      <c r="G3" s="50"/>
      <c r="H3" s="50"/>
      <c r="I3" s="50"/>
      <c r="J3" s="50"/>
      <c r="K3" s="50"/>
      <c r="L3" s="50"/>
      <c r="M3" s="50"/>
      <c r="N3" s="57"/>
      <c r="O3" s="50"/>
      <c r="P3" s="50"/>
      <c r="Q3" s="50"/>
      <c r="R3" s="50"/>
      <c r="S3" s="50"/>
      <c r="T3" s="50"/>
      <c r="U3" s="50"/>
      <c r="V3" s="50"/>
    </row>
    <row r="4" spans="1:22" ht="30" customHeight="1">
      <c r="A4" s="107" t="s">
        <v>39</v>
      </c>
      <c r="B4" s="519" t="s">
        <v>40</v>
      </c>
      <c r="C4" s="501" t="s">
        <v>41</v>
      </c>
      <c r="D4" s="108" t="s">
        <v>42</v>
      </c>
      <c r="E4" s="109" t="s">
        <v>43</v>
      </c>
      <c r="F4" s="110" t="s">
        <v>44</v>
      </c>
      <c r="G4" s="58"/>
      <c r="H4" s="499" t="s">
        <v>45</v>
      </c>
      <c r="I4" s="500"/>
      <c r="J4" s="59" t="s">
        <v>46</v>
      </c>
      <c r="K4" s="58"/>
      <c r="L4" s="60"/>
      <c r="M4" s="503" t="s">
        <v>31</v>
      </c>
      <c r="N4" s="56"/>
      <c r="O4" s="50"/>
      <c r="P4" s="61"/>
      <c r="Q4" s="61"/>
      <c r="R4" s="61"/>
      <c r="S4" s="61"/>
      <c r="T4" s="61"/>
      <c r="U4" s="61"/>
      <c r="V4" s="61"/>
    </row>
    <row r="5" spans="1:22" ht="30" customHeight="1">
      <c r="A5" s="62" t="s">
        <v>47</v>
      </c>
      <c r="B5" s="520"/>
      <c r="C5" s="502"/>
      <c r="D5" s="63" t="s">
        <v>59</v>
      </c>
      <c r="E5" s="63" t="s">
        <v>59</v>
      </c>
      <c r="F5" s="64" t="s">
        <v>41</v>
      </c>
      <c r="G5" s="65" t="s">
        <v>48</v>
      </c>
      <c r="H5" s="65" t="s">
        <v>49</v>
      </c>
      <c r="I5" s="64" t="s">
        <v>50</v>
      </c>
      <c r="J5" s="65" t="s">
        <v>49</v>
      </c>
      <c r="K5" s="65" t="s">
        <v>50</v>
      </c>
      <c r="L5" s="66" t="s">
        <v>51</v>
      </c>
      <c r="M5" s="504"/>
      <c r="N5" s="67"/>
      <c r="O5" s="61"/>
      <c r="P5" s="68"/>
      <c r="Q5" s="68"/>
      <c r="R5" s="68"/>
      <c r="S5" s="68"/>
      <c r="T5" s="68"/>
      <c r="U5" s="68"/>
      <c r="V5" s="50"/>
    </row>
    <row r="6" spans="1:22" ht="27.75" customHeight="1">
      <c r="A6" s="147"/>
      <c r="B6" s="148"/>
      <c r="C6" s="149"/>
      <c r="D6" s="150"/>
      <c r="E6" s="150"/>
      <c r="F6" s="151"/>
      <c r="G6" s="151"/>
      <c r="H6" s="152"/>
      <c r="I6" s="153"/>
      <c r="J6" s="69"/>
      <c r="K6" s="69"/>
      <c r="L6" s="69"/>
      <c r="M6" s="70"/>
      <c r="N6" s="71" t="str">
        <f t="shared" ref="N6:N69" si="0">CONCATENATE(C6,H6)</f>
        <v/>
      </c>
      <c r="O6" s="72"/>
      <c r="P6" s="72"/>
      <c r="Q6" s="72"/>
      <c r="R6" s="72"/>
      <c r="S6" s="72"/>
      <c r="T6" s="72"/>
      <c r="U6" s="72"/>
      <c r="V6" s="72"/>
    </row>
    <row r="7" spans="1:22" ht="27.75" customHeight="1">
      <c r="A7" s="154"/>
      <c r="B7" s="155"/>
      <c r="C7" s="156"/>
      <c r="D7" s="157"/>
      <c r="E7" s="157"/>
      <c r="F7" s="158"/>
      <c r="G7" s="158"/>
      <c r="H7" s="159"/>
      <c r="I7" s="160"/>
      <c r="J7" s="73"/>
      <c r="K7" s="73"/>
      <c r="L7" s="73"/>
      <c r="M7" s="74"/>
      <c r="N7" s="71" t="str">
        <f t="shared" si="0"/>
        <v/>
      </c>
      <c r="O7" s="72"/>
      <c r="P7" s="72"/>
      <c r="Q7" s="72"/>
      <c r="R7" s="72"/>
      <c r="S7" s="72"/>
      <c r="T7" s="72"/>
      <c r="U7" s="72"/>
      <c r="V7" s="72"/>
    </row>
    <row r="8" spans="1:22" ht="27.75" customHeight="1">
      <c r="A8" s="154"/>
      <c r="B8" s="155"/>
      <c r="C8" s="156"/>
      <c r="D8" s="157"/>
      <c r="E8" s="157"/>
      <c r="F8" s="158"/>
      <c r="G8" s="158"/>
      <c r="H8" s="159"/>
      <c r="I8" s="160"/>
      <c r="J8" s="73"/>
      <c r="K8" s="73"/>
      <c r="L8" s="73"/>
      <c r="M8" s="74"/>
      <c r="N8" s="71" t="str">
        <f t="shared" si="0"/>
        <v/>
      </c>
      <c r="O8" s="72"/>
      <c r="P8" s="72"/>
      <c r="Q8" s="72"/>
      <c r="R8" s="72"/>
      <c r="S8" s="72"/>
      <c r="T8" s="72"/>
      <c r="U8" s="72"/>
      <c r="V8" s="72"/>
    </row>
    <row r="9" spans="1:22" ht="27.75" customHeight="1">
      <c r="A9" s="154"/>
      <c r="B9" s="155"/>
      <c r="C9" s="156"/>
      <c r="D9" s="157"/>
      <c r="E9" s="157"/>
      <c r="F9" s="158"/>
      <c r="G9" s="158"/>
      <c r="H9" s="159"/>
      <c r="I9" s="160"/>
      <c r="J9" s="73"/>
      <c r="K9" s="73"/>
      <c r="L9" s="73"/>
      <c r="M9" s="74"/>
      <c r="N9" s="71" t="str">
        <f t="shared" si="0"/>
        <v/>
      </c>
      <c r="O9" s="72"/>
      <c r="P9" s="72"/>
      <c r="Q9" s="72"/>
      <c r="R9" s="72"/>
      <c r="S9" s="72"/>
      <c r="T9" s="72"/>
      <c r="U9" s="72"/>
      <c r="V9" s="72"/>
    </row>
    <row r="10" spans="1:22" ht="27.75" customHeight="1">
      <c r="A10" s="154"/>
      <c r="B10" s="155"/>
      <c r="C10" s="156"/>
      <c r="D10" s="157"/>
      <c r="E10" s="157"/>
      <c r="F10" s="158"/>
      <c r="G10" s="158"/>
      <c r="H10" s="159"/>
      <c r="I10" s="160"/>
      <c r="J10" s="73"/>
      <c r="K10" s="73"/>
      <c r="L10" s="73"/>
      <c r="M10" s="74"/>
      <c r="N10" s="71" t="str">
        <f t="shared" si="0"/>
        <v/>
      </c>
      <c r="O10" s="72"/>
      <c r="P10" s="72"/>
      <c r="Q10" s="72"/>
      <c r="R10" s="72"/>
      <c r="S10" s="72"/>
      <c r="T10" s="72"/>
      <c r="U10" s="72"/>
      <c r="V10" s="72"/>
    </row>
    <row r="11" spans="1:22" ht="27.75" customHeight="1">
      <c r="A11" s="154"/>
      <c r="B11" s="155"/>
      <c r="C11" s="156"/>
      <c r="D11" s="157"/>
      <c r="E11" s="157"/>
      <c r="F11" s="158"/>
      <c r="G11" s="158"/>
      <c r="H11" s="159"/>
      <c r="I11" s="160"/>
      <c r="J11" s="73"/>
      <c r="K11" s="73"/>
      <c r="L11" s="73"/>
      <c r="M11" s="74"/>
      <c r="N11" s="71" t="str">
        <f t="shared" si="0"/>
        <v/>
      </c>
      <c r="O11" s="72"/>
      <c r="P11" s="72"/>
      <c r="Q11" s="72"/>
      <c r="R11" s="72"/>
      <c r="S11" s="72"/>
      <c r="T11" s="72"/>
      <c r="U11" s="72"/>
      <c r="V11" s="72"/>
    </row>
    <row r="12" spans="1:22" ht="27.75" customHeight="1">
      <c r="A12" s="154"/>
      <c r="B12" s="155"/>
      <c r="C12" s="156"/>
      <c r="D12" s="157"/>
      <c r="E12" s="157"/>
      <c r="F12" s="158"/>
      <c r="G12" s="161"/>
      <c r="H12" s="159"/>
      <c r="I12" s="160"/>
      <c r="J12" s="73"/>
      <c r="K12" s="73"/>
      <c r="L12" s="73"/>
      <c r="M12" s="74"/>
      <c r="N12" s="71" t="str">
        <f t="shared" si="0"/>
        <v/>
      </c>
      <c r="O12" s="72"/>
      <c r="P12" s="72"/>
      <c r="Q12" s="72"/>
      <c r="R12" s="72"/>
      <c r="S12" s="72"/>
      <c r="T12" s="72"/>
      <c r="U12" s="72"/>
      <c r="V12" s="72"/>
    </row>
    <row r="13" spans="1:22" ht="27.75" customHeight="1">
      <c r="A13" s="154"/>
      <c r="B13" s="155"/>
      <c r="C13" s="156"/>
      <c r="D13" s="157"/>
      <c r="E13" s="157"/>
      <c r="F13" s="158"/>
      <c r="G13" s="158"/>
      <c r="H13" s="159"/>
      <c r="I13" s="160"/>
      <c r="J13" s="73"/>
      <c r="K13" s="73"/>
      <c r="L13" s="73"/>
      <c r="M13" s="74"/>
      <c r="N13" s="71" t="str">
        <f t="shared" si="0"/>
        <v/>
      </c>
      <c r="O13" s="72"/>
      <c r="P13" s="72"/>
      <c r="Q13" s="72"/>
      <c r="R13" s="72"/>
      <c r="S13" s="72"/>
      <c r="T13" s="72"/>
      <c r="U13" s="72"/>
      <c r="V13" s="72"/>
    </row>
    <row r="14" spans="1:22" ht="27.75" customHeight="1">
      <c r="A14" s="154"/>
      <c r="B14" s="155"/>
      <c r="C14" s="156"/>
      <c r="D14" s="157"/>
      <c r="E14" s="157"/>
      <c r="F14" s="158"/>
      <c r="G14" s="158"/>
      <c r="H14" s="159"/>
      <c r="I14" s="160"/>
      <c r="J14" s="73"/>
      <c r="K14" s="73"/>
      <c r="L14" s="73"/>
      <c r="M14" s="74"/>
      <c r="N14" s="71" t="str">
        <f t="shared" si="0"/>
        <v/>
      </c>
      <c r="O14" s="72"/>
      <c r="P14" s="72"/>
      <c r="Q14" s="72"/>
      <c r="R14" s="72"/>
      <c r="S14" s="72"/>
      <c r="T14" s="72"/>
      <c r="U14" s="72"/>
      <c r="V14" s="72"/>
    </row>
    <row r="15" spans="1:22" ht="27.75" customHeight="1">
      <c r="A15" s="154"/>
      <c r="B15" s="155"/>
      <c r="C15" s="156"/>
      <c r="D15" s="157"/>
      <c r="E15" s="157"/>
      <c r="F15" s="158"/>
      <c r="G15" s="158"/>
      <c r="H15" s="159"/>
      <c r="I15" s="160"/>
      <c r="J15" s="73"/>
      <c r="K15" s="73"/>
      <c r="L15" s="73"/>
      <c r="M15" s="74"/>
      <c r="N15" s="71" t="str">
        <f t="shared" si="0"/>
        <v/>
      </c>
      <c r="O15" s="72"/>
      <c r="P15" s="72"/>
      <c r="Q15" s="72"/>
      <c r="R15" s="72"/>
      <c r="S15" s="72"/>
      <c r="T15" s="72"/>
      <c r="U15" s="72"/>
      <c r="V15" s="72"/>
    </row>
    <row r="16" spans="1:22" ht="27.75" customHeight="1">
      <c r="A16" s="154"/>
      <c r="B16" s="155"/>
      <c r="C16" s="156"/>
      <c r="D16" s="157"/>
      <c r="E16" s="157"/>
      <c r="F16" s="158"/>
      <c r="G16" s="158"/>
      <c r="H16" s="159"/>
      <c r="I16" s="160"/>
      <c r="J16" s="73"/>
      <c r="K16" s="73"/>
      <c r="L16" s="73"/>
      <c r="M16" s="74"/>
      <c r="N16" s="71" t="str">
        <f t="shared" si="0"/>
        <v/>
      </c>
      <c r="O16" s="72"/>
      <c r="P16" s="72"/>
      <c r="Q16" s="72"/>
      <c r="R16" s="72"/>
      <c r="S16" s="72"/>
      <c r="T16" s="72"/>
      <c r="U16" s="72"/>
      <c r="V16" s="72"/>
    </row>
    <row r="17" spans="1:25" ht="27.75" customHeight="1">
      <c r="A17" s="154"/>
      <c r="B17" s="155"/>
      <c r="C17" s="156"/>
      <c r="D17" s="157"/>
      <c r="E17" s="157"/>
      <c r="F17" s="158"/>
      <c r="G17" s="158"/>
      <c r="H17" s="159"/>
      <c r="I17" s="160"/>
      <c r="J17" s="73"/>
      <c r="K17" s="73"/>
      <c r="L17" s="73"/>
      <c r="M17" s="74"/>
      <c r="N17" s="71" t="str">
        <f t="shared" si="0"/>
        <v/>
      </c>
      <c r="O17" s="72"/>
      <c r="P17" s="72"/>
      <c r="Q17" s="72"/>
      <c r="R17" s="72"/>
      <c r="S17" s="72"/>
      <c r="T17" s="72"/>
      <c r="U17" s="72"/>
      <c r="V17" s="72"/>
    </row>
    <row r="18" spans="1:25" ht="27.75" customHeight="1">
      <c r="A18" s="154"/>
      <c r="B18" s="155"/>
      <c r="C18" s="156"/>
      <c r="D18" s="157"/>
      <c r="E18" s="157"/>
      <c r="F18" s="158"/>
      <c r="G18" s="158"/>
      <c r="H18" s="159"/>
      <c r="I18" s="160"/>
      <c r="J18" s="73"/>
      <c r="K18" s="73"/>
      <c r="L18" s="73"/>
      <c r="M18" s="74"/>
      <c r="N18" s="71" t="str">
        <f t="shared" si="0"/>
        <v/>
      </c>
      <c r="O18" s="72"/>
      <c r="P18" s="72"/>
      <c r="Q18" s="72"/>
      <c r="R18" s="72"/>
      <c r="S18" s="72"/>
      <c r="T18" s="72"/>
      <c r="U18" s="72"/>
      <c r="V18" s="72"/>
    </row>
    <row r="19" spans="1:25" ht="27.75" customHeight="1">
      <c r="A19" s="154"/>
      <c r="B19" s="155"/>
      <c r="C19" s="156"/>
      <c r="D19" s="157"/>
      <c r="E19" s="157"/>
      <c r="F19" s="158"/>
      <c r="G19" s="158"/>
      <c r="H19" s="159"/>
      <c r="I19" s="160"/>
      <c r="J19" s="73"/>
      <c r="K19" s="73"/>
      <c r="L19" s="73"/>
      <c r="M19" s="74"/>
      <c r="N19" s="71" t="str">
        <f t="shared" si="0"/>
        <v/>
      </c>
      <c r="O19" s="72"/>
      <c r="P19" s="72"/>
      <c r="Q19" s="72"/>
      <c r="R19" s="72"/>
      <c r="S19" s="72"/>
      <c r="T19" s="72"/>
      <c r="U19" s="72"/>
      <c r="V19" s="72"/>
    </row>
    <row r="20" spans="1:25" ht="27.75" customHeight="1">
      <c r="A20" s="154"/>
      <c r="B20" s="155"/>
      <c r="C20" s="156"/>
      <c r="D20" s="157"/>
      <c r="E20" s="157"/>
      <c r="F20" s="158"/>
      <c r="G20" s="158"/>
      <c r="H20" s="159"/>
      <c r="I20" s="160"/>
      <c r="J20" s="73"/>
      <c r="K20" s="73"/>
      <c r="L20" s="73"/>
      <c r="M20" s="74"/>
      <c r="N20" s="71" t="str">
        <f t="shared" si="0"/>
        <v/>
      </c>
      <c r="O20" s="72"/>
      <c r="P20" s="72"/>
      <c r="Q20" s="72"/>
      <c r="R20" s="72"/>
      <c r="S20" s="72"/>
      <c r="T20" s="72"/>
      <c r="U20" s="72"/>
      <c r="V20" s="72"/>
    </row>
    <row r="21" spans="1:25" ht="27.75" customHeight="1">
      <c r="A21" s="154"/>
      <c r="B21" s="155"/>
      <c r="C21" s="156"/>
      <c r="D21" s="157"/>
      <c r="E21" s="157"/>
      <c r="F21" s="158"/>
      <c r="G21" s="158"/>
      <c r="H21" s="159"/>
      <c r="I21" s="160"/>
      <c r="J21" s="73"/>
      <c r="K21" s="73"/>
      <c r="L21" s="73"/>
      <c r="M21" s="74"/>
      <c r="N21" s="71" t="str">
        <f t="shared" si="0"/>
        <v/>
      </c>
      <c r="O21" s="75"/>
      <c r="P21" s="72"/>
      <c r="Q21" s="72"/>
      <c r="R21" s="72"/>
      <c r="S21" s="72"/>
      <c r="T21" s="72"/>
      <c r="U21" s="72"/>
      <c r="V21" s="76"/>
    </row>
    <row r="22" spans="1:25" ht="27.75" customHeight="1">
      <c r="A22" s="154"/>
      <c r="B22" s="155"/>
      <c r="C22" s="156"/>
      <c r="D22" s="157"/>
      <c r="E22" s="157"/>
      <c r="F22" s="158"/>
      <c r="G22" s="161"/>
      <c r="H22" s="159"/>
      <c r="I22" s="160"/>
      <c r="J22" s="73"/>
      <c r="K22" s="73"/>
      <c r="L22" s="73"/>
      <c r="M22" s="74"/>
      <c r="N22" s="71" t="str">
        <f t="shared" si="0"/>
        <v/>
      </c>
      <c r="O22" s="75"/>
      <c r="P22" s="72"/>
      <c r="Q22" s="72"/>
      <c r="R22" s="72"/>
      <c r="S22" s="72"/>
      <c r="T22" s="72"/>
      <c r="U22" s="72"/>
      <c r="V22" s="76"/>
    </row>
    <row r="23" spans="1:25" ht="27.75" customHeight="1">
      <c r="A23" s="154"/>
      <c r="B23" s="155"/>
      <c r="C23" s="156"/>
      <c r="D23" s="157"/>
      <c r="E23" s="157"/>
      <c r="F23" s="158"/>
      <c r="G23" s="158"/>
      <c r="H23" s="159"/>
      <c r="I23" s="160"/>
      <c r="J23" s="73"/>
      <c r="K23" s="73"/>
      <c r="L23" s="73"/>
      <c r="M23" s="74"/>
      <c r="N23" s="71" t="str">
        <f t="shared" si="0"/>
        <v/>
      </c>
      <c r="O23" s="75"/>
      <c r="P23" s="72"/>
      <c r="Q23" s="72"/>
      <c r="R23" s="72"/>
      <c r="S23" s="72"/>
      <c r="T23" s="72"/>
      <c r="U23" s="72"/>
      <c r="V23" s="76"/>
    </row>
    <row r="24" spans="1:25" ht="27.75" customHeight="1">
      <c r="A24" s="154"/>
      <c r="B24" s="155"/>
      <c r="C24" s="156"/>
      <c r="D24" s="157"/>
      <c r="E24" s="157"/>
      <c r="F24" s="158"/>
      <c r="G24" s="158"/>
      <c r="H24" s="159"/>
      <c r="I24" s="159"/>
      <c r="J24" s="73"/>
      <c r="K24" s="73"/>
      <c r="L24" s="73"/>
      <c r="M24" s="74"/>
      <c r="N24" s="71" t="str">
        <f t="shared" si="0"/>
        <v/>
      </c>
      <c r="O24" s="75"/>
      <c r="P24" s="72"/>
      <c r="Q24" s="72"/>
      <c r="R24" s="72"/>
      <c r="S24" s="72"/>
      <c r="T24" s="72"/>
      <c r="U24" s="72"/>
      <c r="V24" s="76"/>
    </row>
    <row r="25" spans="1:25" ht="27.75" customHeight="1">
      <c r="A25" s="162"/>
      <c r="B25" s="163"/>
      <c r="C25" s="164"/>
      <c r="D25" s="165"/>
      <c r="E25" s="165"/>
      <c r="F25" s="166"/>
      <c r="G25" s="166"/>
      <c r="H25" s="167"/>
      <c r="I25" s="168"/>
      <c r="J25" s="77"/>
      <c r="K25" s="77"/>
      <c r="L25" s="77"/>
      <c r="M25" s="78"/>
      <c r="N25" s="71" t="str">
        <f t="shared" si="0"/>
        <v/>
      </c>
      <c r="O25" s="72"/>
      <c r="P25" s="72"/>
      <c r="Q25" s="72"/>
      <c r="R25" s="72"/>
      <c r="S25" s="72"/>
      <c r="T25" s="72"/>
      <c r="U25" s="72"/>
      <c r="V25" s="79"/>
      <c r="W25" s="72"/>
      <c r="X25" s="72"/>
      <c r="Y25" s="72"/>
    </row>
    <row r="26" spans="1:25" ht="27.75" customHeight="1">
      <c r="A26" s="80" t="s">
        <v>52</v>
      </c>
      <c r="B26" s="81"/>
      <c r="C26" s="96"/>
      <c r="D26" s="82"/>
      <c r="E26" s="82">
        <f>SUM(E6:E25)</f>
        <v>0</v>
      </c>
      <c r="F26" s="83"/>
      <c r="G26" s="83"/>
      <c r="H26" s="83"/>
      <c r="I26" s="83"/>
      <c r="J26" s="83"/>
      <c r="K26" s="83"/>
      <c r="L26" s="83"/>
      <c r="M26" s="84"/>
      <c r="N26" s="71" t="str">
        <f t="shared" si="0"/>
        <v/>
      </c>
      <c r="O26" s="75"/>
      <c r="P26" s="72"/>
      <c r="Q26" s="72"/>
      <c r="R26" s="72"/>
      <c r="S26" s="72"/>
      <c r="T26" s="72"/>
      <c r="U26" s="72"/>
      <c r="V26" s="79"/>
      <c r="W26" s="72"/>
      <c r="X26" s="72"/>
      <c r="Y26" s="72"/>
    </row>
    <row r="27" spans="1:25" ht="27.75" customHeight="1">
      <c r="A27" s="169"/>
      <c r="B27" s="170"/>
      <c r="C27" s="171"/>
      <c r="D27" s="172"/>
      <c r="E27" s="172"/>
      <c r="F27" s="173"/>
      <c r="G27" s="173"/>
      <c r="H27" s="174"/>
      <c r="I27" s="175"/>
      <c r="J27" s="85"/>
      <c r="K27" s="85"/>
      <c r="L27" s="85"/>
      <c r="M27" s="86"/>
      <c r="N27" s="71" t="str">
        <f t="shared" si="0"/>
        <v/>
      </c>
      <c r="O27" s="72"/>
      <c r="P27" s="72"/>
      <c r="Q27" s="72"/>
      <c r="R27" s="72"/>
      <c r="S27" s="72"/>
      <c r="T27" s="72"/>
      <c r="U27" s="72"/>
      <c r="V27" s="72"/>
    </row>
    <row r="28" spans="1:25" ht="27.75" customHeight="1">
      <c r="A28" s="154"/>
      <c r="B28" s="155"/>
      <c r="C28" s="156"/>
      <c r="D28" s="157"/>
      <c r="E28" s="157"/>
      <c r="F28" s="158"/>
      <c r="G28" s="158"/>
      <c r="H28" s="159"/>
      <c r="I28" s="160"/>
      <c r="J28" s="73"/>
      <c r="K28" s="73"/>
      <c r="L28" s="73"/>
      <c r="M28" s="74"/>
      <c r="N28" s="71" t="str">
        <f t="shared" si="0"/>
        <v/>
      </c>
      <c r="O28" s="72"/>
      <c r="P28" s="72"/>
      <c r="Q28" s="72"/>
      <c r="R28" s="72"/>
      <c r="S28" s="72"/>
      <c r="T28" s="72"/>
      <c r="U28" s="72"/>
      <c r="V28" s="72"/>
    </row>
    <row r="29" spans="1:25" ht="27.75" customHeight="1">
      <c r="A29" s="154"/>
      <c r="B29" s="155"/>
      <c r="C29" s="156"/>
      <c r="D29" s="157"/>
      <c r="E29" s="157"/>
      <c r="F29" s="158"/>
      <c r="G29" s="158"/>
      <c r="H29" s="159"/>
      <c r="I29" s="160"/>
      <c r="J29" s="73"/>
      <c r="K29" s="73"/>
      <c r="L29" s="73"/>
      <c r="M29" s="74"/>
      <c r="N29" s="71" t="str">
        <f t="shared" si="0"/>
        <v/>
      </c>
      <c r="O29" s="72"/>
      <c r="P29" s="72"/>
      <c r="Q29" s="72"/>
      <c r="R29" s="72"/>
      <c r="S29" s="72"/>
      <c r="T29" s="72"/>
      <c r="U29" s="72"/>
      <c r="V29" s="72"/>
    </row>
    <row r="30" spans="1:25" ht="27.75" customHeight="1">
      <c r="A30" s="154"/>
      <c r="B30" s="155"/>
      <c r="C30" s="156"/>
      <c r="D30" s="157"/>
      <c r="E30" s="157"/>
      <c r="F30" s="158"/>
      <c r="G30" s="158"/>
      <c r="H30" s="159"/>
      <c r="I30" s="160"/>
      <c r="J30" s="73"/>
      <c r="K30" s="73"/>
      <c r="L30" s="73"/>
      <c r="M30" s="74"/>
      <c r="N30" s="71" t="str">
        <f t="shared" si="0"/>
        <v/>
      </c>
      <c r="O30" s="72"/>
      <c r="P30" s="72"/>
      <c r="Q30" s="72"/>
      <c r="R30" s="72"/>
      <c r="S30" s="72"/>
      <c r="T30" s="72"/>
      <c r="U30" s="72"/>
      <c r="V30" s="72"/>
    </row>
    <row r="31" spans="1:25" ht="27.75" customHeight="1">
      <c r="A31" s="154"/>
      <c r="B31" s="155"/>
      <c r="C31" s="156"/>
      <c r="D31" s="157"/>
      <c r="E31" s="157"/>
      <c r="F31" s="158"/>
      <c r="G31" s="158"/>
      <c r="H31" s="159"/>
      <c r="I31" s="160"/>
      <c r="J31" s="73"/>
      <c r="K31" s="73"/>
      <c r="L31" s="73"/>
      <c r="M31" s="74"/>
      <c r="N31" s="71" t="str">
        <f t="shared" si="0"/>
        <v/>
      </c>
      <c r="O31" s="72"/>
      <c r="P31" s="72"/>
      <c r="Q31" s="72"/>
      <c r="R31" s="72"/>
      <c r="S31" s="72"/>
      <c r="T31" s="72"/>
      <c r="U31" s="72"/>
      <c r="V31" s="72"/>
    </row>
    <row r="32" spans="1:25" ht="27.75" customHeight="1">
      <c r="A32" s="87" t="str">
        <f>IF(ISBLANK(C32)," ",27-COUNTBLANK($C$6:C32))</f>
        <v xml:space="preserve"> </v>
      </c>
      <c r="B32" s="88"/>
      <c r="C32" s="88"/>
      <c r="D32" s="89"/>
      <c r="E32" s="89"/>
      <c r="F32" s="73"/>
      <c r="G32" s="73"/>
      <c r="H32" s="73"/>
      <c r="I32" s="73"/>
      <c r="J32" s="73"/>
      <c r="K32" s="73"/>
      <c r="L32" s="73"/>
      <c r="M32" s="74"/>
      <c r="N32" s="71" t="str">
        <f t="shared" si="0"/>
        <v/>
      </c>
      <c r="O32" s="72"/>
      <c r="P32" s="72"/>
      <c r="Q32" s="72"/>
      <c r="R32" s="72"/>
      <c r="S32" s="72"/>
      <c r="T32" s="72"/>
      <c r="U32" s="72"/>
      <c r="V32" s="72"/>
    </row>
    <row r="33" spans="1:25" ht="27.75" customHeight="1">
      <c r="A33" s="87" t="str">
        <f>IF(ISBLANK(C33)," ",28-COUNTBLANK($C$6:C33))</f>
        <v xml:space="preserve"> </v>
      </c>
      <c r="B33" s="88"/>
      <c r="C33" s="88"/>
      <c r="D33" s="89"/>
      <c r="E33" s="89"/>
      <c r="F33" s="73"/>
      <c r="G33" s="73"/>
      <c r="H33" s="73"/>
      <c r="I33" s="73"/>
      <c r="J33" s="73"/>
      <c r="K33" s="73"/>
      <c r="L33" s="73"/>
      <c r="M33" s="74"/>
      <c r="N33" s="71" t="str">
        <f t="shared" si="0"/>
        <v/>
      </c>
      <c r="O33" s="72"/>
      <c r="P33" s="72"/>
      <c r="Q33" s="72"/>
      <c r="R33" s="72"/>
      <c r="S33" s="72"/>
      <c r="T33" s="72"/>
      <c r="U33" s="72"/>
      <c r="V33" s="72"/>
    </row>
    <row r="34" spans="1:25" ht="27.75" customHeight="1">
      <c r="A34" s="87" t="str">
        <f>IF(ISBLANK(C34)," ",29-COUNTBLANK($C$6:C34))</f>
        <v xml:space="preserve"> </v>
      </c>
      <c r="B34" s="88"/>
      <c r="C34" s="88"/>
      <c r="D34" s="89"/>
      <c r="E34" s="89"/>
      <c r="F34" s="73"/>
      <c r="G34" s="73"/>
      <c r="H34" s="73"/>
      <c r="I34" s="73"/>
      <c r="J34" s="73"/>
      <c r="K34" s="73"/>
      <c r="L34" s="73"/>
      <c r="M34" s="74"/>
      <c r="N34" s="71" t="str">
        <f t="shared" si="0"/>
        <v/>
      </c>
      <c r="O34" s="72"/>
      <c r="P34" s="72"/>
      <c r="Q34" s="72"/>
      <c r="R34" s="72"/>
      <c r="S34" s="72"/>
      <c r="T34" s="72"/>
      <c r="U34" s="72"/>
      <c r="V34" s="72"/>
    </row>
    <row r="35" spans="1:25" ht="27.75" customHeight="1">
      <c r="A35" s="87" t="str">
        <f>IF(ISBLANK(C35)," ",30-COUNTBLANK($C$6:C35))</f>
        <v xml:space="preserve"> </v>
      </c>
      <c r="B35" s="88"/>
      <c r="C35" s="88"/>
      <c r="D35" s="89"/>
      <c r="E35" s="89"/>
      <c r="F35" s="73"/>
      <c r="G35" s="73"/>
      <c r="H35" s="73"/>
      <c r="I35" s="73"/>
      <c r="J35" s="73"/>
      <c r="K35" s="73"/>
      <c r="L35" s="73"/>
      <c r="M35" s="74"/>
      <c r="N35" s="71" t="str">
        <f t="shared" si="0"/>
        <v/>
      </c>
      <c r="O35" s="72"/>
      <c r="P35" s="72"/>
      <c r="Q35" s="72"/>
      <c r="R35" s="72"/>
      <c r="S35" s="72"/>
      <c r="T35" s="72"/>
      <c r="U35" s="72"/>
      <c r="V35" s="72"/>
    </row>
    <row r="36" spans="1:25" ht="27.75" customHeight="1">
      <c r="A36" s="87" t="str">
        <f>IF(ISBLANK(C36)," ",31-COUNTBLANK($C$6:C36))</f>
        <v xml:space="preserve"> </v>
      </c>
      <c r="B36" s="88"/>
      <c r="C36" s="88"/>
      <c r="D36" s="89"/>
      <c r="E36" s="89"/>
      <c r="F36" s="73"/>
      <c r="G36" s="73"/>
      <c r="H36" s="73"/>
      <c r="I36" s="73"/>
      <c r="J36" s="73"/>
      <c r="K36" s="73"/>
      <c r="L36" s="73"/>
      <c r="M36" s="74"/>
      <c r="N36" s="71" t="str">
        <f t="shared" si="0"/>
        <v/>
      </c>
      <c r="O36" s="72"/>
      <c r="P36" s="72"/>
      <c r="Q36" s="72"/>
      <c r="R36" s="72"/>
      <c r="S36" s="72"/>
      <c r="T36" s="72"/>
      <c r="U36" s="72"/>
      <c r="V36" s="72"/>
    </row>
    <row r="37" spans="1:25" ht="27.75" customHeight="1">
      <c r="A37" s="87" t="str">
        <f>IF(ISBLANK(C37)," ",32-COUNTBLANK($C$6:C37))</f>
        <v xml:space="preserve"> </v>
      </c>
      <c r="B37" s="88"/>
      <c r="C37" s="88"/>
      <c r="D37" s="89"/>
      <c r="E37" s="89"/>
      <c r="F37" s="73"/>
      <c r="G37" s="73"/>
      <c r="H37" s="73"/>
      <c r="I37" s="73"/>
      <c r="J37" s="73"/>
      <c r="K37" s="73"/>
      <c r="L37" s="73"/>
      <c r="M37" s="74"/>
      <c r="N37" s="71" t="str">
        <f t="shared" si="0"/>
        <v/>
      </c>
      <c r="O37" s="72"/>
      <c r="P37" s="72"/>
      <c r="Q37" s="72"/>
      <c r="R37" s="72"/>
      <c r="S37" s="72"/>
      <c r="T37" s="72"/>
      <c r="U37" s="72"/>
      <c r="V37" s="72"/>
    </row>
    <row r="38" spans="1:25" ht="27.75" customHeight="1">
      <c r="A38" s="87" t="str">
        <f>IF(ISBLANK(C38)," ",33-COUNTBLANK($C$6:C38))</f>
        <v xml:space="preserve"> </v>
      </c>
      <c r="B38" s="88"/>
      <c r="C38" s="88"/>
      <c r="D38" s="89"/>
      <c r="E38" s="89"/>
      <c r="F38" s="73"/>
      <c r="G38" s="73"/>
      <c r="H38" s="73"/>
      <c r="I38" s="73"/>
      <c r="J38" s="73"/>
      <c r="K38" s="73"/>
      <c r="L38" s="73"/>
      <c r="M38" s="74"/>
      <c r="N38" s="71" t="str">
        <f t="shared" si="0"/>
        <v/>
      </c>
      <c r="O38" s="72"/>
      <c r="P38" s="72"/>
      <c r="Q38" s="72"/>
      <c r="R38" s="72"/>
      <c r="S38" s="72"/>
      <c r="T38" s="72"/>
      <c r="U38" s="72"/>
      <c r="V38" s="72"/>
    </row>
    <row r="39" spans="1:25" ht="27.75" customHeight="1">
      <c r="A39" s="87" t="str">
        <f>IF(ISBLANK(C39)," ",34-COUNTBLANK($C$6:C39))</f>
        <v xml:space="preserve"> </v>
      </c>
      <c r="B39" s="88"/>
      <c r="C39" s="88"/>
      <c r="D39" s="89"/>
      <c r="E39" s="89"/>
      <c r="F39" s="73"/>
      <c r="G39" s="73"/>
      <c r="H39" s="73"/>
      <c r="I39" s="73"/>
      <c r="J39" s="73"/>
      <c r="K39" s="73"/>
      <c r="L39" s="73"/>
      <c r="M39" s="74"/>
      <c r="N39" s="71" t="str">
        <f t="shared" si="0"/>
        <v/>
      </c>
      <c r="O39" s="72"/>
      <c r="P39" s="72"/>
      <c r="Q39" s="72"/>
      <c r="R39" s="72"/>
      <c r="S39" s="72"/>
      <c r="T39" s="72"/>
      <c r="U39" s="72"/>
      <c r="V39" s="72"/>
    </row>
    <row r="40" spans="1:25" ht="27.75" customHeight="1">
      <c r="A40" s="87" t="str">
        <f>IF(ISBLANK(C40)," ",35-COUNTBLANK($C$6:C40))</f>
        <v xml:space="preserve"> </v>
      </c>
      <c r="B40" s="88"/>
      <c r="C40" s="88"/>
      <c r="D40" s="89"/>
      <c r="E40" s="89"/>
      <c r="F40" s="73"/>
      <c r="G40" s="73"/>
      <c r="H40" s="73"/>
      <c r="I40" s="73"/>
      <c r="J40" s="73"/>
      <c r="K40" s="73"/>
      <c r="L40" s="73"/>
      <c r="M40" s="74"/>
      <c r="N40" s="71" t="str">
        <f t="shared" si="0"/>
        <v/>
      </c>
      <c r="O40" s="72"/>
      <c r="P40" s="72"/>
      <c r="Q40" s="72"/>
      <c r="R40" s="72"/>
      <c r="S40" s="72"/>
      <c r="T40" s="72"/>
      <c r="U40" s="72"/>
      <c r="V40" s="72"/>
    </row>
    <row r="41" spans="1:25" ht="27.75" customHeight="1">
      <c r="A41" s="87" t="str">
        <f>IF(ISBLANK(C41)," ",36-COUNTBLANK($C$6:C41))</f>
        <v xml:space="preserve"> </v>
      </c>
      <c r="B41" s="88"/>
      <c r="C41" s="88"/>
      <c r="D41" s="89"/>
      <c r="E41" s="89"/>
      <c r="F41" s="73"/>
      <c r="G41" s="73"/>
      <c r="H41" s="73"/>
      <c r="I41" s="73"/>
      <c r="J41" s="73"/>
      <c r="K41" s="73"/>
      <c r="L41" s="73"/>
      <c r="M41" s="74"/>
      <c r="N41" s="71" t="str">
        <f t="shared" si="0"/>
        <v/>
      </c>
      <c r="O41" s="72"/>
      <c r="P41" s="72"/>
      <c r="Q41" s="72"/>
      <c r="R41" s="72"/>
      <c r="S41" s="72"/>
      <c r="T41" s="72"/>
      <c r="U41" s="72"/>
      <c r="V41" s="72"/>
    </row>
    <row r="42" spans="1:25" ht="27.75" customHeight="1">
      <c r="A42" s="87" t="str">
        <f>IF(ISBLANK(C42)," ",37-COUNTBLANK($C$6:C42))</f>
        <v xml:space="preserve"> </v>
      </c>
      <c r="B42" s="88"/>
      <c r="C42" s="88"/>
      <c r="D42" s="89"/>
      <c r="E42" s="89"/>
      <c r="F42" s="73"/>
      <c r="G42" s="73"/>
      <c r="H42" s="73"/>
      <c r="I42" s="73"/>
      <c r="J42" s="73"/>
      <c r="K42" s="73"/>
      <c r="L42" s="73"/>
      <c r="M42" s="74"/>
      <c r="N42" s="71" t="str">
        <f t="shared" si="0"/>
        <v/>
      </c>
      <c r="O42" s="75"/>
      <c r="P42" s="72"/>
      <c r="Q42" s="72"/>
      <c r="R42" s="72"/>
      <c r="S42" s="72"/>
      <c r="T42" s="72"/>
      <c r="U42" s="72"/>
      <c r="V42" s="76"/>
    </row>
    <row r="43" spans="1:25" ht="27.75" customHeight="1">
      <c r="A43" s="87" t="str">
        <f>IF(ISBLANK(C43)," ",38-COUNTBLANK($C$6:C43))</f>
        <v xml:space="preserve"> </v>
      </c>
      <c r="B43" s="88"/>
      <c r="C43" s="88"/>
      <c r="D43" s="89"/>
      <c r="E43" s="89"/>
      <c r="F43" s="73"/>
      <c r="G43" s="73"/>
      <c r="H43" s="73"/>
      <c r="I43" s="73"/>
      <c r="J43" s="73"/>
      <c r="K43" s="73"/>
      <c r="L43" s="73"/>
      <c r="M43" s="74"/>
      <c r="N43" s="71" t="str">
        <f t="shared" si="0"/>
        <v/>
      </c>
      <c r="O43" s="75"/>
      <c r="P43" s="72"/>
      <c r="Q43" s="72"/>
      <c r="R43" s="72"/>
      <c r="S43" s="72"/>
      <c r="T43" s="72"/>
      <c r="U43" s="72"/>
      <c r="V43" s="76"/>
    </row>
    <row r="44" spans="1:25" ht="27.75" customHeight="1">
      <c r="A44" s="87" t="str">
        <f>IF(ISBLANK(C44)," ",39-COUNTBLANK($C$6:C44))</f>
        <v xml:space="preserve"> </v>
      </c>
      <c r="B44" s="88"/>
      <c r="C44" s="88"/>
      <c r="D44" s="89"/>
      <c r="E44" s="89"/>
      <c r="F44" s="73"/>
      <c r="G44" s="73"/>
      <c r="H44" s="73"/>
      <c r="I44" s="73"/>
      <c r="J44" s="73"/>
      <c r="K44" s="73"/>
      <c r="L44" s="73"/>
      <c r="M44" s="74"/>
      <c r="N44" s="71" t="str">
        <f t="shared" si="0"/>
        <v/>
      </c>
      <c r="O44" s="75"/>
      <c r="P44" s="72"/>
      <c r="Q44" s="72"/>
      <c r="R44" s="72"/>
      <c r="S44" s="72"/>
      <c r="T44" s="72"/>
      <c r="U44" s="72"/>
      <c r="V44" s="76"/>
    </row>
    <row r="45" spans="1:25" ht="27.75" customHeight="1">
      <c r="A45" s="87" t="str">
        <f>IF(ISBLANK(C45)," ",40-COUNTBLANK($C$6:C45))</f>
        <v xml:space="preserve"> </v>
      </c>
      <c r="B45" s="88"/>
      <c r="C45" s="88"/>
      <c r="D45" s="89"/>
      <c r="E45" s="89"/>
      <c r="F45" s="73"/>
      <c r="G45" s="73"/>
      <c r="H45" s="73"/>
      <c r="I45" s="73"/>
      <c r="J45" s="73"/>
      <c r="K45" s="73"/>
      <c r="L45" s="73"/>
      <c r="M45" s="74"/>
      <c r="N45" s="71" t="str">
        <f t="shared" si="0"/>
        <v/>
      </c>
      <c r="O45" s="75"/>
      <c r="P45" s="72"/>
      <c r="Q45" s="72"/>
      <c r="R45" s="72"/>
      <c r="S45" s="72"/>
      <c r="T45" s="72"/>
      <c r="U45" s="72"/>
      <c r="V45" s="76"/>
    </row>
    <row r="46" spans="1:25" ht="27.75" customHeight="1">
      <c r="A46" s="90" t="str">
        <f>IF(ISBLANK(C46)," ",41-COUNTBLANK($C$6:C46))</f>
        <v xml:space="preserve"> </v>
      </c>
      <c r="B46" s="91"/>
      <c r="C46" s="91"/>
      <c r="D46" s="92"/>
      <c r="E46" s="92"/>
      <c r="F46" s="77"/>
      <c r="G46" s="77"/>
      <c r="H46" s="77"/>
      <c r="I46" s="77"/>
      <c r="J46" s="77"/>
      <c r="K46" s="77"/>
      <c r="L46" s="77"/>
      <c r="M46" s="78"/>
      <c r="N46" s="71" t="str">
        <f t="shared" si="0"/>
        <v/>
      </c>
      <c r="O46" s="72"/>
      <c r="P46" s="72"/>
      <c r="Q46" s="72"/>
      <c r="R46" s="72"/>
      <c r="S46" s="72"/>
      <c r="T46" s="72"/>
      <c r="U46" s="72"/>
      <c r="V46" s="79"/>
      <c r="W46" s="72"/>
      <c r="X46" s="72"/>
      <c r="Y46" s="72"/>
    </row>
    <row r="47" spans="1:25" ht="27.75" customHeight="1">
      <c r="A47" s="80" t="s">
        <v>52</v>
      </c>
      <c r="B47" s="81"/>
      <c r="C47" s="96"/>
      <c r="D47" s="82"/>
      <c r="E47" s="82">
        <f>SUM(E27:E46)</f>
        <v>0</v>
      </c>
      <c r="F47" s="83"/>
      <c r="G47" s="83"/>
      <c r="H47" s="83"/>
      <c r="I47" s="83"/>
      <c r="J47" s="83"/>
      <c r="K47" s="83"/>
      <c r="L47" s="83"/>
      <c r="M47" s="84"/>
      <c r="N47" s="71" t="str">
        <f t="shared" si="0"/>
        <v/>
      </c>
      <c r="O47" s="75"/>
      <c r="P47" s="72"/>
      <c r="Q47" s="72"/>
      <c r="R47" s="72"/>
      <c r="S47" s="72"/>
      <c r="T47" s="72"/>
      <c r="U47" s="72"/>
      <c r="V47" s="79"/>
      <c r="W47" s="72"/>
      <c r="X47" s="72"/>
      <c r="Y47" s="72"/>
    </row>
    <row r="48" spans="1:25" ht="27.75" customHeight="1">
      <c r="A48" s="93" t="str">
        <f>IF(ISBLANK(C48)," ",43-COUNTBLANK($C$6:C48))</f>
        <v xml:space="preserve"> </v>
      </c>
      <c r="B48" s="94"/>
      <c r="C48" s="94"/>
      <c r="D48" s="95"/>
      <c r="E48" s="95"/>
      <c r="F48" s="85"/>
      <c r="G48" s="85"/>
      <c r="H48" s="85"/>
      <c r="I48" s="85"/>
      <c r="J48" s="85"/>
      <c r="K48" s="85"/>
      <c r="L48" s="85"/>
      <c r="M48" s="86"/>
      <c r="N48" s="71" t="str">
        <f t="shared" si="0"/>
        <v/>
      </c>
      <c r="O48" s="72"/>
      <c r="P48" s="72"/>
      <c r="Q48" s="72"/>
      <c r="R48" s="72"/>
      <c r="S48" s="72"/>
      <c r="T48" s="72"/>
      <c r="U48" s="72"/>
      <c r="V48" s="72"/>
    </row>
    <row r="49" spans="1:22" ht="27.75" customHeight="1">
      <c r="A49" s="87" t="str">
        <f>IF(ISBLANK(C49)," ",44-COUNTBLANK($C$6:C49))</f>
        <v xml:space="preserve"> </v>
      </c>
      <c r="B49" s="88"/>
      <c r="C49" s="88"/>
      <c r="D49" s="89"/>
      <c r="E49" s="89"/>
      <c r="F49" s="73"/>
      <c r="G49" s="73"/>
      <c r="H49" s="73"/>
      <c r="I49" s="73"/>
      <c r="J49" s="73"/>
      <c r="K49" s="73"/>
      <c r="L49" s="73"/>
      <c r="M49" s="74"/>
      <c r="N49" s="71" t="str">
        <f t="shared" si="0"/>
        <v/>
      </c>
      <c r="O49" s="72"/>
      <c r="P49" s="72"/>
      <c r="Q49" s="72"/>
      <c r="R49" s="72"/>
      <c r="S49" s="72"/>
      <c r="T49" s="72"/>
      <c r="U49" s="72"/>
      <c r="V49" s="72"/>
    </row>
    <row r="50" spans="1:22" ht="27.75" customHeight="1">
      <c r="A50" s="87" t="str">
        <f>IF(ISBLANK(C50)," ",45-COUNTBLANK($C$6:C50))</f>
        <v xml:space="preserve"> </v>
      </c>
      <c r="B50" s="88"/>
      <c r="C50" s="88"/>
      <c r="D50" s="89"/>
      <c r="E50" s="89"/>
      <c r="F50" s="73"/>
      <c r="G50" s="73"/>
      <c r="H50" s="73"/>
      <c r="I50" s="73"/>
      <c r="J50" s="73"/>
      <c r="K50" s="73"/>
      <c r="L50" s="73"/>
      <c r="M50" s="74"/>
      <c r="N50" s="71" t="str">
        <f t="shared" si="0"/>
        <v/>
      </c>
      <c r="O50" s="72"/>
      <c r="P50" s="72"/>
      <c r="Q50" s="72"/>
      <c r="R50" s="72"/>
      <c r="S50" s="72"/>
      <c r="T50" s="72"/>
      <c r="U50" s="72"/>
      <c r="V50" s="72"/>
    </row>
    <row r="51" spans="1:22" ht="27.75" customHeight="1">
      <c r="A51" s="87" t="str">
        <f>IF(ISBLANK(C51)," ",46-COUNTBLANK($C$6:C51))</f>
        <v xml:space="preserve"> </v>
      </c>
      <c r="B51" s="88"/>
      <c r="C51" s="88"/>
      <c r="D51" s="89"/>
      <c r="E51" s="89"/>
      <c r="F51" s="73"/>
      <c r="G51" s="73"/>
      <c r="H51" s="73"/>
      <c r="I51" s="73"/>
      <c r="J51" s="73"/>
      <c r="K51" s="73"/>
      <c r="L51" s="73"/>
      <c r="M51" s="74"/>
      <c r="N51" s="71" t="str">
        <f t="shared" si="0"/>
        <v/>
      </c>
      <c r="O51" s="72"/>
      <c r="P51" s="72"/>
      <c r="Q51" s="72"/>
      <c r="R51" s="72"/>
      <c r="S51" s="72"/>
      <c r="T51" s="72"/>
      <c r="U51" s="72"/>
      <c r="V51" s="72"/>
    </row>
    <row r="52" spans="1:22" ht="27.75" customHeight="1">
      <c r="A52" s="87" t="str">
        <f>IF(ISBLANK(C52)," ",47-COUNTBLANK($C$6:C52))</f>
        <v xml:space="preserve"> </v>
      </c>
      <c r="B52" s="88"/>
      <c r="C52" s="88"/>
      <c r="D52" s="89"/>
      <c r="E52" s="89"/>
      <c r="F52" s="73"/>
      <c r="G52" s="73"/>
      <c r="H52" s="73"/>
      <c r="I52" s="73"/>
      <c r="J52" s="73"/>
      <c r="K52" s="73"/>
      <c r="L52" s="73"/>
      <c r="M52" s="74"/>
      <c r="N52" s="71" t="str">
        <f t="shared" si="0"/>
        <v/>
      </c>
      <c r="O52" s="72"/>
      <c r="P52" s="72"/>
      <c r="Q52" s="72"/>
      <c r="R52" s="72"/>
      <c r="S52" s="72"/>
      <c r="T52" s="72"/>
      <c r="U52" s="72"/>
      <c r="V52" s="72"/>
    </row>
    <row r="53" spans="1:22" ht="27.75" customHeight="1">
      <c r="A53" s="87" t="str">
        <f>IF(ISBLANK(C53)," ",48-COUNTBLANK($C$6:C53))</f>
        <v xml:space="preserve"> </v>
      </c>
      <c r="B53" s="88"/>
      <c r="C53" s="88"/>
      <c r="D53" s="89"/>
      <c r="E53" s="89"/>
      <c r="F53" s="73"/>
      <c r="G53" s="73"/>
      <c r="H53" s="73"/>
      <c r="I53" s="73"/>
      <c r="J53" s="73"/>
      <c r="K53" s="73"/>
      <c r="L53" s="73"/>
      <c r="M53" s="74"/>
      <c r="N53" s="71" t="str">
        <f t="shared" si="0"/>
        <v/>
      </c>
      <c r="O53" s="72"/>
      <c r="P53" s="72"/>
      <c r="Q53" s="72"/>
      <c r="R53" s="72"/>
      <c r="S53" s="72"/>
      <c r="T53" s="72"/>
      <c r="U53" s="72"/>
      <c r="V53" s="72"/>
    </row>
    <row r="54" spans="1:22" ht="27.75" customHeight="1">
      <c r="A54" s="87" t="str">
        <f>IF(ISBLANK(C54)," ",49-COUNTBLANK($C$6:C54))</f>
        <v xml:space="preserve"> </v>
      </c>
      <c r="B54" s="88"/>
      <c r="C54" s="88"/>
      <c r="D54" s="89"/>
      <c r="E54" s="89"/>
      <c r="F54" s="73"/>
      <c r="G54" s="73"/>
      <c r="H54" s="73"/>
      <c r="I54" s="73"/>
      <c r="J54" s="73"/>
      <c r="K54" s="73"/>
      <c r="L54" s="73"/>
      <c r="M54" s="74"/>
      <c r="N54" s="71" t="str">
        <f t="shared" si="0"/>
        <v/>
      </c>
      <c r="O54" s="72"/>
      <c r="P54" s="72"/>
      <c r="Q54" s="72"/>
      <c r="R54" s="72"/>
      <c r="S54" s="72"/>
      <c r="T54" s="72"/>
      <c r="U54" s="72"/>
      <c r="V54" s="72"/>
    </row>
    <row r="55" spans="1:22" ht="27.75" customHeight="1">
      <c r="A55" s="87" t="str">
        <f>IF(ISBLANK(C55)," ",50-COUNTBLANK($C$6:C55))</f>
        <v xml:space="preserve"> </v>
      </c>
      <c r="B55" s="88"/>
      <c r="C55" s="88"/>
      <c r="D55" s="89"/>
      <c r="E55" s="89"/>
      <c r="F55" s="73"/>
      <c r="G55" s="73"/>
      <c r="H55" s="73"/>
      <c r="I55" s="73"/>
      <c r="J55" s="73"/>
      <c r="K55" s="73"/>
      <c r="L55" s="73"/>
      <c r="M55" s="74"/>
      <c r="N55" s="71" t="str">
        <f t="shared" si="0"/>
        <v/>
      </c>
      <c r="O55" s="72"/>
      <c r="P55" s="72"/>
      <c r="Q55" s="72"/>
      <c r="R55" s="72"/>
      <c r="S55" s="72"/>
      <c r="T55" s="72"/>
      <c r="U55" s="72"/>
      <c r="V55" s="72"/>
    </row>
    <row r="56" spans="1:22" ht="27.75" customHeight="1">
      <c r="A56" s="87" t="str">
        <f>IF(ISBLANK(C56)," ",51-COUNTBLANK($C$6:C56))</f>
        <v xml:space="preserve"> </v>
      </c>
      <c r="B56" s="88"/>
      <c r="C56" s="88"/>
      <c r="D56" s="89"/>
      <c r="E56" s="89"/>
      <c r="F56" s="73"/>
      <c r="G56" s="73"/>
      <c r="H56" s="73"/>
      <c r="I56" s="73"/>
      <c r="J56" s="73"/>
      <c r="K56" s="73"/>
      <c r="L56" s="73"/>
      <c r="M56" s="74"/>
      <c r="N56" s="71" t="str">
        <f t="shared" si="0"/>
        <v/>
      </c>
      <c r="O56" s="72"/>
      <c r="P56" s="72"/>
      <c r="Q56" s="72"/>
      <c r="R56" s="72"/>
      <c r="S56" s="72"/>
      <c r="T56" s="72"/>
      <c r="U56" s="72"/>
      <c r="V56" s="72"/>
    </row>
    <row r="57" spans="1:22" ht="27.75" customHeight="1">
      <c r="A57" s="87" t="str">
        <f>IF(ISBLANK(C57)," ",52-COUNTBLANK($C$6:C57))</f>
        <v xml:space="preserve"> </v>
      </c>
      <c r="B57" s="88"/>
      <c r="C57" s="88"/>
      <c r="D57" s="89"/>
      <c r="E57" s="89"/>
      <c r="F57" s="73"/>
      <c r="G57" s="73"/>
      <c r="H57" s="73"/>
      <c r="I57" s="73"/>
      <c r="J57" s="73"/>
      <c r="K57" s="73"/>
      <c r="L57" s="73"/>
      <c r="M57" s="74"/>
      <c r="N57" s="71" t="str">
        <f t="shared" si="0"/>
        <v/>
      </c>
      <c r="O57" s="72"/>
      <c r="P57" s="72"/>
      <c r="Q57" s="72"/>
      <c r="R57" s="72"/>
      <c r="S57" s="72"/>
      <c r="T57" s="72"/>
      <c r="U57" s="72"/>
      <c r="V57" s="72"/>
    </row>
    <row r="58" spans="1:22" ht="27.75" customHeight="1">
      <c r="A58" s="87" t="str">
        <f>IF(ISBLANK(C58)," ",53-COUNTBLANK($C$6:C58))</f>
        <v xml:space="preserve"> </v>
      </c>
      <c r="B58" s="88"/>
      <c r="C58" s="88"/>
      <c r="D58" s="89"/>
      <c r="E58" s="89"/>
      <c r="F58" s="73"/>
      <c r="G58" s="73"/>
      <c r="H58" s="73"/>
      <c r="I58" s="73"/>
      <c r="J58" s="73"/>
      <c r="K58" s="73"/>
      <c r="L58" s="73"/>
      <c r="M58" s="74"/>
      <c r="N58" s="71" t="str">
        <f t="shared" si="0"/>
        <v/>
      </c>
      <c r="O58" s="72"/>
      <c r="P58" s="72"/>
      <c r="Q58" s="72"/>
      <c r="R58" s="72"/>
      <c r="S58" s="72"/>
      <c r="T58" s="72"/>
      <c r="U58" s="72"/>
      <c r="V58" s="72"/>
    </row>
    <row r="59" spans="1:22" ht="27.75" customHeight="1">
      <c r="A59" s="87" t="str">
        <f>IF(ISBLANK(C59)," ",54-COUNTBLANK($C$6:C59))</f>
        <v xml:space="preserve"> </v>
      </c>
      <c r="B59" s="88"/>
      <c r="C59" s="88"/>
      <c r="D59" s="89"/>
      <c r="E59" s="89"/>
      <c r="F59" s="73"/>
      <c r="G59" s="73"/>
      <c r="H59" s="73"/>
      <c r="I59" s="73"/>
      <c r="J59" s="73"/>
      <c r="K59" s="73"/>
      <c r="L59" s="73"/>
      <c r="M59" s="74"/>
      <c r="N59" s="71" t="str">
        <f t="shared" si="0"/>
        <v/>
      </c>
      <c r="O59" s="72"/>
      <c r="P59" s="72"/>
      <c r="Q59" s="72"/>
      <c r="R59" s="72"/>
      <c r="S59" s="72"/>
      <c r="T59" s="72"/>
      <c r="U59" s="72"/>
      <c r="V59" s="72"/>
    </row>
    <row r="60" spans="1:22" ht="27.75" customHeight="1">
      <c r="A60" s="87" t="str">
        <f>IF(ISBLANK(C60)," ",55-COUNTBLANK($C$6:C60))</f>
        <v xml:space="preserve"> </v>
      </c>
      <c r="B60" s="88"/>
      <c r="C60" s="88"/>
      <c r="D60" s="89"/>
      <c r="E60" s="89"/>
      <c r="F60" s="73"/>
      <c r="G60" s="73"/>
      <c r="H60" s="73"/>
      <c r="I60" s="73"/>
      <c r="J60" s="73"/>
      <c r="K60" s="73"/>
      <c r="L60" s="73"/>
      <c r="M60" s="74"/>
      <c r="N60" s="71" t="str">
        <f t="shared" si="0"/>
        <v/>
      </c>
      <c r="O60" s="72"/>
      <c r="P60" s="72"/>
      <c r="Q60" s="72"/>
      <c r="R60" s="72"/>
      <c r="S60" s="72"/>
      <c r="T60" s="72"/>
      <c r="U60" s="72"/>
      <c r="V60" s="72"/>
    </row>
    <row r="61" spans="1:22" ht="27.75" customHeight="1">
      <c r="A61" s="87" t="str">
        <f>IF(ISBLANK(C61)," ",56-COUNTBLANK($C$6:C61))</f>
        <v xml:space="preserve"> </v>
      </c>
      <c r="B61" s="88"/>
      <c r="C61" s="88"/>
      <c r="D61" s="89"/>
      <c r="E61" s="89"/>
      <c r="F61" s="73"/>
      <c r="G61" s="73"/>
      <c r="H61" s="73"/>
      <c r="I61" s="73"/>
      <c r="J61" s="73"/>
      <c r="K61" s="73"/>
      <c r="L61" s="73"/>
      <c r="M61" s="74"/>
      <c r="N61" s="71" t="str">
        <f t="shared" si="0"/>
        <v/>
      </c>
      <c r="O61" s="72"/>
      <c r="P61" s="72"/>
      <c r="Q61" s="72"/>
      <c r="R61" s="72"/>
      <c r="S61" s="72"/>
      <c r="T61" s="72"/>
      <c r="U61" s="72"/>
      <c r="V61" s="72"/>
    </row>
    <row r="62" spans="1:22" ht="27.75" customHeight="1">
      <c r="A62" s="87" t="str">
        <f>IF(ISBLANK(C62)," ",57-COUNTBLANK($C$6:C62))</f>
        <v xml:space="preserve"> </v>
      </c>
      <c r="B62" s="88"/>
      <c r="C62" s="88"/>
      <c r="D62" s="89"/>
      <c r="E62" s="89"/>
      <c r="F62" s="73"/>
      <c r="G62" s="73"/>
      <c r="H62" s="73"/>
      <c r="I62" s="73"/>
      <c r="J62" s="73"/>
      <c r="K62" s="73"/>
      <c r="L62" s="73"/>
      <c r="M62" s="74"/>
      <c r="N62" s="71" t="str">
        <f t="shared" si="0"/>
        <v/>
      </c>
      <c r="O62" s="72"/>
      <c r="P62" s="72"/>
      <c r="Q62" s="72"/>
      <c r="R62" s="72"/>
      <c r="S62" s="72"/>
      <c r="T62" s="72"/>
      <c r="U62" s="72"/>
      <c r="V62" s="72"/>
    </row>
    <row r="63" spans="1:22" ht="27.75" customHeight="1">
      <c r="A63" s="87" t="str">
        <f>IF(ISBLANK(C63)," ",58-COUNTBLANK($C$6:C63))</f>
        <v xml:space="preserve"> </v>
      </c>
      <c r="B63" s="88"/>
      <c r="C63" s="88"/>
      <c r="D63" s="89"/>
      <c r="E63" s="89"/>
      <c r="F63" s="73"/>
      <c r="G63" s="73"/>
      <c r="H63" s="73"/>
      <c r="I63" s="73"/>
      <c r="J63" s="73"/>
      <c r="K63" s="73"/>
      <c r="L63" s="73"/>
      <c r="M63" s="74"/>
      <c r="N63" s="71" t="str">
        <f t="shared" si="0"/>
        <v/>
      </c>
      <c r="O63" s="75"/>
      <c r="P63" s="72"/>
      <c r="Q63" s="72"/>
      <c r="R63" s="72"/>
      <c r="S63" s="72"/>
      <c r="T63" s="72"/>
      <c r="U63" s="72"/>
      <c r="V63" s="76"/>
    </row>
    <row r="64" spans="1:22" ht="27.75" customHeight="1">
      <c r="A64" s="87" t="str">
        <f>IF(ISBLANK(C64)," ",59-COUNTBLANK($C$6:C64))</f>
        <v xml:space="preserve"> </v>
      </c>
      <c r="B64" s="88"/>
      <c r="C64" s="88"/>
      <c r="D64" s="89"/>
      <c r="E64" s="89"/>
      <c r="F64" s="73"/>
      <c r="G64" s="73"/>
      <c r="H64" s="73"/>
      <c r="I64" s="73"/>
      <c r="J64" s="73"/>
      <c r="K64" s="73"/>
      <c r="L64" s="73"/>
      <c r="M64" s="74"/>
      <c r="N64" s="71" t="str">
        <f t="shared" si="0"/>
        <v/>
      </c>
      <c r="O64" s="75"/>
      <c r="P64" s="72"/>
      <c r="Q64" s="72"/>
      <c r="R64" s="72"/>
      <c r="S64" s="72"/>
      <c r="T64" s="72"/>
      <c r="U64" s="72"/>
      <c r="V64" s="76"/>
    </row>
    <row r="65" spans="1:25" ht="27.75" customHeight="1">
      <c r="A65" s="87" t="str">
        <f>IF(ISBLANK(C65)," ",60-COUNTBLANK($C$6:C65))</f>
        <v xml:space="preserve"> </v>
      </c>
      <c r="B65" s="88"/>
      <c r="C65" s="88"/>
      <c r="D65" s="89"/>
      <c r="E65" s="89"/>
      <c r="F65" s="73"/>
      <c r="G65" s="73"/>
      <c r="H65" s="73"/>
      <c r="I65" s="73"/>
      <c r="J65" s="73"/>
      <c r="K65" s="73"/>
      <c r="L65" s="73"/>
      <c r="M65" s="74"/>
      <c r="N65" s="71" t="str">
        <f t="shared" si="0"/>
        <v/>
      </c>
      <c r="O65" s="75"/>
      <c r="P65" s="72"/>
      <c r="Q65" s="72"/>
      <c r="R65" s="72"/>
      <c r="S65" s="72"/>
      <c r="T65" s="72"/>
      <c r="U65" s="72"/>
      <c r="V65" s="76"/>
    </row>
    <row r="66" spans="1:25" ht="27.75" customHeight="1">
      <c r="A66" s="87" t="str">
        <f>IF(ISBLANK(C66)," ",61-COUNTBLANK($C$6:C66))</f>
        <v xml:space="preserve"> </v>
      </c>
      <c r="B66" s="88"/>
      <c r="C66" s="88"/>
      <c r="D66" s="89"/>
      <c r="E66" s="89"/>
      <c r="F66" s="73"/>
      <c r="G66" s="73"/>
      <c r="H66" s="73"/>
      <c r="I66" s="73"/>
      <c r="J66" s="73"/>
      <c r="K66" s="73"/>
      <c r="L66" s="73"/>
      <c r="M66" s="74"/>
      <c r="N66" s="71" t="str">
        <f t="shared" si="0"/>
        <v/>
      </c>
      <c r="O66" s="75"/>
      <c r="P66" s="72"/>
      <c r="Q66" s="72"/>
      <c r="R66" s="72"/>
      <c r="S66" s="72"/>
      <c r="T66" s="72"/>
      <c r="U66" s="72"/>
      <c r="V66" s="76"/>
    </row>
    <row r="67" spans="1:25" ht="27.75" customHeight="1">
      <c r="A67" s="87" t="str">
        <f>IF(ISBLANK(C67)," ",62-COUNTBLANK($C$6:C67))</f>
        <v xml:space="preserve"> </v>
      </c>
      <c r="B67" s="88"/>
      <c r="C67" s="88"/>
      <c r="D67" s="89"/>
      <c r="E67" s="89"/>
      <c r="F67" s="73"/>
      <c r="G67" s="73"/>
      <c r="H67" s="73"/>
      <c r="I67" s="73"/>
      <c r="J67" s="73"/>
      <c r="K67" s="73"/>
      <c r="L67" s="73"/>
      <c r="M67" s="74"/>
      <c r="N67" s="71" t="str">
        <f t="shared" si="0"/>
        <v/>
      </c>
      <c r="O67" s="72"/>
      <c r="P67" s="72"/>
      <c r="Q67" s="72"/>
      <c r="R67" s="72"/>
      <c r="S67" s="72"/>
      <c r="T67" s="72"/>
      <c r="U67" s="72"/>
      <c r="V67" s="79"/>
      <c r="W67" s="72"/>
      <c r="X67" s="72"/>
      <c r="Y67" s="72"/>
    </row>
    <row r="68" spans="1:25" ht="27.75" customHeight="1">
      <c r="A68" s="80" t="s">
        <v>52</v>
      </c>
      <c r="B68" s="81"/>
      <c r="C68" s="96"/>
      <c r="D68" s="82"/>
      <c r="E68" s="82">
        <f>SUM(E48:E67)</f>
        <v>0</v>
      </c>
      <c r="F68" s="83"/>
      <c r="G68" s="83"/>
      <c r="H68" s="83"/>
      <c r="I68" s="83"/>
      <c r="J68" s="83"/>
      <c r="K68" s="83"/>
      <c r="L68" s="83"/>
      <c r="M68" s="84"/>
      <c r="N68" s="71" t="str">
        <f t="shared" si="0"/>
        <v/>
      </c>
      <c r="O68" s="75"/>
      <c r="P68" s="72"/>
      <c r="Q68" s="72"/>
      <c r="R68" s="72"/>
      <c r="S68" s="72"/>
      <c r="T68" s="72"/>
      <c r="U68" s="72"/>
      <c r="V68" s="79"/>
      <c r="W68" s="72"/>
      <c r="X68" s="72"/>
      <c r="Y68" s="72"/>
    </row>
    <row r="69" spans="1:25" ht="27.75" customHeight="1">
      <c r="A69" s="93" t="str">
        <f>IF(ISBLANK(C69)," ",64-COUNTBLANK($C$6:C69))</f>
        <v xml:space="preserve"> </v>
      </c>
      <c r="B69" s="94"/>
      <c r="C69" s="94"/>
      <c r="D69" s="95"/>
      <c r="E69" s="95"/>
      <c r="F69" s="85"/>
      <c r="G69" s="85"/>
      <c r="H69" s="85"/>
      <c r="I69" s="85"/>
      <c r="J69" s="85"/>
      <c r="K69" s="85"/>
      <c r="L69" s="85"/>
      <c r="M69" s="86"/>
      <c r="N69" s="71" t="str">
        <f t="shared" si="0"/>
        <v/>
      </c>
      <c r="O69" s="72"/>
      <c r="P69" s="72"/>
      <c r="Q69" s="72"/>
      <c r="R69" s="72"/>
      <c r="S69" s="72"/>
      <c r="T69" s="72"/>
      <c r="U69" s="72"/>
      <c r="V69" s="72"/>
    </row>
    <row r="70" spans="1:25" ht="27.75" customHeight="1">
      <c r="A70" s="87" t="str">
        <f>IF(ISBLANK(C70)," ",65-COUNTBLANK($C$6:C70))</f>
        <v xml:space="preserve"> </v>
      </c>
      <c r="B70" s="88"/>
      <c r="C70" s="88"/>
      <c r="D70" s="89"/>
      <c r="E70" s="89"/>
      <c r="F70" s="73"/>
      <c r="G70" s="73"/>
      <c r="H70" s="73"/>
      <c r="I70" s="73"/>
      <c r="J70" s="73"/>
      <c r="K70" s="73"/>
      <c r="L70" s="73"/>
      <c r="M70" s="74"/>
      <c r="N70" s="71" t="str">
        <f t="shared" ref="N70:N133" si="1">CONCATENATE(C70,H70)</f>
        <v/>
      </c>
      <c r="O70" s="72"/>
      <c r="P70" s="72"/>
      <c r="Q70" s="72"/>
      <c r="R70" s="72"/>
      <c r="S70" s="72"/>
      <c r="T70" s="72"/>
      <c r="U70" s="72"/>
      <c r="V70" s="72"/>
    </row>
    <row r="71" spans="1:25" ht="27.75" customHeight="1">
      <c r="A71" s="87" t="str">
        <f>IF(ISBLANK(C71)," ",66-COUNTBLANK($C$6:C71))</f>
        <v xml:space="preserve"> </v>
      </c>
      <c r="B71" s="88"/>
      <c r="C71" s="88"/>
      <c r="D71" s="89"/>
      <c r="E71" s="89"/>
      <c r="F71" s="73"/>
      <c r="G71" s="73"/>
      <c r="H71" s="73"/>
      <c r="I71" s="73"/>
      <c r="J71" s="73"/>
      <c r="K71" s="73"/>
      <c r="L71" s="73"/>
      <c r="M71" s="74"/>
      <c r="N71" s="71" t="str">
        <f t="shared" si="1"/>
        <v/>
      </c>
      <c r="O71" s="72"/>
      <c r="P71" s="72"/>
      <c r="Q71" s="72"/>
      <c r="R71" s="72"/>
      <c r="S71" s="72"/>
      <c r="T71" s="72"/>
      <c r="U71" s="72"/>
      <c r="V71" s="72"/>
    </row>
    <row r="72" spans="1:25" ht="27.75" customHeight="1">
      <c r="A72" s="87" t="str">
        <f>IF(ISBLANK(C72)," ",67-COUNTBLANK($C$6:C72))</f>
        <v xml:space="preserve"> </v>
      </c>
      <c r="B72" s="88"/>
      <c r="C72" s="88"/>
      <c r="D72" s="89"/>
      <c r="E72" s="89"/>
      <c r="F72" s="73"/>
      <c r="G72" s="73"/>
      <c r="H72" s="73"/>
      <c r="I72" s="73"/>
      <c r="J72" s="73"/>
      <c r="K72" s="73"/>
      <c r="L72" s="73"/>
      <c r="M72" s="74"/>
      <c r="N72" s="71" t="str">
        <f t="shared" si="1"/>
        <v/>
      </c>
      <c r="O72" s="72"/>
      <c r="P72" s="72"/>
      <c r="Q72" s="72"/>
      <c r="R72" s="72"/>
      <c r="S72" s="72"/>
      <c r="T72" s="72"/>
      <c r="U72" s="72"/>
      <c r="V72" s="72"/>
    </row>
    <row r="73" spans="1:25" ht="27.75" customHeight="1">
      <c r="A73" s="87" t="str">
        <f>IF(ISBLANK(C73)," ",68-COUNTBLANK($C$6:C73))</f>
        <v xml:space="preserve"> </v>
      </c>
      <c r="B73" s="88"/>
      <c r="C73" s="88"/>
      <c r="D73" s="89"/>
      <c r="E73" s="89"/>
      <c r="F73" s="73"/>
      <c r="G73" s="73"/>
      <c r="H73" s="73"/>
      <c r="I73" s="73"/>
      <c r="J73" s="73"/>
      <c r="K73" s="73"/>
      <c r="L73" s="73"/>
      <c r="M73" s="74"/>
      <c r="N73" s="71" t="str">
        <f t="shared" si="1"/>
        <v/>
      </c>
      <c r="O73" s="72"/>
      <c r="P73" s="72"/>
      <c r="Q73" s="72"/>
      <c r="R73" s="72"/>
      <c r="S73" s="72"/>
      <c r="T73" s="72"/>
      <c r="U73" s="72"/>
      <c r="V73" s="72"/>
    </row>
    <row r="74" spans="1:25" ht="27.75" customHeight="1">
      <c r="A74" s="87" t="str">
        <f>IF(ISBLANK(C74)," ",69-COUNTBLANK($C$6:C74))</f>
        <v xml:space="preserve"> </v>
      </c>
      <c r="B74" s="88"/>
      <c r="C74" s="88"/>
      <c r="D74" s="89"/>
      <c r="E74" s="89"/>
      <c r="F74" s="73"/>
      <c r="G74" s="73"/>
      <c r="H74" s="73"/>
      <c r="I74" s="73"/>
      <c r="J74" s="73"/>
      <c r="K74" s="73"/>
      <c r="L74" s="73"/>
      <c r="M74" s="74"/>
      <c r="N74" s="71" t="str">
        <f t="shared" si="1"/>
        <v/>
      </c>
      <c r="O74" s="72"/>
      <c r="P74" s="72"/>
      <c r="Q74" s="72"/>
      <c r="R74" s="72"/>
      <c r="S74" s="72"/>
      <c r="T74" s="72"/>
      <c r="U74" s="72"/>
      <c r="V74" s="72"/>
    </row>
    <row r="75" spans="1:25" ht="27.75" customHeight="1">
      <c r="A75" s="87" t="str">
        <f>IF(ISBLANK(C75)," ",70-COUNTBLANK($C$6:C75))</f>
        <v xml:space="preserve"> </v>
      </c>
      <c r="B75" s="88"/>
      <c r="C75" s="88"/>
      <c r="D75" s="89"/>
      <c r="E75" s="89"/>
      <c r="F75" s="73"/>
      <c r="G75" s="73"/>
      <c r="H75" s="73"/>
      <c r="I75" s="73"/>
      <c r="J75" s="73"/>
      <c r="K75" s="73"/>
      <c r="L75" s="73"/>
      <c r="M75" s="74"/>
      <c r="N75" s="71" t="str">
        <f t="shared" si="1"/>
        <v/>
      </c>
      <c r="O75" s="72"/>
      <c r="P75" s="72"/>
      <c r="Q75" s="72"/>
      <c r="R75" s="72"/>
      <c r="S75" s="72"/>
      <c r="T75" s="72"/>
      <c r="U75" s="72"/>
      <c r="V75" s="72"/>
    </row>
    <row r="76" spans="1:25" ht="27.75" customHeight="1">
      <c r="A76" s="87" t="str">
        <f>IF(ISBLANK(C76)," ",71-COUNTBLANK($C$6:C76))</f>
        <v xml:space="preserve"> </v>
      </c>
      <c r="B76" s="88"/>
      <c r="C76" s="88"/>
      <c r="D76" s="89"/>
      <c r="E76" s="89"/>
      <c r="F76" s="73"/>
      <c r="G76" s="73"/>
      <c r="H76" s="73"/>
      <c r="I76" s="73"/>
      <c r="J76" s="73"/>
      <c r="K76" s="73"/>
      <c r="L76" s="73"/>
      <c r="M76" s="74"/>
      <c r="N76" s="71" t="str">
        <f t="shared" si="1"/>
        <v/>
      </c>
      <c r="O76" s="72"/>
      <c r="P76" s="72"/>
      <c r="Q76" s="72"/>
      <c r="R76" s="72"/>
      <c r="S76" s="72"/>
      <c r="T76" s="72"/>
      <c r="U76" s="72"/>
      <c r="V76" s="72"/>
    </row>
    <row r="77" spans="1:25" ht="27.75" customHeight="1">
      <c r="A77" s="87" t="str">
        <f>IF(ISBLANK(C77)," ",72-COUNTBLANK($C$6:C77))</f>
        <v xml:space="preserve"> </v>
      </c>
      <c r="B77" s="88"/>
      <c r="C77" s="88"/>
      <c r="D77" s="89"/>
      <c r="E77" s="89"/>
      <c r="F77" s="73"/>
      <c r="G77" s="73"/>
      <c r="H77" s="73"/>
      <c r="I77" s="73"/>
      <c r="J77" s="73"/>
      <c r="K77" s="73"/>
      <c r="L77" s="73"/>
      <c r="M77" s="74"/>
      <c r="N77" s="71" t="str">
        <f t="shared" si="1"/>
        <v/>
      </c>
      <c r="O77" s="72"/>
      <c r="P77" s="72"/>
      <c r="Q77" s="72"/>
      <c r="R77" s="72"/>
      <c r="S77" s="72"/>
      <c r="T77" s="72"/>
      <c r="U77" s="72"/>
      <c r="V77" s="72"/>
    </row>
    <row r="78" spans="1:25" ht="27.75" customHeight="1">
      <c r="A78" s="87" t="str">
        <f>IF(ISBLANK(C78)," ",73-COUNTBLANK($C$6:C78))</f>
        <v xml:space="preserve"> </v>
      </c>
      <c r="B78" s="88"/>
      <c r="C78" s="88"/>
      <c r="D78" s="89"/>
      <c r="E78" s="89"/>
      <c r="F78" s="73"/>
      <c r="G78" s="73"/>
      <c r="H78" s="73"/>
      <c r="I78" s="73"/>
      <c r="J78" s="73"/>
      <c r="K78" s="73"/>
      <c r="L78" s="73"/>
      <c r="M78" s="74"/>
      <c r="N78" s="71" t="str">
        <f t="shared" si="1"/>
        <v/>
      </c>
      <c r="O78" s="72"/>
      <c r="P78" s="72"/>
      <c r="Q78" s="72"/>
      <c r="R78" s="72"/>
      <c r="S78" s="72"/>
      <c r="T78" s="72"/>
      <c r="U78" s="72"/>
      <c r="V78" s="72"/>
    </row>
    <row r="79" spans="1:25" ht="27.75" customHeight="1">
      <c r="A79" s="87" t="str">
        <f>IF(ISBLANK(C79)," ",74-COUNTBLANK($C$6:C79))</f>
        <v xml:space="preserve"> </v>
      </c>
      <c r="B79" s="88"/>
      <c r="C79" s="88"/>
      <c r="D79" s="89"/>
      <c r="E79" s="89"/>
      <c r="F79" s="73"/>
      <c r="G79" s="73"/>
      <c r="H79" s="73"/>
      <c r="I79" s="73"/>
      <c r="J79" s="73"/>
      <c r="K79" s="73"/>
      <c r="L79" s="73"/>
      <c r="M79" s="74"/>
      <c r="N79" s="71" t="str">
        <f t="shared" si="1"/>
        <v/>
      </c>
      <c r="O79" s="72"/>
      <c r="P79" s="72"/>
      <c r="Q79" s="72"/>
      <c r="R79" s="72"/>
      <c r="S79" s="72"/>
      <c r="T79" s="72"/>
      <c r="U79" s="72"/>
      <c r="V79" s="72"/>
    </row>
    <row r="80" spans="1:25" ht="27.75" customHeight="1">
      <c r="A80" s="87" t="str">
        <f>IF(ISBLANK(C80)," ",75-COUNTBLANK($C$6:C80))</f>
        <v xml:space="preserve"> </v>
      </c>
      <c r="B80" s="88"/>
      <c r="C80" s="88"/>
      <c r="D80" s="89"/>
      <c r="E80" s="89"/>
      <c r="F80" s="73"/>
      <c r="G80" s="73"/>
      <c r="H80" s="73"/>
      <c r="I80" s="73"/>
      <c r="J80" s="73"/>
      <c r="K80" s="73"/>
      <c r="L80" s="73"/>
      <c r="M80" s="74"/>
      <c r="N80" s="71" t="str">
        <f t="shared" si="1"/>
        <v/>
      </c>
      <c r="O80" s="72"/>
      <c r="P80" s="72"/>
      <c r="Q80" s="72"/>
      <c r="R80" s="72"/>
      <c r="S80" s="72"/>
      <c r="T80" s="72"/>
      <c r="U80" s="72"/>
      <c r="V80" s="72"/>
    </row>
    <row r="81" spans="1:25" ht="27.75" customHeight="1">
      <c r="A81" s="87" t="str">
        <f>IF(ISBLANK(C81)," ",76-COUNTBLANK($C$6:C81))</f>
        <v xml:space="preserve"> </v>
      </c>
      <c r="B81" s="88"/>
      <c r="C81" s="88"/>
      <c r="D81" s="89"/>
      <c r="E81" s="89"/>
      <c r="F81" s="73"/>
      <c r="G81" s="73"/>
      <c r="H81" s="73"/>
      <c r="I81" s="73"/>
      <c r="J81" s="73"/>
      <c r="K81" s="73"/>
      <c r="L81" s="73"/>
      <c r="M81" s="74"/>
      <c r="N81" s="71" t="str">
        <f t="shared" si="1"/>
        <v/>
      </c>
      <c r="O81" s="72"/>
      <c r="P81" s="72"/>
      <c r="Q81" s="72"/>
      <c r="R81" s="72"/>
      <c r="S81" s="72"/>
      <c r="T81" s="72"/>
      <c r="U81" s="72"/>
      <c r="V81" s="72"/>
    </row>
    <row r="82" spans="1:25" ht="27.75" customHeight="1">
      <c r="A82" s="87" t="str">
        <f>IF(ISBLANK(C82)," ",77-COUNTBLANK($C$6:C82))</f>
        <v xml:space="preserve"> </v>
      </c>
      <c r="B82" s="88"/>
      <c r="C82" s="88"/>
      <c r="D82" s="89"/>
      <c r="E82" s="89"/>
      <c r="F82" s="73"/>
      <c r="G82" s="73"/>
      <c r="H82" s="73"/>
      <c r="I82" s="73"/>
      <c r="J82" s="73"/>
      <c r="K82" s="73"/>
      <c r="L82" s="73"/>
      <c r="M82" s="74"/>
      <c r="N82" s="71" t="str">
        <f t="shared" si="1"/>
        <v/>
      </c>
      <c r="O82" s="72"/>
      <c r="P82" s="72"/>
      <c r="Q82" s="72"/>
      <c r="R82" s="72"/>
      <c r="S82" s="72"/>
      <c r="T82" s="72"/>
      <c r="U82" s="72"/>
      <c r="V82" s="72"/>
    </row>
    <row r="83" spans="1:25" ht="27.75" customHeight="1">
      <c r="A83" s="87" t="str">
        <f>IF(ISBLANK(C83)," ",78-COUNTBLANK($C$6:C83))</f>
        <v xml:space="preserve"> </v>
      </c>
      <c r="B83" s="88"/>
      <c r="C83" s="88"/>
      <c r="D83" s="89"/>
      <c r="E83" s="89"/>
      <c r="F83" s="73"/>
      <c r="G83" s="73"/>
      <c r="H83" s="73"/>
      <c r="I83" s="73"/>
      <c r="J83" s="73"/>
      <c r="K83" s="73"/>
      <c r="L83" s="73"/>
      <c r="M83" s="74"/>
      <c r="N83" s="71" t="str">
        <f t="shared" si="1"/>
        <v/>
      </c>
      <c r="O83" s="72"/>
      <c r="P83" s="72"/>
      <c r="Q83" s="72"/>
      <c r="R83" s="72"/>
      <c r="S83" s="72"/>
      <c r="T83" s="72"/>
      <c r="U83" s="72"/>
      <c r="V83" s="72"/>
    </row>
    <row r="84" spans="1:25" ht="27.75" customHeight="1">
      <c r="A84" s="87" t="str">
        <f>IF(ISBLANK(C84)," ",79-COUNTBLANK($C$6:C84))</f>
        <v xml:space="preserve"> </v>
      </c>
      <c r="B84" s="88"/>
      <c r="C84" s="88"/>
      <c r="D84" s="89"/>
      <c r="E84" s="89"/>
      <c r="F84" s="73"/>
      <c r="G84" s="73"/>
      <c r="H84" s="73"/>
      <c r="I84" s="73"/>
      <c r="J84" s="73"/>
      <c r="K84" s="73"/>
      <c r="L84" s="73"/>
      <c r="M84" s="74"/>
      <c r="N84" s="71" t="str">
        <f t="shared" si="1"/>
        <v/>
      </c>
      <c r="O84" s="75"/>
      <c r="P84" s="72"/>
      <c r="Q84" s="72"/>
      <c r="R84" s="72"/>
      <c r="S84" s="72"/>
      <c r="T84" s="72"/>
      <c r="U84" s="72"/>
      <c r="V84" s="76"/>
    </row>
    <row r="85" spans="1:25" ht="27.75" customHeight="1">
      <c r="A85" s="87" t="str">
        <f>IF(ISBLANK(C85)," ",80-COUNTBLANK($C$6:C85))</f>
        <v xml:space="preserve"> </v>
      </c>
      <c r="B85" s="88"/>
      <c r="C85" s="88"/>
      <c r="D85" s="89"/>
      <c r="E85" s="89"/>
      <c r="F85" s="73"/>
      <c r="G85" s="73"/>
      <c r="H85" s="73"/>
      <c r="I85" s="73"/>
      <c r="J85" s="73"/>
      <c r="K85" s="73"/>
      <c r="L85" s="73"/>
      <c r="M85" s="74"/>
      <c r="N85" s="71" t="str">
        <f t="shared" si="1"/>
        <v/>
      </c>
      <c r="O85" s="75"/>
      <c r="P85" s="72"/>
      <c r="Q85" s="72"/>
      <c r="R85" s="72"/>
      <c r="S85" s="72"/>
      <c r="T85" s="72"/>
      <c r="U85" s="72"/>
      <c r="V85" s="76"/>
    </row>
    <row r="86" spans="1:25" ht="27.75" customHeight="1">
      <c r="A86" s="87" t="str">
        <f>IF(ISBLANK(C86)," ",81-COUNTBLANK($C$6:C86))</f>
        <v xml:space="preserve"> </v>
      </c>
      <c r="B86" s="88"/>
      <c r="C86" s="88"/>
      <c r="D86" s="89"/>
      <c r="E86" s="89"/>
      <c r="F86" s="73"/>
      <c r="G86" s="73"/>
      <c r="H86" s="73"/>
      <c r="I86" s="73"/>
      <c r="J86" s="73"/>
      <c r="K86" s="73"/>
      <c r="L86" s="73"/>
      <c r="M86" s="74"/>
      <c r="N86" s="71" t="str">
        <f t="shared" si="1"/>
        <v/>
      </c>
      <c r="O86" s="75"/>
      <c r="P86" s="72"/>
      <c r="Q86" s="72"/>
      <c r="R86" s="72"/>
      <c r="S86" s="72"/>
      <c r="T86" s="72"/>
      <c r="U86" s="72"/>
      <c r="V86" s="76"/>
    </row>
    <row r="87" spans="1:25" ht="27.75" customHeight="1">
      <c r="A87" s="87" t="str">
        <f>IF(ISBLANK(C87)," ",82-COUNTBLANK($C$6:C87))</f>
        <v xml:space="preserve"> </v>
      </c>
      <c r="B87" s="88"/>
      <c r="C87" s="88"/>
      <c r="D87" s="89"/>
      <c r="E87" s="89"/>
      <c r="F87" s="73"/>
      <c r="G87" s="73"/>
      <c r="H87" s="73"/>
      <c r="I87" s="73"/>
      <c r="J87" s="73"/>
      <c r="K87" s="73"/>
      <c r="L87" s="73"/>
      <c r="M87" s="74"/>
      <c r="N87" s="71" t="str">
        <f t="shared" si="1"/>
        <v/>
      </c>
      <c r="O87" s="75"/>
      <c r="P87" s="72"/>
      <c r="Q87" s="72"/>
      <c r="R87" s="72"/>
      <c r="S87" s="72"/>
      <c r="T87" s="72"/>
      <c r="U87" s="72"/>
      <c r="V87" s="76"/>
    </row>
    <row r="88" spans="1:25" ht="27.75" customHeight="1">
      <c r="A88" s="87" t="str">
        <f>IF(ISBLANK(C88)," ",83-COUNTBLANK($C$6:C88))</f>
        <v xml:space="preserve"> </v>
      </c>
      <c r="B88" s="88"/>
      <c r="C88" s="88"/>
      <c r="D88" s="89"/>
      <c r="E88" s="89"/>
      <c r="F88" s="73"/>
      <c r="G88" s="73"/>
      <c r="H88" s="73"/>
      <c r="I88" s="73"/>
      <c r="J88" s="73"/>
      <c r="K88" s="73"/>
      <c r="L88" s="73"/>
      <c r="M88" s="74"/>
      <c r="N88" s="71" t="str">
        <f t="shared" si="1"/>
        <v/>
      </c>
      <c r="O88" s="72"/>
      <c r="P88" s="72"/>
      <c r="Q88" s="72"/>
      <c r="R88" s="72"/>
      <c r="S88" s="72"/>
      <c r="T88" s="72"/>
      <c r="U88" s="72"/>
      <c r="V88" s="79"/>
      <c r="W88" s="72"/>
      <c r="X88" s="72"/>
      <c r="Y88" s="72"/>
    </row>
    <row r="89" spans="1:25" ht="27.75" customHeight="1">
      <c r="A89" s="80" t="s">
        <v>52</v>
      </c>
      <c r="B89" s="81"/>
      <c r="C89" s="96"/>
      <c r="D89" s="82"/>
      <c r="E89" s="82">
        <f>SUM(E69:E88)</f>
        <v>0</v>
      </c>
      <c r="F89" s="83"/>
      <c r="G89" s="83"/>
      <c r="H89" s="83"/>
      <c r="I89" s="83"/>
      <c r="J89" s="83"/>
      <c r="K89" s="83"/>
      <c r="L89" s="83"/>
      <c r="M89" s="84"/>
      <c r="N89" s="71" t="str">
        <f t="shared" si="1"/>
        <v/>
      </c>
      <c r="O89" s="75"/>
      <c r="P89" s="72"/>
      <c r="Q89" s="72"/>
      <c r="R89" s="72"/>
      <c r="S89" s="72"/>
      <c r="T89" s="72"/>
      <c r="U89" s="72"/>
      <c r="V89" s="79"/>
      <c r="W89" s="72"/>
      <c r="X89" s="72"/>
      <c r="Y89" s="72"/>
    </row>
    <row r="90" spans="1:25" ht="27.75" customHeight="1">
      <c r="A90" s="93" t="str">
        <f>IF(ISBLANK(C90)," ",85-COUNTBLANK($C$6:C90))</f>
        <v xml:space="preserve"> </v>
      </c>
      <c r="B90" s="94"/>
      <c r="C90" s="94"/>
      <c r="D90" s="95"/>
      <c r="E90" s="95"/>
      <c r="F90" s="85"/>
      <c r="G90" s="85"/>
      <c r="H90" s="85"/>
      <c r="I90" s="85"/>
      <c r="J90" s="85"/>
      <c r="K90" s="85"/>
      <c r="L90" s="85"/>
      <c r="M90" s="86"/>
      <c r="N90" s="71" t="str">
        <f t="shared" si="1"/>
        <v/>
      </c>
      <c r="O90" s="72"/>
      <c r="P90" s="72"/>
      <c r="Q90" s="72"/>
      <c r="R90" s="72"/>
      <c r="S90" s="72"/>
      <c r="T90" s="72"/>
      <c r="U90" s="72"/>
      <c r="V90" s="72"/>
    </row>
    <row r="91" spans="1:25" ht="27.75" customHeight="1">
      <c r="A91" s="87" t="str">
        <f>IF(ISBLANK(C91)," ",86-COUNTBLANK($C$6:C91))</f>
        <v xml:space="preserve"> </v>
      </c>
      <c r="B91" s="88"/>
      <c r="C91" s="88"/>
      <c r="D91" s="89"/>
      <c r="E91" s="89"/>
      <c r="F91" s="73"/>
      <c r="G91" s="73"/>
      <c r="H91" s="73"/>
      <c r="I91" s="73"/>
      <c r="J91" s="73"/>
      <c r="K91" s="73"/>
      <c r="L91" s="73"/>
      <c r="M91" s="74"/>
      <c r="N91" s="71" t="str">
        <f t="shared" si="1"/>
        <v/>
      </c>
      <c r="O91" s="72"/>
      <c r="P91" s="72"/>
      <c r="Q91" s="72"/>
      <c r="R91" s="72"/>
      <c r="S91" s="72"/>
      <c r="T91" s="72"/>
      <c r="U91" s="72"/>
      <c r="V91" s="72"/>
    </row>
    <row r="92" spans="1:25" ht="27.75" customHeight="1">
      <c r="A92" s="87" t="str">
        <f>IF(ISBLANK(C92)," ",87-COUNTBLANK($C$6:C92))</f>
        <v xml:space="preserve"> </v>
      </c>
      <c r="B92" s="88"/>
      <c r="C92" s="88"/>
      <c r="D92" s="89"/>
      <c r="E92" s="89"/>
      <c r="F92" s="73"/>
      <c r="G92" s="73"/>
      <c r="H92" s="73"/>
      <c r="I92" s="73"/>
      <c r="J92" s="73"/>
      <c r="K92" s="73"/>
      <c r="L92" s="73"/>
      <c r="M92" s="74"/>
      <c r="N92" s="71" t="str">
        <f t="shared" si="1"/>
        <v/>
      </c>
      <c r="O92" s="72"/>
      <c r="P92" s="72"/>
      <c r="Q92" s="72"/>
      <c r="R92" s="72"/>
      <c r="S92" s="72"/>
      <c r="T92" s="72"/>
      <c r="U92" s="72"/>
      <c r="V92" s="72"/>
    </row>
    <row r="93" spans="1:25" ht="27.75" customHeight="1">
      <c r="A93" s="87" t="str">
        <f>IF(ISBLANK(C93)," ",88-COUNTBLANK($C$6:C93))</f>
        <v xml:space="preserve"> </v>
      </c>
      <c r="B93" s="88"/>
      <c r="C93" s="88"/>
      <c r="D93" s="89"/>
      <c r="E93" s="89"/>
      <c r="F93" s="73"/>
      <c r="G93" s="73"/>
      <c r="H93" s="73"/>
      <c r="I93" s="73"/>
      <c r="J93" s="73"/>
      <c r="K93" s="73"/>
      <c r="L93" s="73"/>
      <c r="M93" s="74"/>
      <c r="N93" s="71" t="str">
        <f t="shared" si="1"/>
        <v/>
      </c>
      <c r="O93" s="72"/>
      <c r="P93" s="72"/>
      <c r="Q93" s="72"/>
      <c r="R93" s="72"/>
      <c r="S93" s="72"/>
      <c r="T93" s="72"/>
      <c r="U93" s="72"/>
      <c r="V93" s="72"/>
    </row>
    <row r="94" spans="1:25" ht="27.75" customHeight="1">
      <c r="A94" s="87" t="str">
        <f>IF(ISBLANK(C94)," ",89-COUNTBLANK($C$6:C94))</f>
        <v xml:space="preserve"> </v>
      </c>
      <c r="B94" s="88"/>
      <c r="C94" s="88"/>
      <c r="D94" s="89"/>
      <c r="E94" s="89"/>
      <c r="F94" s="73"/>
      <c r="G94" s="73"/>
      <c r="H94" s="73"/>
      <c r="I94" s="73"/>
      <c r="J94" s="73"/>
      <c r="K94" s="73"/>
      <c r="L94" s="73"/>
      <c r="M94" s="74"/>
      <c r="N94" s="71" t="str">
        <f t="shared" si="1"/>
        <v/>
      </c>
      <c r="O94" s="72"/>
      <c r="P94" s="72"/>
      <c r="Q94" s="72"/>
      <c r="R94" s="72"/>
      <c r="S94" s="72"/>
      <c r="T94" s="72"/>
      <c r="U94" s="72"/>
      <c r="V94" s="72"/>
    </row>
    <row r="95" spans="1:25" ht="27.75" customHeight="1">
      <c r="A95" s="87" t="str">
        <f>IF(ISBLANK(C95)," ",90-COUNTBLANK($C$6:C95))</f>
        <v xml:space="preserve"> </v>
      </c>
      <c r="B95" s="88"/>
      <c r="C95" s="88"/>
      <c r="D95" s="89"/>
      <c r="E95" s="89"/>
      <c r="F95" s="73"/>
      <c r="G95" s="73"/>
      <c r="H95" s="73"/>
      <c r="I95" s="73"/>
      <c r="J95" s="73"/>
      <c r="K95" s="73"/>
      <c r="L95" s="73"/>
      <c r="M95" s="74"/>
      <c r="N95" s="71" t="str">
        <f t="shared" si="1"/>
        <v/>
      </c>
      <c r="O95" s="72"/>
      <c r="P95" s="72"/>
      <c r="Q95" s="72"/>
      <c r="R95" s="72"/>
      <c r="S95" s="72"/>
      <c r="T95" s="72"/>
      <c r="U95" s="72"/>
      <c r="V95" s="72"/>
    </row>
    <row r="96" spans="1:25" ht="27.75" customHeight="1">
      <c r="A96" s="87" t="str">
        <f>IF(ISBLANK(C96)," ",91-COUNTBLANK($C$6:C96))</f>
        <v xml:space="preserve"> </v>
      </c>
      <c r="B96" s="88"/>
      <c r="C96" s="88"/>
      <c r="D96" s="89"/>
      <c r="E96" s="89"/>
      <c r="F96" s="73"/>
      <c r="G96" s="73"/>
      <c r="H96" s="73"/>
      <c r="I96" s="73"/>
      <c r="J96" s="73"/>
      <c r="K96" s="73"/>
      <c r="L96" s="73"/>
      <c r="M96" s="74"/>
      <c r="N96" s="71" t="str">
        <f t="shared" si="1"/>
        <v/>
      </c>
      <c r="O96" s="72"/>
      <c r="P96" s="72"/>
      <c r="Q96" s="72"/>
      <c r="R96" s="72"/>
      <c r="S96" s="72"/>
      <c r="T96" s="72"/>
      <c r="U96" s="72"/>
      <c r="V96" s="72"/>
    </row>
    <row r="97" spans="1:25" ht="27.75" customHeight="1">
      <c r="A97" s="87" t="str">
        <f>IF(ISBLANK(C97)," ",92-COUNTBLANK($C$6:C97))</f>
        <v xml:space="preserve"> </v>
      </c>
      <c r="B97" s="88"/>
      <c r="C97" s="88"/>
      <c r="D97" s="89"/>
      <c r="E97" s="89"/>
      <c r="F97" s="73"/>
      <c r="G97" s="73"/>
      <c r="H97" s="73"/>
      <c r="I97" s="73"/>
      <c r="J97" s="73"/>
      <c r="K97" s="73"/>
      <c r="L97" s="73"/>
      <c r="M97" s="74"/>
      <c r="N97" s="71" t="str">
        <f t="shared" si="1"/>
        <v/>
      </c>
      <c r="O97" s="72"/>
      <c r="P97" s="72"/>
      <c r="Q97" s="72"/>
      <c r="R97" s="72"/>
      <c r="S97" s="72"/>
      <c r="T97" s="72"/>
      <c r="U97" s="72"/>
      <c r="V97" s="72"/>
    </row>
    <row r="98" spans="1:25" ht="27.75" customHeight="1">
      <c r="A98" s="87" t="str">
        <f>IF(ISBLANK(C98)," ",93-COUNTBLANK($C$6:C98))</f>
        <v xml:space="preserve"> </v>
      </c>
      <c r="B98" s="88"/>
      <c r="C98" s="88"/>
      <c r="D98" s="89"/>
      <c r="E98" s="89"/>
      <c r="F98" s="73"/>
      <c r="G98" s="73"/>
      <c r="H98" s="73"/>
      <c r="I98" s="73"/>
      <c r="J98" s="73"/>
      <c r="K98" s="73"/>
      <c r="L98" s="73"/>
      <c r="M98" s="74"/>
      <c r="N98" s="71" t="str">
        <f t="shared" si="1"/>
        <v/>
      </c>
      <c r="O98" s="72"/>
      <c r="P98" s="72"/>
      <c r="Q98" s="72"/>
      <c r="R98" s="72"/>
      <c r="S98" s="72"/>
      <c r="T98" s="72"/>
      <c r="U98" s="72"/>
      <c r="V98" s="72"/>
    </row>
    <row r="99" spans="1:25" ht="27.75" customHeight="1">
      <c r="A99" s="87" t="str">
        <f>IF(ISBLANK(C99)," ",94-COUNTBLANK($C$6:C99))</f>
        <v xml:space="preserve"> </v>
      </c>
      <c r="B99" s="88"/>
      <c r="C99" s="88"/>
      <c r="D99" s="89"/>
      <c r="E99" s="89"/>
      <c r="F99" s="73"/>
      <c r="G99" s="73"/>
      <c r="H99" s="73"/>
      <c r="I99" s="73"/>
      <c r="J99" s="73"/>
      <c r="K99" s="73"/>
      <c r="L99" s="73"/>
      <c r="M99" s="74"/>
      <c r="N99" s="71" t="str">
        <f t="shared" si="1"/>
        <v/>
      </c>
      <c r="O99" s="72"/>
      <c r="P99" s="72"/>
      <c r="Q99" s="72"/>
      <c r="R99" s="72"/>
      <c r="S99" s="72"/>
      <c r="T99" s="72"/>
      <c r="U99" s="72"/>
      <c r="V99" s="72"/>
    </row>
    <row r="100" spans="1:25" ht="27.75" customHeight="1">
      <c r="A100" s="87" t="str">
        <f>IF(ISBLANK(C100)," ",95-COUNTBLANK($C$6:C100))</f>
        <v xml:space="preserve"> </v>
      </c>
      <c r="B100" s="88"/>
      <c r="C100" s="88"/>
      <c r="D100" s="89"/>
      <c r="E100" s="89"/>
      <c r="F100" s="73"/>
      <c r="G100" s="73"/>
      <c r="H100" s="73"/>
      <c r="I100" s="73"/>
      <c r="J100" s="73"/>
      <c r="K100" s="73"/>
      <c r="L100" s="73"/>
      <c r="M100" s="74"/>
      <c r="N100" s="71" t="str">
        <f t="shared" si="1"/>
        <v/>
      </c>
      <c r="O100" s="72"/>
      <c r="P100" s="72"/>
      <c r="Q100" s="72"/>
      <c r="R100" s="72"/>
      <c r="S100" s="72"/>
      <c r="T100" s="72"/>
      <c r="U100" s="72"/>
      <c r="V100" s="72"/>
    </row>
    <row r="101" spans="1:25" ht="27.75" customHeight="1">
      <c r="A101" s="87" t="str">
        <f>IF(ISBLANK(C101)," ",96-COUNTBLANK($C$6:C101))</f>
        <v xml:space="preserve"> </v>
      </c>
      <c r="B101" s="88"/>
      <c r="C101" s="88"/>
      <c r="D101" s="89"/>
      <c r="E101" s="89"/>
      <c r="F101" s="73"/>
      <c r="G101" s="73"/>
      <c r="H101" s="73"/>
      <c r="I101" s="73"/>
      <c r="J101" s="73"/>
      <c r="K101" s="73"/>
      <c r="L101" s="73"/>
      <c r="M101" s="74"/>
      <c r="N101" s="71" t="str">
        <f t="shared" si="1"/>
        <v/>
      </c>
      <c r="O101" s="72"/>
      <c r="P101" s="72"/>
      <c r="Q101" s="72"/>
      <c r="R101" s="72"/>
      <c r="S101" s="72"/>
      <c r="T101" s="72"/>
      <c r="U101" s="72"/>
      <c r="V101" s="72"/>
    </row>
    <row r="102" spans="1:25" ht="27.75" customHeight="1">
      <c r="A102" s="87" t="str">
        <f>IF(ISBLANK(C102)," ",97-COUNTBLANK($C$6:C102))</f>
        <v xml:space="preserve"> </v>
      </c>
      <c r="B102" s="88"/>
      <c r="C102" s="88"/>
      <c r="D102" s="89"/>
      <c r="E102" s="89"/>
      <c r="F102" s="73"/>
      <c r="G102" s="73"/>
      <c r="H102" s="73"/>
      <c r="I102" s="73"/>
      <c r="J102" s="73"/>
      <c r="K102" s="73"/>
      <c r="L102" s="73"/>
      <c r="M102" s="74"/>
      <c r="N102" s="71" t="str">
        <f t="shared" si="1"/>
        <v/>
      </c>
      <c r="O102" s="72"/>
      <c r="P102" s="72"/>
      <c r="Q102" s="72"/>
      <c r="R102" s="72"/>
      <c r="S102" s="72"/>
      <c r="T102" s="72"/>
      <c r="U102" s="72"/>
      <c r="V102" s="72"/>
    </row>
    <row r="103" spans="1:25" ht="27.75" customHeight="1">
      <c r="A103" s="87" t="str">
        <f>IF(ISBLANK(C103)," ",98-COUNTBLANK($C$6:C103))</f>
        <v xml:space="preserve"> </v>
      </c>
      <c r="B103" s="88"/>
      <c r="C103" s="88"/>
      <c r="D103" s="89"/>
      <c r="E103" s="89"/>
      <c r="F103" s="73"/>
      <c r="G103" s="73"/>
      <c r="H103" s="73"/>
      <c r="I103" s="73"/>
      <c r="J103" s="73"/>
      <c r="K103" s="73"/>
      <c r="L103" s="73"/>
      <c r="M103" s="74"/>
      <c r="N103" s="71" t="str">
        <f t="shared" si="1"/>
        <v/>
      </c>
      <c r="O103" s="72"/>
      <c r="P103" s="72"/>
      <c r="Q103" s="72"/>
      <c r="R103" s="72"/>
      <c r="S103" s="72"/>
      <c r="T103" s="72"/>
      <c r="U103" s="72"/>
      <c r="V103" s="72"/>
    </row>
    <row r="104" spans="1:25" ht="27.75" customHeight="1">
      <c r="A104" s="87" t="str">
        <f>IF(ISBLANK(C104)," ",99-COUNTBLANK($C$6:C104))</f>
        <v xml:space="preserve"> </v>
      </c>
      <c r="B104" s="88"/>
      <c r="C104" s="88"/>
      <c r="D104" s="89"/>
      <c r="E104" s="89"/>
      <c r="F104" s="73"/>
      <c r="G104" s="73"/>
      <c r="H104" s="73"/>
      <c r="I104" s="73"/>
      <c r="J104" s="73"/>
      <c r="K104" s="73"/>
      <c r="L104" s="73"/>
      <c r="M104" s="74"/>
      <c r="N104" s="71" t="str">
        <f t="shared" si="1"/>
        <v/>
      </c>
      <c r="O104" s="72"/>
      <c r="P104" s="72"/>
      <c r="Q104" s="72"/>
      <c r="R104" s="72"/>
      <c r="S104" s="72"/>
      <c r="T104" s="72"/>
      <c r="U104" s="72"/>
      <c r="V104" s="72"/>
    </row>
    <row r="105" spans="1:25" ht="27.75" customHeight="1">
      <c r="A105" s="87" t="str">
        <f>IF(ISBLANK(C105)," ",100-COUNTBLANK($C$6:C105))</f>
        <v xml:space="preserve"> </v>
      </c>
      <c r="B105" s="88"/>
      <c r="C105" s="88"/>
      <c r="D105" s="89"/>
      <c r="E105" s="89"/>
      <c r="F105" s="73"/>
      <c r="G105" s="73"/>
      <c r="H105" s="73"/>
      <c r="I105" s="73"/>
      <c r="J105" s="73"/>
      <c r="K105" s="73"/>
      <c r="L105" s="73"/>
      <c r="M105" s="74"/>
      <c r="N105" s="71" t="str">
        <f t="shared" si="1"/>
        <v/>
      </c>
      <c r="O105" s="75"/>
      <c r="P105" s="72"/>
      <c r="Q105" s="72"/>
      <c r="R105" s="72"/>
      <c r="S105" s="72"/>
      <c r="T105" s="72"/>
      <c r="U105" s="72"/>
      <c r="V105" s="76"/>
    </row>
    <row r="106" spans="1:25" ht="27.75" customHeight="1">
      <c r="A106" s="87" t="str">
        <f>IF(ISBLANK(C106)," ",101-COUNTBLANK($C$6:C106))</f>
        <v xml:space="preserve"> </v>
      </c>
      <c r="B106" s="88"/>
      <c r="C106" s="88"/>
      <c r="D106" s="89"/>
      <c r="E106" s="89"/>
      <c r="F106" s="73"/>
      <c r="G106" s="73"/>
      <c r="H106" s="73"/>
      <c r="I106" s="73"/>
      <c r="J106" s="73"/>
      <c r="K106" s="73"/>
      <c r="L106" s="73"/>
      <c r="M106" s="74"/>
      <c r="N106" s="71" t="str">
        <f t="shared" si="1"/>
        <v/>
      </c>
      <c r="O106" s="75"/>
      <c r="P106" s="72"/>
      <c r="Q106" s="72"/>
      <c r="R106" s="72"/>
      <c r="S106" s="72"/>
      <c r="T106" s="72"/>
      <c r="U106" s="72"/>
      <c r="V106" s="76"/>
    </row>
    <row r="107" spans="1:25" ht="27.75" customHeight="1">
      <c r="A107" s="87" t="str">
        <f>IF(ISBLANK(C107)," ",102-COUNTBLANK($C$6:C107))</f>
        <v xml:space="preserve"> </v>
      </c>
      <c r="B107" s="88"/>
      <c r="C107" s="88"/>
      <c r="D107" s="89"/>
      <c r="E107" s="89"/>
      <c r="F107" s="73"/>
      <c r="G107" s="73"/>
      <c r="H107" s="73"/>
      <c r="I107" s="73"/>
      <c r="J107" s="73"/>
      <c r="K107" s="73"/>
      <c r="L107" s="73"/>
      <c r="M107" s="74"/>
      <c r="N107" s="71" t="str">
        <f t="shared" si="1"/>
        <v/>
      </c>
      <c r="O107" s="75"/>
      <c r="P107" s="72"/>
      <c r="Q107" s="72"/>
      <c r="R107" s="72"/>
      <c r="S107" s="72"/>
      <c r="T107" s="72"/>
      <c r="U107" s="72"/>
      <c r="V107" s="76"/>
    </row>
    <row r="108" spans="1:25" ht="27.75" customHeight="1">
      <c r="A108" s="87" t="str">
        <f>IF(ISBLANK(C108)," ",103-COUNTBLANK($C$6:C108))</f>
        <v xml:space="preserve"> </v>
      </c>
      <c r="B108" s="88"/>
      <c r="C108" s="88"/>
      <c r="D108" s="89"/>
      <c r="E108" s="89"/>
      <c r="F108" s="73"/>
      <c r="G108" s="73"/>
      <c r="H108" s="73"/>
      <c r="I108" s="73"/>
      <c r="J108" s="73"/>
      <c r="K108" s="73"/>
      <c r="L108" s="73"/>
      <c r="M108" s="74"/>
      <c r="N108" s="71" t="str">
        <f t="shared" si="1"/>
        <v/>
      </c>
      <c r="O108" s="75"/>
      <c r="P108" s="72"/>
      <c r="Q108" s="72"/>
      <c r="R108" s="72"/>
      <c r="S108" s="72"/>
      <c r="T108" s="72"/>
      <c r="U108" s="72"/>
      <c r="V108" s="76"/>
    </row>
    <row r="109" spans="1:25" ht="27.75" customHeight="1">
      <c r="A109" s="87" t="str">
        <f>IF(ISBLANK(C109)," ",104-COUNTBLANK($C$6:C109))</f>
        <v xml:space="preserve"> </v>
      </c>
      <c r="B109" s="88"/>
      <c r="C109" s="88"/>
      <c r="D109" s="89"/>
      <c r="E109" s="89"/>
      <c r="F109" s="73"/>
      <c r="G109" s="73"/>
      <c r="H109" s="73"/>
      <c r="I109" s="73"/>
      <c r="J109" s="73"/>
      <c r="K109" s="73"/>
      <c r="L109" s="73"/>
      <c r="M109" s="74"/>
      <c r="N109" s="71" t="str">
        <f t="shared" si="1"/>
        <v/>
      </c>
      <c r="O109" s="72"/>
      <c r="P109" s="72"/>
      <c r="Q109" s="72"/>
      <c r="R109" s="72"/>
      <c r="S109" s="72"/>
      <c r="T109" s="72"/>
      <c r="U109" s="72"/>
      <c r="V109" s="79"/>
      <c r="W109" s="72"/>
      <c r="X109" s="72"/>
      <c r="Y109" s="72"/>
    </row>
    <row r="110" spans="1:25" ht="27.75" customHeight="1">
      <c r="A110" s="80" t="s">
        <v>52</v>
      </c>
      <c r="B110" s="81"/>
      <c r="C110" s="96"/>
      <c r="D110" s="82"/>
      <c r="E110" s="82">
        <f>SUM(E90:E109)</f>
        <v>0</v>
      </c>
      <c r="F110" s="83"/>
      <c r="G110" s="83"/>
      <c r="H110" s="83"/>
      <c r="I110" s="83"/>
      <c r="J110" s="83"/>
      <c r="K110" s="83"/>
      <c r="L110" s="83"/>
      <c r="M110" s="84"/>
      <c r="N110" s="71" t="str">
        <f t="shared" si="1"/>
        <v/>
      </c>
      <c r="O110" s="75"/>
      <c r="P110" s="72"/>
      <c r="Q110" s="72"/>
      <c r="R110" s="72"/>
      <c r="S110" s="72"/>
      <c r="T110" s="72"/>
      <c r="U110" s="72"/>
      <c r="V110" s="79"/>
      <c r="W110" s="72"/>
      <c r="X110" s="72"/>
      <c r="Y110" s="72"/>
    </row>
    <row r="111" spans="1:25" ht="27.75" customHeight="1">
      <c r="A111" s="93" t="str">
        <f>IF(ISBLANK(C111)," ",106-COUNTBLANK($C$6:C111))</f>
        <v xml:space="preserve"> </v>
      </c>
      <c r="B111" s="94"/>
      <c r="C111" s="94"/>
      <c r="D111" s="95"/>
      <c r="E111" s="95"/>
      <c r="F111" s="85"/>
      <c r="G111" s="85"/>
      <c r="H111" s="85"/>
      <c r="I111" s="85"/>
      <c r="J111" s="85"/>
      <c r="K111" s="85"/>
      <c r="L111" s="85"/>
      <c r="M111" s="86"/>
      <c r="N111" s="71" t="str">
        <f t="shared" si="1"/>
        <v/>
      </c>
      <c r="O111" s="72"/>
      <c r="P111" s="72"/>
      <c r="Q111" s="72"/>
      <c r="R111" s="72"/>
      <c r="S111" s="72"/>
      <c r="T111" s="72"/>
      <c r="U111" s="72"/>
      <c r="V111" s="72"/>
    </row>
    <row r="112" spans="1:25" ht="27.75" customHeight="1">
      <c r="A112" s="87" t="str">
        <f>IF(ISBLANK(C112)," ",107-COUNTBLANK($C$6:C112))</f>
        <v xml:space="preserve"> </v>
      </c>
      <c r="B112" s="88"/>
      <c r="C112" s="88"/>
      <c r="D112" s="89"/>
      <c r="E112" s="89"/>
      <c r="F112" s="73"/>
      <c r="G112" s="73"/>
      <c r="H112" s="73"/>
      <c r="I112" s="73"/>
      <c r="J112" s="73"/>
      <c r="K112" s="73"/>
      <c r="L112" s="73"/>
      <c r="M112" s="74"/>
      <c r="N112" s="71" t="str">
        <f t="shared" si="1"/>
        <v/>
      </c>
      <c r="O112" s="72"/>
      <c r="P112" s="72"/>
      <c r="Q112" s="72"/>
      <c r="R112" s="72"/>
      <c r="S112" s="72"/>
      <c r="T112" s="72"/>
      <c r="U112" s="72"/>
      <c r="V112" s="72"/>
    </row>
    <row r="113" spans="1:22" ht="27.75" customHeight="1">
      <c r="A113" s="87" t="str">
        <f>IF(ISBLANK(C113)," ",108-COUNTBLANK($C$6:C113))</f>
        <v xml:space="preserve"> </v>
      </c>
      <c r="B113" s="88"/>
      <c r="C113" s="88"/>
      <c r="D113" s="89"/>
      <c r="E113" s="89"/>
      <c r="F113" s="73"/>
      <c r="G113" s="73"/>
      <c r="H113" s="73"/>
      <c r="I113" s="73"/>
      <c r="J113" s="73"/>
      <c r="K113" s="73"/>
      <c r="L113" s="73"/>
      <c r="M113" s="74"/>
      <c r="N113" s="71" t="str">
        <f t="shared" si="1"/>
        <v/>
      </c>
      <c r="O113" s="72"/>
      <c r="P113" s="72"/>
      <c r="Q113" s="72"/>
      <c r="R113" s="72"/>
      <c r="S113" s="72"/>
      <c r="T113" s="72"/>
      <c r="U113" s="72"/>
      <c r="V113" s="72"/>
    </row>
    <row r="114" spans="1:22" ht="27.75" customHeight="1">
      <c r="A114" s="87" t="str">
        <f>IF(ISBLANK(C114)," ",109-COUNTBLANK($C$6:C114))</f>
        <v xml:space="preserve"> </v>
      </c>
      <c r="B114" s="88"/>
      <c r="C114" s="88"/>
      <c r="D114" s="89"/>
      <c r="E114" s="89"/>
      <c r="F114" s="73"/>
      <c r="G114" s="73"/>
      <c r="H114" s="73"/>
      <c r="I114" s="73"/>
      <c r="J114" s="73"/>
      <c r="K114" s="73"/>
      <c r="L114" s="73"/>
      <c r="M114" s="74"/>
      <c r="N114" s="71" t="str">
        <f t="shared" si="1"/>
        <v/>
      </c>
      <c r="O114" s="72"/>
      <c r="P114" s="72"/>
      <c r="Q114" s="72"/>
      <c r="R114" s="72"/>
      <c r="S114" s="72"/>
      <c r="T114" s="72"/>
      <c r="U114" s="72"/>
      <c r="V114" s="72"/>
    </row>
    <row r="115" spans="1:22" ht="27.75" customHeight="1">
      <c r="A115" s="87" t="str">
        <f>IF(ISBLANK(C115)," ",110-COUNTBLANK($C$6:C115))</f>
        <v xml:space="preserve"> </v>
      </c>
      <c r="B115" s="88"/>
      <c r="C115" s="88"/>
      <c r="D115" s="89"/>
      <c r="E115" s="89"/>
      <c r="F115" s="73"/>
      <c r="G115" s="73"/>
      <c r="H115" s="73"/>
      <c r="I115" s="73"/>
      <c r="J115" s="73"/>
      <c r="K115" s="73"/>
      <c r="L115" s="73"/>
      <c r="M115" s="74"/>
      <c r="N115" s="71" t="str">
        <f t="shared" si="1"/>
        <v/>
      </c>
      <c r="O115" s="72"/>
      <c r="P115" s="72"/>
      <c r="Q115" s="72"/>
      <c r="R115" s="72"/>
      <c r="S115" s="72"/>
      <c r="T115" s="72"/>
      <c r="U115" s="72"/>
      <c r="V115" s="72"/>
    </row>
    <row r="116" spans="1:22" ht="27.75" customHeight="1">
      <c r="A116" s="87" t="str">
        <f>IF(ISBLANK(C116)," ",111-COUNTBLANK($C$6:C116))</f>
        <v xml:space="preserve"> </v>
      </c>
      <c r="B116" s="88"/>
      <c r="C116" s="88"/>
      <c r="D116" s="89"/>
      <c r="E116" s="89"/>
      <c r="F116" s="73"/>
      <c r="G116" s="73"/>
      <c r="H116" s="73"/>
      <c r="I116" s="73"/>
      <c r="J116" s="73"/>
      <c r="K116" s="73"/>
      <c r="L116" s="73"/>
      <c r="M116" s="74"/>
      <c r="N116" s="71" t="str">
        <f t="shared" si="1"/>
        <v/>
      </c>
      <c r="O116" s="72"/>
      <c r="P116" s="72"/>
      <c r="Q116" s="72"/>
      <c r="R116" s="72"/>
      <c r="S116" s="72"/>
      <c r="T116" s="72"/>
      <c r="U116" s="72"/>
      <c r="V116" s="72"/>
    </row>
    <row r="117" spans="1:22" ht="27.75" customHeight="1">
      <c r="A117" s="87" t="str">
        <f>IF(ISBLANK(C117)," ",112-COUNTBLANK($C$6:C117))</f>
        <v xml:space="preserve"> </v>
      </c>
      <c r="B117" s="88"/>
      <c r="C117" s="88"/>
      <c r="D117" s="89"/>
      <c r="E117" s="89"/>
      <c r="F117" s="73"/>
      <c r="G117" s="73"/>
      <c r="H117" s="73"/>
      <c r="I117" s="73"/>
      <c r="J117" s="73"/>
      <c r="K117" s="73"/>
      <c r="L117" s="73"/>
      <c r="M117" s="74"/>
      <c r="N117" s="71" t="str">
        <f t="shared" si="1"/>
        <v/>
      </c>
      <c r="O117" s="72"/>
      <c r="P117" s="72"/>
      <c r="Q117" s="72"/>
      <c r="R117" s="72"/>
      <c r="S117" s="72"/>
      <c r="T117" s="72"/>
      <c r="U117" s="72"/>
      <c r="V117" s="72"/>
    </row>
    <row r="118" spans="1:22" ht="27.75" customHeight="1">
      <c r="A118" s="87" t="str">
        <f>IF(ISBLANK(C118)," ",113-COUNTBLANK($C$6:C118))</f>
        <v xml:space="preserve"> </v>
      </c>
      <c r="B118" s="88"/>
      <c r="C118" s="88"/>
      <c r="D118" s="89"/>
      <c r="E118" s="89"/>
      <c r="F118" s="73"/>
      <c r="G118" s="73"/>
      <c r="H118" s="73"/>
      <c r="I118" s="73"/>
      <c r="J118" s="73"/>
      <c r="K118" s="73"/>
      <c r="L118" s="73"/>
      <c r="M118" s="74"/>
      <c r="N118" s="71" t="str">
        <f t="shared" si="1"/>
        <v/>
      </c>
      <c r="O118" s="72"/>
      <c r="P118" s="72"/>
      <c r="Q118" s="72"/>
      <c r="R118" s="72"/>
      <c r="S118" s="72"/>
      <c r="T118" s="72"/>
      <c r="U118" s="72"/>
      <c r="V118" s="72"/>
    </row>
    <row r="119" spans="1:22" ht="27.75" customHeight="1">
      <c r="A119" s="87" t="str">
        <f>IF(ISBLANK(C119)," ",114-COUNTBLANK($C$6:C119))</f>
        <v xml:space="preserve"> </v>
      </c>
      <c r="B119" s="88"/>
      <c r="C119" s="88"/>
      <c r="D119" s="89"/>
      <c r="E119" s="89"/>
      <c r="F119" s="73"/>
      <c r="G119" s="73"/>
      <c r="H119" s="73"/>
      <c r="I119" s="73"/>
      <c r="J119" s="73"/>
      <c r="K119" s="73"/>
      <c r="L119" s="73"/>
      <c r="M119" s="74"/>
      <c r="N119" s="71" t="str">
        <f t="shared" si="1"/>
        <v/>
      </c>
      <c r="O119" s="72"/>
      <c r="P119" s="72"/>
      <c r="Q119" s="72"/>
      <c r="R119" s="72"/>
      <c r="S119" s="72"/>
      <c r="T119" s="72"/>
      <c r="U119" s="72"/>
      <c r="V119" s="72"/>
    </row>
    <row r="120" spans="1:22" ht="27.75" customHeight="1">
      <c r="A120" s="87" t="str">
        <f>IF(ISBLANK(C120)," ",115-COUNTBLANK($C$6:C120))</f>
        <v xml:space="preserve"> </v>
      </c>
      <c r="B120" s="88"/>
      <c r="C120" s="88"/>
      <c r="D120" s="89"/>
      <c r="E120" s="89"/>
      <c r="F120" s="73"/>
      <c r="G120" s="73"/>
      <c r="H120" s="73"/>
      <c r="I120" s="73"/>
      <c r="J120" s="73"/>
      <c r="K120" s="73"/>
      <c r="L120" s="73"/>
      <c r="M120" s="74"/>
      <c r="N120" s="71" t="str">
        <f t="shared" si="1"/>
        <v/>
      </c>
      <c r="O120" s="72"/>
      <c r="P120" s="72"/>
      <c r="Q120" s="72"/>
      <c r="R120" s="72"/>
      <c r="S120" s="72"/>
      <c r="T120" s="72"/>
      <c r="U120" s="72"/>
      <c r="V120" s="72"/>
    </row>
    <row r="121" spans="1:22" ht="27.75" customHeight="1">
      <c r="A121" s="87" t="str">
        <f>IF(ISBLANK(C121)," ",116-COUNTBLANK($C$6:C121))</f>
        <v xml:space="preserve"> </v>
      </c>
      <c r="B121" s="88"/>
      <c r="C121" s="88"/>
      <c r="D121" s="89"/>
      <c r="E121" s="89"/>
      <c r="F121" s="73"/>
      <c r="G121" s="73"/>
      <c r="H121" s="73"/>
      <c r="I121" s="73"/>
      <c r="J121" s="73"/>
      <c r="K121" s="73"/>
      <c r="L121" s="73"/>
      <c r="M121" s="74"/>
      <c r="N121" s="71" t="str">
        <f t="shared" si="1"/>
        <v/>
      </c>
      <c r="O121" s="72"/>
      <c r="P121" s="72"/>
      <c r="Q121" s="72"/>
      <c r="R121" s="72"/>
      <c r="S121" s="72"/>
      <c r="T121" s="72"/>
      <c r="U121" s="72"/>
      <c r="V121" s="72"/>
    </row>
    <row r="122" spans="1:22" ht="27.75" customHeight="1">
      <c r="A122" s="87" t="str">
        <f>IF(ISBLANK(C122)," ",117-COUNTBLANK($C$6:C122))</f>
        <v xml:space="preserve"> </v>
      </c>
      <c r="B122" s="88"/>
      <c r="C122" s="88"/>
      <c r="D122" s="89"/>
      <c r="E122" s="89"/>
      <c r="F122" s="73"/>
      <c r="G122" s="73"/>
      <c r="H122" s="73"/>
      <c r="I122" s="73"/>
      <c r="J122" s="73"/>
      <c r="K122" s="73"/>
      <c r="L122" s="73"/>
      <c r="M122" s="74"/>
      <c r="N122" s="71" t="str">
        <f t="shared" si="1"/>
        <v/>
      </c>
      <c r="O122" s="72"/>
      <c r="P122" s="72"/>
      <c r="Q122" s="72"/>
      <c r="R122" s="72"/>
      <c r="S122" s="72"/>
      <c r="T122" s="72"/>
      <c r="U122" s="72"/>
      <c r="V122" s="72"/>
    </row>
    <row r="123" spans="1:22" ht="27.75" customHeight="1">
      <c r="A123" s="87" t="str">
        <f>IF(ISBLANK(C123)," ",118-COUNTBLANK($C$6:C123))</f>
        <v xml:space="preserve"> </v>
      </c>
      <c r="B123" s="88"/>
      <c r="C123" s="88"/>
      <c r="D123" s="89"/>
      <c r="E123" s="89"/>
      <c r="F123" s="73"/>
      <c r="G123" s="73"/>
      <c r="H123" s="73"/>
      <c r="I123" s="73"/>
      <c r="J123" s="73"/>
      <c r="K123" s="73"/>
      <c r="L123" s="73"/>
      <c r="M123" s="74"/>
      <c r="N123" s="71" t="str">
        <f t="shared" si="1"/>
        <v/>
      </c>
      <c r="O123" s="72"/>
      <c r="P123" s="72"/>
      <c r="Q123" s="72"/>
      <c r="R123" s="72"/>
      <c r="S123" s="72"/>
      <c r="T123" s="72"/>
      <c r="U123" s="72"/>
      <c r="V123" s="72"/>
    </row>
    <row r="124" spans="1:22" ht="27.75" customHeight="1">
      <c r="A124" s="87" t="str">
        <f>IF(ISBLANK(C124)," ",119-COUNTBLANK($C$6:C124))</f>
        <v xml:space="preserve"> </v>
      </c>
      <c r="B124" s="88"/>
      <c r="C124" s="88"/>
      <c r="D124" s="89"/>
      <c r="E124" s="89"/>
      <c r="F124" s="73"/>
      <c r="G124" s="73"/>
      <c r="H124" s="73"/>
      <c r="I124" s="73"/>
      <c r="J124" s="73"/>
      <c r="K124" s="73"/>
      <c r="L124" s="73"/>
      <c r="M124" s="74"/>
      <c r="N124" s="71" t="str">
        <f t="shared" si="1"/>
        <v/>
      </c>
      <c r="O124" s="72"/>
      <c r="P124" s="72"/>
      <c r="Q124" s="72"/>
      <c r="R124" s="72"/>
      <c r="S124" s="72"/>
      <c r="T124" s="72"/>
      <c r="U124" s="72"/>
      <c r="V124" s="72"/>
    </row>
    <row r="125" spans="1:22" ht="27.75" customHeight="1">
      <c r="A125" s="87" t="str">
        <f>IF(ISBLANK(C125)," ",120-COUNTBLANK($C$6:C125))</f>
        <v xml:space="preserve"> </v>
      </c>
      <c r="B125" s="88"/>
      <c r="C125" s="88"/>
      <c r="D125" s="89"/>
      <c r="E125" s="89"/>
      <c r="F125" s="73"/>
      <c r="G125" s="73"/>
      <c r="H125" s="73"/>
      <c r="I125" s="73"/>
      <c r="J125" s="73"/>
      <c r="K125" s="73"/>
      <c r="L125" s="73"/>
      <c r="M125" s="74"/>
      <c r="N125" s="71" t="str">
        <f t="shared" si="1"/>
        <v/>
      </c>
      <c r="O125" s="72"/>
      <c r="P125" s="72"/>
      <c r="Q125" s="72"/>
      <c r="R125" s="72"/>
      <c r="S125" s="72"/>
      <c r="T125" s="72"/>
      <c r="U125" s="72"/>
      <c r="V125" s="72"/>
    </row>
    <row r="126" spans="1:22" ht="27.75" customHeight="1">
      <c r="A126" s="87" t="str">
        <f>IF(ISBLANK(C126)," ",121-COUNTBLANK($C$6:C126))</f>
        <v xml:space="preserve"> </v>
      </c>
      <c r="B126" s="88"/>
      <c r="C126" s="88"/>
      <c r="D126" s="89"/>
      <c r="E126" s="89"/>
      <c r="F126" s="73"/>
      <c r="G126" s="73"/>
      <c r="H126" s="73"/>
      <c r="I126" s="73"/>
      <c r="J126" s="73"/>
      <c r="K126" s="73"/>
      <c r="L126" s="73"/>
      <c r="M126" s="74"/>
      <c r="N126" s="71" t="str">
        <f t="shared" si="1"/>
        <v/>
      </c>
      <c r="O126" s="75"/>
      <c r="P126" s="72"/>
      <c r="Q126" s="72"/>
      <c r="R126" s="72"/>
      <c r="S126" s="72"/>
      <c r="T126" s="72"/>
      <c r="U126" s="72"/>
      <c r="V126" s="76"/>
    </row>
    <row r="127" spans="1:22" ht="27.75" customHeight="1">
      <c r="A127" s="87" t="str">
        <f>IF(ISBLANK(C127)," ",122-COUNTBLANK($C$6:C127))</f>
        <v xml:space="preserve"> </v>
      </c>
      <c r="B127" s="88"/>
      <c r="C127" s="88"/>
      <c r="D127" s="89"/>
      <c r="E127" s="89"/>
      <c r="F127" s="73"/>
      <c r="G127" s="73"/>
      <c r="H127" s="73"/>
      <c r="I127" s="73"/>
      <c r="J127" s="73"/>
      <c r="K127" s="73"/>
      <c r="L127" s="73"/>
      <c r="M127" s="74"/>
      <c r="N127" s="71" t="str">
        <f t="shared" si="1"/>
        <v/>
      </c>
      <c r="O127" s="75"/>
      <c r="P127" s="72"/>
      <c r="Q127" s="72"/>
      <c r="R127" s="72"/>
      <c r="S127" s="72"/>
      <c r="T127" s="72"/>
      <c r="U127" s="72"/>
      <c r="V127" s="76"/>
    </row>
    <row r="128" spans="1:22" ht="27.75" customHeight="1">
      <c r="A128" s="87" t="str">
        <f>IF(ISBLANK(C128)," ",123-COUNTBLANK($C$6:C128))</f>
        <v xml:space="preserve"> </v>
      </c>
      <c r="B128" s="88"/>
      <c r="C128" s="88"/>
      <c r="D128" s="89"/>
      <c r="E128" s="89"/>
      <c r="F128" s="73"/>
      <c r="G128" s="73"/>
      <c r="H128" s="73"/>
      <c r="I128" s="73"/>
      <c r="J128" s="73"/>
      <c r="K128" s="73"/>
      <c r="L128" s="73"/>
      <c r="M128" s="74"/>
      <c r="N128" s="71" t="str">
        <f t="shared" si="1"/>
        <v/>
      </c>
      <c r="O128" s="75"/>
      <c r="P128" s="72"/>
      <c r="Q128" s="72"/>
      <c r="R128" s="72"/>
      <c r="S128" s="72"/>
      <c r="T128" s="72"/>
      <c r="U128" s="72"/>
      <c r="V128" s="76"/>
    </row>
    <row r="129" spans="1:25" ht="27.75" customHeight="1">
      <c r="A129" s="87" t="str">
        <f>IF(ISBLANK(C129)," ",124-COUNTBLANK($C$6:C129))</f>
        <v xml:space="preserve"> </v>
      </c>
      <c r="B129" s="88"/>
      <c r="C129" s="88"/>
      <c r="D129" s="89"/>
      <c r="E129" s="89"/>
      <c r="F129" s="73"/>
      <c r="G129" s="73"/>
      <c r="H129" s="73"/>
      <c r="I129" s="73"/>
      <c r="J129" s="73"/>
      <c r="K129" s="73"/>
      <c r="L129" s="73"/>
      <c r="M129" s="74"/>
      <c r="N129" s="71" t="str">
        <f t="shared" si="1"/>
        <v/>
      </c>
      <c r="O129" s="75"/>
      <c r="P129" s="72"/>
      <c r="Q129" s="72"/>
      <c r="R129" s="72"/>
      <c r="S129" s="72"/>
      <c r="T129" s="72"/>
      <c r="U129" s="72"/>
      <c r="V129" s="76"/>
    </row>
    <row r="130" spans="1:25" ht="27.75" customHeight="1">
      <c r="A130" s="87" t="str">
        <f>IF(ISBLANK(C130)," ",125-COUNTBLANK($C$6:C130))</f>
        <v xml:space="preserve"> </v>
      </c>
      <c r="B130" s="88"/>
      <c r="C130" s="88"/>
      <c r="D130" s="89"/>
      <c r="E130" s="89"/>
      <c r="F130" s="73"/>
      <c r="G130" s="73"/>
      <c r="H130" s="73"/>
      <c r="I130" s="73"/>
      <c r="J130" s="73"/>
      <c r="K130" s="73"/>
      <c r="L130" s="73"/>
      <c r="M130" s="74"/>
      <c r="N130" s="71" t="str">
        <f t="shared" si="1"/>
        <v/>
      </c>
      <c r="O130" s="72"/>
      <c r="P130" s="72"/>
      <c r="Q130" s="72"/>
      <c r="R130" s="72"/>
      <c r="S130" s="72"/>
      <c r="T130" s="72"/>
      <c r="U130" s="72"/>
      <c r="V130" s="79"/>
      <c r="W130" s="72"/>
      <c r="X130" s="72"/>
      <c r="Y130" s="72"/>
    </row>
    <row r="131" spans="1:25" ht="27.75" customHeight="1">
      <c r="A131" s="80" t="s">
        <v>52</v>
      </c>
      <c r="B131" s="81"/>
      <c r="C131" s="96"/>
      <c r="D131" s="82"/>
      <c r="E131" s="82">
        <f>SUM(E111:E130)</f>
        <v>0</v>
      </c>
      <c r="F131" s="83"/>
      <c r="G131" s="83"/>
      <c r="H131" s="83"/>
      <c r="I131" s="83"/>
      <c r="J131" s="83"/>
      <c r="K131" s="83"/>
      <c r="L131" s="83"/>
      <c r="M131" s="84"/>
      <c r="N131" s="71" t="str">
        <f t="shared" si="1"/>
        <v/>
      </c>
      <c r="O131" s="75"/>
      <c r="P131" s="72"/>
      <c r="Q131" s="72"/>
      <c r="R131" s="72"/>
      <c r="S131" s="72"/>
      <c r="T131" s="72"/>
      <c r="U131" s="72"/>
      <c r="V131" s="79"/>
      <c r="W131" s="72"/>
      <c r="X131" s="72"/>
      <c r="Y131" s="72"/>
    </row>
    <row r="132" spans="1:25" ht="27.75" customHeight="1">
      <c r="A132" s="93" t="str">
        <f>IF(ISBLANK(C132)," ",127-COUNTBLANK($C$6:C132))</f>
        <v xml:space="preserve"> </v>
      </c>
      <c r="B132" s="94"/>
      <c r="C132" s="94"/>
      <c r="D132" s="95"/>
      <c r="E132" s="95"/>
      <c r="F132" s="85"/>
      <c r="G132" s="85"/>
      <c r="H132" s="85"/>
      <c r="I132" s="85"/>
      <c r="J132" s="85"/>
      <c r="K132" s="85"/>
      <c r="L132" s="85"/>
      <c r="M132" s="86"/>
      <c r="N132" s="71" t="str">
        <f t="shared" si="1"/>
        <v/>
      </c>
      <c r="O132" s="72"/>
      <c r="P132" s="72"/>
      <c r="Q132" s="72"/>
      <c r="R132" s="72"/>
      <c r="S132" s="72"/>
      <c r="T132" s="72"/>
      <c r="U132" s="72"/>
      <c r="V132" s="72"/>
    </row>
    <row r="133" spans="1:25" ht="27.75" customHeight="1">
      <c r="A133" s="87" t="str">
        <f>IF(ISBLANK(C133)," ",128-COUNTBLANK($C$6:C133))</f>
        <v xml:space="preserve"> </v>
      </c>
      <c r="B133" s="88"/>
      <c r="C133" s="88"/>
      <c r="D133" s="89"/>
      <c r="E133" s="89"/>
      <c r="F133" s="73"/>
      <c r="G133" s="73"/>
      <c r="H133" s="73"/>
      <c r="I133" s="73"/>
      <c r="J133" s="73"/>
      <c r="K133" s="73"/>
      <c r="L133" s="73"/>
      <c r="M133" s="74"/>
      <c r="N133" s="71" t="str">
        <f t="shared" si="1"/>
        <v/>
      </c>
      <c r="O133" s="72"/>
      <c r="P133" s="72"/>
      <c r="Q133" s="72"/>
      <c r="R133" s="72"/>
      <c r="S133" s="72"/>
      <c r="T133" s="72"/>
      <c r="U133" s="72"/>
      <c r="V133" s="72"/>
    </row>
    <row r="134" spans="1:25" ht="27.75" customHeight="1">
      <c r="A134" s="87" t="str">
        <f>IF(ISBLANK(C134)," ",129-COUNTBLANK($C$6:C134))</f>
        <v xml:space="preserve"> </v>
      </c>
      <c r="B134" s="88"/>
      <c r="C134" s="88"/>
      <c r="D134" s="89"/>
      <c r="E134" s="89"/>
      <c r="F134" s="73"/>
      <c r="G134" s="73"/>
      <c r="H134" s="73"/>
      <c r="I134" s="73"/>
      <c r="J134" s="73"/>
      <c r="K134" s="73"/>
      <c r="L134" s="73"/>
      <c r="M134" s="74"/>
      <c r="N134" s="71" t="str">
        <f t="shared" ref="N134:N197" si="2">CONCATENATE(C134,H134)</f>
        <v/>
      </c>
      <c r="O134" s="72"/>
      <c r="P134" s="72"/>
      <c r="Q134" s="72"/>
      <c r="R134" s="72"/>
      <c r="S134" s="72"/>
      <c r="T134" s="72"/>
      <c r="U134" s="72"/>
      <c r="V134" s="72"/>
    </row>
    <row r="135" spans="1:25" ht="27.75" customHeight="1">
      <c r="A135" s="87" t="str">
        <f>IF(ISBLANK(C135)," ",130-COUNTBLANK($C$6:C135))</f>
        <v xml:space="preserve"> </v>
      </c>
      <c r="B135" s="88"/>
      <c r="C135" s="88"/>
      <c r="D135" s="89"/>
      <c r="E135" s="89"/>
      <c r="F135" s="73"/>
      <c r="G135" s="73"/>
      <c r="H135" s="73"/>
      <c r="I135" s="73"/>
      <c r="J135" s="73"/>
      <c r="K135" s="73"/>
      <c r="L135" s="73"/>
      <c r="M135" s="74"/>
      <c r="N135" s="71" t="str">
        <f t="shared" si="2"/>
        <v/>
      </c>
      <c r="O135" s="72"/>
      <c r="P135" s="72"/>
      <c r="Q135" s="72"/>
      <c r="R135" s="72"/>
      <c r="S135" s="72"/>
      <c r="T135" s="72"/>
      <c r="U135" s="72"/>
      <c r="V135" s="72"/>
    </row>
    <row r="136" spans="1:25" ht="27.75" customHeight="1">
      <c r="A136" s="87" t="str">
        <f>IF(ISBLANK(C136)," ",131-COUNTBLANK($C$6:C136))</f>
        <v xml:space="preserve"> </v>
      </c>
      <c r="B136" s="88"/>
      <c r="C136" s="88"/>
      <c r="D136" s="89"/>
      <c r="E136" s="89"/>
      <c r="F136" s="73"/>
      <c r="G136" s="73"/>
      <c r="H136" s="73"/>
      <c r="I136" s="73"/>
      <c r="J136" s="73"/>
      <c r="K136" s="73"/>
      <c r="L136" s="73"/>
      <c r="M136" s="74"/>
      <c r="N136" s="71" t="str">
        <f t="shared" si="2"/>
        <v/>
      </c>
      <c r="O136" s="72"/>
      <c r="P136" s="72"/>
      <c r="Q136" s="72"/>
      <c r="R136" s="72"/>
      <c r="S136" s="72"/>
      <c r="T136" s="72"/>
      <c r="U136" s="72"/>
      <c r="V136" s="72"/>
    </row>
    <row r="137" spans="1:25" ht="27.75" customHeight="1">
      <c r="A137" s="87" t="str">
        <f>IF(ISBLANK(C137)," ",132-COUNTBLANK($C$6:C137))</f>
        <v xml:space="preserve"> </v>
      </c>
      <c r="B137" s="88"/>
      <c r="C137" s="88"/>
      <c r="D137" s="89"/>
      <c r="E137" s="89"/>
      <c r="F137" s="73"/>
      <c r="G137" s="73"/>
      <c r="H137" s="73"/>
      <c r="I137" s="73"/>
      <c r="J137" s="73"/>
      <c r="K137" s="73"/>
      <c r="L137" s="73"/>
      <c r="M137" s="74"/>
      <c r="N137" s="71" t="str">
        <f t="shared" si="2"/>
        <v/>
      </c>
      <c r="O137" s="72"/>
      <c r="P137" s="72"/>
      <c r="Q137" s="72"/>
      <c r="R137" s="72"/>
      <c r="S137" s="72"/>
      <c r="T137" s="72"/>
      <c r="U137" s="72"/>
      <c r="V137" s="72"/>
    </row>
    <row r="138" spans="1:25" ht="27.75" customHeight="1">
      <c r="A138" s="87" t="str">
        <f>IF(ISBLANK(C138)," ",133-COUNTBLANK($C$6:C138))</f>
        <v xml:space="preserve"> </v>
      </c>
      <c r="B138" s="88"/>
      <c r="C138" s="88"/>
      <c r="D138" s="89"/>
      <c r="E138" s="89"/>
      <c r="F138" s="73"/>
      <c r="G138" s="73"/>
      <c r="H138" s="73"/>
      <c r="I138" s="73"/>
      <c r="J138" s="73"/>
      <c r="K138" s="73"/>
      <c r="L138" s="73"/>
      <c r="M138" s="74"/>
      <c r="N138" s="71" t="str">
        <f t="shared" si="2"/>
        <v/>
      </c>
      <c r="O138" s="72"/>
      <c r="P138" s="72"/>
      <c r="Q138" s="72"/>
      <c r="R138" s="72"/>
      <c r="S138" s="72"/>
      <c r="T138" s="72"/>
      <c r="U138" s="72"/>
      <c r="V138" s="72"/>
    </row>
    <row r="139" spans="1:25" ht="27.75" customHeight="1">
      <c r="A139" s="87" t="str">
        <f>IF(ISBLANK(C139)," ",134-COUNTBLANK($C$6:C139))</f>
        <v xml:space="preserve"> </v>
      </c>
      <c r="B139" s="88"/>
      <c r="C139" s="88"/>
      <c r="D139" s="89"/>
      <c r="E139" s="89"/>
      <c r="F139" s="73"/>
      <c r="G139" s="73"/>
      <c r="H139" s="73"/>
      <c r="I139" s="73"/>
      <c r="J139" s="73"/>
      <c r="K139" s="73"/>
      <c r="L139" s="73"/>
      <c r="M139" s="74"/>
      <c r="N139" s="71" t="str">
        <f t="shared" si="2"/>
        <v/>
      </c>
      <c r="O139" s="72"/>
      <c r="P139" s="72"/>
      <c r="Q139" s="72"/>
      <c r="R139" s="72"/>
      <c r="S139" s="72"/>
      <c r="T139" s="72"/>
      <c r="U139" s="72"/>
      <c r="V139" s="72"/>
    </row>
    <row r="140" spans="1:25" ht="27.75" customHeight="1">
      <c r="A140" s="87" t="str">
        <f>IF(ISBLANK(C140)," ",135-COUNTBLANK($C$6:C140))</f>
        <v xml:space="preserve"> </v>
      </c>
      <c r="B140" s="88"/>
      <c r="C140" s="88"/>
      <c r="D140" s="89"/>
      <c r="E140" s="89"/>
      <c r="F140" s="73"/>
      <c r="G140" s="73"/>
      <c r="H140" s="73"/>
      <c r="I140" s="73"/>
      <c r="J140" s="73"/>
      <c r="K140" s="73"/>
      <c r="L140" s="73"/>
      <c r="M140" s="74"/>
      <c r="N140" s="71" t="str">
        <f t="shared" si="2"/>
        <v/>
      </c>
      <c r="O140" s="72"/>
      <c r="P140" s="72"/>
      <c r="Q140" s="72"/>
      <c r="R140" s="72"/>
      <c r="S140" s="72"/>
      <c r="T140" s="72"/>
      <c r="U140" s="72"/>
      <c r="V140" s="72"/>
    </row>
    <row r="141" spans="1:25" ht="27.75" customHeight="1">
      <c r="A141" s="87" t="str">
        <f>IF(ISBLANK(C141)," ",136-COUNTBLANK($C$6:C141))</f>
        <v xml:space="preserve"> </v>
      </c>
      <c r="B141" s="88"/>
      <c r="C141" s="88"/>
      <c r="D141" s="89"/>
      <c r="E141" s="89"/>
      <c r="F141" s="73"/>
      <c r="G141" s="73"/>
      <c r="H141" s="73"/>
      <c r="I141" s="73"/>
      <c r="J141" s="73"/>
      <c r="K141" s="73"/>
      <c r="L141" s="73"/>
      <c r="M141" s="74"/>
      <c r="N141" s="71" t="str">
        <f t="shared" si="2"/>
        <v/>
      </c>
      <c r="O141" s="72"/>
      <c r="P141" s="72"/>
      <c r="Q141" s="72"/>
      <c r="R141" s="72"/>
      <c r="S141" s="72"/>
      <c r="T141" s="72"/>
      <c r="U141" s="72"/>
      <c r="V141" s="72"/>
    </row>
    <row r="142" spans="1:25" ht="27.75" customHeight="1">
      <c r="A142" s="87" t="str">
        <f>IF(ISBLANK(C142)," ",137-COUNTBLANK($C$6:C142))</f>
        <v xml:space="preserve"> </v>
      </c>
      <c r="B142" s="88"/>
      <c r="C142" s="88"/>
      <c r="D142" s="89"/>
      <c r="E142" s="89"/>
      <c r="F142" s="73"/>
      <c r="G142" s="73"/>
      <c r="H142" s="73"/>
      <c r="I142" s="73"/>
      <c r="J142" s="73"/>
      <c r="K142" s="73"/>
      <c r="L142" s="73"/>
      <c r="M142" s="74"/>
      <c r="N142" s="71" t="str">
        <f t="shared" si="2"/>
        <v/>
      </c>
      <c r="O142" s="72"/>
      <c r="P142" s="72"/>
      <c r="Q142" s="72"/>
      <c r="R142" s="72"/>
      <c r="S142" s="72"/>
      <c r="T142" s="72"/>
      <c r="U142" s="72"/>
      <c r="V142" s="72"/>
    </row>
    <row r="143" spans="1:25" ht="27.75" customHeight="1">
      <c r="A143" s="87" t="str">
        <f>IF(ISBLANK(C143)," ",138-COUNTBLANK($C$6:C143))</f>
        <v xml:space="preserve"> </v>
      </c>
      <c r="B143" s="88"/>
      <c r="C143" s="88"/>
      <c r="D143" s="89"/>
      <c r="E143" s="89"/>
      <c r="F143" s="73"/>
      <c r="G143" s="73"/>
      <c r="H143" s="73"/>
      <c r="I143" s="73"/>
      <c r="J143" s="73"/>
      <c r="K143" s="73"/>
      <c r="L143" s="73"/>
      <c r="M143" s="74"/>
      <c r="N143" s="71" t="str">
        <f t="shared" si="2"/>
        <v/>
      </c>
      <c r="O143" s="72"/>
      <c r="P143" s="72"/>
      <c r="Q143" s="72"/>
      <c r="R143" s="72"/>
      <c r="S143" s="72"/>
      <c r="T143" s="72"/>
      <c r="U143" s="72"/>
      <c r="V143" s="72"/>
    </row>
    <row r="144" spans="1:25" ht="27.75" customHeight="1">
      <c r="A144" s="87" t="str">
        <f>IF(ISBLANK(C144)," ",139-COUNTBLANK($C$6:C144))</f>
        <v xml:space="preserve"> </v>
      </c>
      <c r="B144" s="88"/>
      <c r="C144" s="88"/>
      <c r="D144" s="89"/>
      <c r="E144" s="89"/>
      <c r="F144" s="73"/>
      <c r="G144" s="73"/>
      <c r="H144" s="73"/>
      <c r="I144" s="73"/>
      <c r="J144" s="73"/>
      <c r="K144" s="73"/>
      <c r="L144" s="73"/>
      <c r="M144" s="74"/>
      <c r="N144" s="71" t="str">
        <f t="shared" si="2"/>
        <v/>
      </c>
      <c r="O144" s="72"/>
      <c r="P144" s="72"/>
      <c r="Q144" s="72"/>
      <c r="R144" s="72"/>
      <c r="S144" s="72"/>
      <c r="T144" s="72"/>
      <c r="U144" s="72"/>
      <c r="V144" s="72"/>
    </row>
    <row r="145" spans="1:25" ht="27.75" customHeight="1">
      <c r="A145" s="87" t="str">
        <f>IF(ISBLANK(C145)," ",140-COUNTBLANK($C$6:C145))</f>
        <v xml:space="preserve"> </v>
      </c>
      <c r="B145" s="88"/>
      <c r="C145" s="88"/>
      <c r="D145" s="89"/>
      <c r="E145" s="89"/>
      <c r="F145" s="73"/>
      <c r="G145" s="73"/>
      <c r="H145" s="73"/>
      <c r="I145" s="73"/>
      <c r="J145" s="73"/>
      <c r="K145" s="73"/>
      <c r="L145" s="73"/>
      <c r="M145" s="74"/>
      <c r="N145" s="71" t="str">
        <f t="shared" si="2"/>
        <v/>
      </c>
      <c r="O145" s="72"/>
      <c r="P145" s="72"/>
      <c r="Q145" s="72"/>
      <c r="R145" s="72"/>
      <c r="S145" s="72"/>
      <c r="T145" s="72"/>
      <c r="U145" s="72"/>
      <c r="V145" s="72"/>
    </row>
    <row r="146" spans="1:25" ht="27.75" customHeight="1">
      <c r="A146" s="87" t="str">
        <f>IF(ISBLANK(C146)," ",141-COUNTBLANK($C$6:C146))</f>
        <v xml:space="preserve"> </v>
      </c>
      <c r="B146" s="88"/>
      <c r="C146" s="88"/>
      <c r="D146" s="89"/>
      <c r="E146" s="89"/>
      <c r="F146" s="73"/>
      <c r="G146" s="73"/>
      <c r="H146" s="73"/>
      <c r="I146" s="73"/>
      <c r="J146" s="73"/>
      <c r="K146" s="73"/>
      <c r="L146" s="73"/>
      <c r="M146" s="74"/>
      <c r="N146" s="71" t="str">
        <f t="shared" si="2"/>
        <v/>
      </c>
      <c r="O146" s="72"/>
      <c r="P146" s="72"/>
      <c r="Q146" s="72"/>
      <c r="R146" s="72"/>
      <c r="S146" s="72"/>
      <c r="T146" s="72"/>
      <c r="U146" s="72"/>
      <c r="V146" s="72"/>
    </row>
    <row r="147" spans="1:25" ht="27.75" customHeight="1">
      <c r="A147" s="87" t="str">
        <f>IF(ISBLANK(C147)," ",142-COUNTBLANK($C$6:C147))</f>
        <v xml:space="preserve"> </v>
      </c>
      <c r="B147" s="88"/>
      <c r="C147" s="88"/>
      <c r="D147" s="89"/>
      <c r="E147" s="89"/>
      <c r="F147" s="73"/>
      <c r="G147" s="73"/>
      <c r="H147" s="73"/>
      <c r="I147" s="73"/>
      <c r="J147" s="73"/>
      <c r="K147" s="73"/>
      <c r="L147" s="73"/>
      <c r="M147" s="74"/>
      <c r="N147" s="71" t="str">
        <f t="shared" si="2"/>
        <v/>
      </c>
      <c r="O147" s="75"/>
      <c r="P147" s="72"/>
      <c r="Q147" s="72"/>
      <c r="R147" s="72"/>
      <c r="S147" s="72"/>
      <c r="T147" s="72"/>
      <c r="U147" s="72"/>
      <c r="V147" s="76"/>
    </row>
    <row r="148" spans="1:25" ht="27.75" customHeight="1">
      <c r="A148" s="87" t="str">
        <f>IF(ISBLANK(C148)," ",143-COUNTBLANK($C$6:C148))</f>
        <v xml:space="preserve"> </v>
      </c>
      <c r="B148" s="88"/>
      <c r="C148" s="88"/>
      <c r="D148" s="89"/>
      <c r="E148" s="89"/>
      <c r="F148" s="73"/>
      <c r="G148" s="73"/>
      <c r="H148" s="73"/>
      <c r="I148" s="73"/>
      <c r="J148" s="73"/>
      <c r="K148" s="73"/>
      <c r="L148" s="73"/>
      <c r="M148" s="74"/>
      <c r="N148" s="71" t="str">
        <f t="shared" si="2"/>
        <v/>
      </c>
      <c r="O148" s="75"/>
      <c r="P148" s="72"/>
      <c r="Q148" s="72"/>
      <c r="R148" s="72"/>
      <c r="S148" s="72"/>
      <c r="T148" s="72"/>
      <c r="U148" s="72"/>
      <c r="V148" s="76"/>
    </row>
    <row r="149" spans="1:25" ht="27.75" customHeight="1">
      <c r="A149" s="87" t="str">
        <f>IF(ISBLANK(C149)," ",144-COUNTBLANK($C$6:C149))</f>
        <v xml:space="preserve"> </v>
      </c>
      <c r="B149" s="88"/>
      <c r="C149" s="88"/>
      <c r="D149" s="89"/>
      <c r="E149" s="89"/>
      <c r="F149" s="73"/>
      <c r="G149" s="73"/>
      <c r="H149" s="73"/>
      <c r="I149" s="73"/>
      <c r="J149" s="73"/>
      <c r="K149" s="73"/>
      <c r="L149" s="73"/>
      <c r="M149" s="74"/>
      <c r="N149" s="71" t="str">
        <f t="shared" si="2"/>
        <v/>
      </c>
      <c r="O149" s="75"/>
      <c r="P149" s="72"/>
      <c r="Q149" s="72"/>
      <c r="R149" s="72"/>
      <c r="S149" s="72"/>
      <c r="T149" s="72"/>
      <c r="U149" s="72"/>
      <c r="V149" s="76"/>
    </row>
    <row r="150" spans="1:25" ht="27.75" customHeight="1">
      <c r="A150" s="87" t="str">
        <f>IF(ISBLANK(C150)," ",145-COUNTBLANK($C$6:C150))</f>
        <v xml:space="preserve"> </v>
      </c>
      <c r="B150" s="88"/>
      <c r="C150" s="88"/>
      <c r="D150" s="89"/>
      <c r="E150" s="89"/>
      <c r="F150" s="73"/>
      <c r="G150" s="73"/>
      <c r="H150" s="73"/>
      <c r="I150" s="73"/>
      <c r="J150" s="73"/>
      <c r="K150" s="73"/>
      <c r="L150" s="73"/>
      <c r="M150" s="74"/>
      <c r="N150" s="71" t="str">
        <f t="shared" si="2"/>
        <v/>
      </c>
      <c r="O150" s="75"/>
      <c r="P150" s="72"/>
      <c r="Q150" s="72"/>
      <c r="R150" s="72"/>
      <c r="S150" s="72"/>
      <c r="T150" s="72"/>
      <c r="U150" s="72"/>
      <c r="V150" s="76"/>
    </row>
    <row r="151" spans="1:25" ht="27.75" customHeight="1">
      <c r="A151" s="87" t="str">
        <f>IF(ISBLANK(C151)," ",146-COUNTBLANK($C$6:C151))</f>
        <v xml:space="preserve"> </v>
      </c>
      <c r="B151" s="88"/>
      <c r="C151" s="88"/>
      <c r="D151" s="89"/>
      <c r="E151" s="89"/>
      <c r="F151" s="73"/>
      <c r="G151" s="73"/>
      <c r="H151" s="73"/>
      <c r="I151" s="73"/>
      <c r="J151" s="73"/>
      <c r="K151" s="73"/>
      <c r="L151" s="73"/>
      <c r="M151" s="74"/>
      <c r="N151" s="71" t="str">
        <f t="shared" si="2"/>
        <v/>
      </c>
      <c r="O151" s="72"/>
      <c r="P151" s="72"/>
      <c r="Q151" s="72"/>
      <c r="R151" s="72"/>
      <c r="S151" s="72"/>
      <c r="T151" s="72"/>
      <c r="U151" s="72"/>
      <c r="V151" s="79"/>
      <c r="W151" s="72"/>
      <c r="X151" s="72"/>
      <c r="Y151" s="72"/>
    </row>
    <row r="152" spans="1:25" ht="27.75" customHeight="1">
      <c r="A152" s="80" t="s">
        <v>52</v>
      </c>
      <c r="B152" s="81"/>
      <c r="C152" s="96"/>
      <c r="D152" s="82"/>
      <c r="E152" s="82">
        <f>SUM(E132:E151)</f>
        <v>0</v>
      </c>
      <c r="F152" s="83"/>
      <c r="G152" s="83"/>
      <c r="H152" s="83"/>
      <c r="I152" s="83"/>
      <c r="J152" s="83"/>
      <c r="K152" s="83"/>
      <c r="L152" s="83"/>
      <c r="M152" s="84"/>
      <c r="N152" s="71" t="str">
        <f t="shared" si="2"/>
        <v/>
      </c>
      <c r="O152" s="75"/>
      <c r="P152" s="72"/>
      <c r="Q152" s="72"/>
      <c r="R152" s="72"/>
      <c r="S152" s="72"/>
      <c r="T152" s="72"/>
      <c r="U152" s="72"/>
      <c r="V152" s="79"/>
      <c r="W152" s="72"/>
      <c r="X152" s="72"/>
      <c r="Y152" s="72"/>
    </row>
    <row r="153" spans="1:25" ht="27.75" customHeight="1">
      <c r="A153" s="93" t="str">
        <f>IF(ISBLANK(C153)," ",148-COUNTBLANK($C$6:C153))</f>
        <v xml:space="preserve"> </v>
      </c>
      <c r="B153" s="94"/>
      <c r="C153" s="94"/>
      <c r="D153" s="95"/>
      <c r="E153" s="95"/>
      <c r="F153" s="85"/>
      <c r="G153" s="85"/>
      <c r="H153" s="85"/>
      <c r="I153" s="85"/>
      <c r="J153" s="85"/>
      <c r="K153" s="85"/>
      <c r="L153" s="85"/>
      <c r="M153" s="86"/>
      <c r="N153" s="71" t="str">
        <f t="shared" si="2"/>
        <v/>
      </c>
      <c r="O153" s="72"/>
      <c r="P153" s="72"/>
      <c r="Q153" s="72"/>
      <c r="R153" s="72"/>
      <c r="S153" s="72"/>
      <c r="T153" s="72"/>
      <c r="U153" s="72"/>
      <c r="V153" s="72"/>
    </row>
    <row r="154" spans="1:25" ht="27.75" customHeight="1">
      <c r="A154" s="87" t="str">
        <f>IF(ISBLANK(C154)," ",149-COUNTBLANK($C$6:C154))</f>
        <v xml:space="preserve"> </v>
      </c>
      <c r="B154" s="88"/>
      <c r="C154" s="88"/>
      <c r="D154" s="89"/>
      <c r="E154" s="89"/>
      <c r="F154" s="73"/>
      <c r="G154" s="73"/>
      <c r="H154" s="73"/>
      <c r="I154" s="73"/>
      <c r="J154" s="73"/>
      <c r="K154" s="73"/>
      <c r="L154" s="73"/>
      <c r="M154" s="74"/>
      <c r="N154" s="71" t="str">
        <f t="shared" si="2"/>
        <v/>
      </c>
      <c r="O154" s="72"/>
      <c r="P154" s="72"/>
      <c r="Q154" s="72"/>
      <c r="R154" s="72"/>
      <c r="S154" s="72"/>
      <c r="T154" s="72"/>
      <c r="U154" s="72"/>
      <c r="V154" s="72"/>
    </row>
    <row r="155" spans="1:25" ht="27.75" customHeight="1">
      <c r="A155" s="87" t="str">
        <f>IF(ISBLANK(C155)," ",150-COUNTBLANK($C$6:C155))</f>
        <v xml:space="preserve"> </v>
      </c>
      <c r="B155" s="88"/>
      <c r="C155" s="88"/>
      <c r="D155" s="89"/>
      <c r="E155" s="89"/>
      <c r="F155" s="73"/>
      <c r="G155" s="73"/>
      <c r="H155" s="73"/>
      <c r="I155" s="73"/>
      <c r="J155" s="73"/>
      <c r="K155" s="73"/>
      <c r="L155" s="73"/>
      <c r="M155" s="74"/>
      <c r="N155" s="71" t="str">
        <f t="shared" si="2"/>
        <v/>
      </c>
      <c r="O155" s="72"/>
      <c r="P155" s="72"/>
      <c r="Q155" s="72"/>
      <c r="R155" s="72"/>
      <c r="S155" s="72"/>
      <c r="T155" s="72"/>
      <c r="U155" s="72"/>
      <c r="V155" s="72"/>
    </row>
    <row r="156" spans="1:25" ht="27.75" customHeight="1">
      <c r="A156" s="87" t="str">
        <f>IF(ISBLANK(C156)," ",151-COUNTBLANK($C$6:C156))</f>
        <v xml:space="preserve"> </v>
      </c>
      <c r="B156" s="88"/>
      <c r="C156" s="88"/>
      <c r="D156" s="89"/>
      <c r="E156" s="89"/>
      <c r="F156" s="73"/>
      <c r="G156" s="73"/>
      <c r="H156" s="73"/>
      <c r="I156" s="73"/>
      <c r="J156" s="73"/>
      <c r="K156" s="73"/>
      <c r="L156" s="73"/>
      <c r="M156" s="74"/>
      <c r="N156" s="71" t="str">
        <f t="shared" si="2"/>
        <v/>
      </c>
      <c r="O156" s="72"/>
      <c r="P156" s="72"/>
      <c r="Q156" s="72"/>
      <c r="R156" s="72"/>
      <c r="S156" s="72"/>
      <c r="T156" s="72"/>
      <c r="U156" s="72"/>
      <c r="V156" s="72"/>
    </row>
    <row r="157" spans="1:25" ht="27.75" customHeight="1">
      <c r="A157" s="87" t="str">
        <f>IF(ISBLANK(C157)," ",152-COUNTBLANK($C$6:C157))</f>
        <v xml:space="preserve"> </v>
      </c>
      <c r="B157" s="88"/>
      <c r="C157" s="88"/>
      <c r="D157" s="89"/>
      <c r="E157" s="89"/>
      <c r="F157" s="73"/>
      <c r="G157" s="73"/>
      <c r="H157" s="73"/>
      <c r="I157" s="73"/>
      <c r="J157" s="73"/>
      <c r="K157" s="73"/>
      <c r="L157" s="73"/>
      <c r="M157" s="74"/>
      <c r="N157" s="71" t="str">
        <f t="shared" si="2"/>
        <v/>
      </c>
      <c r="O157" s="72"/>
      <c r="P157" s="72"/>
      <c r="Q157" s="72"/>
      <c r="R157" s="72"/>
      <c r="S157" s="72"/>
      <c r="T157" s="72"/>
      <c r="U157" s="72"/>
      <c r="V157" s="72"/>
    </row>
    <row r="158" spans="1:25" ht="27.75" customHeight="1">
      <c r="A158" s="87" t="str">
        <f>IF(ISBLANK(C158)," ",153-COUNTBLANK($C$6:C158))</f>
        <v xml:space="preserve"> </v>
      </c>
      <c r="B158" s="88"/>
      <c r="C158" s="88"/>
      <c r="D158" s="89"/>
      <c r="E158" s="89"/>
      <c r="F158" s="73"/>
      <c r="G158" s="73"/>
      <c r="H158" s="73"/>
      <c r="I158" s="73"/>
      <c r="J158" s="73"/>
      <c r="K158" s="73"/>
      <c r="L158" s="73"/>
      <c r="M158" s="74"/>
      <c r="N158" s="71" t="str">
        <f t="shared" si="2"/>
        <v/>
      </c>
      <c r="O158" s="72"/>
      <c r="P158" s="72"/>
      <c r="Q158" s="72"/>
      <c r="R158" s="72"/>
      <c r="S158" s="72"/>
      <c r="T158" s="72"/>
      <c r="U158" s="72"/>
      <c r="V158" s="72"/>
    </row>
    <row r="159" spans="1:25" ht="27.75" customHeight="1">
      <c r="A159" s="87" t="str">
        <f>IF(ISBLANK(C159)," ",154-COUNTBLANK($C$6:C159))</f>
        <v xml:space="preserve"> </v>
      </c>
      <c r="B159" s="88"/>
      <c r="C159" s="88"/>
      <c r="D159" s="89"/>
      <c r="E159" s="89"/>
      <c r="F159" s="73"/>
      <c r="G159" s="73"/>
      <c r="H159" s="73"/>
      <c r="I159" s="73"/>
      <c r="J159" s="73"/>
      <c r="K159" s="73"/>
      <c r="L159" s="73"/>
      <c r="M159" s="74"/>
      <c r="N159" s="71" t="str">
        <f t="shared" si="2"/>
        <v/>
      </c>
      <c r="O159" s="72"/>
      <c r="P159" s="72"/>
      <c r="Q159" s="72"/>
      <c r="R159" s="72"/>
      <c r="S159" s="72"/>
      <c r="T159" s="72"/>
      <c r="U159" s="72"/>
      <c r="V159" s="72"/>
    </row>
    <row r="160" spans="1:25" ht="27.75" customHeight="1">
      <c r="A160" s="87" t="str">
        <f>IF(ISBLANK(C160)," ",155-COUNTBLANK($C$6:C160))</f>
        <v xml:space="preserve"> </v>
      </c>
      <c r="B160" s="88"/>
      <c r="C160" s="88"/>
      <c r="D160" s="89"/>
      <c r="E160" s="89"/>
      <c r="F160" s="73"/>
      <c r="G160" s="73"/>
      <c r="H160" s="73"/>
      <c r="I160" s="73"/>
      <c r="J160" s="73"/>
      <c r="K160" s="73"/>
      <c r="L160" s="73"/>
      <c r="M160" s="74"/>
      <c r="N160" s="71" t="str">
        <f t="shared" si="2"/>
        <v/>
      </c>
      <c r="O160" s="72"/>
      <c r="P160" s="72"/>
      <c r="Q160" s="72"/>
      <c r="R160" s="72"/>
      <c r="S160" s="72"/>
      <c r="T160" s="72"/>
      <c r="U160" s="72"/>
      <c r="V160" s="72"/>
    </row>
    <row r="161" spans="1:25" ht="27.75" customHeight="1">
      <c r="A161" s="87" t="str">
        <f>IF(ISBLANK(C161)," ",156-COUNTBLANK($C$6:C161))</f>
        <v xml:space="preserve"> </v>
      </c>
      <c r="B161" s="88"/>
      <c r="C161" s="88"/>
      <c r="D161" s="89"/>
      <c r="E161" s="89"/>
      <c r="F161" s="73"/>
      <c r="G161" s="73"/>
      <c r="H161" s="73"/>
      <c r="I161" s="73"/>
      <c r="J161" s="73"/>
      <c r="K161" s="73"/>
      <c r="L161" s="73"/>
      <c r="M161" s="74"/>
      <c r="N161" s="71" t="str">
        <f t="shared" si="2"/>
        <v/>
      </c>
      <c r="O161" s="72"/>
      <c r="P161" s="72"/>
      <c r="Q161" s="72"/>
      <c r="R161" s="72"/>
      <c r="S161" s="72"/>
      <c r="T161" s="72"/>
      <c r="U161" s="72"/>
      <c r="V161" s="72"/>
    </row>
    <row r="162" spans="1:25" ht="27.75" customHeight="1">
      <c r="A162" s="87" t="str">
        <f>IF(ISBLANK(C162)," ",157-COUNTBLANK($C$6:C162))</f>
        <v xml:space="preserve"> </v>
      </c>
      <c r="B162" s="88"/>
      <c r="C162" s="88"/>
      <c r="D162" s="89"/>
      <c r="E162" s="89"/>
      <c r="F162" s="73"/>
      <c r="G162" s="73"/>
      <c r="H162" s="73"/>
      <c r="I162" s="73"/>
      <c r="J162" s="73"/>
      <c r="K162" s="73"/>
      <c r="L162" s="73"/>
      <c r="M162" s="74"/>
      <c r="N162" s="71" t="str">
        <f t="shared" si="2"/>
        <v/>
      </c>
      <c r="O162" s="72"/>
      <c r="P162" s="72"/>
      <c r="Q162" s="72"/>
      <c r="R162" s="72"/>
      <c r="S162" s="72"/>
      <c r="T162" s="72"/>
      <c r="U162" s="72"/>
      <c r="V162" s="72"/>
    </row>
    <row r="163" spans="1:25" ht="27.75" customHeight="1">
      <c r="A163" s="87" t="str">
        <f>IF(ISBLANK(C163)," ",158-COUNTBLANK($C$6:C163))</f>
        <v xml:space="preserve"> </v>
      </c>
      <c r="B163" s="88"/>
      <c r="C163" s="88"/>
      <c r="D163" s="89"/>
      <c r="E163" s="89"/>
      <c r="F163" s="73"/>
      <c r="G163" s="73"/>
      <c r="H163" s="73"/>
      <c r="I163" s="73"/>
      <c r="J163" s="73"/>
      <c r="K163" s="73"/>
      <c r="L163" s="73"/>
      <c r="M163" s="74"/>
      <c r="N163" s="71" t="str">
        <f t="shared" si="2"/>
        <v/>
      </c>
      <c r="O163" s="72"/>
      <c r="P163" s="72"/>
      <c r="Q163" s="72"/>
      <c r="R163" s="72"/>
      <c r="S163" s="72"/>
      <c r="T163" s="72"/>
      <c r="U163" s="72"/>
      <c r="V163" s="72"/>
    </row>
    <row r="164" spans="1:25" ht="27.75" customHeight="1">
      <c r="A164" s="87" t="str">
        <f>IF(ISBLANK(C164)," ",159-COUNTBLANK($C$6:C164))</f>
        <v xml:space="preserve"> </v>
      </c>
      <c r="B164" s="88"/>
      <c r="C164" s="88"/>
      <c r="D164" s="89"/>
      <c r="E164" s="89"/>
      <c r="F164" s="73"/>
      <c r="G164" s="73"/>
      <c r="H164" s="73"/>
      <c r="I164" s="73"/>
      <c r="J164" s="73"/>
      <c r="K164" s="73"/>
      <c r="L164" s="73"/>
      <c r="M164" s="74"/>
      <c r="N164" s="71" t="str">
        <f t="shared" si="2"/>
        <v/>
      </c>
      <c r="O164" s="72"/>
      <c r="P164" s="72"/>
      <c r="Q164" s="72"/>
      <c r="R164" s="72"/>
      <c r="S164" s="72"/>
      <c r="T164" s="72"/>
      <c r="U164" s="72"/>
      <c r="V164" s="72"/>
    </row>
    <row r="165" spans="1:25" ht="27.75" customHeight="1">
      <c r="A165" s="87" t="str">
        <f>IF(ISBLANK(C165)," ",160-COUNTBLANK($C$6:C165))</f>
        <v xml:space="preserve"> </v>
      </c>
      <c r="B165" s="88"/>
      <c r="C165" s="88"/>
      <c r="D165" s="89"/>
      <c r="E165" s="89"/>
      <c r="F165" s="73"/>
      <c r="G165" s="73"/>
      <c r="H165" s="73"/>
      <c r="I165" s="73"/>
      <c r="J165" s="73"/>
      <c r="K165" s="73"/>
      <c r="L165" s="73"/>
      <c r="M165" s="74"/>
      <c r="N165" s="71" t="str">
        <f t="shared" si="2"/>
        <v/>
      </c>
      <c r="O165" s="72"/>
      <c r="P165" s="72"/>
      <c r="Q165" s="72"/>
      <c r="R165" s="72"/>
      <c r="S165" s="72"/>
      <c r="T165" s="72"/>
      <c r="U165" s="72"/>
      <c r="V165" s="72"/>
    </row>
    <row r="166" spans="1:25" ht="27.75" customHeight="1">
      <c r="A166" s="87" t="str">
        <f>IF(ISBLANK(C166)," ",161-COUNTBLANK($C$6:C166))</f>
        <v xml:space="preserve"> </v>
      </c>
      <c r="B166" s="88"/>
      <c r="C166" s="88"/>
      <c r="D166" s="89"/>
      <c r="E166" s="89"/>
      <c r="F166" s="73"/>
      <c r="G166" s="73"/>
      <c r="H166" s="73"/>
      <c r="I166" s="73"/>
      <c r="J166" s="73"/>
      <c r="K166" s="73"/>
      <c r="L166" s="73"/>
      <c r="M166" s="74"/>
      <c r="N166" s="71" t="str">
        <f t="shared" si="2"/>
        <v/>
      </c>
      <c r="O166" s="72"/>
      <c r="P166" s="72"/>
      <c r="Q166" s="72"/>
      <c r="R166" s="72"/>
      <c r="S166" s="72"/>
      <c r="T166" s="72"/>
      <c r="U166" s="72"/>
      <c r="V166" s="72"/>
    </row>
    <row r="167" spans="1:25" ht="27.75" customHeight="1">
      <c r="A167" s="87" t="str">
        <f>IF(ISBLANK(C167)," ",162-COUNTBLANK($C$6:C167))</f>
        <v xml:space="preserve"> </v>
      </c>
      <c r="B167" s="88"/>
      <c r="C167" s="88"/>
      <c r="D167" s="89"/>
      <c r="E167" s="89"/>
      <c r="F167" s="73"/>
      <c r="G167" s="73"/>
      <c r="H167" s="73"/>
      <c r="I167" s="73"/>
      <c r="J167" s="73"/>
      <c r="K167" s="73"/>
      <c r="L167" s="73"/>
      <c r="M167" s="74"/>
      <c r="N167" s="71" t="str">
        <f t="shared" si="2"/>
        <v/>
      </c>
      <c r="O167" s="72"/>
      <c r="P167" s="72"/>
      <c r="Q167" s="72"/>
      <c r="R167" s="72"/>
      <c r="S167" s="72"/>
      <c r="T167" s="72"/>
      <c r="U167" s="72"/>
      <c r="V167" s="72"/>
    </row>
    <row r="168" spans="1:25" ht="27.75" customHeight="1">
      <c r="A168" s="87" t="str">
        <f>IF(ISBLANK(C168)," ",163-COUNTBLANK($C$6:C168))</f>
        <v xml:space="preserve"> </v>
      </c>
      <c r="B168" s="88"/>
      <c r="C168" s="88"/>
      <c r="D168" s="89"/>
      <c r="E168" s="89"/>
      <c r="F168" s="73"/>
      <c r="G168" s="73"/>
      <c r="H168" s="73"/>
      <c r="I168" s="73"/>
      <c r="J168" s="73"/>
      <c r="K168" s="73"/>
      <c r="L168" s="73"/>
      <c r="M168" s="74"/>
      <c r="N168" s="71" t="str">
        <f t="shared" si="2"/>
        <v/>
      </c>
      <c r="O168" s="75"/>
      <c r="P168" s="72"/>
      <c r="Q168" s="72"/>
      <c r="R168" s="72"/>
      <c r="S168" s="72"/>
      <c r="T168" s="72"/>
      <c r="U168" s="72"/>
      <c r="V168" s="76"/>
    </row>
    <row r="169" spans="1:25" ht="27.75" customHeight="1">
      <c r="A169" s="87" t="str">
        <f>IF(ISBLANK(C169)," ",164-COUNTBLANK($C$6:C169))</f>
        <v xml:space="preserve"> </v>
      </c>
      <c r="B169" s="88"/>
      <c r="C169" s="88"/>
      <c r="D169" s="89"/>
      <c r="E169" s="89"/>
      <c r="F169" s="73"/>
      <c r="G169" s="73"/>
      <c r="H169" s="73"/>
      <c r="I169" s="73"/>
      <c r="J169" s="73"/>
      <c r="K169" s="73"/>
      <c r="L169" s="73"/>
      <c r="M169" s="74"/>
      <c r="N169" s="71" t="str">
        <f t="shared" si="2"/>
        <v/>
      </c>
      <c r="O169" s="75"/>
      <c r="P169" s="72"/>
      <c r="Q169" s="72"/>
      <c r="R169" s="72"/>
      <c r="S169" s="72"/>
      <c r="T169" s="72"/>
      <c r="U169" s="72"/>
      <c r="V169" s="76"/>
    </row>
    <row r="170" spans="1:25" ht="27.75" customHeight="1">
      <c r="A170" s="87" t="str">
        <f>IF(ISBLANK(C170)," ",165-COUNTBLANK($C$6:C170))</f>
        <v xml:space="preserve"> </v>
      </c>
      <c r="B170" s="88"/>
      <c r="C170" s="88"/>
      <c r="D170" s="89"/>
      <c r="E170" s="89"/>
      <c r="F170" s="73"/>
      <c r="G170" s="73"/>
      <c r="H170" s="73"/>
      <c r="I170" s="73"/>
      <c r="J170" s="73"/>
      <c r="K170" s="73"/>
      <c r="L170" s="73"/>
      <c r="M170" s="74"/>
      <c r="N170" s="71" t="str">
        <f t="shared" si="2"/>
        <v/>
      </c>
      <c r="O170" s="75"/>
      <c r="P170" s="72"/>
      <c r="Q170" s="72"/>
      <c r="R170" s="72"/>
      <c r="S170" s="72"/>
      <c r="T170" s="72"/>
      <c r="U170" s="72"/>
      <c r="V170" s="76"/>
    </row>
    <row r="171" spans="1:25" ht="27.75" customHeight="1">
      <c r="A171" s="87" t="str">
        <f>IF(ISBLANK(C171)," ",166-COUNTBLANK($C$6:C171))</f>
        <v xml:space="preserve"> </v>
      </c>
      <c r="B171" s="88"/>
      <c r="C171" s="88"/>
      <c r="D171" s="89"/>
      <c r="E171" s="89"/>
      <c r="F171" s="73"/>
      <c r="G171" s="73"/>
      <c r="H171" s="73"/>
      <c r="I171" s="73"/>
      <c r="J171" s="73"/>
      <c r="K171" s="73"/>
      <c r="L171" s="73"/>
      <c r="M171" s="74"/>
      <c r="N171" s="71" t="str">
        <f t="shared" si="2"/>
        <v/>
      </c>
      <c r="O171" s="75"/>
      <c r="P171" s="72"/>
      <c r="Q171" s="72"/>
      <c r="R171" s="72"/>
      <c r="S171" s="72"/>
      <c r="T171" s="72"/>
      <c r="U171" s="72"/>
      <c r="V171" s="76"/>
    </row>
    <row r="172" spans="1:25" ht="27.75" customHeight="1">
      <c r="A172" s="87" t="str">
        <f>IF(ISBLANK(C172)," ",167-COUNTBLANK($C$6:C172))</f>
        <v xml:space="preserve"> </v>
      </c>
      <c r="B172" s="88"/>
      <c r="C172" s="88"/>
      <c r="D172" s="89"/>
      <c r="E172" s="89"/>
      <c r="F172" s="73"/>
      <c r="G172" s="73"/>
      <c r="H172" s="73"/>
      <c r="I172" s="73"/>
      <c r="J172" s="73"/>
      <c r="K172" s="73"/>
      <c r="L172" s="73"/>
      <c r="M172" s="74"/>
      <c r="N172" s="71" t="str">
        <f t="shared" si="2"/>
        <v/>
      </c>
      <c r="O172" s="72"/>
      <c r="P172" s="72"/>
      <c r="Q172" s="72"/>
      <c r="R172" s="72"/>
      <c r="S172" s="72"/>
      <c r="T172" s="72"/>
      <c r="U172" s="72"/>
      <c r="V172" s="79"/>
      <c r="W172" s="72"/>
      <c r="X172" s="72"/>
      <c r="Y172" s="72"/>
    </row>
    <row r="173" spans="1:25" ht="27.75" customHeight="1">
      <c r="A173" s="80" t="s">
        <v>52</v>
      </c>
      <c r="B173" s="81"/>
      <c r="C173" s="96"/>
      <c r="D173" s="82"/>
      <c r="E173" s="82">
        <f>SUM(E153:E172)</f>
        <v>0</v>
      </c>
      <c r="F173" s="83"/>
      <c r="G173" s="83"/>
      <c r="H173" s="83"/>
      <c r="I173" s="83"/>
      <c r="J173" s="83"/>
      <c r="K173" s="83"/>
      <c r="L173" s="83"/>
      <c r="M173" s="84"/>
      <c r="N173" s="71" t="str">
        <f t="shared" si="2"/>
        <v/>
      </c>
      <c r="O173" s="75"/>
      <c r="P173" s="72"/>
      <c r="Q173" s="72"/>
      <c r="R173" s="72"/>
      <c r="S173" s="72"/>
      <c r="T173" s="72"/>
      <c r="U173" s="72"/>
      <c r="V173" s="79"/>
      <c r="W173" s="72"/>
      <c r="X173" s="72"/>
      <c r="Y173" s="72"/>
    </row>
    <row r="174" spans="1:25" ht="27.75" customHeight="1">
      <c r="A174" s="93" t="str">
        <f>IF(ISBLANK(C174)," ",169-COUNTBLANK($C$6:C174))</f>
        <v xml:space="preserve"> </v>
      </c>
      <c r="B174" s="94"/>
      <c r="C174" s="94"/>
      <c r="D174" s="95"/>
      <c r="E174" s="95"/>
      <c r="F174" s="85"/>
      <c r="G174" s="85"/>
      <c r="H174" s="85"/>
      <c r="I174" s="85"/>
      <c r="J174" s="85"/>
      <c r="K174" s="85"/>
      <c r="L174" s="85"/>
      <c r="M174" s="86"/>
      <c r="N174" s="71" t="str">
        <f t="shared" si="2"/>
        <v/>
      </c>
      <c r="O174" s="72"/>
      <c r="P174" s="72"/>
      <c r="Q174" s="72"/>
      <c r="R174" s="72"/>
      <c r="S174" s="72"/>
      <c r="T174" s="72"/>
      <c r="U174" s="72"/>
      <c r="V174" s="72"/>
    </row>
    <row r="175" spans="1:25" ht="27.75" customHeight="1">
      <c r="A175" s="87" t="str">
        <f>IF(ISBLANK(C175)," ",170-COUNTBLANK($C$6:C175))</f>
        <v xml:space="preserve"> </v>
      </c>
      <c r="B175" s="88"/>
      <c r="C175" s="88"/>
      <c r="D175" s="89"/>
      <c r="E175" s="89"/>
      <c r="F175" s="73"/>
      <c r="G175" s="73"/>
      <c r="H175" s="73"/>
      <c r="I175" s="73"/>
      <c r="J175" s="73"/>
      <c r="K175" s="73"/>
      <c r="L175" s="73"/>
      <c r="M175" s="74"/>
      <c r="N175" s="71" t="str">
        <f t="shared" si="2"/>
        <v/>
      </c>
      <c r="O175" s="72"/>
      <c r="P175" s="72"/>
      <c r="Q175" s="72"/>
      <c r="R175" s="72"/>
      <c r="S175" s="72"/>
      <c r="T175" s="72"/>
      <c r="U175" s="72"/>
      <c r="V175" s="72"/>
    </row>
    <row r="176" spans="1:25" ht="27.75" customHeight="1">
      <c r="A176" s="87" t="str">
        <f>IF(ISBLANK(C176)," ",171-COUNTBLANK($C$6:C176))</f>
        <v xml:space="preserve"> </v>
      </c>
      <c r="B176" s="88"/>
      <c r="C176" s="88"/>
      <c r="D176" s="89"/>
      <c r="E176" s="89"/>
      <c r="F176" s="73"/>
      <c r="G176" s="73"/>
      <c r="H176" s="73"/>
      <c r="I176" s="73"/>
      <c r="J176" s="73"/>
      <c r="K176" s="73"/>
      <c r="L176" s="73"/>
      <c r="M176" s="74"/>
      <c r="N176" s="71" t="str">
        <f t="shared" si="2"/>
        <v/>
      </c>
      <c r="O176" s="72"/>
      <c r="P176" s="72"/>
      <c r="Q176" s="72"/>
      <c r="R176" s="72"/>
      <c r="S176" s="72"/>
      <c r="T176" s="72"/>
      <c r="U176" s="72"/>
      <c r="V176" s="72"/>
    </row>
    <row r="177" spans="1:22" ht="27.75" customHeight="1">
      <c r="A177" s="87" t="str">
        <f>IF(ISBLANK(C177)," ",172-COUNTBLANK($C$6:C177))</f>
        <v xml:space="preserve"> </v>
      </c>
      <c r="B177" s="88"/>
      <c r="C177" s="88"/>
      <c r="D177" s="89"/>
      <c r="E177" s="89"/>
      <c r="F177" s="73"/>
      <c r="G177" s="73"/>
      <c r="H177" s="73"/>
      <c r="I177" s="73"/>
      <c r="J177" s="73"/>
      <c r="K177" s="73"/>
      <c r="L177" s="73"/>
      <c r="M177" s="74"/>
      <c r="N177" s="71" t="str">
        <f t="shared" si="2"/>
        <v/>
      </c>
      <c r="O177" s="72"/>
      <c r="P177" s="72"/>
      <c r="Q177" s="72"/>
      <c r="R177" s="72"/>
      <c r="S177" s="72"/>
      <c r="T177" s="72"/>
      <c r="U177" s="72"/>
      <c r="V177" s="72"/>
    </row>
    <row r="178" spans="1:22" ht="27.75" customHeight="1">
      <c r="A178" s="87" t="str">
        <f>IF(ISBLANK(C178)," ",173-COUNTBLANK($C$6:C178))</f>
        <v xml:space="preserve"> </v>
      </c>
      <c r="B178" s="88"/>
      <c r="C178" s="88"/>
      <c r="D178" s="89"/>
      <c r="E178" s="89"/>
      <c r="F178" s="73"/>
      <c r="G178" s="73"/>
      <c r="H178" s="73"/>
      <c r="I178" s="73"/>
      <c r="J178" s="73"/>
      <c r="K178" s="73"/>
      <c r="L178" s="73"/>
      <c r="M178" s="74"/>
      <c r="N178" s="71" t="str">
        <f t="shared" si="2"/>
        <v/>
      </c>
      <c r="O178" s="72"/>
      <c r="P178" s="72"/>
      <c r="Q178" s="72"/>
      <c r="R178" s="72"/>
      <c r="S178" s="72"/>
      <c r="T178" s="72"/>
      <c r="U178" s="72"/>
      <c r="V178" s="72"/>
    </row>
    <row r="179" spans="1:22" ht="27.75" customHeight="1">
      <c r="A179" s="87" t="str">
        <f>IF(ISBLANK(C179)," ",174-COUNTBLANK($C$6:C179))</f>
        <v xml:space="preserve"> </v>
      </c>
      <c r="B179" s="88"/>
      <c r="C179" s="88"/>
      <c r="D179" s="89"/>
      <c r="E179" s="89"/>
      <c r="F179" s="73"/>
      <c r="G179" s="73"/>
      <c r="H179" s="73"/>
      <c r="I179" s="73"/>
      <c r="J179" s="73"/>
      <c r="K179" s="73"/>
      <c r="L179" s="73"/>
      <c r="M179" s="74"/>
      <c r="N179" s="71" t="str">
        <f t="shared" si="2"/>
        <v/>
      </c>
      <c r="O179" s="72"/>
      <c r="P179" s="72"/>
      <c r="Q179" s="72"/>
      <c r="R179" s="72"/>
      <c r="S179" s="72"/>
      <c r="T179" s="72"/>
      <c r="U179" s="72"/>
      <c r="V179" s="72"/>
    </row>
    <row r="180" spans="1:22" ht="27.75" customHeight="1">
      <c r="A180" s="87" t="str">
        <f>IF(ISBLANK(C180)," ",175-COUNTBLANK($C$6:C180))</f>
        <v xml:space="preserve"> </v>
      </c>
      <c r="B180" s="88"/>
      <c r="C180" s="88"/>
      <c r="D180" s="89"/>
      <c r="E180" s="89"/>
      <c r="F180" s="73"/>
      <c r="G180" s="73"/>
      <c r="H180" s="73"/>
      <c r="I180" s="73"/>
      <c r="J180" s="73"/>
      <c r="K180" s="73"/>
      <c r="L180" s="73"/>
      <c r="M180" s="74"/>
      <c r="N180" s="71" t="str">
        <f t="shared" si="2"/>
        <v/>
      </c>
      <c r="O180" s="72"/>
      <c r="P180" s="72"/>
      <c r="Q180" s="72"/>
      <c r="R180" s="72"/>
      <c r="S180" s="72"/>
      <c r="T180" s="72"/>
      <c r="U180" s="72"/>
      <c r="V180" s="72"/>
    </row>
    <row r="181" spans="1:22" ht="27.75" customHeight="1">
      <c r="A181" s="87" t="str">
        <f>IF(ISBLANK(C181)," ",176-COUNTBLANK($C$6:C181))</f>
        <v xml:space="preserve"> </v>
      </c>
      <c r="B181" s="88"/>
      <c r="C181" s="88"/>
      <c r="D181" s="89"/>
      <c r="E181" s="89"/>
      <c r="F181" s="73"/>
      <c r="G181" s="73"/>
      <c r="H181" s="73"/>
      <c r="I181" s="73"/>
      <c r="J181" s="73"/>
      <c r="K181" s="73"/>
      <c r="L181" s="73"/>
      <c r="M181" s="74"/>
      <c r="N181" s="71" t="str">
        <f t="shared" si="2"/>
        <v/>
      </c>
      <c r="O181" s="72"/>
      <c r="P181" s="72"/>
      <c r="Q181" s="72"/>
      <c r="R181" s="72"/>
      <c r="S181" s="72"/>
      <c r="T181" s="72"/>
      <c r="U181" s="72"/>
      <c r="V181" s="72"/>
    </row>
    <row r="182" spans="1:22" ht="27.75" customHeight="1">
      <c r="A182" s="87" t="str">
        <f>IF(ISBLANK(C182)," ",177-COUNTBLANK($C$6:C182))</f>
        <v xml:space="preserve"> </v>
      </c>
      <c r="B182" s="88"/>
      <c r="C182" s="88"/>
      <c r="D182" s="89"/>
      <c r="E182" s="89"/>
      <c r="F182" s="73"/>
      <c r="G182" s="73"/>
      <c r="H182" s="73"/>
      <c r="I182" s="73"/>
      <c r="J182" s="73"/>
      <c r="K182" s="73"/>
      <c r="L182" s="73"/>
      <c r="M182" s="74"/>
      <c r="N182" s="71" t="str">
        <f t="shared" si="2"/>
        <v/>
      </c>
      <c r="O182" s="72"/>
      <c r="P182" s="72"/>
      <c r="Q182" s="72"/>
      <c r="R182" s="72"/>
      <c r="S182" s="72"/>
      <c r="T182" s="72"/>
      <c r="U182" s="72"/>
      <c r="V182" s="72"/>
    </row>
    <row r="183" spans="1:22" ht="27.75" customHeight="1">
      <c r="A183" s="87" t="str">
        <f>IF(ISBLANK(C183)," ",178-COUNTBLANK($C$6:C183))</f>
        <v xml:space="preserve"> </v>
      </c>
      <c r="B183" s="88"/>
      <c r="C183" s="88"/>
      <c r="D183" s="89"/>
      <c r="E183" s="89"/>
      <c r="F183" s="73"/>
      <c r="G183" s="73"/>
      <c r="H183" s="73"/>
      <c r="I183" s="73"/>
      <c r="J183" s="73"/>
      <c r="K183" s="73"/>
      <c r="L183" s="73"/>
      <c r="M183" s="74"/>
      <c r="N183" s="71" t="str">
        <f t="shared" si="2"/>
        <v/>
      </c>
      <c r="O183" s="72"/>
      <c r="P183" s="72"/>
      <c r="Q183" s="72"/>
      <c r="R183" s="72"/>
      <c r="S183" s="72"/>
      <c r="T183" s="72"/>
      <c r="U183" s="72"/>
      <c r="V183" s="72"/>
    </row>
    <row r="184" spans="1:22" ht="27.75" customHeight="1">
      <c r="A184" s="87" t="str">
        <f>IF(ISBLANK(C184)," ",179-COUNTBLANK($C$6:C184))</f>
        <v xml:space="preserve"> </v>
      </c>
      <c r="B184" s="88"/>
      <c r="C184" s="88"/>
      <c r="D184" s="89"/>
      <c r="E184" s="89"/>
      <c r="F184" s="73"/>
      <c r="G184" s="73"/>
      <c r="H184" s="73"/>
      <c r="I184" s="73"/>
      <c r="J184" s="73"/>
      <c r="K184" s="73"/>
      <c r="L184" s="73"/>
      <c r="M184" s="74"/>
      <c r="N184" s="71" t="str">
        <f t="shared" si="2"/>
        <v/>
      </c>
      <c r="O184" s="72"/>
      <c r="P184" s="72"/>
      <c r="Q184" s="72"/>
      <c r="R184" s="72"/>
      <c r="S184" s="72"/>
      <c r="T184" s="72"/>
      <c r="U184" s="72"/>
      <c r="V184" s="72"/>
    </row>
    <row r="185" spans="1:22" ht="27.75" customHeight="1">
      <c r="A185" s="87" t="str">
        <f>IF(ISBLANK(C185)," ",180-COUNTBLANK($C$6:C185))</f>
        <v xml:space="preserve"> </v>
      </c>
      <c r="B185" s="88"/>
      <c r="C185" s="88"/>
      <c r="D185" s="89"/>
      <c r="E185" s="89"/>
      <c r="F185" s="73"/>
      <c r="G185" s="73"/>
      <c r="H185" s="73"/>
      <c r="I185" s="73"/>
      <c r="J185" s="73"/>
      <c r="K185" s="73"/>
      <c r="L185" s="73"/>
      <c r="M185" s="74"/>
      <c r="N185" s="71" t="str">
        <f t="shared" si="2"/>
        <v/>
      </c>
      <c r="O185" s="72"/>
      <c r="P185" s="72"/>
      <c r="Q185" s="72"/>
      <c r="R185" s="72"/>
      <c r="S185" s="72"/>
      <c r="T185" s="72"/>
      <c r="U185" s="72"/>
      <c r="V185" s="72"/>
    </row>
    <row r="186" spans="1:22" ht="27.75" customHeight="1">
      <c r="A186" s="87" t="str">
        <f>IF(ISBLANK(C186)," ",181-COUNTBLANK($C$6:C186))</f>
        <v xml:space="preserve"> </v>
      </c>
      <c r="B186" s="88"/>
      <c r="C186" s="88"/>
      <c r="D186" s="89"/>
      <c r="E186" s="89"/>
      <c r="F186" s="73"/>
      <c r="G186" s="73"/>
      <c r="H186" s="73"/>
      <c r="I186" s="73"/>
      <c r="J186" s="73"/>
      <c r="K186" s="73"/>
      <c r="L186" s="73"/>
      <c r="M186" s="74"/>
      <c r="N186" s="71" t="str">
        <f t="shared" si="2"/>
        <v/>
      </c>
      <c r="O186" s="72"/>
      <c r="P186" s="72"/>
      <c r="Q186" s="72"/>
      <c r="R186" s="72"/>
      <c r="S186" s="72"/>
      <c r="T186" s="72"/>
      <c r="U186" s="72"/>
      <c r="V186" s="72"/>
    </row>
    <row r="187" spans="1:22" ht="27.75" customHeight="1">
      <c r="A187" s="87" t="str">
        <f>IF(ISBLANK(C187)," ",182-COUNTBLANK($C$6:C187))</f>
        <v xml:space="preserve"> </v>
      </c>
      <c r="B187" s="88"/>
      <c r="C187" s="88"/>
      <c r="D187" s="89"/>
      <c r="E187" s="89"/>
      <c r="F187" s="73"/>
      <c r="G187" s="73"/>
      <c r="H187" s="73"/>
      <c r="I187" s="73"/>
      <c r="J187" s="73"/>
      <c r="K187" s="73"/>
      <c r="L187" s="73"/>
      <c r="M187" s="74"/>
      <c r="N187" s="71" t="str">
        <f t="shared" si="2"/>
        <v/>
      </c>
      <c r="O187" s="72"/>
      <c r="P187" s="72"/>
      <c r="Q187" s="72"/>
      <c r="R187" s="72"/>
      <c r="S187" s="72"/>
      <c r="T187" s="72"/>
      <c r="U187" s="72"/>
      <c r="V187" s="72"/>
    </row>
    <row r="188" spans="1:22" ht="27.75" customHeight="1">
      <c r="A188" s="87" t="str">
        <f>IF(ISBLANK(C188)," ",183-COUNTBLANK($C$6:C188))</f>
        <v xml:space="preserve"> </v>
      </c>
      <c r="B188" s="88"/>
      <c r="C188" s="88"/>
      <c r="D188" s="89"/>
      <c r="E188" s="89"/>
      <c r="F188" s="73"/>
      <c r="G188" s="73"/>
      <c r="H188" s="73"/>
      <c r="I188" s="73"/>
      <c r="J188" s="73"/>
      <c r="K188" s="73"/>
      <c r="L188" s="73"/>
      <c r="M188" s="74"/>
      <c r="N188" s="71" t="str">
        <f t="shared" si="2"/>
        <v/>
      </c>
      <c r="O188" s="72"/>
      <c r="P188" s="72"/>
      <c r="Q188" s="72"/>
      <c r="R188" s="72"/>
      <c r="S188" s="72"/>
      <c r="T188" s="72"/>
      <c r="U188" s="72"/>
      <c r="V188" s="72"/>
    </row>
    <row r="189" spans="1:22" ht="27.75" customHeight="1">
      <c r="A189" s="87" t="str">
        <f>IF(ISBLANK(C189)," ",184-COUNTBLANK($C$6:C189))</f>
        <v xml:space="preserve"> </v>
      </c>
      <c r="B189" s="88"/>
      <c r="C189" s="88"/>
      <c r="D189" s="89"/>
      <c r="E189" s="89"/>
      <c r="F189" s="73"/>
      <c r="G189" s="73"/>
      <c r="H189" s="73"/>
      <c r="I189" s="73"/>
      <c r="J189" s="73"/>
      <c r="K189" s="73"/>
      <c r="L189" s="73"/>
      <c r="M189" s="74"/>
      <c r="N189" s="71" t="str">
        <f t="shared" si="2"/>
        <v/>
      </c>
      <c r="O189" s="75"/>
      <c r="P189" s="72"/>
      <c r="Q189" s="72"/>
      <c r="R189" s="72"/>
      <c r="S189" s="72"/>
      <c r="T189" s="72"/>
      <c r="U189" s="72"/>
      <c r="V189" s="76"/>
    </row>
    <row r="190" spans="1:22" ht="27.75" customHeight="1">
      <c r="A190" s="87" t="str">
        <f>IF(ISBLANK(C190)," ",185-COUNTBLANK($C$6:C190))</f>
        <v xml:space="preserve"> </v>
      </c>
      <c r="B190" s="88"/>
      <c r="C190" s="88"/>
      <c r="D190" s="89"/>
      <c r="E190" s="89"/>
      <c r="F190" s="73"/>
      <c r="G190" s="73"/>
      <c r="H190" s="73"/>
      <c r="I190" s="73"/>
      <c r="J190" s="73"/>
      <c r="K190" s="73"/>
      <c r="L190" s="73"/>
      <c r="M190" s="74"/>
      <c r="N190" s="71" t="str">
        <f t="shared" si="2"/>
        <v/>
      </c>
      <c r="O190" s="75"/>
      <c r="P190" s="72"/>
      <c r="Q190" s="72"/>
      <c r="R190" s="72"/>
      <c r="S190" s="72"/>
      <c r="T190" s="72"/>
      <c r="U190" s="72"/>
      <c r="V190" s="76"/>
    </row>
    <row r="191" spans="1:22" ht="27.75" customHeight="1">
      <c r="A191" s="87" t="str">
        <f>IF(ISBLANK(C191)," ",186-COUNTBLANK($C$6:C191))</f>
        <v xml:space="preserve"> </v>
      </c>
      <c r="B191" s="88"/>
      <c r="C191" s="88"/>
      <c r="D191" s="89"/>
      <c r="E191" s="89"/>
      <c r="F191" s="73"/>
      <c r="G191" s="73"/>
      <c r="H191" s="73"/>
      <c r="I191" s="73"/>
      <c r="J191" s="73"/>
      <c r="K191" s="73"/>
      <c r="L191" s="73"/>
      <c r="M191" s="74"/>
      <c r="N191" s="71" t="str">
        <f t="shared" si="2"/>
        <v/>
      </c>
      <c r="O191" s="75"/>
      <c r="P191" s="72"/>
      <c r="Q191" s="72"/>
      <c r="R191" s="72"/>
      <c r="S191" s="72"/>
      <c r="T191" s="72"/>
      <c r="U191" s="72"/>
      <c r="V191" s="76"/>
    </row>
    <row r="192" spans="1:22" ht="27.75" customHeight="1">
      <c r="A192" s="87" t="str">
        <f>IF(ISBLANK(C192)," ",187-COUNTBLANK($C$6:C192))</f>
        <v xml:space="preserve"> </v>
      </c>
      <c r="B192" s="88"/>
      <c r="C192" s="88"/>
      <c r="D192" s="89"/>
      <c r="E192" s="89"/>
      <c r="F192" s="73"/>
      <c r="G192" s="73"/>
      <c r="H192" s="73"/>
      <c r="I192" s="73"/>
      <c r="J192" s="73"/>
      <c r="K192" s="73"/>
      <c r="L192" s="73"/>
      <c r="M192" s="74"/>
      <c r="N192" s="71" t="str">
        <f t="shared" si="2"/>
        <v/>
      </c>
      <c r="O192" s="75"/>
      <c r="P192" s="72"/>
      <c r="Q192" s="72"/>
      <c r="R192" s="72"/>
      <c r="S192" s="72"/>
      <c r="T192" s="72"/>
      <c r="U192" s="72"/>
      <c r="V192" s="76"/>
    </row>
    <row r="193" spans="1:25" ht="27.75" customHeight="1">
      <c r="A193" s="87" t="str">
        <f>IF(ISBLANK(C193)," ",188-COUNTBLANK($C$6:C193))</f>
        <v xml:space="preserve"> </v>
      </c>
      <c r="B193" s="88"/>
      <c r="C193" s="88"/>
      <c r="D193" s="89"/>
      <c r="E193" s="89"/>
      <c r="F193" s="73"/>
      <c r="G193" s="73"/>
      <c r="H193" s="73"/>
      <c r="I193" s="73"/>
      <c r="J193" s="73"/>
      <c r="K193" s="73"/>
      <c r="L193" s="73"/>
      <c r="M193" s="74"/>
      <c r="N193" s="71" t="str">
        <f t="shared" si="2"/>
        <v/>
      </c>
      <c r="O193" s="72"/>
      <c r="P193" s="72"/>
      <c r="Q193" s="72"/>
      <c r="R193" s="72"/>
      <c r="S193" s="72"/>
      <c r="T193" s="72"/>
      <c r="U193" s="72"/>
      <c r="V193" s="79"/>
      <c r="W193" s="72"/>
      <c r="X193" s="72"/>
      <c r="Y193" s="72"/>
    </row>
    <row r="194" spans="1:25" ht="27.75" customHeight="1">
      <c r="A194" s="80" t="s">
        <v>52</v>
      </c>
      <c r="B194" s="81"/>
      <c r="C194" s="96"/>
      <c r="D194" s="82"/>
      <c r="E194" s="82">
        <f>SUM(E174:E193)</f>
        <v>0</v>
      </c>
      <c r="F194" s="83"/>
      <c r="G194" s="83"/>
      <c r="H194" s="83"/>
      <c r="I194" s="83"/>
      <c r="J194" s="83"/>
      <c r="K194" s="83"/>
      <c r="L194" s="83"/>
      <c r="M194" s="84"/>
      <c r="N194" s="71" t="str">
        <f t="shared" si="2"/>
        <v/>
      </c>
      <c r="O194" s="75"/>
      <c r="P194" s="72"/>
      <c r="Q194" s="72"/>
      <c r="R194" s="72"/>
      <c r="S194" s="72"/>
      <c r="T194" s="72"/>
      <c r="U194" s="72"/>
      <c r="V194" s="79"/>
      <c r="W194" s="72"/>
      <c r="X194" s="72"/>
      <c r="Y194" s="72"/>
    </row>
    <row r="195" spans="1:25" ht="27.75" customHeight="1">
      <c r="A195" s="93" t="str">
        <f>IF(ISBLANK(C195)," ",190-COUNTBLANK($C$6:C195))</f>
        <v xml:space="preserve"> </v>
      </c>
      <c r="B195" s="94"/>
      <c r="C195" s="94"/>
      <c r="D195" s="95"/>
      <c r="E195" s="95"/>
      <c r="F195" s="85"/>
      <c r="G195" s="85"/>
      <c r="H195" s="85"/>
      <c r="I195" s="85"/>
      <c r="J195" s="85"/>
      <c r="K195" s="85"/>
      <c r="L195" s="85"/>
      <c r="M195" s="86"/>
      <c r="N195" s="71" t="str">
        <f t="shared" si="2"/>
        <v/>
      </c>
      <c r="O195" s="72"/>
      <c r="P195" s="72"/>
      <c r="Q195" s="72"/>
      <c r="R195" s="72"/>
      <c r="S195" s="72"/>
      <c r="T195" s="72"/>
      <c r="U195" s="72"/>
      <c r="V195" s="72"/>
    </row>
    <row r="196" spans="1:25" ht="27.75" customHeight="1">
      <c r="A196" s="87" t="str">
        <f>IF(ISBLANK(C196)," ",191-COUNTBLANK($C$6:C196))</f>
        <v xml:space="preserve"> </v>
      </c>
      <c r="B196" s="88"/>
      <c r="C196" s="88"/>
      <c r="D196" s="89"/>
      <c r="E196" s="89"/>
      <c r="F196" s="73"/>
      <c r="G196" s="73"/>
      <c r="H196" s="73"/>
      <c r="I196" s="73"/>
      <c r="J196" s="73"/>
      <c r="K196" s="73"/>
      <c r="L196" s="73"/>
      <c r="M196" s="74"/>
      <c r="N196" s="71" t="str">
        <f t="shared" si="2"/>
        <v/>
      </c>
      <c r="O196" s="72"/>
      <c r="P196" s="72"/>
      <c r="Q196" s="72"/>
      <c r="R196" s="72"/>
      <c r="S196" s="72"/>
      <c r="T196" s="72"/>
      <c r="U196" s="72"/>
      <c r="V196" s="72"/>
    </row>
    <row r="197" spans="1:25" ht="27.75" customHeight="1">
      <c r="A197" s="87" t="str">
        <f>IF(ISBLANK(C197)," ",192-COUNTBLANK($C$6:C197))</f>
        <v xml:space="preserve"> </v>
      </c>
      <c r="B197" s="88"/>
      <c r="C197" s="88"/>
      <c r="D197" s="89"/>
      <c r="E197" s="89"/>
      <c r="F197" s="73"/>
      <c r="G197" s="73"/>
      <c r="H197" s="73"/>
      <c r="I197" s="73"/>
      <c r="J197" s="73"/>
      <c r="K197" s="73"/>
      <c r="L197" s="73"/>
      <c r="M197" s="74"/>
      <c r="N197" s="71" t="str">
        <f t="shared" si="2"/>
        <v/>
      </c>
      <c r="O197" s="72"/>
      <c r="P197" s="72"/>
      <c r="Q197" s="72"/>
      <c r="R197" s="72"/>
      <c r="S197" s="72"/>
      <c r="T197" s="72"/>
      <c r="U197" s="72"/>
      <c r="V197" s="72"/>
    </row>
    <row r="198" spans="1:25" ht="27.75" customHeight="1">
      <c r="A198" s="87" t="str">
        <f>IF(ISBLANK(C198)," ",193-COUNTBLANK($C$6:C198))</f>
        <v xml:space="preserve"> </v>
      </c>
      <c r="B198" s="88"/>
      <c r="C198" s="88"/>
      <c r="D198" s="89"/>
      <c r="E198" s="89"/>
      <c r="F198" s="73"/>
      <c r="G198" s="73"/>
      <c r="H198" s="73"/>
      <c r="I198" s="73"/>
      <c r="J198" s="73"/>
      <c r="K198" s="73"/>
      <c r="L198" s="73"/>
      <c r="M198" s="74"/>
      <c r="N198" s="71" t="str">
        <f t="shared" ref="N198:N261" si="3">CONCATENATE(C198,H198)</f>
        <v/>
      </c>
      <c r="O198" s="72"/>
      <c r="P198" s="72"/>
      <c r="Q198" s="72"/>
      <c r="R198" s="72"/>
      <c r="S198" s="72"/>
      <c r="T198" s="72"/>
      <c r="U198" s="72"/>
      <c r="V198" s="72"/>
    </row>
    <row r="199" spans="1:25" ht="27.75" customHeight="1">
      <c r="A199" s="87" t="str">
        <f>IF(ISBLANK(C199)," ",194-COUNTBLANK($C$6:C199))</f>
        <v xml:space="preserve"> </v>
      </c>
      <c r="B199" s="88"/>
      <c r="C199" s="88"/>
      <c r="D199" s="89"/>
      <c r="E199" s="89"/>
      <c r="F199" s="73"/>
      <c r="G199" s="73"/>
      <c r="H199" s="73"/>
      <c r="I199" s="73"/>
      <c r="J199" s="73"/>
      <c r="K199" s="73"/>
      <c r="L199" s="73"/>
      <c r="M199" s="74"/>
      <c r="N199" s="71" t="str">
        <f t="shared" si="3"/>
        <v/>
      </c>
      <c r="O199" s="72"/>
      <c r="P199" s="72"/>
      <c r="Q199" s="72"/>
      <c r="R199" s="72"/>
      <c r="S199" s="72"/>
      <c r="T199" s="72"/>
      <c r="U199" s="72"/>
      <c r="V199" s="72"/>
    </row>
    <row r="200" spans="1:25" ht="27.75" customHeight="1">
      <c r="A200" s="87" t="str">
        <f>IF(ISBLANK(C200)," ",195-COUNTBLANK($C$6:C200))</f>
        <v xml:space="preserve"> </v>
      </c>
      <c r="B200" s="88"/>
      <c r="C200" s="88"/>
      <c r="D200" s="89"/>
      <c r="E200" s="89"/>
      <c r="F200" s="73"/>
      <c r="G200" s="73"/>
      <c r="H200" s="73"/>
      <c r="I200" s="73"/>
      <c r="J200" s="73"/>
      <c r="K200" s="73"/>
      <c r="L200" s="73"/>
      <c r="M200" s="74"/>
      <c r="N200" s="71" t="str">
        <f t="shared" si="3"/>
        <v/>
      </c>
      <c r="O200" s="72"/>
      <c r="P200" s="72"/>
      <c r="Q200" s="72"/>
      <c r="R200" s="72"/>
      <c r="S200" s="72"/>
      <c r="T200" s="72"/>
      <c r="U200" s="72"/>
      <c r="V200" s="72"/>
    </row>
    <row r="201" spans="1:25" ht="27.75" customHeight="1">
      <c r="A201" s="87" t="str">
        <f>IF(ISBLANK(C201)," ",196-COUNTBLANK($C$6:C201))</f>
        <v xml:space="preserve"> </v>
      </c>
      <c r="B201" s="88"/>
      <c r="C201" s="88"/>
      <c r="D201" s="89"/>
      <c r="E201" s="89"/>
      <c r="F201" s="73"/>
      <c r="G201" s="73"/>
      <c r="H201" s="73"/>
      <c r="I201" s="73"/>
      <c r="J201" s="73"/>
      <c r="K201" s="73"/>
      <c r="L201" s="73"/>
      <c r="M201" s="74"/>
      <c r="N201" s="71" t="str">
        <f t="shared" si="3"/>
        <v/>
      </c>
      <c r="O201" s="72"/>
      <c r="P201" s="72"/>
      <c r="Q201" s="72"/>
      <c r="R201" s="72"/>
      <c r="S201" s="72"/>
      <c r="T201" s="72"/>
      <c r="U201" s="72"/>
      <c r="V201" s="72"/>
    </row>
    <row r="202" spans="1:25" ht="27.75" customHeight="1">
      <c r="A202" s="87" t="str">
        <f>IF(ISBLANK(C202)," ",197-COUNTBLANK($C$6:C202))</f>
        <v xml:space="preserve"> </v>
      </c>
      <c r="B202" s="88"/>
      <c r="C202" s="88"/>
      <c r="D202" s="89"/>
      <c r="E202" s="89"/>
      <c r="F202" s="73"/>
      <c r="G202" s="73"/>
      <c r="H202" s="73"/>
      <c r="I202" s="73"/>
      <c r="J202" s="73"/>
      <c r="K202" s="73"/>
      <c r="L202" s="73"/>
      <c r="M202" s="74"/>
      <c r="N202" s="71" t="str">
        <f t="shared" si="3"/>
        <v/>
      </c>
      <c r="O202" s="72"/>
      <c r="P202" s="72"/>
      <c r="Q202" s="72"/>
      <c r="R202" s="72"/>
      <c r="S202" s="72"/>
      <c r="T202" s="72"/>
      <c r="U202" s="72"/>
      <c r="V202" s="72"/>
    </row>
    <row r="203" spans="1:25" ht="27.75" customHeight="1">
      <c r="A203" s="87" t="str">
        <f>IF(ISBLANK(C203)," ",198-COUNTBLANK($C$6:C203))</f>
        <v xml:space="preserve"> </v>
      </c>
      <c r="B203" s="88"/>
      <c r="C203" s="88"/>
      <c r="D203" s="89"/>
      <c r="E203" s="89"/>
      <c r="F203" s="73"/>
      <c r="G203" s="73"/>
      <c r="H203" s="73"/>
      <c r="I203" s="73"/>
      <c r="J203" s="73"/>
      <c r="K203" s="73"/>
      <c r="L203" s="73"/>
      <c r="M203" s="74"/>
      <c r="N203" s="71" t="str">
        <f t="shared" si="3"/>
        <v/>
      </c>
      <c r="O203" s="72"/>
      <c r="P203" s="72"/>
      <c r="Q203" s="72"/>
      <c r="R203" s="72"/>
      <c r="S203" s="72"/>
      <c r="T203" s="72"/>
      <c r="U203" s="72"/>
      <c r="V203" s="72"/>
    </row>
    <row r="204" spans="1:25" ht="27.75" customHeight="1">
      <c r="A204" s="87" t="str">
        <f>IF(ISBLANK(C204)," ",199-COUNTBLANK($C$6:C204))</f>
        <v xml:space="preserve"> </v>
      </c>
      <c r="B204" s="88"/>
      <c r="C204" s="88"/>
      <c r="D204" s="89"/>
      <c r="E204" s="89"/>
      <c r="F204" s="73"/>
      <c r="G204" s="73"/>
      <c r="H204" s="73"/>
      <c r="I204" s="73"/>
      <c r="J204" s="73"/>
      <c r="K204" s="73"/>
      <c r="L204" s="73"/>
      <c r="M204" s="74"/>
      <c r="N204" s="71" t="str">
        <f t="shared" si="3"/>
        <v/>
      </c>
      <c r="O204" s="72"/>
      <c r="P204" s="72"/>
      <c r="Q204" s="72"/>
      <c r="R204" s="72"/>
      <c r="S204" s="72"/>
      <c r="T204" s="72"/>
      <c r="U204" s="72"/>
      <c r="V204" s="72"/>
    </row>
    <row r="205" spans="1:25" ht="27.75" customHeight="1">
      <c r="A205" s="87" t="str">
        <f>IF(ISBLANK(C205)," ",200-COUNTBLANK($C$6:C205))</f>
        <v xml:space="preserve"> </v>
      </c>
      <c r="B205" s="88"/>
      <c r="C205" s="88"/>
      <c r="D205" s="89"/>
      <c r="E205" s="89"/>
      <c r="F205" s="73"/>
      <c r="G205" s="73"/>
      <c r="H205" s="73"/>
      <c r="I205" s="73"/>
      <c r="J205" s="73"/>
      <c r="K205" s="73"/>
      <c r="L205" s="73"/>
      <c r="M205" s="74"/>
      <c r="N205" s="71" t="str">
        <f t="shared" si="3"/>
        <v/>
      </c>
      <c r="O205" s="72"/>
      <c r="P205" s="72"/>
      <c r="Q205" s="72"/>
      <c r="R205" s="72"/>
      <c r="S205" s="72"/>
      <c r="T205" s="72"/>
      <c r="U205" s="72"/>
      <c r="V205" s="72"/>
    </row>
    <row r="206" spans="1:25" ht="27.75" customHeight="1">
      <c r="A206" s="87" t="str">
        <f>IF(ISBLANK(C206)," ",201-COUNTBLANK($C$6:C206))</f>
        <v xml:space="preserve"> </v>
      </c>
      <c r="B206" s="88"/>
      <c r="C206" s="88"/>
      <c r="D206" s="89"/>
      <c r="E206" s="89"/>
      <c r="F206" s="73"/>
      <c r="G206" s="73"/>
      <c r="H206" s="73"/>
      <c r="I206" s="73"/>
      <c r="J206" s="73"/>
      <c r="K206" s="73"/>
      <c r="L206" s="73"/>
      <c r="M206" s="74"/>
      <c r="N206" s="71" t="str">
        <f t="shared" si="3"/>
        <v/>
      </c>
      <c r="O206" s="72"/>
      <c r="P206" s="72"/>
      <c r="Q206" s="72"/>
      <c r="R206" s="72"/>
      <c r="S206" s="72"/>
      <c r="T206" s="72"/>
      <c r="U206" s="72"/>
      <c r="V206" s="72"/>
    </row>
    <row r="207" spans="1:25" ht="27.75" customHeight="1">
      <c r="A207" s="87" t="str">
        <f>IF(ISBLANK(C207)," ",202-COUNTBLANK($C$6:C207))</f>
        <v xml:space="preserve"> </v>
      </c>
      <c r="B207" s="88"/>
      <c r="C207" s="88"/>
      <c r="D207" s="89"/>
      <c r="E207" s="89"/>
      <c r="F207" s="73"/>
      <c r="G207" s="73"/>
      <c r="H207" s="73"/>
      <c r="I207" s="73"/>
      <c r="J207" s="73"/>
      <c r="K207" s="73"/>
      <c r="L207" s="73"/>
      <c r="M207" s="74"/>
      <c r="N207" s="71" t="str">
        <f t="shared" si="3"/>
        <v/>
      </c>
      <c r="O207" s="72"/>
      <c r="P207" s="72"/>
      <c r="Q207" s="72"/>
      <c r="R207" s="72"/>
      <c r="S207" s="72"/>
      <c r="T207" s="72"/>
      <c r="U207" s="72"/>
      <c r="V207" s="72"/>
    </row>
    <row r="208" spans="1:25" ht="27.75" customHeight="1">
      <c r="A208" s="87" t="str">
        <f>IF(ISBLANK(C208)," ",203-COUNTBLANK($C$6:C208))</f>
        <v xml:space="preserve"> </v>
      </c>
      <c r="B208" s="88"/>
      <c r="C208" s="88"/>
      <c r="D208" s="89"/>
      <c r="E208" s="89"/>
      <c r="F208" s="73"/>
      <c r="G208" s="73"/>
      <c r="H208" s="73"/>
      <c r="I208" s="73"/>
      <c r="J208" s="73"/>
      <c r="K208" s="73"/>
      <c r="L208" s="73"/>
      <c r="M208" s="74"/>
      <c r="N208" s="71" t="str">
        <f t="shared" si="3"/>
        <v/>
      </c>
      <c r="O208" s="72"/>
      <c r="P208" s="72"/>
      <c r="Q208" s="72"/>
      <c r="R208" s="72"/>
      <c r="S208" s="72"/>
      <c r="T208" s="72"/>
      <c r="U208" s="72"/>
      <c r="V208" s="72"/>
    </row>
    <row r="209" spans="1:25" ht="27.75" customHeight="1">
      <c r="A209" s="87" t="str">
        <f>IF(ISBLANK(C209)," ",204-COUNTBLANK($C$6:C209))</f>
        <v xml:space="preserve"> </v>
      </c>
      <c r="B209" s="88"/>
      <c r="C209" s="88"/>
      <c r="D209" s="89"/>
      <c r="E209" s="89"/>
      <c r="F209" s="73"/>
      <c r="G209" s="73"/>
      <c r="H209" s="73"/>
      <c r="I209" s="73"/>
      <c r="J209" s="73"/>
      <c r="K209" s="73"/>
      <c r="L209" s="73"/>
      <c r="M209" s="74"/>
      <c r="N209" s="71" t="str">
        <f t="shared" si="3"/>
        <v/>
      </c>
      <c r="O209" s="72"/>
      <c r="P209" s="72"/>
      <c r="Q209" s="72"/>
      <c r="R209" s="72"/>
      <c r="S209" s="72"/>
      <c r="T209" s="72"/>
      <c r="U209" s="72"/>
      <c r="V209" s="72"/>
    </row>
    <row r="210" spans="1:25" ht="27.75" customHeight="1">
      <c r="A210" s="87" t="str">
        <f>IF(ISBLANK(C210)," ",205-COUNTBLANK($C$6:C210))</f>
        <v xml:space="preserve"> </v>
      </c>
      <c r="B210" s="88"/>
      <c r="C210" s="88"/>
      <c r="D210" s="89"/>
      <c r="E210" s="89"/>
      <c r="F210" s="73"/>
      <c r="G210" s="73"/>
      <c r="H210" s="73"/>
      <c r="I210" s="73"/>
      <c r="J210" s="73"/>
      <c r="K210" s="73"/>
      <c r="L210" s="73"/>
      <c r="M210" s="74"/>
      <c r="N210" s="71" t="str">
        <f t="shared" si="3"/>
        <v/>
      </c>
      <c r="O210" s="75"/>
      <c r="P210" s="72"/>
      <c r="Q210" s="72"/>
      <c r="R210" s="72"/>
      <c r="S210" s="72"/>
      <c r="T210" s="72"/>
      <c r="U210" s="72"/>
      <c r="V210" s="76"/>
    </row>
    <row r="211" spans="1:25" ht="27.75" customHeight="1">
      <c r="A211" s="87" t="str">
        <f>IF(ISBLANK(C211)," ",206-COUNTBLANK($C$6:C211))</f>
        <v xml:space="preserve"> </v>
      </c>
      <c r="B211" s="88"/>
      <c r="C211" s="88"/>
      <c r="D211" s="89"/>
      <c r="E211" s="89"/>
      <c r="F211" s="73"/>
      <c r="G211" s="73"/>
      <c r="H211" s="73"/>
      <c r="I211" s="73"/>
      <c r="J211" s="73"/>
      <c r="K211" s="73"/>
      <c r="L211" s="73"/>
      <c r="M211" s="74"/>
      <c r="N211" s="71" t="str">
        <f t="shared" si="3"/>
        <v/>
      </c>
      <c r="O211" s="75"/>
      <c r="P211" s="72"/>
      <c r="Q211" s="72"/>
      <c r="R211" s="72"/>
      <c r="S211" s="72"/>
      <c r="T211" s="72"/>
      <c r="U211" s="72"/>
      <c r="V211" s="76"/>
    </row>
    <row r="212" spans="1:25" ht="27.75" customHeight="1">
      <c r="A212" s="87" t="str">
        <f>IF(ISBLANK(C212)," ",207-COUNTBLANK($C$6:C212))</f>
        <v xml:space="preserve"> </v>
      </c>
      <c r="B212" s="88"/>
      <c r="C212" s="88"/>
      <c r="D212" s="89"/>
      <c r="E212" s="89"/>
      <c r="F212" s="73"/>
      <c r="G212" s="73"/>
      <c r="H212" s="73"/>
      <c r="I212" s="73"/>
      <c r="J212" s="73"/>
      <c r="K212" s="73"/>
      <c r="L212" s="73"/>
      <c r="M212" s="74"/>
      <c r="N212" s="71" t="str">
        <f t="shared" si="3"/>
        <v/>
      </c>
      <c r="O212" s="75"/>
      <c r="P212" s="72"/>
      <c r="Q212" s="72"/>
      <c r="R212" s="72"/>
      <c r="S212" s="72"/>
      <c r="T212" s="72"/>
      <c r="U212" s="72"/>
      <c r="V212" s="76"/>
    </row>
    <row r="213" spans="1:25" ht="27.75" customHeight="1">
      <c r="A213" s="87" t="str">
        <f>IF(ISBLANK(C213)," ",208-COUNTBLANK($C$6:C213))</f>
        <v xml:space="preserve"> </v>
      </c>
      <c r="B213" s="88"/>
      <c r="C213" s="88"/>
      <c r="D213" s="89"/>
      <c r="E213" s="89"/>
      <c r="F213" s="73"/>
      <c r="G213" s="73"/>
      <c r="H213" s="73"/>
      <c r="I213" s="73"/>
      <c r="J213" s="73"/>
      <c r="K213" s="73"/>
      <c r="L213" s="73"/>
      <c r="M213" s="74"/>
      <c r="N213" s="71" t="str">
        <f t="shared" si="3"/>
        <v/>
      </c>
      <c r="O213" s="75"/>
      <c r="P213" s="72"/>
      <c r="Q213" s="72"/>
      <c r="R213" s="72"/>
      <c r="S213" s="72"/>
      <c r="T213" s="72"/>
      <c r="U213" s="72"/>
      <c r="V213" s="76"/>
    </row>
    <row r="214" spans="1:25" ht="27.75" customHeight="1">
      <c r="A214" s="87" t="str">
        <f>IF(ISBLANK(C214)," ",209-COUNTBLANK($C$6:C214))</f>
        <v xml:space="preserve"> </v>
      </c>
      <c r="B214" s="88"/>
      <c r="C214" s="88"/>
      <c r="D214" s="89"/>
      <c r="E214" s="89"/>
      <c r="F214" s="73"/>
      <c r="G214" s="73"/>
      <c r="H214" s="73"/>
      <c r="I214" s="73"/>
      <c r="J214" s="73"/>
      <c r="K214" s="73"/>
      <c r="L214" s="73"/>
      <c r="M214" s="74"/>
      <c r="N214" s="71" t="str">
        <f t="shared" si="3"/>
        <v/>
      </c>
      <c r="O214" s="72"/>
      <c r="P214" s="72"/>
      <c r="Q214" s="72"/>
      <c r="R214" s="72"/>
      <c r="S214" s="72"/>
      <c r="T214" s="72"/>
      <c r="U214" s="72"/>
      <c r="V214" s="79"/>
      <c r="W214" s="72"/>
      <c r="X214" s="72"/>
      <c r="Y214" s="72"/>
    </row>
    <row r="215" spans="1:25" ht="27.75" customHeight="1">
      <c r="A215" s="80" t="s">
        <v>52</v>
      </c>
      <c r="B215" s="81"/>
      <c r="C215" s="96"/>
      <c r="D215" s="82"/>
      <c r="E215" s="82">
        <f>SUM(E195:E214)</f>
        <v>0</v>
      </c>
      <c r="F215" s="83"/>
      <c r="G215" s="83"/>
      <c r="H215" s="83"/>
      <c r="I215" s="83"/>
      <c r="J215" s="83"/>
      <c r="K215" s="83"/>
      <c r="L215" s="83"/>
      <c r="M215" s="84"/>
      <c r="N215" s="71" t="str">
        <f t="shared" si="3"/>
        <v/>
      </c>
      <c r="O215" s="75"/>
      <c r="P215" s="72"/>
      <c r="Q215" s="72"/>
      <c r="R215" s="72"/>
      <c r="S215" s="72"/>
      <c r="T215" s="72"/>
      <c r="U215" s="72"/>
      <c r="V215" s="79"/>
      <c r="W215" s="72"/>
      <c r="X215" s="72"/>
      <c r="Y215" s="72"/>
    </row>
    <row r="216" spans="1:25" ht="27.75" customHeight="1">
      <c r="A216" s="93" t="str">
        <f>IF(ISBLANK(C216)," ",211-COUNTBLANK($C$6:C216))</f>
        <v xml:space="preserve"> </v>
      </c>
      <c r="B216" s="94"/>
      <c r="C216" s="94"/>
      <c r="D216" s="95"/>
      <c r="E216" s="95"/>
      <c r="F216" s="85"/>
      <c r="G216" s="85"/>
      <c r="H216" s="85"/>
      <c r="I216" s="85"/>
      <c r="J216" s="85"/>
      <c r="K216" s="85"/>
      <c r="L216" s="85"/>
      <c r="M216" s="86"/>
      <c r="N216" s="71" t="str">
        <f t="shared" si="3"/>
        <v/>
      </c>
      <c r="O216" s="72"/>
      <c r="P216" s="72"/>
      <c r="Q216" s="72"/>
      <c r="R216" s="72"/>
      <c r="S216" s="72"/>
      <c r="T216" s="72"/>
      <c r="U216" s="72"/>
      <c r="V216" s="72"/>
    </row>
    <row r="217" spans="1:25" ht="27.75" customHeight="1">
      <c r="A217" s="87" t="str">
        <f>IF(ISBLANK(C217)," ",212-COUNTBLANK($C$6:C217))</f>
        <v xml:space="preserve"> </v>
      </c>
      <c r="B217" s="88"/>
      <c r="C217" s="88"/>
      <c r="D217" s="89"/>
      <c r="E217" s="89"/>
      <c r="F217" s="73"/>
      <c r="G217" s="73"/>
      <c r="H217" s="73"/>
      <c r="I217" s="73"/>
      <c r="J217" s="73"/>
      <c r="K217" s="73"/>
      <c r="L217" s="73"/>
      <c r="M217" s="74"/>
      <c r="N217" s="71" t="str">
        <f t="shared" si="3"/>
        <v/>
      </c>
      <c r="O217" s="72"/>
      <c r="P217" s="72"/>
      <c r="Q217" s="72"/>
      <c r="R217" s="72"/>
      <c r="S217" s="72"/>
      <c r="T217" s="72"/>
      <c r="U217" s="72"/>
      <c r="V217" s="72"/>
    </row>
    <row r="218" spans="1:25" ht="27.75" customHeight="1">
      <c r="A218" s="87" t="str">
        <f>IF(ISBLANK(C218)," ",213-COUNTBLANK($C$6:C218))</f>
        <v xml:space="preserve"> </v>
      </c>
      <c r="B218" s="88"/>
      <c r="C218" s="88"/>
      <c r="D218" s="89"/>
      <c r="E218" s="89"/>
      <c r="F218" s="73"/>
      <c r="G218" s="73"/>
      <c r="H218" s="73"/>
      <c r="I218" s="73"/>
      <c r="J218" s="73"/>
      <c r="K218" s="73"/>
      <c r="L218" s="73"/>
      <c r="M218" s="74"/>
      <c r="N218" s="71" t="str">
        <f t="shared" si="3"/>
        <v/>
      </c>
      <c r="O218" s="72"/>
      <c r="P218" s="72"/>
      <c r="Q218" s="72"/>
      <c r="R218" s="72"/>
      <c r="S218" s="72"/>
      <c r="T218" s="72"/>
      <c r="U218" s="72"/>
      <c r="V218" s="72"/>
    </row>
    <row r="219" spans="1:25" ht="27.75" customHeight="1">
      <c r="A219" s="87" t="str">
        <f>IF(ISBLANK(C219)," ",214-COUNTBLANK($C$6:C219))</f>
        <v xml:space="preserve"> </v>
      </c>
      <c r="B219" s="88"/>
      <c r="C219" s="88"/>
      <c r="D219" s="89"/>
      <c r="E219" s="89"/>
      <c r="F219" s="73"/>
      <c r="G219" s="73"/>
      <c r="H219" s="73"/>
      <c r="I219" s="73"/>
      <c r="J219" s="73"/>
      <c r="K219" s="73"/>
      <c r="L219" s="73"/>
      <c r="M219" s="74"/>
      <c r="N219" s="71" t="str">
        <f t="shared" si="3"/>
        <v/>
      </c>
      <c r="O219" s="72"/>
      <c r="P219" s="72"/>
      <c r="Q219" s="72"/>
      <c r="R219" s="72"/>
      <c r="S219" s="72"/>
      <c r="T219" s="72"/>
      <c r="U219" s="72"/>
      <c r="V219" s="72"/>
    </row>
    <row r="220" spans="1:25" ht="27.75" customHeight="1">
      <c r="A220" s="87" t="str">
        <f>IF(ISBLANK(C220)," ",215-COUNTBLANK($C$6:C220))</f>
        <v xml:space="preserve"> </v>
      </c>
      <c r="B220" s="88"/>
      <c r="C220" s="88"/>
      <c r="D220" s="89"/>
      <c r="E220" s="89"/>
      <c r="F220" s="73"/>
      <c r="G220" s="73"/>
      <c r="H220" s="73"/>
      <c r="I220" s="73"/>
      <c r="J220" s="73"/>
      <c r="K220" s="73"/>
      <c r="L220" s="73"/>
      <c r="M220" s="74"/>
      <c r="N220" s="71" t="str">
        <f t="shared" si="3"/>
        <v/>
      </c>
      <c r="O220" s="72"/>
      <c r="P220" s="72"/>
      <c r="Q220" s="72"/>
      <c r="R220" s="72"/>
      <c r="S220" s="72"/>
      <c r="T220" s="72"/>
      <c r="U220" s="72"/>
      <c r="V220" s="72"/>
    </row>
    <row r="221" spans="1:25" ht="27.75" customHeight="1">
      <c r="A221" s="87" t="str">
        <f>IF(ISBLANK(C221)," ",216-COUNTBLANK($C$6:C221))</f>
        <v xml:space="preserve"> </v>
      </c>
      <c r="B221" s="88"/>
      <c r="C221" s="88"/>
      <c r="D221" s="89"/>
      <c r="E221" s="89"/>
      <c r="F221" s="73"/>
      <c r="G221" s="73"/>
      <c r="H221" s="73"/>
      <c r="I221" s="73"/>
      <c r="J221" s="73"/>
      <c r="K221" s="73"/>
      <c r="L221" s="73"/>
      <c r="M221" s="74"/>
      <c r="N221" s="71" t="str">
        <f t="shared" si="3"/>
        <v/>
      </c>
      <c r="O221" s="72"/>
      <c r="P221" s="72"/>
      <c r="Q221" s="72"/>
      <c r="R221" s="72"/>
      <c r="S221" s="72"/>
      <c r="T221" s="72"/>
      <c r="U221" s="72"/>
      <c r="V221" s="72"/>
    </row>
    <row r="222" spans="1:25" ht="27.75" customHeight="1">
      <c r="A222" s="87" t="str">
        <f>IF(ISBLANK(C222)," ",217-COUNTBLANK($C$6:C222))</f>
        <v xml:space="preserve"> </v>
      </c>
      <c r="B222" s="88"/>
      <c r="C222" s="88"/>
      <c r="D222" s="89"/>
      <c r="E222" s="89"/>
      <c r="F222" s="73"/>
      <c r="G222" s="73"/>
      <c r="H222" s="73"/>
      <c r="I222" s="73"/>
      <c r="J222" s="73"/>
      <c r="K222" s="73"/>
      <c r="L222" s="73"/>
      <c r="M222" s="74"/>
      <c r="N222" s="71" t="str">
        <f t="shared" si="3"/>
        <v/>
      </c>
      <c r="O222" s="72"/>
      <c r="P222" s="72"/>
      <c r="Q222" s="72"/>
      <c r="R222" s="72"/>
      <c r="S222" s="72"/>
      <c r="T222" s="72"/>
      <c r="U222" s="72"/>
      <c r="V222" s="72"/>
    </row>
    <row r="223" spans="1:25" ht="27.75" customHeight="1">
      <c r="A223" s="87" t="str">
        <f>IF(ISBLANK(C223)," ",218-COUNTBLANK($C$6:C223))</f>
        <v xml:space="preserve"> </v>
      </c>
      <c r="B223" s="88"/>
      <c r="C223" s="88"/>
      <c r="D223" s="89"/>
      <c r="E223" s="89"/>
      <c r="F223" s="73"/>
      <c r="G223" s="73"/>
      <c r="H223" s="73"/>
      <c r="I223" s="73"/>
      <c r="J223" s="73"/>
      <c r="K223" s="73"/>
      <c r="L223" s="73"/>
      <c r="M223" s="74"/>
      <c r="N223" s="71" t="str">
        <f t="shared" si="3"/>
        <v/>
      </c>
      <c r="O223" s="72"/>
      <c r="P223" s="72"/>
      <c r="Q223" s="72"/>
      <c r="R223" s="72"/>
      <c r="S223" s="72"/>
      <c r="T223" s="72"/>
      <c r="U223" s="72"/>
      <c r="V223" s="72"/>
    </row>
    <row r="224" spans="1:25" ht="27.75" customHeight="1">
      <c r="A224" s="87" t="str">
        <f>IF(ISBLANK(C224)," ",219-COUNTBLANK($C$6:C224))</f>
        <v xml:space="preserve"> </v>
      </c>
      <c r="B224" s="88"/>
      <c r="C224" s="88"/>
      <c r="D224" s="89"/>
      <c r="E224" s="89"/>
      <c r="F224" s="73"/>
      <c r="G224" s="73"/>
      <c r="H224" s="73"/>
      <c r="I224" s="73"/>
      <c r="J224" s="73"/>
      <c r="K224" s="73"/>
      <c r="L224" s="73"/>
      <c r="M224" s="74"/>
      <c r="N224" s="71" t="str">
        <f t="shared" si="3"/>
        <v/>
      </c>
      <c r="O224" s="72"/>
      <c r="P224" s="72"/>
      <c r="Q224" s="72"/>
      <c r="R224" s="72"/>
      <c r="S224" s="72"/>
      <c r="T224" s="72"/>
      <c r="U224" s="72"/>
      <c r="V224" s="72"/>
    </row>
    <row r="225" spans="1:25" ht="27.75" customHeight="1">
      <c r="A225" s="87" t="str">
        <f>IF(ISBLANK(C225)," ",220-COUNTBLANK($C$6:C225))</f>
        <v xml:space="preserve"> </v>
      </c>
      <c r="B225" s="88"/>
      <c r="C225" s="88"/>
      <c r="D225" s="89"/>
      <c r="E225" s="89"/>
      <c r="F225" s="73"/>
      <c r="G225" s="73"/>
      <c r="H225" s="73"/>
      <c r="I225" s="73"/>
      <c r="J225" s="73"/>
      <c r="K225" s="73"/>
      <c r="L225" s="73"/>
      <c r="M225" s="74"/>
      <c r="N225" s="71" t="str">
        <f t="shared" si="3"/>
        <v/>
      </c>
      <c r="O225" s="72"/>
      <c r="P225" s="72"/>
      <c r="Q225" s="72"/>
      <c r="R225" s="72"/>
      <c r="S225" s="72"/>
      <c r="T225" s="72"/>
      <c r="U225" s="72"/>
      <c r="V225" s="72"/>
    </row>
    <row r="226" spans="1:25" ht="27.75" customHeight="1">
      <c r="A226" s="87" t="str">
        <f>IF(ISBLANK(C226)," ",221-COUNTBLANK($C$6:C226))</f>
        <v xml:space="preserve"> </v>
      </c>
      <c r="B226" s="88"/>
      <c r="C226" s="88"/>
      <c r="D226" s="89"/>
      <c r="E226" s="89"/>
      <c r="F226" s="73"/>
      <c r="G226" s="73"/>
      <c r="H226" s="73"/>
      <c r="I226" s="73"/>
      <c r="J226" s="73"/>
      <c r="K226" s="73"/>
      <c r="L226" s="73"/>
      <c r="M226" s="74"/>
      <c r="N226" s="71" t="str">
        <f t="shared" si="3"/>
        <v/>
      </c>
      <c r="O226" s="72"/>
      <c r="P226" s="72"/>
      <c r="Q226" s="72"/>
      <c r="R226" s="72"/>
      <c r="S226" s="72"/>
      <c r="T226" s="72"/>
      <c r="U226" s="72"/>
      <c r="V226" s="72"/>
    </row>
    <row r="227" spans="1:25" ht="27.75" customHeight="1">
      <c r="A227" s="87" t="str">
        <f>IF(ISBLANK(C227)," ",222-COUNTBLANK($C$6:C227))</f>
        <v xml:space="preserve"> </v>
      </c>
      <c r="B227" s="88"/>
      <c r="C227" s="88"/>
      <c r="D227" s="89"/>
      <c r="E227" s="89"/>
      <c r="F227" s="73"/>
      <c r="G227" s="73"/>
      <c r="H227" s="73"/>
      <c r="I227" s="73"/>
      <c r="J227" s="73"/>
      <c r="K227" s="73"/>
      <c r="L227" s="73"/>
      <c r="M227" s="74"/>
      <c r="N227" s="71" t="str">
        <f t="shared" si="3"/>
        <v/>
      </c>
      <c r="O227" s="72"/>
      <c r="P227" s="72"/>
      <c r="Q227" s="72"/>
      <c r="R227" s="72"/>
      <c r="S227" s="72"/>
      <c r="T227" s="72"/>
      <c r="U227" s="72"/>
      <c r="V227" s="72"/>
    </row>
    <row r="228" spans="1:25" ht="27.75" customHeight="1">
      <c r="A228" s="87" t="str">
        <f>IF(ISBLANK(C228)," ",223-COUNTBLANK($C$6:C228))</f>
        <v xml:space="preserve"> </v>
      </c>
      <c r="B228" s="88"/>
      <c r="C228" s="88"/>
      <c r="D228" s="89"/>
      <c r="E228" s="89"/>
      <c r="F228" s="73"/>
      <c r="G228" s="73"/>
      <c r="H228" s="73"/>
      <c r="I228" s="73"/>
      <c r="J228" s="73"/>
      <c r="K228" s="73"/>
      <c r="L228" s="73"/>
      <c r="M228" s="74"/>
      <c r="N228" s="71" t="str">
        <f t="shared" si="3"/>
        <v/>
      </c>
      <c r="O228" s="72"/>
      <c r="P228" s="72"/>
      <c r="Q228" s="72"/>
      <c r="R228" s="72"/>
      <c r="S228" s="72"/>
      <c r="T228" s="72"/>
      <c r="U228" s="72"/>
      <c r="V228" s="72"/>
    </row>
    <row r="229" spans="1:25" ht="27.75" customHeight="1">
      <c r="A229" s="87" t="str">
        <f>IF(ISBLANK(C229)," ",224-COUNTBLANK($C$6:C229))</f>
        <v xml:space="preserve"> </v>
      </c>
      <c r="B229" s="88"/>
      <c r="C229" s="88"/>
      <c r="D229" s="89"/>
      <c r="E229" s="89"/>
      <c r="F229" s="73"/>
      <c r="G229" s="73"/>
      <c r="H229" s="73"/>
      <c r="I229" s="73"/>
      <c r="J229" s="73"/>
      <c r="K229" s="73"/>
      <c r="L229" s="73"/>
      <c r="M229" s="74"/>
      <c r="N229" s="71" t="str">
        <f t="shared" si="3"/>
        <v/>
      </c>
      <c r="O229" s="72"/>
      <c r="P229" s="72"/>
      <c r="Q229" s="72"/>
      <c r="R229" s="72"/>
      <c r="S229" s="72"/>
      <c r="T229" s="72"/>
      <c r="U229" s="72"/>
      <c r="V229" s="72"/>
    </row>
    <row r="230" spans="1:25" ht="27.75" customHeight="1">
      <c r="A230" s="87" t="str">
        <f>IF(ISBLANK(C230)," ",225-COUNTBLANK($C$6:C230))</f>
        <v xml:space="preserve"> </v>
      </c>
      <c r="B230" s="88"/>
      <c r="C230" s="88"/>
      <c r="D230" s="89"/>
      <c r="E230" s="89"/>
      <c r="F230" s="73"/>
      <c r="G230" s="73"/>
      <c r="H230" s="73"/>
      <c r="I230" s="73"/>
      <c r="J230" s="73"/>
      <c r="K230" s="73"/>
      <c r="L230" s="73"/>
      <c r="M230" s="74"/>
      <c r="N230" s="71" t="str">
        <f t="shared" si="3"/>
        <v/>
      </c>
      <c r="O230" s="72"/>
      <c r="P230" s="72"/>
      <c r="Q230" s="72"/>
      <c r="R230" s="72"/>
      <c r="S230" s="72"/>
      <c r="T230" s="72"/>
      <c r="U230" s="72"/>
      <c r="V230" s="72"/>
    </row>
    <row r="231" spans="1:25" ht="27.75" customHeight="1">
      <c r="A231" s="87" t="str">
        <f>IF(ISBLANK(C231)," ",226-COUNTBLANK($C$6:C231))</f>
        <v xml:space="preserve"> </v>
      </c>
      <c r="B231" s="88"/>
      <c r="C231" s="88"/>
      <c r="D231" s="89"/>
      <c r="E231" s="89"/>
      <c r="F231" s="73"/>
      <c r="G231" s="73"/>
      <c r="H231" s="73"/>
      <c r="I231" s="73"/>
      <c r="J231" s="73"/>
      <c r="K231" s="73"/>
      <c r="L231" s="73"/>
      <c r="M231" s="74"/>
      <c r="N231" s="71" t="str">
        <f t="shared" si="3"/>
        <v/>
      </c>
      <c r="O231" s="75"/>
      <c r="P231" s="72"/>
      <c r="Q231" s="72"/>
      <c r="R231" s="72"/>
      <c r="S231" s="72"/>
      <c r="T231" s="72"/>
      <c r="U231" s="72"/>
      <c r="V231" s="76"/>
    </row>
    <row r="232" spans="1:25" ht="27.75" customHeight="1">
      <c r="A232" s="87" t="str">
        <f>IF(ISBLANK(C232)," ",227-COUNTBLANK($C$6:C232))</f>
        <v xml:space="preserve"> </v>
      </c>
      <c r="B232" s="88"/>
      <c r="C232" s="88"/>
      <c r="D232" s="89"/>
      <c r="E232" s="89"/>
      <c r="F232" s="73"/>
      <c r="G232" s="73"/>
      <c r="H232" s="73"/>
      <c r="I232" s="73"/>
      <c r="J232" s="73"/>
      <c r="K232" s="73"/>
      <c r="L232" s="73"/>
      <c r="M232" s="74"/>
      <c r="N232" s="71" t="str">
        <f t="shared" si="3"/>
        <v/>
      </c>
      <c r="O232" s="75"/>
      <c r="P232" s="72"/>
      <c r="Q232" s="72"/>
      <c r="R232" s="72"/>
      <c r="S232" s="72"/>
      <c r="T232" s="72"/>
      <c r="U232" s="72"/>
      <c r="V232" s="76"/>
    </row>
    <row r="233" spans="1:25" ht="27.75" customHeight="1">
      <c r="A233" s="87" t="str">
        <f>IF(ISBLANK(C233)," ",228-COUNTBLANK($C$6:C233))</f>
        <v xml:space="preserve"> </v>
      </c>
      <c r="B233" s="88"/>
      <c r="C233" s="88"/>
      <c r="D233" s="89"/>
      <c r="E233" s="89"/>
      <c r="F233" s="73"/>
      <c r="G233" s="73"/>
      <c r="H233" s="73"/>
      <c r="I233" s="73"/>
      <c r="J233" s="73"/>
      <c r="K233" s="73"/>
      <c r="L233" s="73"/>
      <c r="M233" s="74"/>
      <c r="N233" s="71" t="str">
        <f t="shared" si="3"/>
        <v/>
      </c>
      <c r="O233" s="75"/>
      <c r="P233" s="72"/>
      <c r="Q233" s="72"/>
      <c r="R233" s="72"/>
      <c r="S233" s="72"/>
      <c r="T233" s="72"/>
      <c r="U233" s="72"/>
      <c r="V233" s="76"/>
    </row>
    <row r="234" spans="1:25" ht="27.75" customHeight="1">
      <c r="A234" s="87" t="str">
        <f>IF(ISBLANK(C234)," ",229-COUNTBLANK($C$6:C234))</f>
        <v xml:space="preserve"> </v>
      </c>
      <c r="B234" s="88"/>
      <c r="C234" s="88"/>
      <c r="D234" s="89"/>
      <c r="E234" s="89"/>
      <c r="F234" s="73"/>
      <c r="G234" s="73"/>
      <c r="H234" s="73"/>
      <c r="I234" s="73"/>
      <c r="J234" s="73"/>
      <c r="K234" s="73"/>
      <c r="L234" s="73"/>
      <c r="M234" s="74"/>
      <c r="N234" s="71" t="str">
        <f t="shared" si="3"/>
        <v/>
      </c>
      <c r="O234" s="75"/>
      <c r="P234" s="72"/>
      <c r="Q234" s="72"/>
      <c r="R234" s="72"/>
      <c r="S234" s="72"/>
      <c r="T234" s="72"/>
      <c r="U234" s="72"/>
      <c r="V234" s="76"/>
    </row>
    <row r="235" spans="1:25" ht="27.75" customHeight="1">
      <c r="A235" s="87" t="str">
        <f>IF(ISBLANK(C235)," ",230-COUNTBLANK($C$6:C235))</f>
        <v xml:space="preserve"> </v>
      </c>
      <c r="B235" s="88"/>
      <c r="C235" s="88"/>
      <c r="D235" s="89"/>
      <c r="E235" s="89"/>
      <c r="F235" s="73"/>
      <c r="G235" s="73"/>
      <c r="H235" s="73"/>
      <c r="I235" s="73"/>
      <c r="J235" s="73"/>
      <c r="K235" s="73"/>
      <c r="L235" s="73"/>
      <c r="M235" s="74"/>
      <c r="N235" s="71" t="str">
        <f t="shared" si="3"/>
        <v/>
      </c>
      <c r="O235" s="72"/>
      <c r="P235" s="72"/>
      <c r="Q235" s="72"/>
      <c r="R235" s="72"/>
      <c r="S235" s="72"/>
      <c r="T235" s="72"/>
      <c r="U235" s="72"/>
      <c r="V235" s="79"/>
      <c r="W235" s="72"/>
      <c r="X235" s="72"/>
      <c r="Y235" s="72"/>
    </row>
    <row r="236" spans="1:25" ht="27.75" customHeight="1">
      <c r="A236" s="80" t="s">
        <v>52</v>
      </c>
      <c r="B236" s="81"/>
      <c r="C236" s="96"/>
      <c r="D236" s="82"/>
      <c r="E236" s="82">
        <f>SUM(E216:E235)</f>
        <v>0</v>
      </c>
      <c r="F236" s="83"/>
      <c r="G236" s="83"/>
      <c r="H236" s="83"/>
      <c r="I236" s="83"/>
      <c r="J236" s="83"/>
      <c r="K236" s="83"/>
      <c r="L236" s="83"/>
      <c r="M236" s="84"/>
      <c r="N236" s="71" t="str">
        <f t="shared" si="3"/>
        <v/>
      </c>
      <c r="O236" s="75"/>
      <c r="P236" s="72"/>
      <c r="Q236" s="72"/>
      <c r="R236" s="72"/>
      <c r="S236" s="72"/>
      <c r="T236" s="72"/>
      <c r="U236" s="72"/>
      <c r="V236" s="79"/>
      <c r="W236" s="72"/>
      <c r="X236" s="72"/>
      <c r="Y236" s="72"/>
    </row>
    <row r="237" spans="1:25" ht="27.75" customHeight="1">
      <c r="A237" s="93" t="str">
        <f>IF(ISBLANK(C237)," ",232-COUNTBLANK($C$6:C237))</f>
        <v xml:space="preserve"> </v>
      </c>
      <c r="B237" s="94"/>
      <c r="C237" s="94"/>
      <c r="D237" s="95"/>
      <c r="E237" s="95"/>
      <c r="F237" s="85"/>
      <c r="G237" s="85"/>
      <c r="H237" s="85"/>
      <c r="I237" s="85"/>
      <c r="J237" s="85"/>
      <c r="K237" s="85"/>
      <c r="L237" s="85"/>
      <c r="M237" s="86"/>
      <c r="N237" s="71" t="str">
        <f t="shared" si="3"/>
        <v/>
      </c>
      <c r="O237" s="72"/>
      <c r="P237" s="72"/>
      <c r="Q237" s="72"/>
      <c r="R237" s="72"/>
      <c r="S237" s="72"/>
      <c r="T237" s="72"/>
      <c r="U237" s="72"/>
      <c r="V237" s="72"/>
    </row>
    <row r="238" spans="1:25" ht="27.75" customHeight="1">
      <c r="A238" s="87" t="str">
        <f>IF(ISBLANK(C238)," ",233-COUNTBLANK($C$6:C238))</f>
        <v xml:space="preserve"> </v>
      </c>
      <c r="B238" s="88"/>
      <c r="C238" s="88"/>
      <c r="D238" s="89"/>
      <c r="E238" s="89"/>
      <c r="F238" s="73"/>
      <c r="G238" s="73"/>
      <c r="H238" s="73"/>
      <c r="I238" s="73"/>
      <c r="J238" s="73"/>
      <c r="K238" s="73"/>
      <c r="L238" s="73"/>
      <c r="M238" s="74"/>
      <c r="N238" s="71" t="str">
        <f t="shared" si="3"/>
        <v/>
      </c>
      <c r="O238" s="72"/>
      <c r="P238" s="72"/>
      <c r="Q238" s="72"/>
      <c r="R238" s="72"/>
      <c r="S238" s="72"/>
      <c r="T238" s="72"/>
      <c r="U238" s="72"/>
      <c r="V238" s="72"/>
    </row>
    <row r="239" spans="1:25" ht="27.75" customHeight="1">
      <c r="A239" s="87" t="str">
        <f>IF(ISBLANK(C239)," ",234-COUNTBLANK($C$6:C239))</f>
        <v xml:space="preserve"> </v>
      </c>
      <c r="B239" s="88"/>
      <c r="C239" s="88"/>
      <c r="D239" s="89"/>
      <c r="E239" s="89"/>
      <c r="F239" s="73"/>
      <c r="G239" s="73"/>
      <c r="H239" s="73"/>
      <c r="I239" s="73"/>
      <c r="J239" s="73"/>
      <c r="K239" s="73"/>
      <c r="L239" s="73"/>
      <c r="M239" s="74"/>
      <c r="N239" s="71" t="str">
        <f t="shared" si="3"/>
        <v/>
      </c>
      <c r="O239" s="72"/>
      <c r="P239" s="72"/>
      <c r="Q239" s="72"/>
      <c r="R239" s="72"/>
      <c r="S239" s="72"/>
      <c r="T239" s="72"/>
      <c r="U239" s="72"/>
      <c r="V239" s="72"/>
    </row>
    <row r="240" spans="1:25" ht="27.75" customHeight="1">
      <c r="A240" s="87" t="str">
        <f>IF(ISBLANK(C240)," ",235-COUNTBLANK($C$6:C240))</f>
        <v xml:space="preserve"> </v>
      </c>
      <c r="B240" s="88"/>
      <c r="C240" s="88"/>
      <c r="D240" s="89"/>
      <c r="E240" s="89"/>
      <c r="F240" s="73"/>
      <c r="G240" s="73"/>
      <c r="H240" s="73"/>
      <c r="I240" s="73"/>
      <c r="J240" s="73"/>
      <c r="K240" s="73"/>
      <c r="L240" s="73"/>
      <c r="M240" s="74"/>
      <c r="N240" s="71" t="str">
        <f t="shared" si="3"/>
        <v/>
      </c>
      <c r="O240" s="72"/>
      <c r="P240" s="72"/>
      <c r="Q240" s="72"/>
      <c r="R240" s="72"/>
      <c r="S240" s="72"/>
      <c r="T240" s="72"/>
      <c r="U240" s="72"/>
      <c r="V240" s="72"/>
    </row>
    <row r="241" spans="1:25" ht="27.75" customHeight="1">
      <c r="A241" s="87" t="str">
        <f>IF(ISBLANK(C241)," ",236-COUNTBLANK($C$6:C241))</f>
        <v xml:space="preserve"> </v>
      </c>
      <c r="B241" s="88"/>
      <c r="C241" s="88"/>
      <c r="D241" s="89"/>
      <c r="E241" s="89"/>
      <c r="F241" s="73"/>
      <c r="G241" s="73"/>
      <c r="H241" s="73"/>
      <c r="I241" s="73"/>
      <c r="J241" s="73"/>
      <c r="K241" s="73"/>
      <c r="L241" s="73"/>
      <c r="M241" s="74"/>
      <c r="N241" s="71" t="str">
        <f t="shared" si="3"/>
        <v/>
      </c>
      <c r="O241" s="72"/>
      <c r="P241" s="72"/>
      <c r="Q241" s="72"/>
      <c r="R241" s="72"/>
      <c r="S241" s="72"/>
      <c r="T241" s="72"/>
      <c r="U241" s="72"/>
      <c r="V241" s="72"/>
    </row>
    <row r="242" spans="1:25" ht="27.75" customHeight="1">
      <c r="A242" s="87" t="str">
        <f>IF(ISBLANK(C242)," ",237-COUNTBLANK($C$6:C242))</f>
        <v xml:space="preserve"> </v>
      </c>
      <c r="B242" s="88"/>
      <c r="C242" s="88"/>
      <c r="D242" s="89"/>
      <c r="E242" s="89"/>
      <c r="F242" s="73"/>
      <c r="G242" s="73"/>
      <c r="H242" s="73"/>
      <c r="I242" s="73"/>
      <c r="J242" s="73"/>
      <c r="K242" s="73"/>
      <c r="L242" s="73"/>
      <c r="M242" s="74"/>
      <c r="N242" s="71" t="str">
        <f t="shared" si="3"/>
        <v/>
      </c>
      <c r="O242" s="72"/>
      <c r="P242" s="72"/>
      <c r="Q242" s="72"/>
      <c r="R242" s="72"/>
      <c r="S242" s="72"/>
      <c r="T242" s="72"/>
      <c r="U242" s="72"/>
      <c r="V242" s="72"/>
    </row>
    <row r="243" spans="1:25" ht="27.75" customHeight="1">
      <c r="A243" s="87" t="str">
        <f>IF(ISBLANK(C243)," ",238-COUNTBLANK($C$6:C243))</f>
        <v xml:space="preserve"> </v>
      </c>
      <c r="B243" s="88"/>
      <c r="C243" s="88"/>
      <c r="D243" s="89"/>
      <c r="E243" s="89"/>
      <c r="F243" s="73"/>
      <c r="G243" s="73"/>
      <c r="H243" s="73"/>
      <c r="I243" s="73"/>
      <c r="J243" s="73"/>
      <c r="K243" s="73"/>
      <c r="L243" s="73"/>
      <c r="M243" s="74"/>
      <c r="N243" s="71" t="str">
        <f t="shared" si="3"/>
        <v/>
      </c>
      <c r="O243" s="72"/>
      <c r="P243" s="72"/>
      <c r="Q243" s="72"/>
      <c r="R243" s="72"/>
      <c r="S243" s="72"/>
      <c r="T243" s="72"/>
      <c r="U243" s="72"/>
      <c r="V243" s="72"/>
    </row>
    <row r="244" spans="1:25" ht="27.75" customHeight="1">
      <c r="A244" s="87" t="str">
        <f>IF(ISBLANK(C244)," ",239-COUNTBLANK($C$6:C244))</f>
        <v xml:space="preserve"> </v>
      </c>
      <c r="B244" s="88"/>
      <c r="C244" s="88"/>
      <c r="D244" s="89"/>
      <c r="E244" s="89"/>
      <c r="F244" s="73"/>
      <c r="G244" s="73"/>
      <c r="H244" s="73"/>
      <c r="I244" s="73"/>
      <c r="J244" s="73"/>
      <c r="K244" s="73"/>
      <c r="L244" s="73"/>
      <c r="M244" s="74"/>
      <c r="N244" s="71" t="str">
        <f t="shared" si="3"/>
        <v/>
      </c>
      <c r="O244" s="72"/>
      <c r="P244" s="72"/>
      <c r="Q244" s="72"/>
      <c r="R244" s="72"/>
      <c r="S244" s="72"/>
      <c r="T244" s="72"/>
      <c r="U244" s="72"/>
      <c r="V244" s="72"/>
    </row>
    <row r="245" spans="1:25" ht="27.75" customHeight="1">
      <c r="A245" s="87" t="str">
        <f>IF(ISBLANK(C245)," ",240-COUNTBLANK($C$6:C245))</f>
        <v xml:space="preserve"> </v>
      </c>
      <c r="B245" s="88"/>
      <c r="C245" s="88"/>
      <c r="D245" s="89"/>
      <c r="E245" s="89"/>
      <c r="F245" s="73"/>
      <c r="G245" s="73"/>
      <c r="H245" s="73"/>
      <c r="I245" s="73"/>
      <c r="J245" s="73"/>
      <c r="K245" s="73"/>
      <c r="L245" s="73"/>
      <c r="M245" s="74"/>
      <c r="N245" s="71" t="str">
        <f t="shared" si="3"/>
        <v/>
      </c>
      <c r="O245" s="72"/>
      <c r="P245" s="72"/>
      <c r="Q245" s="72"/>
      <c r="R245" s="72"/>
      <c r="S245" s="72"/>
      <c r="T245" s="72"/>
      <c r="U245" s="72"/>
      <c r="V245" s="72"/>
    </row>
    <row r="246" spans="1:25" ht="27.75" customHeight="1">
      <c r="A246" s="87" t="str">
        <f>IF(ISBLANK(C246)," ",241-COUNTBLANK($C$6:C246))</f>
        <v xml:space="preserve"> </v>
      </c>
      <c r="B246" s="88"/>
      <c r="C246" s="88"/>
      <c r="D246" s="89"/>
      <c r="E246" s="89"/>
      <c r="F246" s="73"/>
      <c r="G246" s="73"/>
      <c r="H246" s="73"/>
      <c r="I246" s="73"/>
      <c r="J246" s="73"/>
      <c r="K246" s="73"/>
      <c r="L246" s="73"/>
      <c r="M246" s="74"/>
      <c r="N246" s="71" t="str">
        <f t="shared" si="3"/>
        <v/>
      </c>
      <c r="O246" s="72"/>
      <c r="P246" s="72"/>
      <c r="Q246" s="72"/>
      <c r="R246" s="72"/>
      <c r="S246" s="72"/>
      <c r="T246" s="72"/>
      <c r="U246" s="72"/>
      <c r="V246" s="72"/>
    </row>
    <row r="247" spans="1:25" ht="27.75" customHeight="1">
      <c r="A247" s="87" t="str">
        <f>IF(ISBLANK(C247)," ",242-COUNTBLANK($C$6:C247))</f>
        <v xml:space="preserve"> </v>
      </c>
      <c r="B247" s="88"/>
      <c r="C247" s="88"/>
      <c r="D247" s="89"/>
      <c r="E247" s="89"/>
      <c r="F247" s="73"/>
      <c r="G247" s="73"/>
      <c r="H247" s="73"/>
      <c r="I247" s="73"/>
      <c r="J247" s="73"/>
      <c r="K247" s="73"/>
      <c r="L247" s="73"/>
      <c r="M247" s="74"/>
      <c r="N247" s="71" t="str">
        <f t="shared" si="3"/>
        <v/>
      </c>
      <c r="O247" s="72"/>
      <c r="P247" s="72"/>
      <c r="Q247" s="72"/>
      <c r="R247" s="72"/>
      <c r="S247" s="72"/>
      <c r="T247" s="72"/>
      <c r="U247" s="72"/>
      <c r="V247" s="72"/>
    </row>
    <row r="248" spans="1:25" ht="27.75" customHeight="1">
      <c r="A248" s="87" t="str">
        <f>IF(ISBLANK(C248)," ",243-COUNTBLANK($C$6:C248))</f>
        <v xml:space="preserve"> </v>
      </c>
      <c r="B248" s="88"/>
      <c r="C248" s="88"/>
      <c r="D248" s="89"/>
      <c r="E248" s="89"/>
      <c r="F248" s="73"/>
      <c r="G248" s="73"/>
      <c r="H248" s="73"/>
      <c r="I248" s="73"/>
      <c r="J248" s="73"/>
      <c r="K248" s="73"/>
      <c r="L248" s="73"/>
      <c r="M248" s="74"/>
      <c r="N248" s="71" t="str">
        <f t="shared" si="3"/>
        <v/>
      </c>
      <c r="O248" s="72"/>
      <c r="P248" s="72"/>
      <c r="Q248" s="72"/>
      <c r="R248" s="72"/>
      <c r="S248" s="72"/>
      <c r="T248" s="72"/>
      <c r="U248" s="72"/>
      <c r="V248" s="72"/>
    </row>
    <row r="249" spans="1:25" ht="27.75" customHeight="1">
      <c r="A249" s="87" t="str">
        <f>IF(ISBLANK(C249)," ",244-COUNTBLANK($C$6:C249))</f>
        <v xml:space="preserve"> </v>
      </c>
      <c r="B249" s="88"/>
      <c r="C249" s="88"/>
      <c r="D249" s="89"/>
      <c r="E249" s="89"/>
      <c r="F249" s="73"/>
      <c r="G249" s="73"/>
      <c r="H249" s="73"/>
      <c r="I249" s="73"/>
      <c r="J249" s="73"/>
      <c r="K249" s="73"/>
      <c r="L249" s="73"/>
      <c r="M249" s="74"/>
      <c r="N249" s="71" t="str">
        <f t="shared" si="3"/>
        <v/>
      </c>
      <c r="O249" s="72"/>
      <c r="P249" s="72"/>
      <c r="Q249" s="72"/>
      <c r="R249" s="72"/>
      <c r="S249" s="72"/>
      <c r="T249" s="72"/>
      <c r="U249" s="72"/>
      <c r="V249" s="72"/>
    </row>
    <row r="250" spans="1:25" ht="27.75" customHeight="1">
      <c r="A250" s="87" t="str">
        <f>IF(ISBLANK(C250)," ",245-COUNTBLANK($C$6:C250))</f>
        <v xml:space="preserve"> </v>
      </c>
      <c r="B250" s="88"/>
      <c r="C250" s="88"/>
      <c r="D250" s="89"/>
      <c r="E250" s="89"/>
      <c r="F250" s="73"/>
      <c r="G250" s="73"/>
      <c r="H250" s="73"/>
      <c r="I250" s="73"/>
      <c r="J250" s="73"/>
      <c r="K250" s="73"/>
      <c r="L250" s="73"/>
      <c r="M250" s="74"/>
      <c r="N250" s="71" t="str">
        <f t="shared" si="3"/>
        <v/>
      </c>
      <c r="O250" s="72"/>
      <c r="P250" s="72"/>
      <c r="Q250" s="72"/>
      <c r="R250" s="72"/>
      <c r="S250" s="72"/>
      <c r="T250" s="72"/>
      <c r="U250" s="72"/>
      <c r="V250" s="72"/>
    </row>
    <row r="251" spans="1:25" ht="27.75" customHeight="1">
      <c r="A251" s="87" t="str">
        <f>IF(ISBLANK(C251)," ",246-COUNTBLANK($C$6:C251))</f>
        <v xml:space="preserve"> </v>
      </c>
      <c r="B251" s="88"/>
      <c r="C251" s="88"/>
      <c r="D251" s="89"/>
      <c r="E251" s="89"/>
      <c r="F251" s="73"/>
      <c r="G251" s="73"/>
      <c r="H251" s="73"/>
      <c r="I251" s="73"/>
      <c r="J251" s="73"/>
      <c r="K251" s="73"/>
      <c r="L251" s="73"/>
      <c r="M251" s="74"/>
      <c r="N251" s="71" t="str">
        <f t="shared" si="3"/>
        <v/>
      </c>
      <c r="O251" s="72"/>
      <c r="P251" s="72"/>
      <c r="Q251" s="72"/>
      <c r="R251" s="72"/>
      <c r="S251" s="72"/>
      <c r="T251" s="72"/>
      <c r="U251" s="72"/>
      <c r="V251" s="72"/>
    </row>
    <row r="252" spans="1:25" ht="27.75" customHeight="1">
      <c r="A252" s="87" t="str">
        <f>IF(ISBLANK(C252)," ",247-COUNTBLANK($C$6:C252))</f>
        <v xml:space="preserve"> </v>
      </c>
      <c r="B252" s="88"/>
      <c r="C252" s="88"/>
      <c r="D252" s="89"/>
      <c r="E252" s="89"/>
      <c r="F252" s="73"/>
      <c r="G252" s="73"/>
      <c r="H252" s="73"/>
      <c r="I252" s="73"/>
      <c r="J252" s="73"/>
      <c r="K252" s="73"/>
      <c r="L252" s="73"/>
      <c r="M252" s="74"/>
      <c r="N252" s="71" t="str">
        <f t="shared" si="3"/>
        <v/>
      </c>
      <c r="O252" s="75"/>
      <c r="P252" s="72"/>
      <c r="Q252" s="72"/>
      <c r="R252" s="72"/>
      <c r="S252" s="72"/>
      <c r="T252" s="72"/>
      <c r="U252" s="72"/>
      <c r="V252" s="76"/>
    </row>
    <row r="253" spans="1:25" ht="27.75" customHeight="1">
      <c r="A253" s="87" t="str">
        <f>IF(ISBLANK(C253)," ",248-COUNTBLANK($C$6:C253))</f>
        <v xml:space="preserve"> </v>
      </c>
      <c r="B253" s="88"/>
      <c r="C253" s="88"/>
      <c r="D253" s="89"/>
      <c r="E253" s="89"/>
      <c r="F253" s="73"/>
      <c r="G253" s="73"/>
      <c r="H253" s="73"/>
      <c r="I253" s="73"/>
      <c r="J253" s="73"/>
      <c r="K253" s="73"/>
      <c r="L253" s="73"/>
      <c r="M253" s="74"/>
      <c r="N253" s="71" t="str">
        <f t="shared" si="3"/>
        <v/>
      </c>
      <c r="O253" s="75"/>
      <c r="P253" s="72"/>
      <c r="Q253" s="72"/>
      <c r="R253" s="72"/>
      <c r="S253" s="72"/>
      <c r="T253" s="72"/>
      <c r="U253" s="72"/>
      <c r="V253" s="76"/>
    </row>
    <row r="254" spans="1:25" ht="27.75" customHeight="1">
      <c r="A254" s="87" t="str">
        <f>IF(ISBLANK(C254)," ",249-COUNTBLANK($C$6:C254))</f>
        <v xml:space="preserve"> </v>
      </c>
      <c r="B254" s="88"/>
      <c r="C254" s="88"/>
      <c r="D254" s="89"/>
      <c r="E254" s="89"/>
      <c r="F254" s="73"/>
      <c r="G254" s="73"/>
      <c r="H254" s="73"/>
      <c r="I254" s="73"/>
      <c r="J254" s="73"/>
      <c r="K254" s="73"/>
      <c r="L254" s="73"/>
      <c r="M254" s="74"/>
      <c r="N254" s="71" t="str">
        <f t="shared" si="3"/>
        <v/>
      </c>
      <c r="O254" s="75"/>
      <c r="P254" s="72"/>
      <c r="Q254" s="72"/>
      <c r="R254" s="72"/>
      <c r="S254" s="72"/>
      <c r="T254" s="72"/>
      <c r="U254" s="72"/>
      <c r="V254" s="76"/>
    </row>
    <row r="255" spans="1:25" ht="27.75" customHeight="1">
      <c r="A255" s="87" t="str">
        <f>IF(ISBLANK(C255)," ",250-COUNTBLANK($C$6:C255))</f>
        <v xml:space="preserve"> </v>
      </c>
      <c r="B255" s="88"/>
      <c r="C255" s="88"/>
      <c r="D255" s="89"/>
      <c r="E255" s="89"/>
      <c r="F255" s="73"/>
      <c r="G255" s="73"/>
      <c r="H255" s="73"/>
      <c r="I255" s="73"/>
      <c r="J255" s="73"/>
      <c r="K255" s="73"/>
      <c r="L255" s="73"/>
      <c r="M255" s="74"/>
      <c r="N255" s="71" t="str">
        <f t="shared" si="3"/>
        <v/>
      </c>
      <c r="O255" s="75"/>
      <c r="P255" s="72"/>
      <c r="Q255" s="72"/>
      <c r="R255" s="72"/>
      <c r="S255" s="72"/>
      <c r="T255" s="72"/>
      <c r="U255" s="72"/>
      <c r="V255" s="76"/>
    </row>
    <row r="256" spans="1:25" ht="27.75" customHeight="1">
      <c r="A256" s="87" t="str">
        <f>IF(ISBLANK(C256)," ",251-COUNTBLANK($C$6:C256))</f>
        <v xml:space="preserve"> </v>
      </c>
      <c r="B256" s="88"/>
      <c r="C256" s="88"/>
      <c r="D256" s="89"/>
      <c r="E256" s="89"/>
      <c r="F256" s="73"/>
      <c r="G256" s="73"/>
      <c r="H256" s="73"/>
      <c r="I256" s="73"/>
      <c r="J256" s="73"/>
      <c r="K256" s="73"/>
      <c r="L256" s="73"/>
      <c r="M256" s="74"/>
      <c r="N256" s="71" t="str">
        <f t="shared" si="3"/>
        <v/>
      </c>
      <c r="O256" s="72"/>
      <c r="P256" s="72"/>
      <c r="Q256" s="72"/>
      <c r="R256" s="72"/>
      <c r="S256" s="72"/>
      <c r="T256" s="72"/>
      <c r="U256" s="72"/>
      <c r="V256" s="79"/>
      <c r="W256" s="72"/>
      <c r="X256" s="72"/>
      <c r="Y256" s="72"/>
    </row>
    <row r="257" spans="1:25" ht="27.75" customHeight="1">
      <c r="A257" s="80" t="s">
        <v>52</v>
      </c>
      <c r="B257" s="81"/>
      <c r="C257" s="96"/>
      <c r="D257" s="82"/>
      <c r="E257" s="82">
        <f>SUM(E237:E256)</f>
        <v>0</v>
      </c>
      <c r="F257" s="83"/>
      <c r="G257" s="83"/>
      <c r="H257" s="83"/>
      <c r="I257" s="83"/>
      <c r="J257" s="83"/>
      <c r="K257" s="83"/>
      <c r="L257" s="83"/>
      <c r="M257" s="84"/>
      <c r="N257" s="71" t="str">
        <f t="shared" si="3"/>
        <v/>
      </c>
      <c r="O257" s="75"/>
      <c r="P257" s="72"/>
      <c r="Q257" s="72"/>
      <c r="R257" s="72"/>
      <c r="S257" s="72"/>
      <c r="T257" s="72"/>
      <c r="U257" s="72"/>
      <c r="V257" s="79"/>
      <c r="W257" s="72"/>
      <c r="X257" s="72"/>
      <c r="Y257" s="72"/>
    </row>
    <row r="258" spans="1:25" ht="27.75" customHeight="1">
      <c r="A258" s="93" t="str">
        <f>IF(ISBLANK(C258)," ",253-COUNTBLANK($C$6:C258))</f>
        <v xml:space="preserve"> </v>
      </c>
      <c r="B258" s="94"/>
      <c r="C258" s="94"/>
      <c r="D258" s="95"/>
      <c r="E258" s="95"/>
      <c r="F258" s="85"/>
      <c r="G258" s="85"/>
      <c r="H258" s="85"/>
      <c r="I258" s="85"/>
      <c r="J258" s="85"/>
      <c r="K258" s="85"/>
      <c r="L258" s="85"/>
      <c r="M258" s="86"/>
      <c r="N258" s="71" t="str">
        <f t="shared" si="3"/>
        <v/>
      </c>
      <c r="O258" s="72"/>
      <c r="P258" s="72"/>
      <c r="Q258" s="72"/>
      <c r="R258" s="72"/>
      <c r="S258" s="72"/>
      <c r="T258" s="72"/>
      <c r="U258" s="72"/>
      <c r="V258" s="72"/>
    </row>
    <row r="259" spans="1:25" ht="27.75" customHeight="1">
      <c r="A259" s="87" t="str">
        <f>IF(ISBLANK(C259)," ",254-COUNTBLANK($C$6:C259))</f>
        <v xml:space="preserve"> </v>
      </c>
      <c r="B259" s="88"/>
      <c r="C259" s="88"/>
      <c r="D259" s="89"/>
      <c r="E259" s="89"/>
      <c r="F259" s="73"/>
      <c r="G259" s="73"/>
      <c r="H259" s="73"/>
      <c r="I259" s="73"/>
      <c r="J259" s="73"/>
      <c r="K259" s="73"/>
      <c r="L259" s="73"/>
      <c r="M259" s="74"/>
      <c r="N259" s="71" t="str">
        <f t="shared" si="3"/>
        <v/>
      </c>
      <c r="O259" s="72"/>
      <c r="P259" s="72"/>
      <c r="Q259" s="72"/>
      <c r="R259" s="72"/>
      <c r="S259" s="72"/>
      <c r="T259" s="72"/>
      <c r="U259" s="72"/>
      <c r="V259" s="72"/>
    </row>
    <row r="260" spans="1:25" ht="27.75" customHeight="1">
      <c r="A260" s="87" t="str">
        <f>IF(ISBLANK(C260)," ",255-COUNTBLANK($C$6:C260))</f>
        <v xml:space="preserve"> </v>
      </c>
      <c r="B260" s="88"/>
      <c r="C260" s="88"/>
      <c r="D260" s="89"/>
      <c r="E260" s="89"/>
      <c r="F260" s="73"/>
      <c r="G260" s="73"/>
      <c r="H260" s="73"/>
      <c r="I260" s="73"/>
      <c r="J260" s="73"/>
      <c r="K260" s="73"/>
      <c r="L260" s="73"/>
      <c r="M260" s="74"/>
      <c r="N260" s="71" t="str">
        <f t="shared" si="3"/>
        <v/>
      </c>
      <c r="O260" s="72"/>
      <c r="P260" s="72"/>
      <c r="Q260" s="72"/>
      <c r="R260" s="72"/>
      <c r="S260" s="72"/>
      <c r="T260" s="72"/>
      <c r="U260" s="72"/>
      <c r="V260" s="72"/>
    </row>
    <row r="261" spans="1:25" ht="27.75" customHeight="1">
      <c r="A261" s="87" t="str">
        <f>IF(ISBLANK(C261)," ",256-COUNTBLANK($C$6:C261))</f>
        <v xml:space="preserve"> </v>
      </c>
      <c r="B261" s="88"/>
      <c r="C261" s="88"/>
      <c r="D261" s="89"/>
      <c r="E261" s="89"/>
      <c r="F261" s="73"/>
      <c r="G261" s="73"/>
      <c r="H261" s="73"/>
      <c r="I261" s="73"/>
      <c r="J261" s="73"/>
      <c r="K261" s="73"/>
      <c r="L261" s="73"/>
      <c r="M261" s="74"/>
      <c r="N261" s="71" t="str">
        <f t="shared" si="3"/>
        <v/>
      </c>
      <c r="O261" s="72"/>
      <c r="P261" s="72"/>
      <c r="Q261" s="72"/>
      <c r="R261" s="72"/>
      <c r="S261" s="72"/>
      <c r="T261" s="72"/>
      <c r="U261" s="72"/>
      <c r="V261" s="72"/>
    </row>
    <row r="262" spans="1:25" ht="27.75" customHeight="1">
      <c r="A262" s="87" t="str">
        <f>IF(ISBLANK(C262)," ",257-COUNTBLANK($C$6:C262))</f>
        <v xml:space="preserve"> </v>
      </c>
      <c r="B262" s="88"/>
      <c r="C262" s="88"/>
      <c r="D262" s="89"/>
      <c r="E262" s="89"/>
      <c r="F262" s="73"/>
      <c r="G262" s="73"/>
      <c r="H262" s="73"/>
      <c r="I262" s="73"/>
      <c r="J262" s="73"/>
      <c r="K262" s="73"/>
      <c r="L262" s="73"/>
      <c r="M262" s="74"/>
      <c r="N262" s="71" t="str">
        <f t="shared" ref="N262:N325" si="4">CONCATENATE(C262,H262)</f>
        <v/>
      </c>
      <c r="O262" s="72"/>
      <c r="P262" s="72"/>
      <c r="Q262" s="72"/>
      <c r="R262" s="72"/>
      <c r="S262" s="72"/>
      <c r="T262" s="72"/>
      <c r="U262" s="72"/>
      <c r="V262" s="72"/>
    </row>
    <row r="263" spans="1:25" ht="27.75" customHeight="1">
      <c r="A263" s="87" t="str">
        <f>IF(ISBLANK(C263)," ",258-COUNTBLANK($C$6:C263))</f>
        <v xml:space="preserve"> </v>
      </c>
      <c r="B263" s="88"/>
      <c r="C263" s="88"/>
      <c r="D263" s="89"/>
      <c r="E263" s="89"/>
      <c r="F263" s="73"/>
      <c r="G263" s="73"/>
      <c r="H263" s="73"/>
      <c r="I263" s="73"/>
      <c r="J263" s="73"/>
      <c r="K263" s="73"/>
      <c r="L263" s="73"/>
      <c r="M263" s="74"/>
      <c r="N263" s="71" t="str">
        <f t="shared" si="4"/>
        <v/>
      </c>
      <c r="O263" s="72"/>
      <c r="P263" s="72"/>
      <c r="Q263" s="72"/>
      <c r="R263" s="72"/>
      <c r="S263" s="72"/>
      <c r="T263" s="72"/>
      <c r="U263" s="72"/>
      <c r="V263" s="72"/>
    </row>
    <row r="264" spans="1:25" ht="27.75" customHeight="1">
      <c r="A264" s="87" t="str">
        <f>IF(ISBLANK(C264)," ",259-COUNTBLANK($C$6:C264))</f>
        <v xml:space="preserve"> </v>
      </c>
      <c r="B264" s="88"/>
      <c r="C264" s="88"/>
      <c r="D264" s="89"/>
      <c r="E264" s="89"/>
      <c r="F264" s="73"/>
      <c r="G264" s="73"/>
      <c r="H264" s="73"/>
      <c r="I264" s="73"/>
      <c r="J264" s="73"/>
      <c r="K264" s="73"/>
      <c r="L264" s="73"/>
      <c r="M264" s="74"/>
      <c r="N264" s="71" t="str">
        <f t="shared" si="4"/>
        <v/>
      </c>
      <c r="O264" s="72"/>
      <c r="P264" s="72"/>
      <c r="Q264" s="72"/>
      <c r="R264" s="72"/>
      <c r="S264" s="72"/>
      <c r="T264" s="72"/>
      <c r="U264" s="72"/>
      <c r="V264" s="72"/>
    </row>
    <row r="265" spans="1:25" ht="27.75" customHeight="1">
      <c r="A265" s="87" t="str">
        <f>IF(ISBLANK(C265)," ",260-COUNTBLANK($C$6:C265))</f>
        <v xml:space="preserve"> </v>
      </c>
      <c r="B265" s="88"/>
      <c r="C265" s="88"/>
      <c r="D265" s="89"/>
      <c r="E265" s="89"/>
      <c r="F265" s="73"/>
      <c r="G265" s="73"/>
      <c r="H265" s="73"/>
      <c r="I265" s="73"/>
      <c r="J265" s="73"/>
      <c r="K265" s="73"/>
      <c r="L265" s="73"/>
      <c r="M265" s="74"/>
      <c r="N265" s="71" t="str">
        <f t="shared" si="4"/>
        <v/>
      </c>
      <c r="O265" s="72"/>
      <c r="P265" s="72"/>
      <c r="Q265" s="72"/>
      <c r="R265" s="72"/>
      <c r="S265" s="72"/>
      <c r="T265" s="72"/>
      <c r="U265" s="72"/>
      <c r="V265" s="72"/>
    </row>
    <row r="266" spans="1:25" ht="27.75" customHeight="1">
      <c r="A266" s="87" t="str">
        <f>IF(ISBLANK(C266)," ",261-COUNTBLANK($C$6:C266))</f>
        <v xml:space="preserve"> </v>
      </c>
      <c r="B266" s="88"/>
      <c r="C266" s="88"/>
      <c r="D266" s="89"/>
      <c r="E266" s="89"/>
      <c r="F266" s="73"/>
      <c r="G266" s="73"/>
      <c r="H266" s="73"/>
      <c r="I266" s="73"/>
      <c r="J266" s="73"/>
      <c r="K266" s="73"/>
      <c r="L266" s="73"/>
      <c r="M266" s="74"/>
      <c r="N266" s="71" t="str">
        <f t="shared" si="4"/>
        <v/>
      </c>
      <c r="O266" s="72"/>
      <c r="P266" s="72"/>
      <c r="Q266" s="72"/>
      <c r="R266" s="72"/>
      <c r="S266" s="72"/>
      <c r="T266" s="72"/>
      <c r="U266" s="72"/>
      <c r="V266" s="72"/>
    </row>
    <row r="267" spans="1:25" ht="27.75" customHeight="1">
      <c r="A267" s="87" t="str">
        <f>IF(ISBLANK(C267)," ",262-COUNTBLANK($C$6:C267))</f>
        <v xml:space="preserve"> </v>
      </c>
      <c r="B267" s="88"/>
      <c r="C267" s="88"/>
      <c r="D267" s="89"/>
      <c r="E267" s="89"/>
      <c r="F267" s="73"/>
      <c r="G267" s="73"/>
      <c r="H267" s="73"/>
      <c r="I267" s="73"/>
      <c r="J267" s="73"/>
      <c r="K267" s="73"/>
      <c r="L267" s="73"/>
      <c r="M267" s="74"/>
      <c r="N267" s="71" t="str">
        <f t="shared" si="4"/>
        <v/>
      </c>
      <c r="O267" s="72"/>
      <c r="P267" s="72"/>
      <c r="Q267" s="72"/>
      <c r="R267" s="72"/>
      <c r="S267" s="72"/>
      <c r="T267" s="72"/>
      <c r="U267" s="72"/>
      <c r="V267" s="72"/>
    </row>
    <row r="268" spans="1:25" ht="27.75" customHeight="1">
      <c r="A268" s="87" t="str">
        <f>IF(ISBLANK(C268)," ",263-COUNTBLANK($C$6:C268))</f>
        <v xml:space="preserve"> </v>
      </c>
      <c r="B268" s="88"/>
      <c r="C268" s="88"/>
      <c r="D268" s="89"/>
      <c r="E268" s="89"/>
      <c r="F268" s="73"/>
      <c r="G268" s="73"/>
      <c r="H268" s="73"/>
      <c r="I268" s="73"/>
      <c r="J268" s="73"/>
      <c r="K268" s="73"/>
      <c r="L268" s="73"/>
      <c r="M268" s="74"/>
      <c r="N268" s="71" t="str">
        <f t="shared" si="4"/>
        <v/>
      </c>
      <c r="O268" s="72"/>
      <c r="P268" s="72"/>
      <c r="Q268" s="72"/>
      <c r="R268" s="72"/>
      <c r="S268" s="72"/>
      <c r="T268" s="72"/>
      <c r="U268" s="72"/>
      <c r="V268" s="72"/>
    </row>
    <row r="269" spans="1:25" ht="27.75" customHeight="1">
      <c r="A269" s="87" t="str">
        <f>IF(ISBLANK(C269)," ",264-COUNTBLANK($C$6:C269))</f>
        <v xml:space="preserve"> </v>
      </c>
      <c r="B269" s="88"/>
      <c r="C269" s="88"/>
      <c r="D269" s="89"/>
      <c r="E269" s="89"/>
      <c r="F269" s="73"/>
      <c r="G269" s="73"/>
      <c r="H269" s="73"/>
      <c r="I269" s="73"/>
      <c r="J269" s="73"/>
      <c r="K269" s="73"/>
      <c r="L269" s="73"/>
      <c r="M269" s="74"/>
      <c r="N269" s="71" t="str">
        <f t="shared" si="4"/>
        <v/>
      </c>
      <c r="O269" s="72"/>
      <c r="P269" s="72"/>
      <c r="Q269" s="72"/>
      <c r="R269" s="72"/>
      <c r="S269" s="72"/>
      <c r="T269" s="72"/>
      <c r="U269" s="72"/>
      <c r="V269" s="72"/>
    </row>
    <row r="270" spans="1:25" ht="27.75" customHeight="1">
      <c r="A270" s="87" t="str">
        <f>IF(ISBLANK(C270)," ",265-COUNTBLANK($C$6:C270))</f>
        <v xml:space="preserve"> </v>
      </c>
      <c r="B270" s="88"/>
      <c r="C270" s="88"/>
      <c r="D270" s="89"/>
      <c r="E270" s="89"/>
      <c r="F270" s="73"/>
      <c r="G270" s="73"/>
      <c r="H270" s="73"/>
      <c r="I270" s="73"/>
      <c r="J270" s="73"/>
      <c r="K270" s="73"/>
      <c r="L270" s="73"/>
      <c r="M270" s="74"/>
      <c r="N270" s="71" t="str">
        <f t="shared" si="4"/>
        <v/>
      </c>
      <c r="O270" s="72"/>
      <c r="P270" s="72"/>
      <c r="Q270" s="72"/>
      <c r="R270" s="72"/>
      <c r="S270" s="72"/>
      <c r="T270" s="72"/>
      <c r="U270" s="72"/>
      <c r="V270" s="72"/>
    </row>
    <row r="271" spans="1:25" ht="27.75" customHeight="1">
      <c r="A271" s="87" t="str">
        <f>IF(ISBLANK(C271)," ",266-COUNTBLANK($C$6:C271))</f>
        <v xml:space="preserve"> </v>
      </c>
      <c r="B271" s="88"/>
      <c r="C271" s="88"/>
      <c r="D271" s="89"/>
      <c r="E271" s="89"/>
      <c r="F271" s="73"/>
      <c r="G271" s="73"/>
      <c r="H271" s="73"/>
      <c r="I271" s="73"/>
      <c r="J271" s="73"/>
      <c r="K271" s="73"/>
      <c r="L271" s="73"/>
      <c r="M271" s="74"/>
      <c r="N271" s="71" t="str">
        <f t="shared" si="4"/>
        <v/>
      </c>
      <c r="O271" s="72"/>
      <c r="P271" s="72"/>
      <c r="Q271" s="72"/>
      <c r="R271" s="72"/>
      <c r="S271" s="72"/>
      <c r="T271" s="72"/>
      <c r="U271" s="72"/>
      <c r="V271" s="72"/>
    </row>
    <row r="272" spans="1:25" ht="27.75" customHeight="1">
      <c r="A272" s="87" t="str">
        <f>IF(ISBLANK(C272)," ",267-COUNTBLANK($C$6:C272))</f>
        <v xml:space="preserve"> </v>
      </c>
      <c r="B272" s="88"/>
      <c r="C272" s="88"/>
      <c r="D272" s="89"/>
      <c r="E272" s="89"/>
      <c r="F272" s="73"/>
      <c r="G272" s="73"/>
      <c r="H272" s="73"/>
      <c r="I272" s="73"/>
      <c r="J272" s="73"/>
      <c r="K272" s="73"/>
      <c r="L272" s="73"/>
      <c r="M272" s="74"/>
      <c r="N272" s="71" t="str">
        <f t="shared" si="4"/>
        <v/>
      </c>
      <c r="O272" s="72"/>
      <c r="P272" s="72"/>
      <c r="Q272" s="72"/>
      <c r="R272" s="72"/>
      <c r="S272" s="72"/>
      <c r="T272" s="72"/>
      <c r="U272" s="72"/>
      <c r="V272" s="72"/>
    </row>
    <row r="273" spans="1:25" ht="27.75" customHeight="1">
      <c r="A273" s="87" t="str">
        <f>IF(ISBLANK(C273)," ",268-COUNTBLANK($C$6:C273))</f>
        <v xml:space="preserve"> </v>
      </c>
      <c r="B273" s="88"/>
      <c r="C273" s="88"/>
      <c r="D273" s="89"/>
      <c r="E273" s="89"/>
      <c r="F273" s="73"/>
      <c r="G273" s="73"/>
      <c r="H273" s="73"/>
      <c r="I273" s="73"/>
      <c r="J273" s="73"/>
      <c r="K273" s="73"/>
      <c r="L273" s="73"/>
      <c r="M273" s="74"/>
      <c r="N273" s="71" t="str">
        <f t="shared" si="4"/>
        <v/>
      </c>
      <c r="O273" s="75"/>
      <c r="P273" s="72"/>
      <c r="Q273" s="72"/>
      <c r="R273" s="72"/>
      <c r="S273" s="72"/>
      <c r="T273" s="72"/>
      <c r="U273" s="72"/>
      <c r="V273" s="76"/>
    </row>
    <row r="274" spans="1:25" ht="27.75" customHeight="1">
      <c r="A274" s="87" t="str">
        <f>IF(ISBLANK(C274)," ",269-COUNTBLANK($C$6:C274))</f>
        <v xml:space="preserve"> </v>
      </c>
      <c r="B274" s="88"/>
      <c r="C274" s="88"/>
      <c r="D274" s="89"/>
      <c r="E274" s="89"/>
      <c r="F274" s="73"/>
      <c r="G274" s="73"/>
      <c r="H274" s="73"/>
      <c r="I274" s="73"/>
      <c r="J274" s="73"/>
      <c r="K274" s="73"/>
      <c r="L274" s="73"/>
      <c r="M274" s="74"/>
      <c r="N274" s="71" t="str">
        <f t="shared" si="4"/>
        <v/>
      </c>
      <c r="O274" s="75"/>
      <c r="P274" s="72"/>
      <c r="Q274" s="72"/>
      <c r="R274" s="72"/>
      <c r="S274" s="72"/>
      <c r="T274" s="72"/>
      <c r="U274" s="72"/>
      <c r="V274" s="76"/>
    </row>
    <row r="275" spans="1:25" ht="27.75" customHeight="1">
      <c r="A275" s="87" t="str">
        <f>IF(ISBLANK(C275)," ",270-COUNTBLANK($C$6:C275))</f>
        <v xml:space="preserve"> </v>
      </c>
      <c r="B275" s="88"/>
      <c r="C275" s="88"/>
      <c r="D275" s="89"/>
      <c r="E275" s="89"/>
      <c r="F275" s="73"/>
      <c r="G275" s="73"/>
      <c r="H275" s="73"/>
      <c r="I275" s="73"/>
      <c r="J275" s="73"/>
      <c r="K275" s="73"/>
      <c r="L275" s="73"/>
      <c r="M275" s="74"/>
      <c r="N275" s="71" t="str">
        <f t="shared" si="4"/>
        <v/>
      </c>
      <c r="O275" s="75"/>
      <c r="P275" s="72"/>
      <c r="Q275" s="72"/>
      <c r="R275" s="72"/>
      <c r="S275" s="72"/>
      <c r="T275" s="72"/>
      <c r="U275" s="72"/>
      <c r="V275" s="76"/>
    </row>
    <row r="276" spans="1:25" ht="27.75" customHeight="1">
      <c r="A276" s="87" t="str">
        <f>IF(ISBLANK(C276)," ",271-COUNTBLANK($C$6:C276))</f>
        <v xml:space="preserve"> </v>
      </c>
      <c r="B276" s="88"/>
      <c r="C276" s="88"/>
      <c r="D276" s="89"/>
      <c r="E276" s="89"/>
      <c r="F276" s="73"/>
      <c r="G276" s="73"/>
      <c r="H276" s="73"/>
      <c r="I276" s="73"/>
      <c r="J276" s="73"/>
      <c r="K276" s="73"/>
      <c r="L276" s="73"/>
      <c r="M276" s="74"/>
      <c r="N276" s="71" t="str">
        <f t="shared" si="4"/>
        <v/>
      </c>
      <c r="O276" s="75"/>
      <c r="P276" s="72"/>
      <c r="Q276" s="72"/>
      <c r="R276" s="72"/>
      <c r="S276" s="72"/>
      <c r="T276" s="72"/>
      <c r="U276" s="72"/>
      <c r="V276" s="76"/>
    </row>
    <row r="277" spans="1:25" ht="27.75" customHeight="1">
      <c r="A277" s="87" t="str">
        <f>IF(ISBLANK(C277)," ",272-COUNTBLANK($C$6:C277))</f>
        <v xml:space="preserve"> </v>
      </c>
      <c r="B277" s="88"/>
      <c r="C277" s="88"/>
      <c r="D277" s="89"/>
      <c r="E277" s="89"/>
      <c r="F277" s="73"/>
      <c r="G277" s="73"/>
      <c r="H277" s="73"/>
      <c r="I277" s="73"/>
      <c r="J277" s="73"/>
      <c r="K277" s="73"/>
      <c r="L277" s="73"/>
      <c r="M277" s="74"/>
      <c r="N277" s="71" t="str">
        <f t="shared" si="4"/>
        <v/>
      </c>
      <c r="O277" s="72"/>
      <c r="P277" s="72"/>
      <c r="Q277" s="72"/>
      <c r="R277" s="72"/>
      <c r="S277" s="72"/>
      <c r="T277" s="72"/>
      <c r="U277" s="72"/>
      <c r="V277" s="79"/>
      <c r="W277" s="72"/>
      <c r="X277" s="72"/>
      <c r="Y277" s="72"/>
    </row>
    <row r="278" spans="1:25" ht="27.75" customHeight="1">
      <c r="A278" s="80" t="s">
        <v>52</v>
      </c>
      <c r="B278" s="81"/>
      <c r="C278" s="96"/>
      <c r="D278" s="82"/>
      <c r="E278" s="82">
        <f>SUM(E258:E277)</f>
        <v>0</v>
      </c>
      <c r="F278" s="83"/>
      <c r="G278" s="83"/>
      <c r="H278" s="83"/>
      <c r="I278" s="83"/>
      <c r="J278" s="83"/>
      <c r="K278" s="83"/>
      <c r="L278" s="83"/>
      <c r="M278" s="84"/>
      <c r="N278" s="71" t="str">
        <f t="shared" si="4"/>
        <v/>
      </c>
      <c r="O278" s="75"/>
      <c r="P278" s="72"/>
      <c r="Q278" s="72"/>
      <c r="R278" s="72"/>
      <c r="S278" s="72"/>
      <c r="T278" s="72"/>
      <c r="U278" s="72"/>
      <c r="V278" s="79"/>
      <c r="W278" s="72"/>
      <c r="X278" s="72"/>
      <c r="Y278" s="72"/>
    </row>
    <row r="279" spans="1:25" ht="27.75" customHeight="1">
      <c r="A279" s="93" t="str">
        <f>IF(ISBLANK(C279)," ",274-COUNTBLANK($C$6:C279))</f>
        <v xml:space="preserve"> </v>
      </c>
      <c r="B279" s="94"/>
      <c r="C279" s="94"/>
      <c r="D279" s="95"/>
      <c r="E279" s="95"/>
      <c r="F279" s="85"/>
      <c r="G279" s="85"/>
      <c r="H279" s="85"/>
      <c r="I279" s="85"/>
      <c r="J279" s="85"/>
      <c r="K279" s="85"/>
      <c r="L279" s="85"/>
      <c r="M279" s="86"/>
      <c r="N279" s="71" t="str">
        <f t="shared" si="4"/>
        <v/>
      </c>
      <c r="O279" s="72"/>
      <c r="P279" s="72"/>
      <c r="Q279" s="72"/>
      <c r="R279" s="72"/>
      <c r="S279" s="72"/>
      <c r="T279" s="72"/>
      <c r="U279" s="72"/>
      <c r="V279" s="72"/>
    </row>
    <row r="280" spans="1:25" ht="27.75" customHeight="1">
      <c r="A280" s="87" t="str">
        <f>IF(ISBLANK(C280)," ",275-COUNTBLANK($C$6:C280))</f>
        <v xml:space="preserve"> </v>
      </c>
      <c r="B280" s="88"/>
      <c r="C280" s="88"/>
      <c r="D280" s="89"/>
      <c r="E280" s="89"/>
      <c r="F280" s="73"/>
      <c r="G280" s="73"/>
      <c r="H280" s="73"/>
      <c r="I280" s="73"/>
      <c r="J280" s="73"/>
      <c r="K280" s="73"/>
      <c r="L280" s="73"/>
      <c r="M280" s="74"/>
      <c r="N280" s="71" t="str">
        <f t="shared" si="4"/>
        <v/>
      </c>
      <c r="O280" s="72"/>
      <c r="P280" s="72"/>
      <c r="Q280" s="72"/>
      <c r="R280" s="72"/>
      <c r="S280" s="72"/>
      <c r="T280" s="72"/>
      <c r="U280" s="72"/>
      <c r="V280" s="72"/>
    </row>
    <row r="281" spans="1:25" ht="27.75" customHeight="1">
      <c r="A281" s="87" t="str">
        <f>IF(ISBLANK(C281)," ",276-COUNTBLANK($C$6:C281))</f>
        <v xml:space="preserve"> </v>
      </c>
      <c r="B281" s="88"/>
      <c r="C281" s="88"/>
      <c r="D281" s="89"/>
      <c r="E281" s="89"/>
      <c r="F281" s="73"/>
      <c r="G281" s="73"/>
      <c r="H281" s="73"/>
      <c r="I281" s="73"/>
      <c r="J281" s="73"/>
      <c r="K281" s="73"/>
      <c r="L281" s="73"/>
      <c r="M281" s="74"/>
      <c r="N281" s="71" t="str">
        <f t="shared" si="4"/>
        <v/>
      </c>
      <c r="O281" s="72"/>
      <c r="P281" s="72"/>
      <c r="Q281" s="72"/>
      <c r="R281" s="72"/>
      <c r="S281" s="72"/>
      <c r="T281" s="72"/>
      <c r="U281" s="72"/>
      <c r="V281" s="72"/>
    </row>
    <row r="282" spans="1:25" ht="27.75" customHeight="1">
      <c r="A282" s="87" t="str">
        <f>IF(ISBLANK(C282)," ",277-COUNTBLANK($C$6:C282))</f>
        <v xml:space="preserve"> </v>
      </c>
      <c r="B282" s="88"/>
      <c r="C282" s="88"/>
      <c r="D282" s="89"/>
      <c r="E282" s="89"/>
      <c r="F282" s="73"/>
      <c r="G282" s="73"/>
      <c r="H282" s="73"/>
      <c r="I282" s="73"/>
      <c r="J282" s="73"/>
      <c r="K282" s="73"/>
      <c r="L282" s="73"/>
      <c r="M282" s="74"/>
      <c r="N282" s="71" t="str">
        <f t="shared" si="4"/>
        <v/>
      </c>
      <c r="O282" s="72"/>
      <c r="P282" s="72"/>
      <c r="Q282" s="72"/>
      <c r="R282" s="72"/>
      <c r="S282" s="72"/>
      <c r="T282" s="72"/>
      <c r="U282" s="72"/>
      <c r="V282" s="72"/>
    </row>
    <row r="283" spans="1:25" ht="27.75" customHeight="1">
      <c r="A283" s="87" t="str">
        <f>IF(ISBLANK(C283)," ",278-COUNTBLANK($C$6:C283))</f>
        <v xml:space="preserve"> </v>
      </c>
      <c r="B283" s="88"/>
      <c r="C283" s="88"/>
      <c r="D283" s="89"/>
      <c r="E283" s="89"/>
      <c r="F283" s="73"/>
      <c r="G283" s="73"/>
      <c r="H283" s="73"/>
      <c r="I283" s="73"/>
      <c r="J283" s="73"/>
      <c r="K283" s="73"/>
      <c r="L283" s="73"/>
      <c r="M283" s="74"/>
      <c r="N283" s="71" t="str">
        <f t="shared" si="4"/>
        <v/>
      </c>
      <c r="O283" s="72"/>
      <c r="P283" s="72"/>
      <c r="Q283" s="72"/>
      <c r="R283" s="72"/>
      <c r="S283" s="72"/>
      <c r="T283" s="72"/>
      <c r="U283" s="72"/>
      <c r="V283" s="72"/>
    </row>
    <row r="284" spans="1:25" ht="27.75" customHeight="1">
      <c r="A284" s="87" t="str">
        <f>IF(ISBLANK(C284)," ",279-COUNTBLANK($C$6:C284))</f>
        <v xml:space="preserve"> </v>
      </c>
      <c r="B284" s="88"/>
      <c r="C284" s="88"/>
      <c r="D284" s="89"/>
      <c r="E284" s="89"/>
      <c r="F284" s="73"/>
      <c r="G284" s="73"/>
      <c r="H284" s="73"/>
      <c r="I284" s="73"/>
      <c r="J284" s="73"/>
      <c r="K284" s="73"/>
      <c r="L284" s="73"/>
      <c r="M284" s="74"/>
      <c r="N284" s="71" t="str">
        <f t="shared" si="4"/>
        <v/>
      </c>
      <c r="O284" s="72"/>
      <c r="P284" s="72"/>
      <c r="Q284" s="72"/>
      <c r="R284" s="72"/>
      <c r="S284" s="72"/>
      <c r="T284" s="72"/>
      <c r="U284" s="72"/>
      <c r="V284" s="72"/>
    </row>
    <row r="285" spans="1:25" ht="27.75" customHeight="1">
      <c r="A285" s="87" t="str">
        <f>IF(ISBLANK(C285)," ",280-COUNTBLANK($C$6:C285))</f>
        <v xml:space="preserve"> </v>
      </c>
      <c r="B285" s="88"/>
      <c r="C285" s="88"/>
      <c r="D285" s="89"/>
      <c r="E285" s="89"/>
      <c r="F285" s="73"/>
      <c r="G285" s="73"/>
      <c r="H285" s="73"/>
      <c r="I285" s="73"/>
      <c r="J285" s="73"/>
      <c r="K285" s="73"/>
      <c r="L285" s="73"/>
      <c r="M285" s="74"/>
      <c r="N285" s="71" t="str">
        <f t="shared" si="4"/>
        <v/>
      </c>
      <c r="O285" s="72"/>
      <c r="P285" s="72"/>
      <c r="Q285" s="72"/>
      <c r="R285" s="72"/>
      <c r="S285" s="72"/>
      <c r="T285" s="72"/>
      <c r="U285" s="72"/>
      <c r="V285" s="72"/>
    </row>
    <row r="286" spans="1:25" ht="27.75" customHeight="1">
      <c r="A286" s="87" t="str">
        <f>IF(ISBLANK(C286)," ",281-COUNTBLANK($C$6:C286))</f>
        <v xml:space="preserve"> </v>
      </c>
      <c r="B286" s="88"/>
      <c r="C286" s="88"/>
      <c r="D286" s="89"/>
      <c r="E286" s="89"/>
      <c r="F286" s="73"/>
      <c r="G286" s="73"/>
      <c r="H286" s="73"/>
      <c r="I286" s="73"/>
      <c r="J286" s="73"/>
      <c r="K286" s="73"/>
      <c r="L286" s="73"/>
      <c r="M286" s="74"/>
      <c r="N286" s="71" t="str">
        <f t="shared" si="4"/>
        <v/>
      </c>
      <c r="O286" s="72"/>
      <c r="P286" s="72"/>
      <c r="Q286" s="72"/>
      <c r="R286" s="72"/>
      <c r="S286" s="72"/>
      <c r="T286" s="72"/>
      <c r="U286" s="72"/>
      <c r="V286" s="72"/>
    </row>
    <row r="287" spans="1:25" ht="27.75" customHeight="1">
      <c r="A287" s="87" t="str">
        <f>IF(ISBLANK(C287)," ",282-COUNTBLANK($C$6:C287))</f>
        <v xml:space="preserve"> </v>
      </c>
      <c r="B287" s="88"/>
      <c r="C287" s="88"/>
      <c r="D287" s="89"/>
      <c r="E287" s="89"/>
      <c r="F287" s="73"/>
      <c r="G287" s="73"/>
      <c r="H287" s="73"/>
      <c r="I287" s="73"/>
      <c r="J287" s="73"/>
      <c r="K287" s="73"/>
      <c r="L287" s="73"/>
      <c r="M287" s="74"/>
      <c r="N287" s="71" t="str">
        <f t="shared" si="4"/>
        <v/>
      </c>
      <c r="O287" s="72"/>
      <c r="P287" s="72"/>
      <c r="Q287" s="72"/>
      <c r="R287" s="72"/>
      <c r="S287" s="72"/>
      <c r="T287" s="72"/>
      <c r="U287" s="72"/>
      <c r="V287" s="72"/>
    </row>
    <row r="288" spans="1:25" ht="27.75" customHeight="1">
      <c r="A288" s="87" t="str">
        <f>IF(ISBLANK(C288)," ",283-COUNTBLANK($C$6:C288))</f>
        <v xml:space="preserve"> </v>
      </c>
      <c r="B288" s="88"/>
      <c r="C288" s="88"/>
      <c r="D288" s="89"/>
      <c r="E288" s="89"/>
      <c r="F288" s="73"/>
      <c r="G288" s="73"/>
      <c r="H288" s="73"/>
      <c r="I288" s="73"/>
      <c r="J288" s="73"/>
      <c r="K288" s="73"/>
      <c r="L288" s="73"/>
      <c r="M288" s="74"/>
      <c r="N288" s="71" t="str">
        <f t="shared" si="4"/>
        <v/>
      </c>
      <c r="O288" s="72"/>
      <c r="P288" s="72"/>
      <c r="Q288" s="72"/>
      <c r="R288" s="72"/>
      <c r="S288" s="72"/>
      <c r="T288" s="72"/>
      <c r="U288" s="72"/>
      <c r="V288" s="72"/>
    </row>
    <row r="289" spans="1:25" ht="27.75" customHeight="1">
      <c r="A289" s="87" t="str">
        <f>IF(ISBLANK(C289)," ",284-COUNTBLANK($C$6:C289))</f>
        <v xml:space="preserve"> </v>
      </c>
      <c r="B289" s="88"/>
      <c r="C289" s="88"/>
      <c r="D289" s="89"/>
      <c r="E289" s="89"/>
      <c r="F289" s="73"/>
      <c r="G289" s="73"/>
      <c r="H289" s="73"/>
      <c r="I289" s="73"/>
      <c r="J289" s="73"/>
      <c r="K289" s="73"/>
      <c r="L289" s="73"/>
      <c r="M289" s="74"/>
      <c r="N289" s="71" t="str">
        <f t="shared" si="4"/>
        <v/>
      </c>
      <c r="O289" s="72"/>
      <c r="P289" s="72"/>
      <c r="Q289" s="72"/>
      <c r="R289" s="72"/>
      <c r="S289" s="72"/>
      <c r="T289" s="72"/>
      <c r="U289" s="72"/>
      <c r="V289" s="72"/>
    </row>
    <row r="290" spans="1:25" ht="27.75" customHeight="1">
      <c r="A290" s="87" t="str">
        <f>IF(ISBLANK(C290)," ",285-COUNTBLANK($C$6:C290))</f>
        <v xml:space="preserve"> </v>
      </c>
      <c r="B290" s="88"/>
      <c r="C290" s="88"/>
      <c r="D290" s="89"/>
      <c r="E290" s="89"/>
      <c r="F290" s="73"/>
      <c r="G290" s="73"/>
      <c r="H290" s="73"/>
      <c r="I290" s="73"/>
      <c r="J290" s="73"/>
      <c r="K290" s="73"/>
      <c r="L290" s="73"/>
      <c r="M290" s="74"/>
      <c r="N290" s="71" t="str">
        <f t="shared" si="4"/>
        <v/>
      </c>
      <c r="O290" s="72"/>
      <c r="P290" s="72"/>
      <c r="Q290" s="72"/>
      <c r="R290" s="72"/>
      <c r="S290" s="72"/>
      <c r="T290" s="72"/>
      <c r="U290" s="72"/>
      <c r="V290" s="72"/>
    </row>
    <row r="291" spans="1:25" ht="27.75" customHeight="1">
      <c r="A291" s="87" t="str">
        <f>IF(ISBLANK(C291)," ",286-COUNTBLANK($C$6:C291))</f>
        <v xml:space="preserve"> </v>
      </c>
      <c r="B291" s="88"/>
      <c r="C291" s="88"/>
      <c r="D291" s="89"/>
      <c r="E291" s="89"/>
      <c r="F291" s="73"/>
      <c r="G291" s="73"/>
      <c r="H291" s="73"/>
      <c r="I291" s="73"/>
      <c r="J291" s="73"/>
      <c r="K291" s="73"/>
      <c r="L291" s="73"/>
      <c r="M291" s="74"/>
      <c r="N291" s="71" t="str">
        <f t="shared" si="4"/>
        <v/>
      </c>
      <c r="O291" s="72"/>
      <c r="P291" s="72"/>
      <c r="Q291" s="72"/>
      <c r="R291" s="72"/>
      <c r="S291" s="72"/>
      <c r="T291" s="72"/>
      <c r="U291" s="72"/>
      <c r="V291" s="72"/>
    </row>
    <row r="292" spans="1:25" ht="27.75" customHeight="1">
      <c r="A292" s="87" t="str">
        <f>IF(ISBLANK(C292)," ",287-COUNTBLANK($C$6:C292))</f>
        <v xml:space="preserve"> </v>
      </c>
      <c r="B292" s="88"/>
      <c r="C292" s="88"/>
      <c r="D292" s="89"/>
      <c r="E292" s="89"/>
      <c r="F292" s="73"/>
      <c r="G292" s="73"/>
      <c r="H292" s="73"/>
      <c r="I292" s="73"/>
      <c r="J292" s="73"/>
      <c r="K292" s="73"/>
      <c r="L292" s="73"/>
      <c r="M292" s="74"/>
      <c r="N292" s="71" t="str">
        <f t="shared" si="4"/>
        <v/>
      </c>
      <c r="O292" s="72"/>
      <c r="P292" s="72"/>
      <c r="Q292" s="72"/>
      <c r="R292" s="72"/>
      <c r="S292" s="72"/>
      <c r="T292" s="72"/>
      <c r="U292" s="72"/>
      <c r="V292" s="72"/>
    </row>
    <row r="293" spans="1:25" ht="27.75" customHeight="1">
      <c r="A293" s="87" t="str">
        <f>IF(ISBLANK(C293)," ",288-COUNTBLANK($C$6:C293))</f>
        <v xml:space="preserve"> </v>
      </c>
      <c r="B293" s="88"/>
      <c r="C293" s="88"/>
      <c r="D293" s="89"/>
      <c r="E293" s="89"/>
      <c r="F293" s="73"/>
      <c r="G293" s="73"/>
      <c r="H293" s="73"/>
      <c r="I293" s="73"/>
      <c r="J293" s="73"/>
      <c r="K293" s="73"/>
      <c r="L293" s="73"/>
      <c r="M293" s="74"/>
      <c r="N293" s="71" t="str">
        <f t="shared" si="4"/>
        <v/>
      </c>
      <c r="O293" s="72"/>
      <c r="P293" s="72"/>
      <c r="Q293" s="72"/>
      <c r="R293" s="72"/>
      <c r="S293" s="72"/>
      <c r="T293" s="72"/>
      <c r="U293" s="72"/>
      <c r="V293" s="72"/>
    </row>
    <row r="294" spans="1:25" ht="27.75" customHeight="1">
      <c r="A294" s="87" t="str">
        <f>IF(ISBLANK(C294)," ",289-COUNTBLANK($C$6:C294))</f>
        <v xml:space="preserve"> </v>
      </c>
      <c r="B294" s="88"/>
      <c r="C294" s="88"/>
      <c r="D294" s="89"/>
      <c r="E294" s="89"/>
      <c r="F294" s="73"/>
      <c r="G294" s="73"/>
      <c r="H294" s="73"/>
      <c r="I294" s="73"/>
      <c r="J294" s="73"/>
      <c r="K294" s="73"/>
      <c r="L294" s="73"/>
      <c r="M294" s="74"/>
      <c r="N294" s="71" t="str">
        <f t="shared" si="4"/>
        <v/>
      </c>
      <c r="O294" s="75"/>
      <c r="P294" s="72"/>
      <c r="Q294" s="72"/>
      <c r="R294" s="72"/>
      <c r="S294" s="72"/>
      <c r="T294" s="72"/>
      <c r="U294" s="72"/>
      <c r="V294" s="76"/>
    </row>
    <row r="295" spans="1:25" ht="27.75" customHeight="1">
      <c r="A295" s="87" t="str">
        <f>IF(ISBLANK(C295)," ",290-COUNTBLANK($C$6:C295))</f>
        <v xml:space="preserve"> </v>
      </c>
      <c r="B295" s="88"/>
      <c r="C295" s="88"/>
      <c r="D295" s="89"/>
      <c r="E295" s="89"/>
      <c r="F295" s="73"/>
      <c r="G295" s="73"/>
      <c r="H295" s="73"/>
      <c r="I295" s="73"/>
      <c r="J295" s="73"/>
      <c r="K295" s="73"/>
      <c r="L295" s="73"/>
      <c r="M295" s="74"/>
      <c r="N295" s="71" t="str">
        <f t="shared" si="4"/>
        <v/>
      </c>
      <c r="O295" s="75"/>
      <c r="P295" s="72"/>
      <c r="Q295" s="72"/>
      <c r="R295" s="72"/>
      <c r="S295" s="72"/>
      <c r="T295" s="72"/>
      <c r="U295" s="72"/>
      <c r="V295" s="76"/>
    </row>
    <row r="296" spans="1:25" ht="27.75" customHeight="1">
      <c r="A296" s="87" t="str">
        <f>IF(ISBLANK(C296)," ",291-COUNTBLANK($C$6:C296))</f>
        <v xml:space="preserve"> </v>
      </c>
      <c r="B296" s="88"/>
      <c r="C296" s="88"/>
      <c r="D296" s="89"/>
      <c r="E296" s="89"/>
      <c r="F296" s="73"/>
      <c r="G296" s="73"/>
      <c r="H296" s="73"/>
      <c r="I296" s="73"/>
      <c r="J296" s="73"/>
      <c r="K296" s="73"/>
      <c r="L296" s="73"/>
      <c r="M296" s="74"/>
      <c r="N296" s="71" t="str">
        <f t="shared" si="4"/>
        <v/>
      </c>
      <c r="O296" s="75"/>
      <c r="P296" s="72"/>
      <c r="Q296" s="72"/>
      <c r="R296" s="72"/>
      <c r="S296" s="72"/>
      <c r="T296" s="72"/>
      <c r="U296" s="72"/>
      <c r="V296" s="76"/>
    </row>
    <row r="297" spans="1:25" ht="27.75" customHeight="1">
      <c r="A297" s="87" t="str">
        <f>IF(ISBLANK(C297)," ",292-COUNTBLANK($C$6:C297))</f>
        <v xml:space="preserve"> </v>
      </c>
      <c r="B297" s="88"/>
      <c r="C297" s="88"/>
      <c r="D297" s="89"/>
      <c r="E297" s="89"/>
      <c r="F297" s="73"/>
      <c r="G297" s="73"/>
      <c r="H297" s="73"/>
      <c r="I297" s="73"/>
      <c r="J297" s="73"/>
      <c r="K297" s="73"/>
      <c r="L297" s="73"/>
      <c r="M297" s="74"/>
      <c r="N297" s="71" t="str">
        <f t="shared" si="4"/>
        <v/>
      </c>
      <c r="O297" s="75"/>
      <c r="P297" s="72"/>
      <c r="Q297" s="72"/>
      <c r="R297" s="72"/>
      <c r="S297" s="72"/>
      <c r="T297" s="72"/>
      <c r="U297" s="72"/>
      <c r="V297" s="76"/>
    </row>
    <row r="298" spans="1:25" ht="27.75" customHeight="1">
      <c r="A298" s="87" t="str">
        <f>IF(ISBLANK(C298)," ",293-COUNTBLANK($C$6:C298))</f>
        <v xml:space="preserve"> </v>
      </c>
      <c r="B298" s="88"/>
      <c r="C298" s="88"/>
      <c r="D298" s="89"/>
      <c r="E298" s="89"/>
      <c r="F298" s="73"/>
      <c r="G298" s="73"/>
      <c r="H298" s="73"/>
      <c r="I298" s="73"/>
      <c r="J298" s="73"/>
      <c r="K298" s="73"/>
      <c r="L298" s="73"/>
      <c r="M298" s="74"/>
      <c r="N298" s="71" t="str">
        <f t="shared" si="4"/>
        <v/>
      </c>
      <c r="O298" s="72"/>
      <c r="P298" s="72"/>
      <c r="Q298" s="72"/>
      <c r="R298" s="72"/>
      <c r="S298" s="72"/>
      <c r="T298" s="72"/>
      <c r="U298" s="72"/>
      <c r="V298" s="79"/>
      <c r="W298" s="72"/>
      <c r="X298" s="72"/>
      <c r="Y298" s="72"/>
    </row>
    <row r="299" spans="1:25" ht="27.75" customHeight="1">
      <c r="A299" s="80" t="s">
        <v>52</v>
      </c>
      <c r="B299" s="81"/>
      <c r="C299" s="96"/>
      <c r="D299" s="82"/>
      <c r="E299" s="82">
        <f>SUM(E279:E298)</f>
        <v>0</v>
      </c>
      <c r="F299" s="83"/>
      <c r="G299" s="83"/>
      <c r="H299" s="83"/>
      <c r="I299" s="83"/>
      <c r="J299" s="83"/>
      <c r="K299" s="83"/>
      <c r="L299" s="83"/>
      <c r="M299" s="84"/>
      <c r="N299" s="71" t="str">
        <f t="shared" si="4"/>
        <v/>
      </c>
      <c r="O299" s="75"/>
      <c r="P299" s="72"/>
      <c r="Q299" s="72"/>
      <c r="R299" s="72"/>
      <c r="S299" s="72"/>
      <c r="T299" s="72"/>
      <c r="U299" s="72"/>
      <c r="V299" s="79"/>
      <c r="W299" s="72"/>
      <c r="X299" s="72"/>
      <c r="Y299" s="72"/>
    </row>
    <row r="300" spans="1:25" ht="27.75" customHeight="1">
      <c r="A300" s="93" t="str">
        <f>IF(ISBLANK(C300)," ",295-COUNTBLANK($C$6:C300))</f>
        <v xml:space="preserve"> </v>
      </c>
      <c r="B300" s="94"/>
      <c r="C300" s="94"/>
      <c r="D300" s="95"/>
      <c r="E300" s="95"/>
      <c r="F300" s="85"/>
      <c r="G300" s="85"/>
      <c r="H300" s="85"/>
      <c r="I300" s="85"/>
      <c r="J300" s="85"/>
      <c r="K300" s="85"/>
      <c r="L300" s="85"/>
      <c r="M300" s="86"/>
      <c r="N300" s="71" t="str">
        <f t="shared" si="4"/>
        <v/>
      </c>
      <c r="O300" s="72"/>
      <c r="P300" s="72"/>
      <c r="Q300" s="72"/>
      <c r="R300" s="72"/>
      <c r="S300" s="72"/>
      <c r="T300" s="72"/>
      <c r="U300" s="72"/>
      <c r="V300" s="72"/>
    </row>
    <row r="301" spans="1:25" ht="27.75" customHeight="1">
      <c r="A301" s="87" t="str">
        <f>IF(ISBLANK(C301)," ",296-COUNTBLANK($C$6:C301))</f>
        <v xml:space="preserve"> </v>
      </c>
      <c r="B301" s="88"/>
      <c r="C301" s="88"/>
      <c r="D301" s="89"/>
      <c r="E301" s="89"/>
      <c r="F301" s="73"/>
      <c r="G301" s="73"/>
      <c r="H301" s="73"/>
      <c r="I301" s="73"/>
      <c r="J301" s="73"/>
      <c r="K301" s="73"/>
      <c r="L301" s="73"/>
      <c r="M301" s="74"/>
      <c r="N301" s="71" t="str">
        <f t="shared" si="4"/>
        <v/>
      </c>
      <c r="O301" s="72"/>
      <c r="P301" s="72"/>
      <c r="Q301" s="72"/>
      <c r="R301" s="72"/>
      <c r="S301" s="72"/>
      <c r="T301" s="72"/>
      <c r="U301" s="72"/>
      <c r="V301" s="72"/>
    </row>
    <row r="302" spans="1:25" ht="27.75" customHeight="1">
      <c r="A302" s="87" t="str">
        <f>IF(ISBLANK(C302)," ",297-COUNTBLANK($C$6:C302))</f>
        <v xml:space="preserve"> </v>
      </c>
      <c r="B302" s="88"/>
      <c r="C302" s="88"/>
      <c r="D302" s="89"/>
      <c r="E302" s="89"/>
      <c r="F302" s="73"/>
      <c r="G302" s="73"/>
      <c r="H302" s="73"/>
      <c r="I302" s="73"/>
      <c r="J302" s="73"/>
      <c r="K302" s="73"/>
      <c r="L302" s="73"/>
      <c r="M302" s="74"/>
      <c r="N302" s="71" t="str">
        <f t="shared" si="4"/>
        <v/>
      </c>
      <c r="O302" s="72"/>
      <c r="P302" s="72"/>
      <c r="Q302" s="72"/>
      <c r="R302" s="72"/>
      <c r="S302" s="72"/>
      <c r="T302" s="72"/>
      <c r="U302" s="72"/>
      <c r="V302" s="72"/>
    </row>
    <row r="303" spans="1:25" ht="27.75" customHeight="1">
      <c r="A303" s="87" t="str">
        <f>IF(ISBLANK(C303)," ",298-COUNTBLANK($C$6:C303))</f>
        <v xml:space="preserve"> </v>
      </c>
      <c r="B303" s="88"/>
      <c r="C303" s="88"/>
      <c r="D303" s="89"/>
      <c r="E303" s="89"/>
      <c r="F303" s="73"/>
      <c r="G303" s="73"/>
      <c r="H303" s="73"/>
      <c r="I303" s="73"/>
      <c r="J303" s="73"/>
      <c r="K303" s="73"/>
      <c r="L303" s="73"/>
      <c r="M303" s="74"/>
      <c r="N303" s="71" t="str">
        <f t="shared" si="4"/>
        <v/>
      </c>
      <c r="O303" s="72"/>
      <c r="P303" s="72"/>
      <c r="Q303" s="72"/>
      <c r="R303" s="72"/>
      <c r="S303" s="72"/>
      <c r="T303" s="72"/>
      <c r="U303" s="72"/>
      <c r="V303" s="72"/>
    </row>
    <row r="304" spans="1:25" ht="27.75" customHeight="1">
      <c r="A304" s="87" t="str">
        <f>IF(ISBLANK(C304)," ",299-COUNTBLANK($C$6:C304))</f>
        <v xml:space="preserve"> </v>
      </c>
      <c r="B304" s="88"/>
      <c r="C304" s="88"/>
      <c r="D304" s="89"/>
      <c r="E304" s="89"/>
      <c r="F304" s="73"/>
      <c r="G304" s="73"/>
      <c r="H304" s="73"/>
      <c r="I304" s="73"/>
      <c r="J304" s="73"/>
      <c r="K304" s="73"/>
      <c r="L304" s="73"/>
      <c r="M304" s="74"/>
      <c r="N304" s="71" t="str">
        <f t="shared" si="4"/>
        <v/>
      </c>
      <c r="O304" s="72"/>
      <c r="P304" s="72"/>
      <c r="Q304" s="72"/>
      <c r="R304" s="72"/>
      <c r="S304" s="72"/>
      <c r="T304" s="72"/>
      <c r="U304" s="72"/>
      <c r="V304" s="72"/>
    </row>
    <row r="305" spans="1:25" ht="27.75" customHeight="1">
      <c r="A305" s="87" t="str">
        <f>IF(ISBLANK(C305)," ",300-COUNTBLANK($C$6:C305))</f>
        <v xml:space="preserve"> </v>
      </c>
      <c r="B305" s="88"/>
      <c r="C305" s="88"/>
      <c r="D305" s="89"/>
      <c r="E305" s="89"/>
      <c r="F305" s="73"/>
      <c r="G305" s="73"/>
      <c r="H305" s="73"/>
      <c r="I305" s="73"/>
      <c r="J305" s="73"/>
      <c r="K305" s="73"/>
      <c r="L305" s="73"/>
      <c r="M305" s="74"/>
      <c r="N305" s="71" t="str">
        <f t="shared" si="4"/>
        <v/>
      </c>
      <c r="O305" s="72"/>
      <c r="P305" s="72"/>
      <c r="Q305" s="72"/>
      <c r="R305" s="72"/>
      <c r="S305" s="72"/>
      <c r="T305" s="72"/>
      <c r="U305" s="72"/>
      <c r="V305" s="72"/>
    </row>
    <row r="306" spans="1:25" ht="27.75" customHeight="1">
      <c r="A306" s="87" t="str">
        <f>IF(ISBLANK(C306)," ",301-COUNTBLANK($C$6:C306))</f>
        <v xml:space="preserve"> </v>
      </c>
      <c r="B306" s="88"/>
      <c r="C306" s="88"/>
      <c r="D306" s="89"/>
      <c r="E306" s="89"/>
      <c r="F306" s="73"/>
      <c r="G306" s="73"/>
      <c r="H306" s="73"/>
      <c r="I306" s="73"/>
      <c r="J306" s="73"/>
      <c r="K306" s="73"/>
      <c r="L306" s="73"/>
      <c r="M306" s="74"/>
      <c r="N306" s="71" t="str">
        <f t="shared" si="4"/>
        <v/>
      </c>
      <c r="O306" s="72"/>
      <c r="P306" s="72"/>
      <c r="Q306" s="72"/>
      <c r="R306" s="72"/>
      <c r="S306" s="72"/>
      <c r="T306" s="72"/>
      <c r="U306" s="72"/>
      <c r="V306" s="72"/>
    </row>
    <row r="307" spans="1:25" ht="27.75" customHeight="1">
      <c r="A307" s="87" t="str">
        <f>IF(ISBLANK(C307)," ",302-COUNTBLANK($C$6:C307))</f>
        <v xml:space="preserve"> </v>
      </c>
      <c r="B307" s="88"/>
      <c r="C307" s="88"/>
      <c r="D307" s="89"/>
      <c r="E307" s="89"/>
      <c r="F307" s="73"/>
      <c r="G307" s="73"/>
      <c r="H307" s="73"/>
      <c r="I307" s="73"/>
      <c r="J307" s="73"/>
      <c r="K307" s="73"/>
      <c r="L307" s="73"/>
      <c r="M307" s="74"/>
      <c r="N307" s="71" t="str">
        <f t="shared" si="4"/>
        <v/>
      </c>
      <c r="O307" s="72"/>
      <c r="P307" s="72"/>
      <c r="Q307" s="72"/>
      <c r="R307" s="72"/>
      <c r="S307" s="72"/>
      <c r="T307" s="72"/>
      <c r="U307" s="72"/>
      <c r="V307" s="72"/>
    </row>
    <row r="308" spans="1:25" ht="27.75" customHeight="1">
      <c r="A308" s="87" t="str">
        <f>IF(ISBLANK(C308)," ",303-COUNTBLANK($C$6:C308))</f>
        <v xml:space="preserve"> </v>
      </c>
      <c r="B308" s="88"/>
      <c r="C308" s="88"/>
      <c r="D308" s="89"/>
      <c r="E308" s="89"/>
      <c r="F308" s="73"/>
      <c r="G308" s="73"/>
      <c r="H308" s="73"/>
      <c r="I308" s="73"/>
      <c r="J308" s="73"/>
      <c r="K308" s="73"/>
      <c r="L308" s="73"/>
      <c r="M308" s="74"/>
      <c r="N308" s="71" t="str">
        <f t="shared" si="4"/>
        <v/>
      </c>
      <c r="O308" s="72"/>
      <c r="P308" s="72"/>
      <c r="Q308" s="72"/>
      <c r="R308" s="72"/>
      <c r="S308" s="72"/>
      <c r="T308" s="72"/>
      <c r="U308" s="72"/>
      <c r="V308" s="72"/>
    </row>
    <row r="309" spans="1:25" ht="27.75" customHeight="1">
      <c r="A309" s="87" t="str">
        <f>IF(ISBLANK(C309)," ",304-COUNTBLANK($C$6:C309))</f>
        <v xml:space="preserve"> </v>
      </c>
      <c r="B309" s="88"/>
      <c r="C309" s="88"/>
      <c r="D309" s="89"/>
      <c r="E309" s="89"/>
      <c r="F309" s="73"/>
      <c r="G309" s="73"/>
      <c r="H309" s="73"/>
      <c r="I309" s="73"/>
      <c r="J309" s="73"/>
      <c r="K309" s="73"/>
      <c r="L309" s="73"/>
      <c r="M309" s="74"/>
      <c r="N309" s="71" t="str">
        <f t="shared" si="4"/>
        <v/>
      </c>
      <c r="O309" s="72"/>
      <c r="P309" s="72"/>
      <c r="Q309" s="72"/>
      <c r="R309" s="72"/>
      <c r="S309" s="72"/>
      <c r="T309" s="72"/>
      <c r="U309" s="72"/>
      <c r="V309" s="72"/>
    </row>
    <row r="310" spans="1:25" ht="27.75" customHeight="1">
      <c r="A310" s="87" t="str">
        <f>IF(ISBLANK(C310)," ",305-COUNTBLANK($C$6:C310))</f>
        <v xml:space="preserve"> </v>
      </c>
      <c r="B310" s="88"/>
      <c r="C310" s="88"/>
      <c r="D310" s="89"/>
      <c r="E310" s="89"/>
      <c r="F310" s="73"/>
      <c r="G310" s="73"/>
      <c r="H310" s="73"/>
      <c r="I310" s="73"/>
      <c r="J310" s="73"/>
      <c r="K310" s="73"/>
      <c r="L310" s="73"/>
      <c r="M310" s="74"/>
      <c r="N310" s="71" t="str">
        <f t="shared" si="4"/>
        <v/>
      </c>
      <c r="O310" s="72"/>
      <c r="P310" s="72"/>
      <c r="Q310" s="72"/>
      <c r="R310" s="72"/>
      <c r="S310" s="72"/>
      <c r="T310" s="72"/>
      <c r="U310" s="72"/>
      <c r="V310" s="72"/>
    </row>
    <row r="311" spans="1:25" ht="27.75" customHeight="1">
      <c r="A311" s="87" t="str">
        <f>IF(ISBLANK(C311)," ",306-COUNTBLANK($C$6:C311))</f>
        <v xml:space="preserve"> </v>
      </c>
      <c r="B311" s="88"/>
      <c r="C311" s="88"/>
      <c r="D311" s="89"/>
      <c r="E311" s="89"/>
      <c r="F311" s="73"/>
      <c r="G311" s="73"/>
      <c r="H311" s="73"/>
      <c r="I311" s="73"/>
      <c r="J311" s="73"/>
      <c r="K311" s="73"/>
      <c r="L311" s="73"/>
      <c r="M311" s="74"/>
      <c r="N311" s="71" t="str">
        <f t="shared" si="4"/>
        <v/>
      </c>
      <c r="O311" s="72"/>
      <c r="P311" s="72"/>
      <c r="Q311" s="72"/>
      <c r="R311" s="72"/>
      <c r="S311" s="72"/>
      <c r="T311" s="72"/>
      <c r="U311" s="72"/>
      <c r="V311" s="72"/>
    </row>
    <row r="312" spans="1:25" ht="27.75" customHeight="1">
      <c r="A312" s="87" t="str">
        <f>IF(ISBLANK(C312)," ",307-COUNTBLANK($C$6:C312))</f>
        <v xml:space="preserve"> </v>
      </c>
      <c r="B312" s="88"/>
      <c r="C312" s="88"/>
      <c r="D312" s="89"/>
      <c r="E312" s="89"/>
      <c r="F312" s="73"/>
      <c r="G312" s="73"/>
      <c r="H312" s="73"/>
      <c r="I312" s="73"/>
      <c r="J312" s="73"/>
      <c r="K312" s="73"/>
      <c r="L312" s="73"/>
      <c r="M312" s="74"/>
      <c r="N312" s="71" t="str">
        <f t="shared" si="4"/>
        <v/>
      </c>
      <c r="O312" s="72"/>
      <c r="P312" s="72"/>
      <c r="Q312" s="72"/>
      <c r="R312" s="72"/>
      <c r="S312" s="72"/>
      <c r="T312" s="72"/>
      <c r="U312" s="72"/>
      <c r="V312" s="72"/>
    </row>
    <row r="313" spans="1:25" ht="27.75" customHeight="1">
      <c r="A313" s="87" t="str">
        <f>IF(ISBLANK(C313)," ",308-COUNTBLANK($C$6:C313))</f>
        <v xml:space="preserve"> </v>
      </c>
      <c r="B313" s="88"/>
      <c r="C313" s="88"/>
      <c r="D313" s="89"/>
      <c r="E313" s="89"/>
      <c r="F313" s="73"/>
      <c r="G313" s="73"/>
      <c r="H313" s="73"/>
      <c r="I313" s="73"/>
      <c r="J313" s="73"/>
      <c r="K313" s="73"/>
      <c r="L313" s="73"/>
      <c r="M313" s="74"/>
      <c r="N313" s="71" t="str">
        <f t="shared" si="4"/>
        <v/>
      </c>
      <c r="O313" s="72"/>
      <c r="P313" s="72"/>
      <c r="Q313" s="72"/>
      <c r="R313" s="72"/>
      <c r="S313" s="72"/>
      <c r="T313" s="72"/>
      <c r="U313" s="72"/>
      <c r="V313" s="72"/>
    </row>
    <row r="314" spans="1:25" ht="27.75" customHeight="1">
      <c r="A314" s="87" t="str">
        <f>IF(ISBLANK(C314)," ",309-COUNTBLANK($C$6:C314))</f>
        <v xml:space="preserve"> </v>
      </c>
      <c r="B314" s="88"/>
      <c r="C314" s="88"/>
      <c r="D314" s="89"/>
      <c r="E314" s="89"/>
      <c r="F314" s="73"/>
      <c r="G314" s="73"/>
      <c r="H314" s="73"/>
      <c r="I314" s="73"/>
      <c r="J314" s="73"/>
      <c r="K314" s="73"/>
      <c r="L314" s="73"/>
      <c r="M314" s="74"/>
      <c r="N314" s="71" t="str">
        <f t="shared" si="4"/>
        <v/>
      </c>
      <c r="O314" s="72"/>
      <c r="P314" s="72"/>
      <c r="Q314" s="72"/>
      <c r="R314" s="72"/>
      <c r="S314" s="72"/>
      <c r="T314" s="72"/>
      <c r="U314" s="72"/>
      <c r="V314" s="72"/>
    </row>
    <row r="315" spans="1:25" ht="27.75" customHeight="1">
      <c r="A315" s="87" t="str">
        <f>IF(ISBLANK(C315)," ",310-COUNTBLANK($C$6:C315))</f>
        <v xml:space="preserve"> </v>
      </c>
      <c r="B315" s="88"/>
      <c r="C315" s="88"/>
      <c r="D315" s="89"/>
      <c r="E315" s="89"/>
      <c r="F315" s="73"/>
      <c r="G315" s="73"/>
      <c r="H315" s="73"/>
      <c r="I315" s="73"/>
      <c r="J315" s="73"/>
      <c r="K315" s="73"/>
      <c r="L315" s="73"/>
      <c r="M315" s="74"/>
      <c r="N315" s="71" t="str">
        <f t="shared" si="4"/>
        <v/>
      </c>
      <c r="O315" s="75"/>
      <c r="P315" s="72"/>
      <c r="Q315" s="72"/>
      <c r="R315" s="72"/>
      <c r="S315" s="72"/>
      <c r="T315" s="72"/>
      <c r="U315" s="72"/>
      <c r="V315" s="76"/>
    </row>
    <row r="316" spans="1:25" ht="27.75" customHeight="1">
      <c r="A316" s="87" t="str">
        <f>IF(ISBLANK(C316)," ",311-COUNTBLANK($C$6:C316))</f>
        <v xml:space="preserve"> </v>
      </c>
      <c r="B316" s="88"/>
      <c r="C316" s="88"/>
      <c r="D316" s="89"/>
      <c r="E316" s="89"/>
      <c r="F316" s="73"/>
      <c r="G316" s="73"/>
      <c r="H316" s="73"/>
      <c r="I316" s="73"/>
      <c r="J316" s="73"/>
      <c r="K316" s="73"/>
      <c r="L316" s="73"/>
      <c r="M316" s="74"/>
      <c r="N316" s="71" t="str">
        <f t="shared" si="4"/>
        <v/>
      </c>
      <c r="O316" s="75"/>
      <c r="P316" s="72"/>
      <c r="Q316" s="72"/>
      <c r="R316" s="72"/>
      <c r="S316" s="72"/>
      <c r="T316" s="72"/>
      <c r="U316" s="72"/>
      <c r="V316" s="76"/>
    </row>
    <row r="317" spans="1:25" ht="27.75" customHeight="1">
      <c r="A317" s="87" t="str">
        <f>IF(ISBLANK(C317)," ",312-COUNTBLANK($C$6:C317))</f>
        <v xml:space="preserve"> </v>
      </c>
      <c r="B317" s="88"/>
      <c r="C317" s="88"/>
      <c r="D317" s="89"/>
      <c r="E317" s="89"/>
      <c r="F317" s="73"/>
      <c r="G317" s="73"/>
      <c r="H317" s="73"/>
      <c r="I317" s="73"/>
      <c r="J317" s="73"/>
      <c r="K317" s="73"/>
      <c r="L317" s="73"/>
      <c r="M317" s="74"/>
      <c r="N317" s="71" t="str">
        <f t="shared" si="4"/>
        <v/>
      </c>
      <c r="O317" s="75"/>
      <c r="P317" s="72"/>
      <c r="Q317" s="72"/>
      <c r="R317" s="72"/>
      <c r="S317" s="72"/>
      <c r="T317" s="72"/>
      <c r="U317" s="72"/>
      <c r="V317" s="76"/>
    </row>
    <row r="318" spans="1:25" ht="27.75" customHeight="1">
      <c r="A318" s="87" t="str">
        <f>IF(ISBLANK(C318)," ",313-COUNTBLANK($C$6:C318))</f>
        <v xml:space="preserve"> </v>
      </c>
      <c r="B318" s="88"/>
      <c r="C318" s="88"/>
      <c r="D318" s="89"/>
      <c r="E318" s="89"/>
      <c r="F318" s="73"/>
      <c r="G318" s="73"/>
      <c r="H318" s="73"/>
      <c r="I318" s="73"/>
      <c r="J318" s="73"/>
      <c r="K318" s="73"/>
      <c r="L318" s="73"/>
      <c r="M318" s="74"/>
      <c r="N318" s="71" t="str">
        <f t="shared" si="4"/>
        <v/>
      </c>
      <c r="O318" s="75"/>
      <c r="P318" s="72"/>
      <c r="Q318" s="72"/>
      <c r="R318" s="72"/>
      <c r="S318" s="72"/>
      <c r="T318" s="72"/>
      <c r="U318" s="72"/>
      <c r="V318" s="76"/>
    </row>
    <row r="319" spans="1:25" ht="27.75" customHeight="1">
      <c r="A319" s="87" t="str">
        <f>IF(ISBLANK(C319)," ",314-COUNTBLANK($C$6:C319))</f>
        <v xml:space="preserve"> </v>
      </c>
      <c r="B319" s="88"/>
      <c r="C319" s="88"/>
      <c r="D319" s="89"/>
      <c r="E319" s="89"/>
      <c r="F319" s="73"/>
      <c r="G319" s="73"/>
      <c r="H319" s="73"/>
      <c r="I319" s="73"/>
      <c r="J319" s="73"/>
      <c r="K319" s="73"/>
      <c r="L319" s="73"/>
      <c r="M319" s="74"/>
      <c r="N319" s="71" t="str">
        <f t="shared" si="4"/>
        <v/>
      </c>
      <c r="O319" s="72"/>
      <c r="P319" s="72"/>
      <c r="Q319" s="72"/>
      <c r="R319" s="72"/>
      <c r="S319" s="72"/>
      <c r="T319" s="72"/>
      <c r="U319" s="72"/>
      <c r="V319" s="79"/>
      <c r="W319" s="72"/>
      <c r="X319" s="72"/>
      <c r="Y319" s="72"/>
    </row>
    <row r="320" spans="1:25" ht="27.75" customHeight="1">
      <c r="A320" s="80" t="s">
        <v>52</v>
      </c>
      <c r="B320" s="81"/>
      <c r="C320" s="96"/>
      <c r="D320" s="82"/>
      <c r="E320" s="82">
        <f>SUM(E300:E319)</f>
        <v>0</v>
      </c>
      <c r="F320" s="83"/>
      <c r="G320" s="83"/>
      <c r="H320" s="83"/>
      <c r="I320" s="83"/>
      <c r="J320" s="83"/>
      <c r="K320" s="83"/>
      <c r="L320" s="83"/>
      <c r="M320" s="84"/>
      <c r="N320" s="71" t="str">
        <f t="shared" si="4"/>
        <v/>
      </c>
      <c r="O320" s="75"/>
      <c r="P320" s="72"/>
      <c r="Q320" s="72"/>
      <c r="R320" s="72"/>
      <c r="S320" s="72"/>
      <c r="T320" s="72"/>
      <c r="U320" s="72"/>
      <c r="V320" s="79"/>
      <c r="W320" s="72"/>
      <c r="X320" s="72"/>
      <c r="Y320" s="72"/>
    </row>
    <row r="321" spans="1:22" ht="27.75" customHeight="1">
      <c r="A321" s="93" t="str">
        <f>IF(ISBLANK(C321)," ",316-COUNTBLANK($C$6:C321))</f>
        <v xml:space="preserve"> </v>
      </c>
      <c r="B321" s="94"/>
      <c r="C321" s="94"/>
      <c r="D321" s="95"/>
      <c r="E321" s="95"/>
      <c r="F321" s="85"/>
      <c r="G321" s="85"/>
      <c r="H321" s="85"/>
      <c r="I321" s="85"/>
      <c r="J321" s="85"/>
      <c r="K321" s="85"/>
      <c r="L321" s="85"/>
      <c r="M321" s="86"/>
      <c r="N321" s="71" t="str">
        <f t="shared" si="4"/>
        <v/>
      </c>
      <c r="O321" s="72"/>
      <c r="P321" s="72"/>
      <c r="Q321" s="72"/>
      <c r="R321" s="72"/>
      <c r="S321" s="72"/>
      <c r="T321" s="72"/>
      <c r="U321" s="72"/>
      <c r="V321" s="72"/>
    </row>
    <row r="322" spans="1:22" ht="27.75" customHeight="1">
      <c r="A322" s="87" t="str">
        <f>IF(ISBLANK(C322)," ",317-COUNTBLANK($C$6:C322))</f>
        <v xml:space="preserve"> </v>
      </c>
      <c r="B322" s="88"/>
      <c r="C322" s="88"/>
      <c r="D322" s="89"/>
      <c r="E322" s="89"/>
      <c r="F322" s="73"/>
      <c r="G322" s="73"/>
      <c r="H322" s="73"/>
      <c r="I322" s="73"/>
      <c r="J322" s="73"/>
      <c r="K322" s="73"/>
      <c r="L322" s="73"/>
      <c r="M322" s="74"/>
      <c r="N322" s="71" t="str">
        <f t="shared" si="4"/>
        <v/>
      </c>
      <c r="O322" s="72"/>
      <c r="P322" s="72"/>
      <c r="Q322" s="72"/>
      <c r="R322" s="72"/>
      <c r="S322" s="72"/>
      <c r="T322" s="72"/>
      <c r="U322" s="72"/>
      <c r="V322" s="72"/>
    </row>
    <row r="323" spans="1:22" ht="27.75" customHeight="1">
      <c r="A323" s="87" t="str">
        <f>IF(ISBLANK(C323)," ",318-COUNTBLANK($C$6:C323))</f>
        <v xml:space="preserve"> </v>
      </c>
      <c r="B323" s="88"/>
      <c r="C323" s="88"/>
      <c r="D323" s="89"/>
      <c r="E323" s="89"/>
      <c r="F323" s="73"/>
      <c r="G323" s="73"/>
      <c r="H323" s="73"/>
      <c r="I323" s="73"/>
      <c r="J323" s="73"/>
      <c r="K323" s="73"/>
      <c r="L323" s="73"/>
      <c r="M323" s="74"/>
      <c r="N323" s="71" t="str">
        <f t="shared" si="4"/>
        <v/>
      </c>
      <c r="O323" s="72"/>
      <c r="P323" s="72"/>
      <c r="Q323" s="72"/>
      <c r="R323" s="72"/>
      <c r="S323" s="72"/>
      <c r="T323" s="72"/>
      <c r="U323" s="72"/>
      <c r="V323" s="72"/>
    </row>
    <row r="324" spans="1:22" ht="27.75" customHeight="1">
      <c r="A324" s="87" t="str">
        <f>IF(ISBLANK(C324)," ",319-COUNTBLANK($C$6:C324))</f>
        <v xml:space="preserve"> </v>
      </c>
      <c r="B324" s="88"/>
      <c r="C324" s="88"/>
      <c r="D324" s="89"/>
      <c r="E324" s="89"/>
      <c r="F324" s="73"/>
      <c r="G324" s="73"/>
      <c r="H324" s="73"/>
      <c r="I324" s="73"/>
      <c r="J324" s="73"/>
      <c r="K324" s="73"/>
      <c r="L324" s="73"/>
      <c r="M324" s="74"/>
      <c r="N324" s="71" t="str">
        <f t="shared" si="4"/>
        <v/>
      </c>
      <c r="O324" s="72"/>
      <c r="P324" s="72"/>
      <c r="Q324" s="72"/>
      <c r="R324" s="72"/>
      <c r="S324" s="72"/>
      <c r="T324" s="72"/>
      <c r="U324" s="72"/>
      <c r="V324" s="72"/>
    </row>
    <row r="325" spans="1:22" ht="27.75" customHeight="1">
      <c r="A325" s="87" t="str">
        <f>IF(ISBLANK(C325)," ",320-COUNTBLANK($C$6:C325))</f>
        <v xml:space="preserve"> </v>
      </c>
      <c r="B325" s="88"/>
      <c r="C325" s="88"/>
      <c r="D325" s="89"/>
      <c r="E325" s="89"/>
      <c r="F325" s="73"/>
      <c r="G325" s="73"/>
      <c r="H325" s="73"/>
      <c r="I325" s="73"/>
      <c r="J325" s="73"/>
      <c r="K325" s="73"/>
      <c r="L325" s="73"/>
      <c r="M325" s="74"/>
      <c r="N325" s="71" t="str">
        <f t="shared" si="4"/>
        <v/>
      </c>
      <c r="O325" s="72"/>
      <c r="P325" s="72"/>
      <c r="Q325" s="72"/>
      <c r="R325" s="72"/>
      <c r="S325" s="72"/>
      <c r="T325" s="72"/>
      <c r="U325" s="72"/>
      <c r="V325" s="72"/>
    </row>
    <row r="326" spans="1:22" ht="27.75" customHeight="1">
      <c r="A326" s="87" t="str">
        <f>IF(ISBLANK(C326)," ",321-COUNTBLANK($C$6:C326))</f>
        <v xml:space="preserve"> </v>
      </c>
      <c r="B326" s="88"/>
      <c r="C326" s="88"/>
      <c r="D326" s="89"/>
      <c r="E326" s="89"/>
      <c r="F326" s="73"/>
      <c r="G326" s="73"/>
      <c r="H326" s="73"/>
      <c r="I326" s="73"/>
      <c r="J326" s="73"/>
      <c r="K326" s="73"/>
      <c r="L326" s="73"/>
      <c r="M326" s="74"/>
      <c r="N326" s="71" t="str">
        <f t="shared" ref="N326:N389" si="5">CONCATENATE(C326,H326)</f>
        <v/>
      </c>
      <c r="O326" s="72"/>
      <c r="P326" s="72"/>
      <c r="Q326" s="72"/>
      <c r="R326" s="72"/>
      <c r="S326" s="72"/>
      <c r="T326" s="72"/>
      <c r="U326" s="72"/>
      <c r="V326" s="72"/>
    </row>
    <row r="327" spans="1:22" ht="27.75" customHeight="1">
      <c r="A327" s="87" t="str">
        <f>IF(ISBLANK(C327)," ",322-COUNTBLANK($C$6:C327))</f>
        <v xml:space="preserve"> </v>
      </c>
      <c r="B327" s="88"/>
      <c r="C327" s="88"/>
      <c r="D327" s="89"/>
      <c r="E327" s="89"/>
      <c r="F327" s="73"/>
      <c r="G327" s="73"/>
      <c r="H327" s="73"/>
      <c r="I327" s="73"/>
      <c r="J327" s="73"/>
      <c r="K327" s="73"/>
      <c r="L327" s="73"/>
      <c r="M327" s="74"/>
      <c r="N327" s="71" t="str">
        <f t="shared" si="5"/>
        <v/>
      </c>
      <c r="O327" s="72"/>
      <c r="P327" s="72"/>
      <c r="Q327" s="72"/>
      <c r="R327" s="72"/>
      <c r="S327" s="72"/>
      <c r="T327" s="72"/>
      <c r="U327" s="72"/>
      <c r="V327" s="72"/>
    </row>
    <row r="328" spans="1:22" ht="27.75" customHeight="1">
      <c r="A328" s="87" t="str">
        <f>IF(ISBLANK(C328)," ",323-COUNTBLANK($C$6:C328))</f>
        <v xml:space="preserve"> </v>
      </c>
      <c r="B328" s="88"/>
      <c r="C328" s="88"/>
      <c r="D328" s="89"/>
      <c r="E328" s="89"/>
      <c r="F328" s="73"/>
      <c r="G328" s="73"/>
      <c r="H328" s="73"/>
      <c r="I328" s="73"/>
      <c r="J328" s="73"/>
      <c r="K328" s="73"/>
      <c r="L328" s="73"/>
      <c r="M328" s="74"/>
      <c r="N328" s="71" t="str">
        <f t="shared" si="5"/>
        <v/>
      </c>
      <c r="O328" s="72"/>
      <c r="P328" s="72"/>
      <c r="Q328" s="72"/>
      <c r="R328" s="72"/>
      <c r="S328" s="72"/>
      <c r="T328" s="72"/>
      <c r="U328" s="72"/>
      <c r="V328" s="72"/>
    </row>
    <row r="329" spans="1:22" ht="27.75" customHeight="1">
      <c r="A329" s="87" t="str">
        <f>IF(ISBLANK(C329)," ",324-COUNTBLANK($C$6:C329))</f>
        <v xml:space="preserve"> </v>
      </c>
      <c r="B329" s="88"/>
      <c r="C329" s="88"/>
      <c r="D329" s="89"/>
      <c r="E329" s="89"/>
      <c r="F329" s="73"/>
      <c r="G329" s="73"/>
      <c r="H329" s="73"/>
      <c r="I329" s="73"/>
      <c r="J329" s="73"/>
      <c r="K329" s="73"/>
      <c r="L329" s="73"/>
      <c r="M329" s="74"/>
      <c r="N329" s="71" t="str">
        <f t="shared" si="5"/>
        <v/>
      </c>
      <c r="O329" s="72"/>
      <c r="P329" s="72"/>
      <c r="Q329" s="72"/>
      <c r="R329" s="72"/>
      <c r="S329" s="72"/>
      <c r="T329" s="72"/>
      <c r="U329" s="72"/>
      <c r="V329" s="72"/>
    </row>
    <row r="330" spans="1:22" ht="27.75" customHeight="1">
      <c r="A330" s="87" t="str">
        <f>IF(ISBLANK(C330)," ",325-COUNTBLANK($C$6:C330))</f>
        <v xml:space="preserve"> </v>
      </c>
      <c r="B330" s="88"/>
      <c r="C330" s="88"/>
      <c r="D330" s="89"/>
      <c r="E330" s="89"/>
      <c r="F330" s="73"/>
      <c r="G330" s="73"/>
      <c r="H330" s="73"/>
      <c r="I330" s="73"/>
      <c r="J330" s="73"/>
      <c r="K330" s="73"/>
      <c r="L330" s="73"/>
      <c r="M330" s="74"/>
      <c r="N330" s="71" t="str">
        <f t="shared" si="5"/>
        <v/>
      </c>
      <c r="O330" s="72"/>
      <c r="P330" s="72"/>
      <c r="Q330" s="72"/>
      <c r="R330" s="72"/>
      <c r="S330" s="72"/>
      <c r="T330" s="72"/>
      <c r="U330" s="72"/>
      <c r="V330" s="72"/>
    </row>
    <row r="331" spans="1:22" ht="27.75" customHeight="1">
      <c r="A331" s="87" t="str">
        <f>IF(ISBLANK(C331)," ",326-COUNTBLANK($C$6:C331))</f>
        <v xml:space="preserve"> </v>
      </c>
      <c r="B331" s="88"/>
      <c r="C331" s="88"/>
      <c r="D331" s="89"/>
      <c r="E331" s="89"/>
      <c r="F331" s="73"/>
      <c r="G331" s="73"/>
      <c r="H331" s="73"/>
      <c r="I331" s="73"/>
      <c r="J331" s="73"/>
      <c r="K331" s="73"/>
      <c r="L331" s="73"/>
      <c r="M331" s="74"/>
      <c r="N331" s="71" t="str">
        <f t="shared" si="5"/>
        <v/>
      </c>
      <c r="O331" s="72"/>
      <c r="P331" s="72"/>
      <c r="Q331" s="72"/>
      <c r="R331" s="72"/>
      <c r="S331" s="72"/>
      <c r="T331" s="72"/>
      <c r="U331" s="72"/>
      <c r="V331" s="72"/>
    </row>
    <row r="332" spans="1:22" ht="27.75" customHeight="1">
      <c r="A332" s="87" t="str">
        <f>IF(ISBLANK(C332)," ",327-COUNTBLANK($C$6:C332))</f>
        <v xml:space="preserve"> </v>
      </c>
      <c r="B332" s="88"/>
      <c r="C332" s="88"/>
      <c r="D332" s="89"/>
      <c r="E332" s="89"/>
      <c r="F332" s="73"/>
      <c r="G332" s="73"/>
      <c r="H332" s="73"/>
      <c r="I332" s="73"/>
      <c r="J332" s="73"/>
      <c r="K332" s="73"/>
      <c r="L332" s="73"/>
      <c r="M332" s="74"/>
      <c r="N332" s="71" t="str">
        <f t="shared" si="5"/>
        <v/>
      </c>
      <c r="O332" s="72"/>
      <c r="P332" s="72"/>
      <c r="Q332" s="72"/>
      <c r="R332" s="72"/>
      <c r="S332" s="72"/>
      <c r="T332" s="72"/>
      <c r="U332" s="72"/>
      <c r="V332" s="72"/>
    </row>
    <row r="333" spans="1:22" ht="27.75" customHeight="1">
      <c r="A333" s="87" t="str">
        <f>IF(ISBLANK(C333)," ",328-COUNTBLANK($C$6:C333))</f>
        <v xml:space="preserve"> </v>
      </c>
      <c r="B333" s="88"/>
      <c r="C333" s="88"/>
      <c r="D333" s="89"/>
      <c r="E333" s="89"/>
      <c r="F333" s="73"/>
      <c r="G333" s="73"/>
      <c r="H333" s="73"/>
      <c r="I333" s="73"/>
      <c r="J333" s="73"/>
      <c r="K333" s="73"/>
      <c r="L333" s="73"/>
      <c r="M333" s="74"/>
      <c r="N333" s="71" t="str">
        <f t="shared" si="5"/>
        <v/>
      </c>
      <c r="O333" s="72"/>
      <c r="P333" s="72"/>
      <c r="Q333" s="72"/>
      <c r="R333" s="72"/>
      <c r="S333" s="72"/>
      <c r="T333" s="72"/>
      <c r="U333" s="72"/>
      <c r="V333" s="72"/>
    </row>
    <row r="334" spans="1:22" ht="27.75" customHeight="1">
      <c r="A334" s="87" t="str">
        <f>IF(ISBLANK(C334)," ",329-COUNTBLANK($C$6:C334))</f>
        <v xml:space="preserve"> </v>
      </c>
      <c r="B334" s="88"/>
      <c r="C334" s="88"/>
      <c r="D334" s="89"/>
      <c r="E334" s="89"/>
      <c r="F334" s="73"/>
      <c r="G334" s="73"/>
      <c r="H334" s="73"/>
      <c r="I334" s="73"/>
      <c r="J334" s="73"/>
      <c r="K334" s="73"/>
      <c r="L334" s="73"/>
      <c r="M334" s="74"/>
      <c r="N334" s="71" t="str">
        <f t="shared" si="5"/>
        <v/>
      </c>
      <c r="O334" s="72"/>
      <c r="P334" s="72"/>
      <c r="Q334" s="72"/>
      <c r="R334" s="72"/>
      <c r="S334" s="72"/>
      <c r="T334" s="72"/>
      <c r="U334" s="72"/>
      <c r="V334" s="72"/>
    </row>
    <row r="335" spans="1:22" ht="27.75" customHeight="1">
      <c r="A335" s="87" t="str">
        <f>IF(ISBLANK(C335)," ",330-COUNTBLANK($C$6:C335))</f>
        <v xml:space="preserve"> </v>
      </c>
      <c r="B335" s="88"/>
      <c r="C335" s="88"/>
      <c r="D335" s="89"/>
      <c r="E335" s="89"/>
      <c r="F335" s="73"/>
      <c r="G335" s="73"/>
      <c r="H335" s="73"/>
      <c r="I335" s="73"/>
      <c r="J335" s="73"/>
      <c r="K335" s="73"/>
      <c r="L335" s="73"/>
      <c r="M335" s="74"/>
      <c r="N335" s="71" t="str">
        <f t="shared" si="5"/>
        <v/>
      </c>
      <c r="O335" s="72"/>
      <c r="P335" s="72"/>
      <c r="Q335" s="72"/>
      <c r="R335" s="72"/>
      <c r="S335" s="72"/>
      <c r="T335" s="72"/>
      <c r="U335" s="72"/>
      <c r="V335" s="72"/>
    </row>
    <row r="336" spans="1:22" ht="27.75" customHeight="1">
      <c r="A336" s="87" t="str">
        <f>IF(ISBLANK(C336)," ",331-COUNTBLANK($C$6:C336))</f>
        <v xml:space="preserve"> </v>
      </c>
      <c r="B336" s="88"/>
      <c r="C336" s="88"/>
      <c r="D336" s="89"/>
      <c r="E336" s="89"/>
      <c r="F336" s="73"/>
      <c r="G336" s="73"/>
      <c r="H336" s="73"/>
      <c r="I336" s="73"/>
      <c r="J336" s="73"/>
      <c r="K336" s="73"/>
      <c r="L336" s="73"/>
      <c r="M336" s="74"/>
      <c r="N336" s="71" t="str">
        <f t="shared" si="5"/>
        <v/>
      </c>
      <c r="O336" s="75"/>
      <c r="P336" s="72"/>
      <c r="Q336" s="72"/>
      <c r="R336" s="72"/>
      <c r="S336" s="72"/>
      <c r="T336" s="72"/>
      <c r="U336" s="72"/>
      <c r="V336" s="76"/>
    </row>
    <row r="337" spans="1:25" ht="27.75" customHeight="1">
      <c r="A337" s="87" t="str">
        <f>IF(ISBLANK(C337)," ",332-COUNTBLANK($C$6:C337))</f>
        <v xml:space="preserve"> </v>
      </c>
      <c r="B337" s="88"/>
      <c r="C337" s="88"/>
      <c r="D337" s="89"/>
      <c r="E337" s="89"/>
      <c r="F337" s="73"/>
      <c r="G337" s="73"/>
      <c r="H337" s="73"/>
      <c r="I337" s="73"/>
      <c r="J337" s="73"/>
      <c r="K337" s="73"/>
      <c r="L337" s="73"/>
      <c r="M337" s="74"/>
      <c r="N337" s="71" t="str">
        <f t="shared" si="5"/>
        <v/>
      </c>
      <c r="O337" s="75"/>
      <c r="P337" s="72"/>
      <c r="Q337" s="72"/>
      <c r="R337" s="72"/>
      <c r="S337" s="72"/>
      <c r="T337" s="72"/>
      <c r="U337" s="72"/>
      <c r="V337" s="76"/>
    </row>
    <row r="338" spans="1:25" ht="27.75" customHeight="1">
      <c r="A338" s="87" t="str">
        <f>IF(ISBLANK(C338)," ",333-COUNTBLANK($C$6:C338))</f>
        <v xml:space="preserve"> </v>
      </c>
      <c r="B338" s="88"/>
      <c r="C338" s="88"/>
      <c r="D338" s="89"/>
      <c r="E338" s="89"/>
      <c r="F338" s="73"/>
      <c r="G338" s="73"/>
      <c r="H338" s="73"/>
      <c r="I338" s="73"/>
      <c r="J338" s="73"/>
      <c r="K338" s="73"/>
      <c r="L338" s="73"/>
      <c r="M338" s="74"/>
      <c r="N338" s="71" t="str">
        <f t="shared" si="5"/>
        <v/>
      </c>
      <c r="O338" s="75"/>
      <c r="P338" s="72"/>
      <c r="Q338" s="72"/>
      <c r="R338" s="72"/>
      <c r="S338" s="72"/>
      <c r="T338" s="72"/>
      <c r="U338" s="72"/>
      <c r="V338" s="76"/>
    </row>
    <row r="339" spans="1:25" ht="27.75" customHeight="1">
      <c r="A339" s="87" t="str">
        <f>IF(ISBLANK(C339)," ",334-COUNTBLANK($C$6:C339))</f>
        <v xml:space="preserve"> </v>
      </c>
      <c r="B339" s="88"/>
      <c r="C339" s="88"/>
      <c r="D339" s="89"/>
      <c r="E339" s="89"/>
      <c r="F339" s="73"/>
      <c r="G339" s="73"/>
      <c r="H339" s="73"/>
      <c r="I339" s="73"/>
      <c r="J339" s="73"/>
      <c r="K339" s="73"/>
      <c r="L339" s="73"/>
      <c r="M339" s="74"/>
      <c r="N339" s="71" t="str">
        <f t="shared" si="5"/>
        <v/>
      </c>
      <c r="O339" s="75"/>
      <c r="P339" s="72"/>
      <c r="Q339" s="72"/>
      <c r="R339" s="72"/>
      <c r="S339" s="72"/>
      <c r="T339" s="72"/>
      <c r="U339" s="72"/>
      <c r="V339" s="76"/>
    </row>
    <row r="340" spans="1:25" ht="27.75" customHeight="1">
      <c r="A340" s="87" t="str">
        <f>IF(ISBLANK(C340)," ",335-COUNTBLANK($C$6:C340))</f>
        <v xml:space="preserve"> </v>
      </c>
      <c r="B340" s="88"/>
      <c r="C340" s="88"/>
      <c r="D340" s="89"/>
      <c r="E340" s="89"/>
      <c r="F340" s="73"/>
      <c r="G340" s="73"/>
      <c r="H340" s="73"/>
      <c r="I340" s="73"/>
      <c r="J340" s="73"/>
      <c r="K340" s="73"/>
      <c r="L340" s="73"/>
      <c r="M340" s="74"/>
      <c r="N340" s="71" t="str">
        <f t="shared" si="5"/>
        <v/>
      </c>
      <c r="O340" s="72"/>
      <c r="P340" s="72"/>
      <c r="Q340" s="72"/>
      <c r="R340" s="72"/>
      <c r="S340" s="72"/>
      <c r="T340" s="72"/>
      <c r="U340" s="72"/>
      <c r="V340" s="79"/>
      <c r="W340" s="72"/>
      <c r="X340" s="72"/>
      <c r="Y340" s="72"/>
    </row>
    <row r="341" spans="1:25" ht="27.75" customHeight="1">
      <c r="A341" s="80" t="s">
        <v>52</v>
      </c>
      <c r="B341" s="81"/>
      <c r="C341" s="96"/>
      <c r="D341" s="82"/>
      <c r="E341" s="82">
        <f>SUM(E321:E340)</f>
        <v>0</v>
      </c>
      <c r="F341" s="83"/>
      <c r="G341" s="83"/>
      <c r="H341" s="83"/>
      <c r="I341" s="83"/>
      <c r="J341" s="83"/>
      <c r="K341" s="83"/>
      <c r="L341" s="83"/>
      <c r="M341" s="84"/>
      <c r="N341" s="71" t="str">
        <f t="shared" si="5"/>
        <v/>
      </c>
      <c r="O341" s="75"/>
      <c r="P341" s="72"/>
      <c r="Q341" s="72"/>
      <c r="R341" s="72"/>
      <c r="S341" s="72"/>
      <c r="T341" s="72"/>
      <c r="U341" s="72"/>
      <c r="V341" s="79"/>
      <c r="W341" s="72"/>
      <c r="X341" s="72"/>
      <c r="Y341" s="72"/>
    </row>
    <row r="342" spans="1:25" ht="27.75" customHeight="1">
      <c r="A342" s="93" t="str">
        <f>IF(ISBLANK(C342)," ",337-COUNTBLANK($C$6:C342))</f>
        <v xml:space="preserve"> </v>
      </c>
      <c r="B342" s="94"/>
      <c r="C342" s="94"/>
      <c r="D342" s="95"/>
      <c r="E342" s="95"/>
      <c r="F342" s="85"/>
      <c r="G342" s="85"/>
      <c r="H342" s="85"/>
      <c r="I342" s="85"/>
      <c r="J342" s="85"/>
      <c r="K342" s="85"/>
      <c r="L342" s="85"/>
      <c r="M342" s="86"/>
      <c r="N342" s="71" t="str">
        <f t="shared" si="5"/>
        <v/>
      </c>
      <c r="O342" s="72"/>
      <c r="P342" s="72"/>
      <c r="Q342" s="72"/>
      <c r="R342" s="72"/>
      <c r="S342" s="72"/>
      <c r="T342" s="72"/>
      <c r="U342" s="72"/>
      <c r="V342" s="72"/>
    </row>
    <row r="343" spans="1:25" ht="27.75" customHeight="1">
      <c r="A343" s="87" t="str">
        <f>IF(ISBLANK(C343)," ",338-COUNTBLANK($C$6:C343))</f>
        <v xml:space="preserve"> </v>
      </c>
      <c r="B343" s="88"/>
      <c r="C343" s="88"/>
      <c r="D343" s="89"/>
      <c r="E343" s="89"/>
      <c r="F343" s="73"/>
      <c r="G343" s="73"/>
      <c r="H343" s="73"/>
      <c r="I343" s="73"/>
      <c r="J343" s="73"/>
      <c r="K343" s="73"/>
      <c r="L343" s="73"/>
      <c r="M343" s="74"/>
      <c r="N343" s="71" t="str">
        <f t="shared" si="5"/>
        <v/>
      </c>
      <c r="O343" s="72"/>
      <c r="P343" s="72"/>
      <c r="Q343" s="72"/>
      <c r="R343" s="72"/>
      <c r="S343" s="72"/>
      <c r="T343" s="72"/>
      <c r="U343" s="72"/>
      <c r="V343" s="72"/>
    </row>
    <row r="344" spans="1:25" ht="27.75" customHeight="1">
      <c r="A344" s="87" t="str">
        <f>IF(ISBLANK(C344)," ",339-COUNTBLANK($C$6:C344))</f>
        <v xml:space="preserve"> </v>
      </c>
      <c r="B344" s="88"/>
      <c r="C344" s="88"/>
      <c r="D344" s="89"/>
      <c r="E344" s="89"/>
      <c r="F344" s="73"/>
      <c r="G344" s="73"/>
      <c r="H344" s="73"/>
      <c r="I344" s="73"/>
      <c r="J344" s="73"/>
      <c r="K344" s="73"/>
      <c r="L344" s="73"/>
      <c r="M344" s="74"/>
      <c r="N344" s="71" t="str">
        <f t="shared" si="5"/>
        <v/>
      </c>
      <c r="O344" s="72"/>
      <c r="P344" s="72"/>
      <c r="Q344" s="72"/>
      <c r="R344" s="72"/>
      <c r="S344" s="72"/>
      <c r="T344" s="72"/>
      <c r="U344" s="72"/>
      <c r="V344" s="72"/>
    </row>
    <row r="345" spans="1:25" ht="27.75" customHeight="1">
      <c r="A345" s="87" t="str">
        <f>IF(ISBLANK(C345)," ",340-COUNTBLANK($C$6:C345))</f>
        <v xml:space="preserve"> </v>
      </c>
      <c r="B345" s="88"/>
      <c r="C345" s="88"/>
      <c r="D345" s="89"/>
      <c r="E345" s="89"/>
      <c r="F345" s="73"/>
      <c r="G345" s="73"/>
      <c r="H345" s="73"/>
      <c r="I345" s="73"/>
      <c r="J345" s="73"/>
      <c r="K345" s="73"/>
      <c r="L345" s="73"/>
      <c r="M345" s="74"/>
      <c r="N345" s="71" t="str">
        <f t="shared" si="5"/>
        <v/>
      </c>
      <c r="O345" s="72"/>
      <c r="P345" s="72"/>
      <c r="Q345" s="72"/>
      <c r="R345" s="72"/>
      <c r="S345" s="72"/>
      <c r="T345" s="72"/>
      <c r="U345" s="72"/>
      <c r="V345" s="72"/>
    </row>
    <row r="346" spans="1:25" ht="27.75" customHeight="1">
      <c r="A346" s="87" t="str">
        <f>IF(ISBLANK(C346)," ",341-COUNTBLANK($C$6:C346))</f>
        <v xml:space="preserve"> </v>
      </c>
      <c r="B346" s="88"/>
      <c r="C346" s="88"/>
      <c r="D346" s="89"/>
      <c r="E346" s="89"/>
      <c r="F346" s="73"/>
      <c r="G346" s="73"/>
      <c r="H346" s="73"/>
      <c r="I346" s="73"/>
      <c r="J346" s="73"/>
      <c r="K346" s="73"/>
      <c r="L346" s="73"/>
      <c r="M346" s="74"/>
      <c r="N346" s="71" t="str">
        <f t="shared" si="5"/>
        <v/>
      </c>
      <c r="O346" s="72"/>
      <c r="P346" s="72"/>
      <c r="Q346" s="72"/>
      <c r="R346" s="72"/>
      <c r="S346" s="72"/>
      <c r="T346" s="72"/>
      <c r="U346" s="72"/>
      <c r="V346" s="72"/>
    </row>
    <row r="347" spans="1:25" ht="27.75" customHeight="1">
      <c r="A347" s="87" t="str">
        <f>IF(ISBLANK(C347)," ",342-COUNTBLANK($C$6:C347))</f>
        <v xml:space="preserve"> </v>
      </c>
      <c r="B347" s="88"/>
      <c r="C347" s="88"/>
      <c r="D347" s="89"/>
      <c r="E347" s="89"/>
      <c r="F347" s="73"/>
      <c r="G347" s="73"/>
      <c r="H347" s="73"/>
      <c r="I347" s="73"/>
      <c r="J347" s="73"/>
      <c r="K347" s="73"/>
      <c r="L347" s="73"/>
      <c r="M347" s="74"/>
      <c r="N347" s="71" t="str">
        <f t="shared" si="5"/>
        <v/>
      </c>
      <c r="O347" s="72"/>
      <c r="P347" s="72"/>
      <c r="Q347" s="72"/>
      <c r="R347" s="72"/>
      <c r="S347" s="72"/>
      <c r="T347" s="72"/>
      <c r="U347" s="72"/>
      <c r="V347" s="72"/>
    </row>
    <row r="348" spans="1:25" ht="27.75" customHeight="1">
      <c r="A348" s="87" t="str">
        <f>IF(ISBLANK(C348)," ",343-COUNTBLANK($C$6:C348))</f>
        <v xml:space="preserve"> </v>
      </c>
      <c r="B348" s="88"/>
      <c r="C348" s="88"/>
      <c r="D348" s="89"/>
      <c r="E348" s="89"/>
      <c r="F348" s="73"/>
      <c r="G348" s="73"/>
      <c r="H348" s="73"/>
      <c r="I348" s="73"/>
      <c r="J348" s="73"/>
      <c r="K348" s="73"/>
      <c r="L348" s="73"/>
      <c r="M348" s="74"/>
      <c r="N348" s="71" t="str">
        <f t="shared" si="5"/>
        <v/>
      </c>
      <c r="O348" s="72"/>
      <c r="P348" s="72"/>
      <c r="Q348" s="72"/>
      <c r="R348" s="72"/>
      <c r="S348" s="72"/>
      <c r="T348" s="72"/>
      <c r="U348" s="72"/>
      <c r="V348" s="72"/>
    </row>
    <row r="349" spans="1:25" ht="27.75" customHeight="1">
      <c r="A349" s="87" t="str">
        <f>IF(ISBLANK(C349)," ",344-COUNTBLANK($C$6:C349))</f>
        <v xml:space="preserve"> </v>
      </c>
      <c r="B349" s="88"/>
      <c r="C349" s="88"/>
      <c r="D349" s="89"/>
      <c r="E349" s="89"/>
      <c r="F349" s="73"/>
      <c r="G349" s="73"/>
      <c r="H349" s="73"/>
      <c r="I349" s="73"/>
      <c r="J349" s="73"/>
      <c r="K349" s="73"/>
      <c r="L349" s="73"/>
      <c r="M349" s="74"/>
      <c r="N349" s="71" t="str">
        <f t="shared" si="5"/>
        <v/>
      </c>
      <c r="O349" s="72"/>
      <c r="P349" s="72"/>
      <c r="Q349" s="72"/>
      <c r="R349" s="72"/>
      <c r="S349" s="72"/>
      <c r="T349" s="72"/>
      <c r="U349" s="72"/>
      <c r="V349" s="72"/>
    </row>
    <row r="350" spans="1:25" ht="27.75" customHeight="1">
      <c r="A350" s="87" t="str">
        <f>IF(ISBLANK(C350)," ",345-COUNTBLANK($C$6:C350))</f>
        <v xml:space="preserve"> </v>
      </c>
      <c r="B350" s="88"/>
      <c r="C350" s="88"/>
      <c r="D350" s="89"/>
      <c r="E350" s="89"/>
      <c r="F350" s="73"/>
      <c r="G350" s="73"/>
      <c r="H350" s="73"/>
      <c r="I350" s="73"/>
      <c r="J350" s="73"/>
      <c r="K350" s="73"/>
      <c r="L350" s="73"/>
      <c r="M350" s="74"/>
      <c r="N350" s="71" t="str">
        <f t="shared" si="5"/>
        <v/>
      </c>
      <c r="O350" s="72"/>
      <c r="P350" s="72"/>
      <c r="Q350" s="72"/>
      <c r="R350" s="72"/>
      <c r="S350" s="72"/>
      <c r="T350" s="72"/>
      <c r="U350" s="72"/>
      <c r="V350" s="72"/>
    </row>
    <row r="351" spans="1:25" ht="27.75" customHeight="1">
      <c r="A351" s="87" t="str">
        <f>IF(ISBLANK(C351)," ",346-COUNTBLANK($C$6:C351))</f>
        <v xml:space="preserve"> </v>
      </c>
      <c r="B351" s="88"/>
      <c r="C351" s="88"/>
      <c r="D351" s="89"/>
      <c r="E351" s="89"/>
      <c r="F351" s="73"/>
      <c r="G351" s="73"/>
      <c r="H351" s="73"/>
      <c r="I351" s="73"/>
      <c r="J351" s="73"/>
      <c r="K351" s="73"/>
      <c r="L351" s="73"/>
      <c r="M351" s="74"/>
      <c r="N351" s="71" t="str">
        <f t="shared" si="5"/>
        <v/>
      </c>
      <c r="O351" s="72"/>
      <c r="P351" s="72"/>
      <c r="Q351" s="72"/>
      <c r="R351" s="72"/>
      <c r="S351" s="72"/>
      <c r="T351" s="72"/>
      <c r="U351" s="72"/>
      <c r="V351" s="72"/>
    </row>
    <row r="352" spans="1:25" ht="27.75" customHeight="1">
      <c r="A352" s="87" t="str">
        <f>IF(ISBLANK(C352)," ",347-COUNTBLANK($C$6:C352))</f>
        <v xml:space="preserve"> </v>
      </c>
      <c r="B352" s="88"/>
      <c r="C352" s="88"/>
      <c r="D352" s="89"/>
      <c r="E352" s="89"/>
      <c r="F352" s="73"/>
      <c r="G352" s="73"/>
      <c r="H352" s="73"/>
      <c r="I352" s="73"/>
      <c r="J352" s="73"/>
      <c r="K352" s="73"/>
      <c r="L352" s="73"/>
      <c r="M352" s="74"/>
      <c r="N352" s="71" t="str">
        <f t="shared" si="5"/>
        <v/>
      </c>
      <c r="O352" s="72"/>
      <c r="P352" s="72"/>
      <c r="Q352" s="72"/>
      <c r="R352" s="72"/>
      <c r="S352" s="72"/>
      <c r="T352" s="72"/>
      <c r="U352" s="72"/>
      <c r="V352" s="72"/>
    </row>
    <row r="353" spans="1:25" ht="27.75" customHeight="1">
      <c r="A353" s="87" t="str">
        <f>IF(ISBLANK(C353)," ",348-COUNTBLANK($C$6:C353))</f>
        <v xml:space="preserve"> </v>
      </c>
      <c r="B353" s="88"/>
      <c r="C353" s="88"/>
      <c r="D353" s="89"/>
      <c r="E353" s="89"/>
      <c r="F353" s="73"/>
      <c r="G353" s="73"/>
      <c r="H353" s="73"/>
      <c r="I353" s="73"/>
      <c r="J353" s="73"/>
      <c r="K353" s="73"/>
      <c r="L353" s="73"/>
      <c r="M353" s="74"/>
      <c r="N353" s="71" t="str">
        <f t="shared" si="5"/>
        <v/>
      </c>
      <c r="O353" s="72"/>
      <c r="P353" s="72"/>
      <c r="Q353" s="72"/>
      <c r="R353" s="72"/>
      <c r="S353" s="72"/>
      <c r="T353" s="72"/>
      <c r="U353" s="72"/>
      <c r="V353" s="72"/>
    </row>
    <row r="354" spans="1:25" ht="27.75" customHeight="1">
      <c r="A354" s="87" t="str">
        <f>IF(ISBLANK(C354)," ",349-COUNTBLANK($C$6:C354))</f>
        <v xml:space="preserve"> </v>
      </c>
      <c r="B354" s="88"/>
      <c r="C354" s="88"/>
      <c r="D354" s="89"/>
      <c r="E354" s="89"/>
      <c r="F354" s="73"/>
      <c r="G354" s="73"/>
      <c r="H354" s="73"/>
      <c r="I354" s="73"/>
      <c r="J354" s="73"/>
      <c r="K354" s="73"/>
      <c r="L354" s="73"/>
      <c r="M354" s="74"/>
      <c r="N354" s="71" t="str">
        <f t="shared" si="5"/>
        <v/>
      </c>
      <c r="O354" s="72"/>
      <c r="P354" s="72"/>
      <c r="Q354" s="72"/>
      <c r="R354" s="72"/>
      <c r="S354" s="72"/>
      <c r="T354" s="72"/>
      <c r="U354" s="72"/>
      <c r="V354" s="72"/>
    </row>
    <row r="355" spans="1:25" ht="27.75" customHeight="1">
      <c r="A355" s="87" t="str">
        <f>IF(ISBLANK(C355)," ",350-COUNTBLANK($C$6:C355))</f>
        <v xml:space="preserve"> </v>
      </c>
      <c r="B355" s="88"/>
      <c r="C355" s="88"/>
      <c r="D355" s="89"/>
      <c r="E355" s="89"/>
      <c r="F355" s="73"/>
      <c r="G355" s="73"/>
      <c r="H355" s="73"/>
      <c r="I355" s="73"/>
      <c r="J355" s="73"/>
      <c r="K355" s="73"/>
      <c r="L355" s="73"/>
      <c r="M355" s="74"/>
      <c r="N355" s="71" t="str">
        <f t="shared" si="5"/>
        <v/>
      </c>
      <c r="O355" s="72"/>
      <c r="P355" s="72"/>
      <c r="Q355" s="72"/>
      <c r="R355" s="72"/>
      <c r="S355" s="72"/>
      <c r="T355" s="72"/>
      <c r="U355" s="72"/>
      <c r="V355" s="72"/>
    </row>
    <row r="356" spans="1:25" ht="27.75" customHeight="1">
      <c r="A356" s="87" t="str">
        <f>IF(ISBLANK(C356)," ",351-COUNTBLANK($C$6:C356))</f>
        <v xml:space="preserve"> </v>
      </c>
      <c r="B356" s="88"/>
      <c r="C356" s="88"/>
      <c r="D356" s="89"/>
      <c r="E356" s="89"/>
      <c r="F356" s="73"/>
      <c r="G356" s="73"/>
      <c r="H356" s="73"/>
      <c r="I356" s="73"/>
      <c r="J356" s="73"/>
      <c r="K356" s="73"/>
      <c r="L356" s="73"/>
      <c r="M356" s="74"/>
      <c r="N356" s="71" t="str">
        <f t="shared" si="5"/>
        <v/>
      </c>
      <c r="O356" s="72"/>
      <c r="P356" s="72"/>
      <c r="Q356" s="72"/>
      <c r="R356" s="72"/>
      <c r="S356" s="72"/>
      <c r="T356" s="72"/>
      <c r="U356" s="72"/>
      <c r="V356" s="72"/>
    </row>
    <row r="357" spans="1:25" ht="27.75" customHeight="1">
      <c r="A357" s="87" t="str">
        <f>IF(ISBLANK(C357)," ",352-COUNTBLANK($C$6:C357))</f>
        <v xml:space="preserve"> </v>
      </c>
      <c r="B357" s="88"/>
      <c r="C357" s="88"/>
      <c r="D357" s="89"/>
      <c r="E357" s="89"/>
      <c r="F357" s="73"/>
      <c r="G357" s="73"/>
      <c r="H357" s="73"/>
      <c r="I357" s="73"/>
      <c r="J357" s="73"/>
      <c r="K357" s="73"/>
      <c r="L357" s="73"/>
      <c r="M357" s="74"/>
      <c r="N357" s="71" t="str">
        <f t="shared" si="5"/>
        <v/>
      </c>
      <c r="O357" s="75"/>
      <c r="P357" s="72"/>
      <c r="Q357" s="72"/>
      <c r="R357" s="72"/>
      <c r="S357" s="72"/>
      <c r="T357" s="72"/>
      <c r="U357" s="72"/>
      <c r="V357" s="76"/>
    </row>
    <row r="358" spans="1:25" ht="27.75" customHeight="1">
      <c r="A358" s="87" t="str">
        <f>IF(ISBLANK(C358)," ",353-COUNTBLANK($C$6:C358))</f>
        <v xml:space="preserve"> </v>
      </c>
      <c r="B358" s="88"/>
      <c r="C358" s="88"/>
      <c r="D358" s="89"/>
      <c r="E358" s="89"/>
      <c r="F358" s="73"/>
      <c r="G358" s="73"/>
      <c r="H358" s="73"/>
      <c r="I358" s="73"/>
      <c r="J358" s="73"/>
      <c r="K358" s="73"/>
      <c r="L358" s="73"/>
      <c r="M358" s="74"/>
      <c r="N358" s="71" t="str">
        <f t="shared" si="5"/>
        <v/>
      </c>
      <c r="O358" s="75"/>
      <c r="P358" s="72"/>
      <c r="Q358" s="72"/>
      <c r="R358" s="72"/>
      <c r="S358" s="72"/>
      <c r="T358" s="72"/>
      <c r="U358" s="72"/>
      <c r="V358" s="76"/>
    </row>
    <row r="359" spans="1:25" ht="27.75" customHeight="1">
      <c r="A359" s="87" t="str">
        <f>IF(ISBLANK(C359)," ",354-COUNTBLANK($C$6:C359))</f>
        <v xml:space="preserve"> </v>
      </c>
      <c r="B359" s="88"/>
      <c r="C359" s="88"/>
      <c r="D359" s="89"/>
      <c r="E359" s="89"/>
      <c r="F359" s="73"/>
      <c r="G359" s="73"/>
      <c r="H359" s="73"/>
      <c r="I359" s="73"/>
      <c r="J359" s="73"/>
      <c r="K359" s="73"/>
      <c r="L359" s="73"/>
      <c r="M359" s="74"/>
      <c r="N359" s="71" t="str">
        <f t="shared" si="5"/>
        <v/>
      </c>
      <c r="O359" s="75"/>
      <c r="P359" s="72"/>
      <c r="Q359" s="72"/>
      <c r="R359" s="72"/>
      <c r="S359" s="72"/>
      <c r="T359" s="72"/>
      <c r="U359" s="72"/>
      <c r="V359" s="76"/>
    </row>
    <row r="360" spans="1:25" ht="27.75" customHeight="1">
      <c r="A360" s="87" t="str">
        <f>IF(ISBLANK(C360)," ",355-COUNTBLANK($C$6:C360))</f>
        <v xml:space="preserve"> </v>
      </c>
      <c r="B360" s="88"/>
      <c r="C360" s="88"/>
      <c r="D360" s="89"/>
      <c r="E360" s="89"/>
      <c r="F360" s="73"/>
      <c r="G360" s="73"/>
      <c r="H360" s="73"/>
      <c r="I360" s="73"/>
      <c r="J360" s="73"/>
      <c r="K360" s="73"/>
      <c r="L360" s="73"/>
      <c r="M360" s="74"/>
      <c r="N360" s="71" t="str">
        <f t="shared" si="5"/>
        <v/>
      </c>
      <c r="O360" s="75"/>
      <c r="P360" s="72"/>
      <c r="Q360" s="72"/>
      <c r="R360" s="72"/>
      <c r="S360" s="72"/>
      <c r="T360" s="72"/>
      <c r="U360" s="72"/>
      <c r="V360" s="76"/>
    </row>
    <row r="361" spans="1:25" ht="27.75" customHeight="1">
      <c r="A361" s="87" t="str">
        <f>IF(ISBLANK(C361)," ",356-COUNTBLANK($C$6:C361))</f>
        <v xml:space="preserve"> </v>
      </c>
      <c r="B361" s="88"/>
      <c r="C361" s="88"/>
      <c r="D361" s="89"/>
      <c r="E361" s="89"/>
      <c r="F361" s="73"/>
      <c r="G361" s="73"/>
      <c r="H361" s="73"/>
      <c r="I361" s="73"/>
      <c r="J361" s="73"/>
      <c r="K361" s="73"/>
      <c r="L361" s="73"/>
      <c r="M361" s="74"/>
      <c r="N361" s="71" t="str">
        <f t="shared" si="5"/>
        <v/>
      </c>
      <c r="O361" s="72"/>
      <c r="P361" s="72"/>
      <c r="Q361" s="72"/>
      <c r="R361" s="72"/>
      <c r="S361" s="72"/>
      <c r="T361" s="72"/>
      <c r="U361" s="72"/>
      <c r="V361" s="79"/>
      <c r="W361" s="72"/>
      <c r="X361" s="72"/>
      <c r="Y361" s="72"/>
    </row>
    <row r="362" spans="1:25" ht="27.75" customHeight="1">
      <c r="A362" s="80" t="s">
        <v>52</v>
      </c>
      <c r="B362" s="81"/>
      <c r="C362" s="96"/>
      <c r="D362" s="82"/>
      <c r="E362" s="82">
        <f>SUM(E342:E361)</f>
        <v>0</v>
      </c>
      <c r="F362" s="83"/>
      <c r="G362" s="83"/>
      <c r="H362" s="83"/>
      <c r="I362" s="83"/>
      <c r="J362" s="83"/>
      <c r="K362" s="83"/>
      <c r="L362" s="83"/>
      <c r="M362" s="84"/>
      <c r="N362" s="71" t="str">
        <f t="shared" si="5"/>
        <v/>
      </c>
      <c r="O362" s="75"/>
      <c r="P362" s="72"/>
      <c r="Q362" s="72"/>
      <c r="R362" s="72"/>
      <c r="S362" s="72"/>
      <c r="T362" s="72"/>
      <c r="U362" s="72"/>
      <c r="V362" s="79"/>
      <c r="W362" s="72"/>
      <c r="X362" s="72"/>
      <c r="Y362" s="72"/>
    </row>
    <row r="363" spans="1:25" ht="27.75" customHeight="1">
      <c r="A363" s="93" t="str">
        <f>IF(ISBLANK(C363)," ",358-COUNTBLANK($C$6:C363))</f>
        <v xml:space="preserve"> </v>
      </c>
      <c r="B363" s="94"/>
      <c r="C363" s="94"/>
      <c r="D363" s="95"/>
      <c r="E363" s="95"/>
      <c r="F363" s="85"/>
      <c r="G363" s="85"/>
      <c r="H363" s="85"/>
      <c r="I363" s="85"/>
      <c r="J363" s="85"/>
      <c r="K363" s="85"/>
      <c r="L363" s="85"/>
      <c r="M363" s="86"/>
      <c r="N363" s="71" t="str">
        <f t="shared" si="5"/>
        <v/>
      </c>
      <c r="O363" s="72"/>
      <c r="P363" s="72"/>
      <c r="Q363" s="72"/>
      <c r="R363" s="72"/>
      <c r="S363" s="72"/>
      <c r="T363" s="72"/>
      <c r="U363" s="72"/>
      <c r="V363" s="72"/>
    </row>
    <row r="364" spans="1:25" ht="27.75" customHeight="1">
      <c r="A364" s="87" t="str">
        <f>IF(ISBLANK(C364)," ",359-COUNTBLANK($C$6:C364))</f>
        <v xml:space="preserve"> </v>
      </c>
      <c r="B364" s="88"/>
      <c r="C364" s="88"/>
      <c r="D364" s="89"/>
      <c r="E364" s="89"/>
      <c r="F364" s="73"/>
      <c r="G364" s="73"/>
      <c r="H364" s="73"/>
      <c r="I364" s="73"/>
      <c r="J364" s="73"/>
      <c r="K364" s="73"/>
      <c r="L364" s="73"/>
      <c r="M364" s="74"/>
      <c r="N364" s="71" t="str">
        <f t="shared" si="5"/>
        <v/>
      </c>
      <c r="O364" s="72"/>
      <c r="P364" s="72"/>
      <c r="Q364" s="72"/>
      <c r="R364" s="72"/>
      <c r="S364" s="72"/>
      <c r="T364" s="72"/>
      <c r="U364" s="72"/>
      <c r="V364" s="72"/>
    </row>
    <row r="365" spans="1:25" ht="27.75" customHeight="1">
      <c r="A365" s="87" t="str">
        <f>IF(ISBLANK(C365)," ",360-COUNTBLANK($C$6:C365))</f>
        <v xml:space="preserve"> </v>
      </c>
      <c r="B365" s="88"/>
      <c r="C365" s="88"/>
      <c r="D365" s="89"/>
      <c r="E365" s="89"/>
      <c r="F365" s="73"/>
      <c r="G365" s="73"/>
      <c r="H365" s="73"/>
      <c r="I365" s="73"/>
      <c r="J365" s="73"/>
      <c r="K365" s="73"/>
      <c r="L365" s="73"/>
      <c r="M365" s="74"/>
      <c r="N365" s="71" t="str">
        <f t="shared" si="5"/>
        <v/>
      </c>
      <c r="O365" s="72"/>
      <c r="P365" s="72"/>
      <c r="Q365" s="72"/>
      <c r="R365" s="72"/>
      <c r="S365" s="72"/>
      <c r="T365" s="72"/>
      <c r="U365" s="72"/>
      <c r="V365" s="72"/>
    </row>
    <row r="366" spans="1:25" ht="27.75" customHeight="1">
      <c r="A366" s="87" t="str">
        <f>IF(ISBLANK(C366)," ",361-COUNTBLANK($C$6:C366))</f>
        <v xml:space="preserve"> </v>
      </c>
      <c r="B366" s="88"/>
      <c r="C366" s="88"/>
      <c r="D366" s="89"/>
      <c r="E366" s="89"/>
      <c r="F366" s="73"/>
      <c r="G366" s="73"/>
      <c r="H366" s="73"/>
      <c r="I366" s="73"/>
      <c r="J366" s="73"/>
      <c r="K366" s="73"/>
      <c r="L366" s="73"/>
      <c r="M366" s="74"/>
      <c r="N366" s="71" t="str">
        <f t="shared" si="5"/>
        <v/>
      </c>
      <c r="O366" s="72"/>
      <c r="P366" s="72"/>
      <c r="Q366" s="72"/>
      <c r="R366" s="72"/>
      <c r="S366" s="72"/>
      <c r="T366" s="72"/>
      <c r="U366" s="72"/>
      <c r="V366" s="72"/>
    </row>
    <row r="367" spans="1:25" ht="27.75" customHeight="1">
      <c r="A367" s="87" t="str">
        <f>IF(ISBLANK(C367)," ",362-COUNTBLANK($C$6:C367))</f>
        <v xml:space="preserve"> </v>
      </c>
      <c r="B367" s="88"/>
      <c r="C367" s="88"/>
      <c r="D367" s="89"/>
      <c r="E367" s="89"/>
      <c r="F367" s="73"/>
      <c r="G367" s="73"/>
      <c r="H367" s="73"/>
      <c r="I367" s="73"/>
      <c r="J367" s="73"/>
      <c r="K367" s="73"/>
      <c r="L367" s="73"/>
      <c r="M367" s="74"/>
      <c r="N367" s="71" t="str">
        <f t="shared" si="5"/>
        <v/>
      </c>
      <c r="O367" s="72"/>
      <c r="P367" s="72"/>
      <c r="Q367" s="72"/>
      <c r="R367" s="72"/>
      <c r="S367" s="72"/>
      <c r="T367" s="72"/>
      <c r="U367" s="72"/>
      <c r="V367" s="72"/>
    </row>
    <row r="368" spans="1:25" ht="27.75" customHeight="1">
      <c r="A368" s="87" t="str">
        <f>IF(ISBLANK(C368)," ",363-COUNTBLANK($C$6:C368))</f>
        <v xml:space="preserve"> </v>
      </c>
      <c r="B368" s="88"/>
      <c r="C368" s="88"/>
      <c r="D368" s="89"/>
      <c r="E368" s="89"/>
      <c r="F368" s="73"/>
      <c r="G368" s="73"/>
      <c r="H368" s="73"/>
      <c r="I368" s="73"/>
      <c r="J368" s="73"/>
      <c r="K368" s="73"/>
      <c r="L368" s="73"/>
      <c r="M368" s="74"/>
      <c r="N368" s="71" t="str">
        <f t="shared" si="5"/>
        <v/>
      </c>
      <c r="O368" s="72"/>
      <c r="P368" s="72"/>
      <c r="Q368" s="72"/>
      <c r="R368" s="72"/>
      <c r="S368" s="72"/>
      <c r="T368" s="72"/>
      <c r="U368" s="72"/>
      <c r="V368" s="72"/>
    </row>
    <row r="369" spans="1:25" ht="27.75" customHeight="1">
      <c r="A369" s="87" t="str">
        <f>IF(ISBLANK(C369)," ",364-COUNTBLANK($C$6:C369))</f>
        <v xml:space="preserve"> </v>
      </c>
      <c r="B369" s="88"/>
      <c r="C369" s="88"/>
      <c r="D369" s="89"/>
      <c r="E369" s="89"/>
      <c r="F369" s="73"/>
      <c r="G369" s="73"/>
      <c r="H369" s="73"/>
      <c r="I369" s="73"/>
      <c r="J369" s="73"/>
      <c r="K369" s="73"/>
      <c r="L369" s="73"/>
      <c r="M369" s="74"/>
      <c r="N369" s="71" t="str">
        <f t="shared" si="5"/>
        <v/>
      </c>
      <c r="O369" s="72"/>
      <c r="P369" s="72"/>
      <c r="Q369" s="72"/>
      <c r="R369" s="72"/>
      <c r="S369" s="72"/>
      <c r="T369" s="72"/>
      <c r="U369" s="72"/>
      <c r="V369" s="72"/>
    </row>
    <row r="370" spans="1:25" ht="27.75" customHeight="1">
      <c r="A370" s="87" t="str">
        <f>IF(ISBLANK(C370)," ",365-COUNTBLANK($C$6:C370))</f>
        <v xml:space="preserve"> </v>
      </c>
      <c r="B370" s="88"/>
      <c r="C370" s="88"/>
      <c r="D370" s="89"/>
      <c r="E370" s="89"/>
      <c r="F370" s="73"/>
      <c r="G370" s="73"/>
      <c r="H370" s="73"/>
      <c r="I370" s="73"/>
      <c r="J370" s="73"/>
      <c r="K370" s="73"/>
      <c r="L370" s="73"/>
      <c r="M370" s="74"/>
      <c r="N370" s="71" t="str">
        <f t="shared" si="5"/>
        <v/>
      </c>
      <c r="O370" s="72"/>
      <c r="P370" s="72"/>
      <c r="Q370" s="72"/>
      <c r="R370" s="72"/>
      <c r="S370" s="72"/>
      <c r="T370" s="72"/>
      <c r="U370" s="72"/>
      <c r="V370" s="72"/>
    </row>
    <row r="371" spans="1:25" ht="27.75" customHeight="1">
      <c r="A371" s="87" t="str">
        <f>IF(ISBLANK(C371)," ",366-COUNTBLANK($C$6:C371))</f>
        <v xml:space="preserve"> </v>
      </c>
      <c r="B371" s="88"/>
      <c r="C371" s="88"/>
      <c r="D371" s="89"/>
      <c r="E371" s="89"/>
      <c r="F371" s="73"/>
      <c r="G371" s="73"/>
      <c r="H371" s="73"/>
      <c r="I371" s="73"/>
      <c r="J371" s="73"/>
      <c r="K371" s="73"/>
      <c r="L371" s="73"/>
      <c r="M371" s="74"/>
      <c r="N371" s="71" t="str">
        <f t="shared" si="5"/>
        <v/>
      </c>
      <c r="O371" s="72"/>
      <c r="P371" s="72"/>
      <c r="Q371" s="72"/>
      <c r="R371" s="72"/>
      <c r="S371" s="72"/>
      <c r="T371" s="72"/>
      <c r="U371" s="72"/>
      <c r="V371" s="72"/>
    </row>
    <row r="372" spans="1:25" ht="27.75" customHeight="1">
      <c r="A372" s="87" t="str">
        <f>IF(ISBLANK(C372)," ",367-COUNTBLANK($C$6:C372))</f>
        <v xml:space="preserve"> </v>
      </c>
      <c r="B372" s="88"/>
      <c r="C372" s="88"/>
      <c r="D372" s="89"/>
      <c r="E372" s="89"/>
      <c r="F372" s="73"/>
      <c r="G372" s="73"/>
      <c r="H372" s="73"/>
      <c r="I372" s="73"/>
      <c r="J372" s="73"/>
      <c r="K372" s="73"/>
      <c r="L372" s="73"/>
      <c r="M372" s="74"/>
      <c r="N372" s="71" t="str">
        <f t="shared" si="5"/>
        <v/>
      </c>
      <c r="O372" s="72"/>
      <c r="P372" s="72"/>
      <c r="Q372" s="72"/>
      <c r="R372" s="72"/>
      <c r="S372" s="72"/>
      <c r="T372" s="72"/>
      <c r="U372" s="72"/>
      <c r="V372" s="72"/>
    </row>
    <row r="373" spans="1:25" ht="27.75" customHeight="1">
      <c r="A373" s="87" t="str">
        <f>IF(ISBLANK(C373)," ",368-COUNTBLANK($C$6:C373))</f>
        <v xml:space="preserve"> </v>
      </c>
      <c r="B373" s="88"/>
      <c r="C373" s="88"/>
      <c r="D373" s="89"/>
      <c r="E373" s="89"/>
      <c r="F373" s="73"/>
      <c r="G373" s="73"/>
      <c r="H373" s="73"/>
      <c r="I373" s="73"/>
      <c r="J373" s="73"/>
      <c r="K373" s="73"/>
      <c r="L373" s="73"/>
      <c r="M373" s="74"/>
      <c r="N373" s="71" t="str">
        <f t="shared" si="5"/>
        <v/>
      </c>
      <c r="O373" s="72"/>
      <c r="P373" s="72"/>
      <c r="Q373" s="72"/>
      <c r="R373" s="72"/>
      <c r="S373" s="72"/>
      <c r="T373" s="72"/>
      <c r="U373" s="72"/>
      <c r="V373" s="72"/>
    </row>
    <row r="374" spans="1:25" ht="27.75" customHeight="1">
      <c r="A374" s="87" t="str">
        <f>IF(ISBLANK(C374)," ",369-COUNTBLANK($C$6:C374))</f>
        <v xml:space="preserve"> </v>
      </c>
      <c r="B374" s="88"/>
      <c r="C374" s="88"/>
      <c r="D374" s="89"/>
      <c r="E374" s="89"/>
      <c r="F374" s="73"/>
      <c r="G374" s="73"/>
      <c r="H374" s="73"/>
      <c r="I374" s="73"/>
      <c r="J374" s="73"/>
      <c r="K374" s="73"/>
      <c r="L374" s="73"/>
      <c r="M374" s="74"/>
      <c r="N374" s="71" t="str">
        <f t="shared" si="5"/>
        <v/>
      </c>
      <c r="O374" s="72"/>
      <c r="P374" s="72"/>
      <c r="Q374" s="72"/>
      <c r="R374" s="72"/>
      <c r="S374" s="72"/>
      <c r="T374" s="72"/>
      <c r="U374" s="72"/>
      <c r="V374" s="72"/>
    </row>
    <row r="375" spans="1:25" ht="27.75" customHeight="1">
      <c r="A375" s="87" t="str">
        <f>IF(ISBLANK(C375)," ",370-COUNTBLANK($C$6:C375))</f>
        <v xml:space="preserve"> </v>
      </c>
      <c r="B375" s="88"/>
      <c r="C375" s="88"/>
      <c r="D375" s="89"/>
      <c r="E375" s="89"/>
      <c r="F375" s="73"/>
      <c r="G375" s="73"/>
      <c r="H375" s="73"/>
      <c r="I375" s="73"/>
      <c r="J375" s="73"/>
      <c r="K375" s="73"/>
      <c r="L375" s="73"/>
      <c r="M375" s="74"/>
      <c r="N375" s="71" t="str">
        <f t="shared" si="5"/>
        <v/>
      </c>
      <c r="O375" s="72"/>
      <c r="P375" s="72"/>
      <c r="Q375" s="72"/>
      <c r="R375" s="72"/>
      <c r="S375" s="72"/>
      <c r="T375" s="72"/>
      <c r="U375" s="72"/>
      <c r="V375" s="72"/>
    </row>
    <row r="376" spans="1:25" ht="27.75" customHeight="1">
      <c r="A376" s="87" t="str">
        <f>IF(ISBLANK(C376)," ",371-COUNTBLANK($C$6:C376))</f>
        <v xml:space="preserve"> </v>
      </c>
      <c r="B376" s="88"/>
      <c r="C376" s="88"/>
      <c r="D376" s="89"/>
      <c r="E376" s="89"/>
      <c r="F376" s="73"/>
      <c r="G376" s="73"/>
      <c r="H376" s="73"/>
      <c r="I376" s="73"/>
      <c r="J376" s="73"/>
      <c r="K376" s="73"/>
      <c r="L376" s="73"/>
      <c r="M376" s="74"/>
      <c r="N376" s="71" t="str">
        <f t="shared" si="5"/>
        <v/>
      </c>
      <c r="O376" s="72"/>
      <c r="P376" s="72"/>
      <c r="Q376" s="72"/>
      <c r="R376" s="72"/>
      <c r="S376" s="72"/>
      <c r="T376" s="72"/>
      <c r="U376" s="72"/>
      <c r="V376" s="72"/>
    </row>
    <row r="377" spans="1:25" ht="27.75" customHeight="1">
      <c r="A377" s="87" t="str">
        <f>IF(ISBLANK(C377)," ",372-COUNTBLANK($C$6:C377))</f>
        <v xml:space="preserve"> </v>
      </c>
      <c r="B377" s="88"/>
      <c r="C377" s="88"/>
      <c r="D377" s="89"/>
      <c r="E377" s="89"/>
      <c r="F377" s="73"/>
      <c r="G377" s="73"/>
      <c r="H377" s="73"/>
      <c r="I377" s="73"/>
      <c r="J377" s="73"/>
      <c r="K377" s="73"/>
      <c r="L377" s="73"/>
      <c r="M377" s="74"/>
      <c r="N377" s="71" t="str">
        <f t="shared" si="5"/>
        <v/>
      </c>
      <c r="O377" s="72"/>
      <c r="P377" s="72"/>
      <c r="Q377" s="72"/>
      <c r="R377" s="72"/>
      <c r="S377" s="72"/>
      <c r="T377" s="72"/>
      <c r="U377" s="72"/>
      <c r="V377" s="72"/>
    </row>
    <row r="378" spans="1:25" ht="27.75" customHeight="1">
      <c r="A378" s="87" t="str">
        <f>IF(ISBLANK(C378)," ",373-COUNTBLANK($C$6:C378))</f>
        <v xml:space="preserve"> </v>
      </c>
      <c r="B378" s="88"/>
      <c r="C378" s="88"/>
      <c r="D378" s="89"/>
      <c r="E378" s="89"/>
      <c r="F378" s="73"/>
      <c r="G378" s="73"/>
      <c r="H378" s="73"/>
      <c r="I378" s="73"/>
      <c r="J378" s="73"/>
      <c r="K378" s="73"/>
      <c r="L378" s="73"/>
      <c r="M378" s="74"/>
      <c r="N378" s="71" t="str">
        <f t="shared" si="5"/>
        <v/>
      </c>
      <c r="O378" s="75"/>
      <c r="P378" s="72"/>
      <c r="Q378" s="72"/>
      <c r="R378" s="72"/>
      <c r="S378" s="72"/>
      <c r="T378" s="72"/>
      <c r="U378" s="72"/>
      <c r="V378" s="76"/>
    </row>
    <row r="379" spans="1:25" ht="27.75" customHeight="1">
      <c r="A379" s="87" t="str">
        <f>IF(ISBLANK(C379)," ",374-COUNTBLANK($C$6:C379))</f>
        <v xml:space="preserve"> </v>
      </c>
      <c r="B379" s="88"/>
      <c r="C379" s="88"/>
      <c r="D379" s="89"/>
      <c r="E379" s="89"/>
      <c r="F379" s="73"/>
      <c r="G379" s="73"/>
      <c r="H379" s="73"/>
      <c r="I379" s="73"/>
      <c r="J379" s="73"/>
      <c r="K379" s="73"/>
      <c r="L379" s="73"/>
      <c r="M379" s="74"/>
      <c r="N379" s="71" t="str">
        <f t="shared" si="5"/>
        <v/>
      </c>
      <c r="O379" s="75"/>
      <c r="P379" s="72"/>
      <c r="Q379" s="72"/>
      <c r="R379" s="72"/>
      <c r="S379" s="72"/>
      <c r="T379" s="72"/>
      <c r="U379" s="72"/>
      <c r="V379" s="76"/>
    </row>
    <row r="380" spans="1:25" ht="27.75" customHeight="1">
      <c r="A380" s="87" t="str">
        <f>IF(ISBLANK(C380)," ",375-COUNTBLANK($C$6:C380))</f>
        <v xml:space="preserve"> </v>
      </c>
      <c r="B380" s="88"/>
      <c r="C380" s="88"/>
      <c r="D380" s="89"/>
      <c r="E380" s="89"/>
      <c r="F380" s="73"/>
      <c r="G380" s="73"/>
      <c r="H380" s="73"/>
      <c r="I380" s="73"/>
      <c r="J380" s="73"/>
      <c r="K380" s="73"/>
      <c r="L380" s="73"/>
      <c r="M380" s="74"/>
      <c r="N380" s="71" t="str">
        <f t="shared" si="5"/>
        <v/>
      </c>
      <c r="O380" s="75"/>
      <c r="P380" s="72"/>
      <c r="Q380" s="72"/>
      <c r="R380" s="72"/>
      <c r="S380" s="72"/>
      <c r="T380" s="72"/>
      <c r="U380" s="72"/>
      <c r="V380" s="76"/>
    </row>
    <row r="381" spans="1:25" ht="27.75" customHeight="1">
      <c r="A381" s="87" t="str">
        <f>IF(ISBLANK(C381)," ",376-COUNTBLANK($C$6:C381))</f>
        <v xml:space="preserve"> </v>
      </c>
      <c r="B381" s="88"/>
      <c r="C381" s="88"/>
      <c r="D381" s="89"/>
      <c r="E381" s="89"/>
      <c r="F381" s="73"/>
      <c r="G381" s="73"/>
      <c r="H381" s="73"/>
      <c r="I381" s="73"/>
      <c r="J381" s="73"/>
      <c r="K381" s="73"/>
      <c r="L381" s="73"/>
      <c r="M381" s="74"/>
      <c r="N381" s="71" t="str">
        <f t="shared" si="5"/>
        <v/>
      </c>
      <c r="O381" s="75"/>
      <c r="P381" s="72"/>
      <c r="Q381" s="72"/>
      <c r="R381" s="72"/>
      <c r="S381" s="72"/>
      <c r="T381" s="72"/>
      <c r="U381" s="72"/>
      <c r="V381" s="76"/>
    </row>
    <row r="382" spans="1:25" ht="27.75" customHeight="1">
      <c r="A382" s="87" t="str">
        <f>IF(ISBLANK(C382)," ",377-COUNTBLANK($C$6:C382))</f>
        <v xml:space="preserve"> </v>
      </c>
      <c r="B382" s="88"/>
      <c r="C382" s="88"/>
      <c r="D382" s="89"/>
      <c r="E382" s="89"/>
      <c r="F382" s="73"/>
      <c r="G382" s="73"/>
      <c r="H382" s="73"/>
      <c r="I382" s="73"/>
      <c r="J382" s="73"/>
      <c r="K382" s="73"/>
      <c r="L382" s="73"/>
      <c r="M382" s="74"/>
      <c r="N382" s="71" t="str">
        <f t="shared" si="5"/>
        <v/>
      </c>
      <c r="O382" s="72"/>
      <c r="P382" s="72"/>
      <c r="Q382" s="72"/>
      <c r="R382" s="72"/>
      <c r="S382" s="72"/>
      <c r="T382" s="72"/>
      <c r="U382" s="72"/>
      <c r="V382" s="79"/>
      <c r="W382" s="72"/>
      <c r="X382" s="72"/>
      <c r="Y382" s="72"/>
    </row>
    <row r="383" spans="1:25" ht="27.75" customHeight="1">
      <c r="A383" s="80" t="s">
        <v>52</v>
      </c>
      <c r="B383" s="81"/>
      <c r="C383" s="96"/>
      <c r="D383" s="82"/>
      <c r="E383" s="82">
        <f>SUM(E363:E382)</f>
        <v>0</v>
      </c>
      <c r="F383" s="83"/>
      <c r="G383" s="83"/>
      <c r="H383" s="83"/>
      <c r="I383" s="83"/>
      <c r="J383" s="83"/>
      <c r="K383" s="83"/>
      <c r="L383" s="83"/>
      <c r="M383" s="84"/>
      <c r="N383" s="71" t="str">
        <f t="shared" si="5"/>
        <v/>
      </c>
      <c r="O383" s="75"/>
      <c r="P383" s="72"/>
      <c r="Q383" s="72"/>
      <c r="R383" s="72"/>
      <c r="S383" s="72"/>
      <c r="T383" s="72"/>
      <c r="U383" s="72"/>
      <c r="V383" s="79"/>
      <c r="W383" s="72"/>
      <c r="X383" s="72"/>
      <c r="Y383" s="72"/>
    </row>
    <row r="384" spans="1:25" ht="27.75" customHeight="1">
      <c r="A384" s="93" t="str">
        <f>IF(ISBLANK(C384)," ",379-COUNTBLANK($C$6:C384))</f>
        <v xml:space="preserve"> </v>
      </c>
      <c r="B384" s="94"/>
      <c r="C384" s="94"/>
      <c r="D384" s="95"/>
      <c r="E384" s="95"/>
      <c r="F384" s="85"/>
      <c r="G384" s="85"/>
      <c r="H384" s="85"/>
      <c r="I384" s="85"/>
      <c r="J384" s="85"/>
      <c r="K384" s="85"/>
      <c r="L384" s="85"/>
      <c r="M384" s="86"/>
      <c r="N384" s="71" t="str">
        <f t="shared" si="5"/>
        <v/>
      </c>
      <c r="O384" s="72"/>
      <c r="P384" s="72"/>
      <c r="Q384" s="72"/>
      <c r="R384" s="72"/>
      <c r="S384" s="72"/>
      <c r="T384" s="72"/>
      <c r="U384" s="72"/>
      <c r="V384" s="72"/>
    </row>
    <row r="385" spans="1:22" ht="27.75" customHeight="1">
      <c r="A385" s="87" t="str">
        <f>IF(ISBLANK(C385)," ",380-COUNTBLANK($C$6:C385))</f>
        <v xml:space="preserve"> </v>
      </c>
      <c r="B385" s="88"/>
      <c r="C385" s="88"/>
      <c r="D385" s="89"/>
      <c r="E385" s="89"/>
      <c r="F385" s="73"/>
      <c r="G385" s="73"/>
      <c r="H385" s="73"/>
      <c r="I385" s="73"/>
      <c r="J385" s="73"/>
      <c r="K385" s="73"/>
      <c r="L385" s="73"/>
      <c r="M385" s="74"/>
      <c r="N385" s="71" t="str">
        <f t="shared" si="5"/>
        <v/>
      </c>
      <c r="O385" s="72"/>
      <c r="P385" s="72"/>
      <c r="Q385" s="72"/>
      <c r="R385" s="72"/>
      <c r="S385" s="72"/>
      <c r="T385" s="72"/>
      <c r="U385" s="72"/>
      <c r="V385" s="72"/>
    </row>
    <row r="386" spans="1:22" ht="27.75" customHeight="1">
      <c r="A386" s="87" t="str">
        <f>IF(ISBLANK(C386)," ",381-COUNTBLANK($C$6:C386))</f>
        <v xml:space="preserve"> </v>
      </c>
      <c r="B386" s="88"/>
      <c r="C386" s="88"/>
      <c r="D386" s="89"/>
      <c r="E386" s="89"/>
      <c r="F386" s="73"/>
      <c r="G386" s="73"/>
      <c r="H386" s="73"/>
      <c r="I386" s="73"/>
      <c r="J386" s="73"/>
      <c r="K386" s="73"/>
      <c r="L386" s="73"/>
      <c r="M386" s="74"/>
      <c r="N386" s="71" t="str">
        <f t="shared" si="5"/>
        <v/>
      </c>
      <c r="O386" s="72"/>
      <c r="P386" s="72"/>
      <c r="Q386" s="72"/>
      <c r="R386" s="72"/>
      <c r="S386" s="72"/>
      <c r="T386" s="72"/>
      <c r="U386" s="72"/>
      <c r="V386" s="72"/>
    </row>
    <row r="387" spans="1:22" ht="27.75" customHeight="1">
      <c r="A387" s="87" t="str">
        <f>IF(ISBLANK(C387)," ",382-COUNTBLANK($C$6:C387))</f>
        <v xml:space="preserve"> </v>
      </c>
      <c r="B387" s="88"/>
      <c r="C387" s="88"/>
      <c r="D387" s="89"/>
      <c r="E387" s="89"/>
      <c r="F387" s="73"/>
      <c r="G387" s="73"/>
      <c r="H387" s="73"/>
      <c r="I387" s="73"/>
      <c r="J387" s="73"/>
      <c r="K387" s="73"/>
      <c r="L387" s="73"/>
      <c r="M387" s="74"/>
      <c r="N387" s="71" t="str">
        <f t="shared" si="5"/>
        <v/>
      </c>
      <c r="O387" s="72"/>
      <c r="P387" s="72"/>
      <c r="Q387" s="72"/>
      <c r="R387" s="72"/>
      <c r="S387" s="72"/>
      <c r="T387" s="72"/>
      <c r="U387" s="72"/>
      <c r="V387" s="72"/>
    </row>
    <row r="388" spans="1:22" ht="27.75" customHeight="1">
      <c r="A388" s="87" t="str">
        <f>IF(ISBLANK(C388)," ",383-COUNTBLANK($C$6:C388))</f>
        <v xml:space="preserve"> </v>
      </c>
      <c r="B388" s="88"/>
      <c r="C388" s="88"/>
      <c r="D388" s="89"/>
      <c r="E388" s="89"/>
      <c r="F388" s="73"/>
      <c r="G388" s="73"/>
      <c r="H388" s="73"/>
      <c r="I388" s="73"/>
      <c r="J388" s="73"/>
      <c r="K388" s="73"/>
      <c r="L388" s="73"/>
      <c r="M388" s="74"/>
      <c r="N388" s="71" t="str">
        <f t="shared" si="5"/>
        <v/>
      </c>
      <c r="O388" s="72"/>
      <c r="P388" s="72"/>
      <c r="Q388" s="72"/>
      <c r="R388" s="72"/>
      <c r="S388" s="72"/>
      <c r="T388" s="72"/>
      <c r="U388" s="72"/>
      <c r="V388" s="72"/>
    </row>
    <row r="389" spans="1:22" ht="27.75" customHeight="1">
      <c r="A389" s="87" t="str">
        <f>IF(ISBLANK(C389)," ",384-COUNTBLANK($C$6:C389))</f>
        <v xml:space="preserve"> </v>
      </c>
      <c r="B389" s="88"/>
      <c r="C389" s="88"/>
      <c r="D389" s="89"/>
      <c r="E389" s="89"/>
      <c r="F389" s="73"/>
      <c r="G389" s="73"/>
      <c r="H389" s="73"/>
      <c r="I389" s="73"/>
      <c r="J389" s="73"/>
      <c r="K389" s="73"/>
      <c r="L389" s="73"/>
      <c r="M389" s="74"/>
      <c r="N389" s="71" t="str">
        <f t="shared" si="5"/>
        <v/>
      </c>
      <c r="O389" s="72"/>
      <c r="P389" s="72"/>
      <c r="Q389" s="72"/>
      <c r="R389" s="72"/>
      <c r="S389" s="72"/>
      <c r="T389" s="72"/>
      <c r="U389" s="72"/>
      <c r="V389" s="72"/>
    </row>
    <row r="390" spans="1:22" ht="27.75" customHeight="1">
      <c r="A390" s="87" t="str">
        <f>IF(ISBLANK(C390)," ",385-COUNTBLANK($C$6:C390))</f>
        <v xml:space="preserve"> </v>
      </c>
      <c r="B390" s="88"/>
      <c r="C390" s="88"/>
      <c r="D390" s="89"/>
      <c r="E390" s="89"/>
      <c r="F390" s="73"/>
      <c r="G390" s="73"/>
      <c r="H390" s="73"/>
      <c r="I390" s="73"/>
      <c r="J390" s="73"/>
      <c r="K390" s="73"/>
      <c r="L390" s="73"/>
      <c r="M390" s="74"/>
      <c r="N390" s="71" t="str">
        <f t="shared" ref="N390:N453" si="6">CONCATENATE(C390,H390)</f>
        <v/>
      </c>
      <c r="O390" s="72"/>
      <c r="P390" s="72"/>
      <c r="Q390" s="72"/>
      <c r="R390" s="72"/>
      <c r="S390" s="72"/>
      <c r="T390" s="72"/>
      <c r="U390" s="72"/>
      <c r="V390" s="72"/>
    </row>
    <row r="391" spans="1:22" ht="27.75" customHeight="1">
      <c r="A391" s="87" t="str">
        <f>IF(ISBLANK(C391)," ",386-COUNTBLANK($C$6:C391))</f>
        <v xml:space="preserve"> </v>
      </c>
      <c r="B391" s="88"/>
      <c r="C391" s="88"/>
      <c r="D391" s="89"/>
      <c r="E391" s="89"/>
      <c r="F391" s="73"/>
      <c r="G391" s="73"/>
      <c r="H391" s="73"/>
      <c r="I391" s="73"/>
      <c r="J391" s="73"/>
      <c r="K391" s="73"/>
      <c r="L391" s="73"/>
      <c r="M391" s="74"/>
      <c r="N391" s="71" t="str">
        <f t="shared" si="6"/>
        <v/>
      </c>
      <c r="O391" s="72"/>
      <c r="P391" s="72"/>
      <c r="Q391" s="72"/>
      <c r="R391" s="72"/>
      <c r="S391" s="72"/>
      <c r="T391" s="72"/>
      <c r="U391" s="72"/>
      <c r="V391" s="72"/>
    </row>
    <row r="392" spans="1:22" ht="27.75" customHeight="1">
      <c r="A392" s="87" t="str">
        <f>IF(ISBLANK(C392)," ",387-COUNTBLANK($C$6:C392))</f>
        <v xml:space="preserve"> </v>
      </c>
      <c r="B392" s="88"/>
      <c r="C392" s="88"/>
      <c r="D392" s="89"/>
      <c r="E392" s="89"/>
      <c r="F392" s="73"/>
      <c r="G392" s="73"/>
      <c r="H392" s="73"/>
      <c r="I392" s="73"/>
      <c r="J392" s="73"/>
      <c r="K392" s="73"/>
      <c r="L392" s="73"/>
      <c r="M392" s="74"/>
      <c r="N392" s="71" t="str">
        <f t="shared" si="6"/>
        <v/>
      </c>
      <c r="O392" s="72"/>
      <c r="P392" s="72"/>
      <c r="Q392" s="72"/>
      <c r="R392" s="72"/>
      <c r="S392" s="72"/>
      <c r="T392" s="72"/>
      <c r="U392" s="72"/>
      <c r="V392" s="72"/>
    </row>
    <row r="393" spans="1:22" ht="27.75" customHeight="1">
      <c r="A393" s="87" t="str">
        <f>IF(ISBLANK(C393)," ",388-COUNTBLANK($C$6:C393))</f>
        <v xml:space="preserve"> </v>
      </c>
      <c r="B393" s="88"/>
      <c r="C393" s="88"/>
      <c r="D393" s="89"/>
      <c r="E393" s="89"/>
      <c r="F393" s="73"/>
      <c r="G393" s="73"/>
      <c r="H393" s="73"/>
      <c r="I393" s="73"/>
      <c r="J393" s="73"/>
      <c r="K393" s="73"/>
      <c r="L393" s="73"/>
      <c r="M393" s="74"/>
      <c r="N393" s="71" t="str">
        <f t="shared" si="6"/>
        <v/>
      </c>
      <c r="O393" s="72"/>
      <c r="P393" s="72"/>
      <c r="Q393" s="72"/>
      <c r="R393" s="72"/>
      <c r="S393" s="72"/>
      <c r="T393" s="72"/>
      <c r="U393" s="72"/>
      <c r="V393" s="72"/>
    </row>
    <row r="394" spans="1:22" ht="27.75" customHeight="1">
      <c r="A394" s="87" t="str">
        <f>IF(ISBLANK(C394)," ",389-COUNTBLANK($C$6:C394))</f>
        <v xml:space="preserve"> </v>
      </c>
      <c r="B394" s="88"/>
      <c r="C394" s="88"/>
      <c r="D394" s="89"/>
      <c r="E394" s="89"/>
      <c r="F394" s="73"/>
      <c r="G394" s="73"/>
      <c r="H394" s="73"/>
      <c r="I394" s="73"/>
      <c r="J394" s="73"/>
      <c r="K394" s="73"/>
      <c r="L394" s="73"/>
      <c r="M394" s="74"/>
      <c r="N394" s="71" t="str">
        <f t="shared" si="6"/>
        <v/>
      </c>
      <c r="O394" s="72"/>
      <c r="P394" s="72"/>
      <c r="Q394" s="72"/>
      <c r="R394" s="72"/>
      <c r="S394" s="72"/>
      <c r="T394" s="72"/>
      <c r="U394" s="72"/>
      <c r="V394" s="72"/>
    </row>
    <row r="395" spans="1:22" ht="27.75" customHeight="1">
      <c r="A395" s="87" t="str">
        <f>IF(ISBLANK(C395)," ",390-COUNTBLANK($C$6:C395))</f>
        <v xml:space="preserve"> </v>
      </c>
      <c r="B395" s="88"/>
      <c r="C395" s="88"/>
      <c r="D395" s="89"/>
      <c r="E395" s="89"/>
      <c r="F395" s="73"/>
      <c r="G395" s="73"/>
      <c r="H395" s="73"/>
      <c r="I395" s="73"/>
      <c r="J395" s="73"/>
      <c r="K395" s="73"/>
      <c r="L395" s="73"/>
      <c r="M395" s="74"/>
      <c r="N395" s="71" t="str">
        <f t="shared" si="6"/>
        <v/>
      </c>
      <c r="O395" s="72"/>
      <c r="P395" s="72"/>
      <c r="Q395" s="72"/>
      <c r="R395" s="72"/>
      <c r="S395" s="72"/>
      <c r="T395" s="72"/>
      <c r="U395" s="72"/>
      <c r="V395" s="72"/>
    </row>
    <row r="396" spans="1:22" ht="27.75" customHeight="1">
      <c r="A396" s="87" t="str">
        <f>IF(ISBLANK(C396)," ",391-COUNTBLANK($C$6:C396))</f>
        <v xml:space="preserve"> </v>
      </c>
      <c r="B396" s="88"/>
      <c r="C396" s="88"/>
      <c r="D396" s="89"/>
      <c r="E396" s="89"/>
      <c r="F396" s="73"/>
      <c r="G396" s="73"/>
      <c r="H396" s="73"/>
      <c r="I396" s="73"/>
      <c r="J396" s="73"/>
      <c r="K396" s="73"/>
      <c r="L396" s="73"/>
      <c r="M396" s="74"/>
      <c r="N396" s="71" t="str">
        <f t="shared" si="6"/>
        <v/>
      </c>
      <c r="O396" s="72"/>
      <c r="P396" s="72"/>
      <c r="Q396" s="72"/>
      <c r="R396" s="72"/>
      <c r="S396" s="72"/>
      <c r="T396" s="72"/>
      <c r="U396" s="72"/>
      <c r="V396" s="72"/>
    </row>
    <row r="397" spans="1:22" ht="27.75" customHeight="1">
      <c r="A397" s="87" t="str">
        <f>IF(ISBLANK(C397)," ",392-COUNTBLANK($C$6:C397))</f>
        <v xml:space="preserve"> </v>
      </c>
      <c r="B397" s="88"/>
      <c r="C397" s="88"/>
      <c r="D397" s="89"/>
      <c r="E397" s="89"/>
      <c r="F397" s="73"/>
      <c r="G397" s="73"/>
      <c r="H397" s="73"/>
      <c r="I397" s="73"/>
      <c r="J397" s="73"/>
      <c r="K397" s="73"/>
      <c r="L397" s="73"/>
      <c r="M397" s="74"/>
      <c r="N397" s="71" t="str">
        <f t="shared" si="6"/>
        <v/>
      </c>
      <c r="O397" s="72"/>
      <c r="P397" s="72"/>
      <c r="Q397" s="72"/>
      <c r="R397" s="72"/>
      <c r="S397" s="72"/>
      <c r="T397" s="72"/>
      <c r="U397" s="72"/>
      <c r="V397" s="72"/>
    </row>
    <row r="398" spans="1:22" ht="27.75" customHeight="1">
      <c r="A398" s="87" t="str">
        <f>IF(ISBLANK(C398)," ",393-COUNTBLANK($C$6:C398))</f>
        <v xml:space="preserve"> </v>
      </c>
      <c r="B398" s="88"/>
      <c r="C398" s="88"/>
      <c r="D398" s="89"/>
      <c r="E398" s="89"/>
      <c r="F398" s="73"/>
      <c r="G398" s="73"/>
      <c r="H398" s="73"/>
      <c r="I398" s="73"/>
      <c r="J398" s="73"/>
      <c r="K398" s="73"/>
      <c r="L398" s="73"/>
      <c r="M398" s="74"/>
      <c r="N398" s="71" t="str">
        <f t="shared" si="6"/>
        <v/>
      </c>
      <c r="O398" s="72"/>
      <c r="P398" s="72"/>
      <c r="Q398" s="72"/>
      <c r="R398" s="72"/>
      <c r="S398" s="72"/>
      <c r="T398" s="72"/>
      <c r="U398" s="72"/>
      <c r="V398" s="72"/>
    </row>
    <row r="399" spans="1:22" ht="27.75" customHeight="1">
      <c r="A399" s="87" t="str">
        <f>IF(ISBLANK(C399)," ",394-COUNTBLANK($C$6:C399))</f>
        <v xml:space="preserve"> </v>
      </c>
      <c r="B399" s="88"/>
      <c r="C399" s="88"/>
      <c r="D399" s="89"/>
      <c r="E399" s="89"/>
      <c r="F399" s="73"/>
      <c r="G399" s="73"/>
      <c r="H399" s="73"/>
      <c r="I399" s="73"/>
      <c r="J399" s="73"/>
      <c r="K399" s="73"/>
      <c r="L399" s="73"/>
      <c r="M399" s="74"/>
      <c r="N399" s="71" t="str">
        <f t="shared" si="6"/>
        <v/>
      </c>
      <c r="O399" s="75"/>
      <c r="P399" s="72"/>
      <c r="Q399" s="72"/>
      <c r="R399" s="72"/>
      <c r="S399" s="72"/>
      <c r="T399" s="72"/>
      <c r="U399" s="72"/>
      <c r="V399" s="76"/>
    </row>
    <row r="400" spans="1:22" ht="27.75" customHeight="1">
      <c r="A400" s="87" t="str">
        <f>IF(ISBLANK(C400)," ",395-COUNTBLANK($C$6:C400))</f>
        <v xml:space="preserve"> </v>
      </c>
      <c r="B400" s="88"/>
      <c r="C400" s="88"/>
      <c r="D400" s="89"/>
      <c r="E400" s="89"/>
      <c r="F400" s="73"/>
      <c r="G400" s="73"/>
      <c r="H400" s="73"/>
      <c r="I400" s="73"/>
      <c r="J400" s="73"/>
      <c r="K400" s="73"/>
      <c r="L400" s="73"/>
      <c r="M400" s="74"/>
      <c r="N400" s="71" t="str">
        <f t="shared" si="6"/>
        <v/>
      </c>
      <c r="O400" s="75"/>
      <c r="P400" s="72"/>
      <c r="Q400" s="72"/>
      <c r="R400" s="72"/>
      <c r="S400" s="72"/>
      <c r="T400" s="72"/>
      <c r="U400" s="72"/>
      <c r="V400" s="76"/>
    </row>
    <row r="401" spans="1:25" ht="27.75" customHeight="1">
      <c r="A401" s="87" t="str">
        <f>IF(ISBLANK(C401)," ",396-COUNTBLANK($C$6:C401))</f>
        <v xml:space="preserve"> </v>
      </c>
      <c r="B401" s="88"/>
      <c r="C401" s="88"/>
      <c r="D401" s="89"/>
      <c r="E401" s="89"/>
      <c r="F401" s="73"/>
      <c r="G401" s="73"/>
      <c r="H401" s="73"/>
      <c r="I401" s="73"/>
      <c r="J401" s="73"/>
      <c r="K401" s="73"/>
      <c r="L401" s="73"/>
      <c r="M401" s="74"/>
      <c r="N401" s="71" t="str">
        <f t="shared" si="6"/>
        <v/>
      </c>
      <c r="O401" s="75"/>
      <c r="P401" s="72"/>
      <c r="Q401" s="72"/>
      <c r="R401" s="72"/>
      <c r="S401" s="72"/>
      <c r="T401" s="72"/>
      <c r="U401" s="72"/>
      <c r="V401" s="76"/>
    </row>
    <row r="402" spans="1:25" ht="27.75" customHeight="1">
      <c r="A402" s="87" t="str">
        <f>IF(ISBLANK(C402)," ",397-COUNTBLANK($C$6:C402))</f>
        <v xml:space="preserve"> </v>
      </c>
      <c r="B402" s="88"/>
      <c r="C402" s="88"/>
      <c r="D402" s="89"/>
      <c r="E402" s="89"/>
      <c r="F402" s="73"/>
      <c r="G402" s="73"/>
      <c r="H402" s="73"/>
      <c r="I402" s="73"/>
      <c r="J402" s="73"/>
      <c r="K402" s="73"/>
      <c r="L402" s="73"/>
      <c r="M402" s="74"/>
      <c r="N402" s="71" t="str">
        <f t="shared" si="6"/>
        <v/>
      </c>
      <c r="O402" s="75"/>
      <c r="P402" s="72"/>
      <c r="Q402" s="72"/>
      <c r="R402" s="72"/>
      <c r="S402" s="72"/>
      <c r="T402" s="72"/>
      <c r="U402" s="72"/>
      <c r="V402" s="76"/>
    </row>
    <row r="403" spans="1:25" ht="27.75" customHeight="1">
      <c r="A403" s="87" t="str">
        <f>IF(ISBLANK(C403)," ",398-COUNTBLANK($C$6:C403))</f>
        <v xml:space="preserve"> </v>
      </c>
      <c r="B403" s="88"/>
      <c r="C403" s="88"/>
      <c r="D403" s="89"/>
      <c r="E403" s="89"/>
      <c r="F403" s="73"/>
      <c r="G403" s="73"/>
      <c r="H403" s="73"/>
      <c r="I403" s="73"/>
      <c r="J403" s="73"/>
      <c r="K403" s="73"/>
      <c r="L403" s="73"/>
      <c r="M403" s="74"/>
      <c r="N403" s="71" t="str">
        <f t="shared" si="6"/>
        <v/>
      </c>
      <c r="O403" s="72"/>
      <c r="P403" s="72"/>
      <c r="Q403" s="72"/>
      <c r="R403" s="72"/>
      <c r="S403" s="72"/>
      <c r="T403" s="72"/>
      <c r="U403" s="72"/>
      <c r="V403" s="79"/>
      <c r="W403" s="72"/>
      <c r="X403" s="72"/>
      <c r="Y403" s="72"/>
    </row>
    <row r="404" spans="1:25" ht="27.75" customHeight="1">
      <c r="A404" s="80" t="s">
        <v>52</v>
      </c>
      <c r="B404" s="81"/>
      <c r="C404" s="96"/>
      <c r="D404" s="82"/>
      <c r="E404" s="82">
        <f>SUM(E384:E403)</f>
        <v>0</v>
      </c>
      <c r="F404" s="83"/>
      <c r="G404" s="83"/>
      <c r="H404" s="83"/>
      <c r="I404" s="83"/>
      <c r="J404" s="83"/>
      <c r="K404" s="83"/>
      <c r="L404" s="83"/>
      <c r="M404" s="84"/>
      <c r="N404" s="71" t="str">
        <f t="shared" si="6"/>
        <v/>
      </c>
      <c r="O404" s="75"/>
      <c r="P404" s="72"/>
      <c r="Q404" s="72"/>
      <c r="R404" s="72"/>
      <c r="S404" s="72"/>
      <c r="T404" s="72"/>
      <c r="U404" s="72"/>
      <c r="V404" s="79"/>
      <c r="W404" s="72"/>
      <c r="X404" s="72"/>
      <c r="Y404" s="72"/>
    </row>
    <row r="405" spans="1:25" ht="27.75" customHeight="1">
      <c r="A405" s="93" t="str">
        <f>IF(ISBLANK(C405)," ",400-COUNTBLANK($C$6:C405))</f>
        <v xml:space="preserve"> </v>
      </c>
      <c r="B405" s="94"/>
      <c r="C405" s="94"/>
      <c r="D405" s="95"/>
      <c r="E405" s="95"/>
      <c r="F405" s="85"/>
      <c r="G405" s="85"/>
      <c r="H405" s="85"/>
      <c r="I405" s="85"/>
      <c r="J405" s="85"/>
      <c r="K405" s="85"/>
      <c r="L405" s="85"/>
      <c r="M405" s="86"/>
      <c r="N405" s="71" t="str">
        <f t="shared" si="6"/>
        <v/>
      </c>
      <c r="O405" s="72"/>
      <c r="P405" s="72"/>
      <c r="Q405" s="72"/>
      <c r="R405" s="72"/>
      <c r="S405" s="72"/>
      <c r="T405" s="72"/>
      <c r="U405" s="72"/>
      <c r="V405" s="72"/>
    </row>
    <row r="406" spans="1:25" ht="27.75" customHeight="1">
      <c r="A406" s="87" t="str">
        <f>IF(ISBLANK(C406)," ",401-COUNTBLANK($C$6:C406))</f>
        <v xml:space="preserve"> </v>
      </c>
      <c r="B406" s="88"/>
      <c r="C406" s="88"/>
      <c r="D406" s="89"/>
      <c r="E406" s="89"/>
      <c r="F406" s="73"/>
      <c r="G406" s="73"/>
      <c r="H406" s="73"/>
      <c r="I406" s="73"/>
      <c r="J406" s="73"/>
      <c r="K406" s="73"/>
      <c r="L406" s="73"/>
      <c r="M406" s="74"/>
      <c r="N406" s="71" t="str">
        <f t="shared" si="6"/>
        <v/>
      </c>
      <c r="O406" s="72"/>
      <c r="P406" s="72"/>
      <c r="Q406" s="72"/>
      <c r="R406" s="72"/>
      <c r="S406" s="72"/>
      <c r="T406" s="72"/>
      <c r="U406" s="72"/>
      <c r="V406" s="72"/>
    </row>
    <row r="407" spans="1:25" ht="27.75" customHeight="1">
      <c r="A407" s="87" t="str">
        <f>IF(ISBLANK(C407)," ",402-COUNTBLANK($C$6:C407))</f>
        <v xml:space="preserve"> </v>
      </c>
      <c r="B407" s="88"/>
      <c r="C407" s="88"/>
      <c r="D407" s="89"/>
      <c r="E407" s="89"/>
      <c r="F407" s="73"/>
      <c r="G407" s="73"/>
      <c r="H407" s="73"/>
      <c r="I407" s="73"/>
      <c r="J407" s="73"/>
      <c r="K407" s="73"/>
      <c r="L407" s="73"/>
      <c r="M407" s="74"/>
      <c r="N407" s="71" t="str">
        <f t="shared" si="6"/>
        <v/>
      </c>
      <c r="O407" s="72"/>
      <c r="P407" s="72"/>
      <c r="Q407" s="72"/>
      <c r="R407" s="72"/>
      <c r="S407" s="72"/>
      <c r="T407" s="72"/>
      <c r="U407" s="72"/>
      <c r="V407" s="72"/>
    </row>
    <row r="408" spans="1:25" ht="27.75" customHeight="1">
      <c r="A408" s="87" t="str">
        <f>IF(ISBLANK(C408)," ",403-COUNTBLANK($C$6:C408))</f>
        <v xml:space="preserve"> </v>
      </c>
      <c r="B408" s="88"/>
      <c r="C408" s="88"/>
      <c r="D408" s="89"/>
      <c r="E408" s="89"/>
      <c r="F408" s="73"/>
      <c r="G408" s="73"/>
      <c r="H408" s="73"/>
      <c r="I408" s="73"/>
      <c r="J408" s="73"/>
      <c r="K408" s="73"/>
      <c r="L408" s="73"/>
      <c r="M408" s="74"/>
      <c r="N408" s="71" t="str">
        <f t="shared" si="6"/>
        <v/>
      </c>
      <c r="O408" s="72"/>
      <c r="P408" s="72"/>
      <c r="Q408" s="72"/>
      <c r="R408" s="72"/>
      <c r="S408" s="72"/>
      <c r="T408" s="72"/>
      <c r="U408" s="72"/>
      <c r="V408" s="72"/>
    </row>
    <row r="409" spans="1:25" ht="27.75" customHeight="1">
      <c r="A409" s="87" t="str">
        <f>IF(ISBLANK(C409)," ",404-COUNTBLANK($C$6:C409))</f>
        <v xml:space="preserve"> </v>
      </c>
      <c r="B409" s="88"/>
      <c r="C409" s="88"/>
      <c r="D409" s="89"/>
      <c r="E409" s="89"/>
      <c r="F409" s="73"/>
      <c r="G409" s="73"/>
      <c r="H409" s="73"/>
      <c r="I409" s="73"/>
      <c r="J409" s="73"/>
      <c r="K409" s="73"/>
      <c r="L409" s="73"/>
      <c r="M409" s="74"/>
      <c r="N409" s="71" t="str">
        <f t="shared" si="6"/>
        <v/>
      </c>
      <c r="O409" s="72"/>
      <c r="P409" s="72"/>
      <c r="Q409" s="72"/>
      <c r="R409" s="72"/>
      <c r="S409" s="72"/>
      <c r="T409" s="72"/>
      <c r="U409" s="72"/>
      <c r="V409" s="72"/>
    </row>
    <row r="410" spans="1:25" ht="27.75" customHeight="1">
      <c r="A410" s="87" t="str">
        <f>IF(ISBLANK(C410)," ",405-COUNTBLANK($C$6:C410))</f>
        <v xml:space="preserve"> </v>
      </c>
      <c r="B410" s="88"/>
      <c r="C410" s="88"/>
      <c r="D410" s="89"/>
      <c r="E410" s="89"/>
      <c r="F410" s="73"/>
      <c r="G410" s="73"/>
      <c r="H410" s="73"/>
      <c r="I410" s="73"/>
      <c r="J410" s="73"/>
      <c r="K410" s="73"/>
      <c r="L410" s="73"/>
      <c r="M410" s="74"/>
      <c r="N410" s="71" t="str">
        <f t="shared" si="6"/>
        <v/>
      </c>
      <c r="O410" s="72"/>
      <c r="P410" s="72"/>
      <c r="Q410" s="72"/>
      <c r="R410" s="72"/>
      <c r="S410" s="72"/>
      <c r="T410" s="72"/>
      <c r="U410" s="72"/>
      <c r="V410" s="72"/>
    </row>
    <row r="411" spans="1:25" ht="27.75" customHeight="1">
      <c r="A411" s="87" t="str">
        <f>IF(ISBLANK(C411)," ",406-COUNTBLANK($C$6:C411))</f>
        <v xml:space="preserve"> </v>
      </c>
      <c r="B411" s="88"/>
      <c r="C411" s="88"/>
      <c r="D411" s="89"/>
      <c r="E411" s="89"/>
      <c r="F411" s="73"/>
      <c r="G411" s="73"/>
      <c r="H411" s="73"/>
      <c r="I411" s="73"/>
      <c r="J411" s="73"/>
      <c r="K411" s="73"/>
      <c r="L411" s="73"/>
      <c r="M411" s="74"/>
      <c r="N411" s="71" t="str">
        <f t="shared" si="6"/>
        <v/>
      </c>
      <c r="O411" s="72"/>
      <c r="P411" s="72"/>
      <c r="Q411" s="72"/>
      <c r="R411" s="72"/>
      <c r="S411" s="72"/>
      <c r="T411" s="72"/>
      <c r="U411" s="72"/>
      <c r="V411" s="72"/>
    </row>
    <row r="412" spans="1:25" ht="27.75" customHeight="1">
      <c r="A412" s="87" t="str">
        <f>IF(ISBLANK(C412)," ",407-COUNTBLANK($C$6:C412))</f>
        <v xml:space="preserve"> </v>
      </c>
      <c r="B412" s="88"/>
      <c r="C412" s="88"/>
      <c r="D412" s="89"/>
      <c r="E412" s="89"/>
      <c r="F412" s="73"/>
      <c r="G412" s="73"/>
      <c r="H412" s="73"/>
      <c r="I412" s="73"/>
      <c r="J412" s="73"/>
      <c r="K412" s="73"/>
      <c r="L412" s="73"/>
      <c r="M412" s="74"/>
      <c r="N412" s="71" t="str">
        <f t="shared" si="6"/>
        <v/>
      </c>
      <c r="O412" s="72"/>
      <c r="P412" s="72"/>
      <c r="Q412" s="72"/>
      <c r="R412" s="72"/>
      <c r="S412" s="72"/>
      <c r="T412" s="72"/>
      <c r="U412" s="72"/>
      <c r="V412" s="72"/>
    </row>
    <row r="413" spans="1:25" ht="27.75" customHeight="1">
      <c r="A413" s="87" t="str">
        <f>IF(ISBLANK(C413)," ",408-COUNTBLANK($C$6:C413))</f>
        <v xml:space="preserve"> </v>
      </c>
      <c r="B413" s="88"/>
      <c r="C413" s="88"/>
      <c r="D413" s="89"/>
      <c r="E413" s="89"/>
      <c r="F413" s="73"/>
      <c r="G413" s="73"/>
      <c r="H413" s="73"/>
      <c r="I413" s="73"/>
      <c r="J413" s="73"/>
      <c r="K413" s="73"/>
      <c r="L413" s="73"/>
      <c r="M413" s="74"/>
      <c r="N413" s="71" t="str">
        <f t="shared" si="6"/>
        <v/>
      </c>
      <c r="O413" s="72"/>
      <c r="P413" s="72"/>
      <c r="Q413" s="72"/>
      <c r="R413" s="72"/>
      <c r="S413" s="72"/>
      <c r="T413" s="72"/>
      <c r="U413" s="72"/>
      <c r="V413" s="72"/>
    </row>
    <row r="414" spans="1:25" ht="27.75" customHeight="1">
      <c r="A414" s="87" t="str">
        <f>IF(ISBLANK(C414)," ",409-COUNTBLANK($C$6:C414))</f>
        <v xml:space="preserve"> </v>
      </c>
      <c r="B414" s="88"/>
      <c r="C414" s="88"/>
      <c r="D414" s="89"/>
      <c r="E414" s="89"/>
      <c r="F414" s="73"/>
      <c r="G414" s="73"/>
      <c r="H414" s="73"/>
      <c r="I414" s="73"/>
      <c r="J414" s="73"/>
      <c r="K414" s="73"/>
      <c r="L414" s="73"/>
      <c r="M414" s="74"/>
      <c r="N414" s="71" t="str">
        <f t="shared" si="6"/>
        <v/>
      </c>
      <c r="O414" s="72"/>
      <c r="P414" s="72"/>
      <c r="Q414" s="72"/>
      <c r="R414" s="72"/>
      <c r="S414" s="72"/>
      <c r="T414" s="72"/>
      <c r="U414" s="72"/>
      <c r="V414" s="72"/>
    </row>
    <row r="415" spans="1:25" ht="27.75" customHeight="1">
      <c r="A415" s="87" t="str">
        <f>IF(ISBLANK(C415)," ",410-COUNTBLANK($C$6:C415))</f>
        <v xml:space="preserve"> </v>
      </c>
      <c r="B415" s="88"/>
      <c r="C415" s="88"/>
      <c r="D415" s="89"/>
      <c r="E415" s="89"/>
      <c r="F415" s="73"/>
      <c r="G415" s="73"/>
      <c r="H415" s="73"/>
      <c r="I415" s="73"/>
      <c r="J415" s="73"/>
      <c r="K415" s="73"/>
      <c r="L415" s="73"/>
      <c r="M415" s="74"/>
      <c r="N415" s="71" t="str">
        <f t="shared" si="6"/>
        <v/>
      </c>
      <c r="O415" s="72"/>
      <c r="P415" s="72"/>
      <c r="Q415" s="72"/>
      <c r="R415" s="72"/>
      <c r="S415" s="72"/>
      <c r="T415" s="72"/>
      <c r="U415" s="72"/>
      <c r="V415" s="72"/>
    </row>
    <row r="416" spans="1:25" ht="27.75" customHeight="1">
      <c r="A416" s="87" t="str">
        <f>IF(ISBLANK(C416)," ",411-COUNTBLANK($C$6:C416))</f>
        <v xml:space="preserve"> </v>
      </c>
      <c r="B416" s="88"/>
      <c r="C416" s="88"/>
      <c r="D416" s="89"/>
      <c r="E416" s="89"/>
      <c r="F416" s="73"/>
      <c r="G416" s="73"/>
      <c r="H416" s="73"/>
      <c r="I416" s="73"/>
      <c r="J416" s="73"/>
      <c r="K416" s="73"/>
      <c r="L416" s="73"/>
      <c r="M416" s="74"/>
      <c r="N416" s="71" t="str">
        <f t="shared" si="6"/>
        <v/>
      </c>
      <c r="O416" s="72"/>
      <c r="P416" s="72"/>
      <c r="Q416" s="72"/>
      <c r="R416" s="72"/>
      <c r="S416" s="72"/>
      <c r="T416" s="72"/>
      <c r="U416" s="72"/>
      <c r="V416" s="72"/>
    </row>
    <row r="417" spans="1:25" ht="27.75" customHeight="1">
      <c r="A417" s="87" t="str">
        <f>IF(ISBLANK(C417)," ",412-COUNTBLANK($C$6:C417))</f>
        <v xml:space="preserve"> </v>
      </c>
      <c r="B417" s="88"/>
      <c r="C417" s="88"/>
      <c r="D417" s="89"/>
      <c r="E417" s="89"/>
      <c r="F417" s="73"/>
      <c r="G417" s="73"/>
      <c r="H417" s="73"/>
      <c r="I417" s="73"/>
      <c r="J417" s="73"/>
      <c r="K417" s="73"/>
      <c r="L417" s="73"/>
      <c r="M417" s="74"/>
      <c r="N417" s="71" t="str">
        <f t="shared" si="6"/>
        <v/>
      </c>
      <c r="O417" s="72"/>
      <c r="P417" s="72"/>
      <c r="Q417" s="72"/>
      <c r="R417" s="72"/>
      <c r="S417" s="72"/>
      <c r="T417" s="72"/>
      <c r="U417" s="72"/>
      <c r="V417" s="72"/>
    </row>
    <row r="418" spans="1:25" ht="27.75" customHeight="1">
      <c r="A418" s="87" t="str">
        <f>IF(ISBLANK(C418)," ",413-COUNTBLANK($C$6:C418))</f>
        <v xml:space="preserve"> </v>
      </c>
      <c r="B418" s="88"/>
      <c r="C418" s="88"/>
      <c r="D418" s="89"/>
      <c r="E418" s="89"/>
      <c r="F418" s="73"/>
      <c r="G418" s="73"/>
      <c r="H418" s="73"/>
      <c r="I418" s="73"/>
      <c r="J418" s="73"/>
      <c r="K418" s="73"/>
      <c r="L418" s="73"/>
      <c r="M418" s="74"/>
      <c r="N418" s="71" t="str">
        <f t="shared" si="6"/>
        <v/>
      </c>
      <c r="O418" s="72"/>
      <c r="P418" s="72"/>
      <c r="Q418" s="72"/>
      <c r="R418" s="72"/>
      <c r="S418" s="72"/>
      <c r="T418" s="72"/>
      <c r="U418" s="72"/>
      <c r="V418" s="72"/>
    </row>
    <row r="419" spans="1:25" ht="27.75" customHeight="1">
      <c r="A419" s="87" t="str">
        <f>IF(ISBLANK(C419)," ",414-COUNTBLANK($C$6:C419))</f>
        <v xml:space="preserve"> </v>
      </c>
      <c r="B419" s="88"/>
      <c r="C419" s="88"/>
      <c r="D419" s="89"/>
      <c r="E419" s="89"/>
      <c r="F419" s="73"/>
      <c r="G419" s="73"/>
      <c r="H419" s="73"/>
      <c r="I419" s="73"/>
      <c r="J419" s="73"/>
      <c r="K419" s="73"/>
      <c r="L419" s="73"/>
      <c r="M419" s="74"/>
      <c r="N419" s="71" t="str">
        <f t="shared" si="6"/>
        <v/>
      </c>
      <c r="O419" s="72"/>
      <c r="P419" s="72"/>
      <c r="Q419" s="72"/>
      <c r="R419" s="72"/>
      <c r="S419" s="72"/>
      <c r="T419" s="72"/>
      <c r="U419" s="72"/>
      <c r="V419" s="72"/>
    </row>
    <row r="420" spans="1:25" ht="27.75" customHeight="1">
      <c r="A420" s="87" t="str">
        <f>IF(ISBLANK(C420)," ",415-COUNTBLANK($C$6:C420))</f>
        <v xml:space="preserve"> </v>
      </c>
      <c r="B420" s="88"/>
      <c r="C420" s="88"/>
      <c r="D420" s="89"/>
      <c r="E420" s="89"/>
      <c r="F420" s="73"/>
      <c r="G420" s="73"/>
      <c r="H420" s="73"/>
      <c r="I420" s="73"/>
      <c r="J420" s="73"/>
      <c r="K420" s="73"/>
      <c r="L420" s="73"/>
      <c r="M420" s="74"/>
      <c r="N420" s="71" t="str">
        <f t="shared" si="6"/>
        <v/>
      </c>
      <c r="O420" s="75"/>
      <c r="P420" s="72"/>
      <c r="Q420" s="72"/>
      <c r="R420" s="72"/>
      <c r="S420" s="72"/>
      <c r="T420" s="72"/>
      <c r="U420" s="72"/>
      <c r="V420" s="76"/>
    </row>
    <row r="421" spans="1:25" ht="27.75" customHeight="1">
      <c r="A421" s="87" t="str">
        <f>IF(ISBLANK(C421)," ",416-COUNTBLANK($C$6:C421))</f>
        <v xml:space="preserve"> </v>
      </c>
      <c r="B421" s="88"/>
      <c r="C421" s="88"/>
      <c r="D421" s="89"/>
      <c r="E421" s="89"/>
      <c r="F421" s="73"/>
      <c r="G421" s="73"/>
      <c r="H421" s="73"/>
      <c r="I421" s="73"/>
      <c r="J421" s="73"/>
      <c r="K421" s="73"/>
      <c r="L421" s="73"/>
      <c r="M421" s="74"/>
      <c r="N421" s="71" t="str">
        <f t="shared" si="6"/>
        <v/>
      </c>
      <c r="O421" s="75"/>
      <c r="P421" s="72"/>
      <c r="Q421" s="72"/>
      <c r="R421" s="72"/>
      <c r="S421" s="72"/>
      <c r="T421" s="72"/>
      <c r="U421" s="72"/>
      <c r="V421" s="76"/>
    </row>
    <row r="422" spans="1:25" ht="27.75" customHeight="1">
      <c r="A422" s="87" t="str">
        <f>IF(ISBLANK(C422)," ",417-COUNTBLANK($C$6:C422))</f>
        <v xml:space="preserve"> </v>
      </c>
      <c r="B422" s="88"/>
      <c r="C422" s="88"/>
      <c r="D422" s="89"/>
      <c r="E422" s="89"/>
      <c r="F422" s="73"/>
      <c r="G422" s="73"/>
      <c r="H422" s="73"/>
      <c r="I422" s="73"/>
      <c r="J422" s="73"/>
      <c r="K422" s="73"/>
      <c r="L422" s="73"/>
      <c r="M422" s="74"/>
      <c r="N422" s="71" t="str">
        <f t="shared" si="6"/>
        <v/>
      </c>
      <c r="O422" s="75"/>
      <c r="P422" s="72"/>
      <c r="Q422" s="72"/>
      <c r="R422" s="72"/>
      <c r="S422" s="72"/>
      <c r="T422" s="72"/>
      <c r="U422" s="72"/>
      <c r="V422" s="76"/>
    </row>
    <row r="423" spans="1:25" ht="27.75" customHeight="1">
      <c r="A423" s="87" t="str">
        <f>IF(ISBLANK(C423)," ",418-COUNTBLANK($C$6:C423))</f>
        <v xml:space="preserve"> </v>
      </c>
      <c r="B423" s="88"/>
      <c r="C423" s="88"/>
      <c r="D423" s="89"/>
      <c r="E423" s="89"/>
      <c r="F423" s="73"/>
      <c r="G423" s="73"/>
      <c r="H423" s="73"/>
      <c r="I423" s="73"/>
      <c r="J423" s="73"/>
      <c r="K423" s="73"/>
      <c r="L423" s="73"/>
      <c r="M423" s="74"/>
      <c r="N423" s="71" t="str">
        <f t="shared" si="6"/>
        <v/>
      </c>
      <c r="O423" s="75"/>
      <c r="P423" s="72"/>
      <c r="Q423" s="72"/>
      <c r="R423" s="72"/>
      <c r="S423" s="72"/>
      <c r="T423" s="72"/>
      <c r="U423" s="72"/>
      <c r="V423" s="76"/>
    </row>
    <row r="424" spans="1:25" ht="27.75" customHeight="1">
      <c r="A424" s="87" t="str">
        <f>IF(ISBLANK(C424)," ",419-COUNTBLANK($C$6:C424))</f>
        <v xml:space="preserve"> </v>
      </c>
      <c r="B424" s="88"/>
      <c r="C424" s="88"/>
      <c r="D424" s="89"/>
      <c r="E424" s="89"/>
      <c r="F424" s="73"/>
      <c r="G424" s="73"/>
      <c r="H424" s="73"/>
      <c r="I424" s="73"/>
      <c r="J424" s="73"/>
      <c r="K424" s="73"/>
      <c r="L424" s="73"/>
      <c r="M424" s="74"/>
      <c r="N424" s="71" t="str">
        <f t="shared" si="6"/>
        <v/>
      </c>
      <c r="O424" s="72"/>
      <c r="P424" s="72"/>
      <c r="Q424" s="72"/>
      <c r="R424" s="72"/>
      <c r="S424" s="72"/>
      <c r="T424" s="72"/>
      <c r="U424" s="72"/>
      <c r="V424" s="79"/>
      <c r="W424" s="72"/>
      <c r="X424" s="72"/>
      <c r="Y424" s="72"/>
    </row>
    <row r="425" spans="1:25" ht="27.75" customHeight="1">
      <c r="A425" s="80" t="s">
        <v>52</v>
      </c>
      <c r="B425" s="81"/>
      <c r="C425" s="96"/>
      <c r="D425" s="82"/>
      <c r="E425" s="82">
        <f>SUM(E405:E424)</f>
        <v>0</v>
      </c>
      <c r="F425" s="83"/>
      <c r="G425" s="83"/>
      <c r="H425" s="83"/>
      <c r="I425" s="83"/>
      <c r="J425" s="83"/>
      <c r="K425" s="83"/>
      <c r="L425" s="83"/>
      <c r="M425" s="84"/>
      <c r="N425" s="71" t="str">
        <f t="shared" si="6"/>
        <v/>
      </c>
      <c r="O425" s="75"/>
      <c r="P425" s="72"/>
      <c r="Q425" s="72"/>
      <c r="R425" s="72"/>
      <c r="S425" s="72"/>
      <c r="T425" s="72"/>
      <c r="U425" s="72"/>
      <c r="V425" s="79"/>
      <c r="W425" s="72"/>
      <c r="X425" s="72"/>
      <c r="Y425" s="72"/>
    </row>
    <row r="426" spans="1:25" ht="27.75" customHeight="1">
      <c r="A426" s="93" t="str">
        <f>IF(ISBLANK(C426)," ",421-COUNTBLANK($C$6:C426))</f>
        <v xml:space="preserve"> </v>
      </c>
      <c r="B426" s="94"/>
      <c r="C426" s="94"/>
      <c r="D426" s="95"/>
      <c r="E426" s="95"/>
      <c r="F426" s="85"/>
      <c r="G426" s="85"/>
      <c r="H426" s="85"/>
      <c r="I426" s="85"/>
      <c r="J426" s="85"/>
      <c r="K426" s="85"/>
      <c r="L426" s="85"/>
      <c r="M426" s="86"/>
      <c r="N426" s="71" t="str">
        <f t="shared" si="6"/>
        <v/>
      </c>
      <c r="O426" s="72"/>
      <c r="P426" s="72"/>
      <c r="Q426" s="72"/>
      <c r="R426" s="72"/>
      <c r="S426" s="72"/>
      <c r="T426" s="72"/>
      <c r="U426" s="72"/>
      <c r="V426" s="72"/>
    </row>
    <row r="427" spans="1:25" ht="27.75" customHeight="1">
      <c r="A427" s="87" t="str">
        <f>IF(ISBLANK(C427)," ",422-COUNTBLANK($C$6:C427))</f>
        <v xml:space="preserve"> </v>
      </c>
      <c r="B427" s="88"/>
      <c r="C427" s="88"/>
      <c r="D427" s="89"/>
      <c r="E427" s="89"/>
      <c r="F427" s="73"/>
      <c r="G427" s="73"/>
      <c r="H427" s="73"/>
      <c r="I427" s="73"/>
      <c r="J427" s="73"/>
      <c r="K427" s="73"/>
      <c r="L427" s="73"/>
      <c r="M427" s="74"/>
      <c r="N427" s="71" t="str">
        <f t="shared" si="6"/>
        <v/>
      </c>
      <c r="O427" s="72"/>
      <c r="P427" s="72"/>
      <c r="Q427" s="72"/>
      <c r="R427" s="72"/>
      <c r="S427" s="72"/>
      <c r="T427" s="72"/>
      <c r="U427" s="72"/>
      <c r="V427" s="72"/>
    </row>
    <row r="428" spans="1:25" ht="27.75" customHeight="1">
      <c r="A428" s="87" t="str">
        <f>IF(ISBLANK(C428)," ",423-COUNTBLANK($C$6:C428))</f>
        <v xml:space="preserve"> </v>
      </c>
      <c r="B428" s="88"/>
      <c r="C428" s="88"/>
      <c r="D428" s="89"/>
      <c r="E428" s="89"/>
      <c r="F428" s="73"/>
      <c r="G428" s="73"/>
      <c r="H428" s="73"/>
      <c r="I428" s="73"/>
      <c r="J428" s="73"/>
      <c r="K428" s="73"/>
      <c r="L428" s="73"/>
      <c r="M428" s="74"/>
      <c r="N428" s="71" t="str">
        <f t="shared" si="6"/>
        <v/>
      </c>
      <c r="O428" s="72"/>
      <c r="P428" s="72"/>
      <c r="Q428" s="72"/>
      <c r="R428" s="72"/>
      <c r="S428" s="72"/>
      <c r="T428" s="72"/>
      <c r="U428" s="72"/>
      <c r="V428" s="72"/>
    </row>
    <row r="429" spans="1:25" ht="27.75" customHeight="1">
      <c r="A429" s="87" t="str">
        <f>IF(ISBLANK(C429)," ",424-COUNTBLANK($C$6:C429))</f>
        <v xml:space="preserve"> </v>
      </c>
      <c r="B429" s="88"/>
      <c r="C429" s="88"/>
      <c r="D429" s="89"/>
      <c r="E429" s="89"/>
      <c r="F429" s="73"/>
      <c r="G429" s="73"/>
      <c r="H429" s="73"/>
      <c r="I429" s="73"/>
      <c r="J429" s="73"/>
      <c r="K429" s="73"/>
      <c r="L429" s="73"/>
      <c r="M429" s="74"/>
      <c r="N429" s="71" t="str">
        <f t="shared" si="6"/>
        <v/>
      </c>
      <c r="O429" s="72"/>
      <c r="P429" s="72"/>
      <c r="Q429" s="72"/>
      <c r="R429" s="72"/>
      <c r="S429" s="72"/>
      <c r="T429" s="72"/>
      <c r="U429" s="72"/>
      <c r="V429" s="72"/>
    </row>
    <row r="430" spans="1:25" ht="27.75" customHeight="1">
      <c r="A430" s="87" t="str">
        <f>IF(ISBLANK(C430)," ",425-COUNTBLANK($C$6:C430))</f>
        <v xml:space="preserve"> </v>
      </c>
      <c r="B430" s="88"/>
      <c r="C430" s="88"/>
      <c r="D430" s="89"/>
      <c r="E430" s="89"/>
      <c r="F430" s="73"/>
      <c r="G430" s="73"/>
      <c r="H430" s="73"/>
      <c r="I430" s="73"/>
      <c r="J430" s="73"/>
      <c r="K430" s="73"/>
      <c r="L430" s="73"/>
      <c r="M430" s="74"/>
      <c r="N430" s="71" t="str">
        <f t="shared" si="6"/>
        <v/>
      </c>
      <c r="O430" s="72"/>
      <c r="P430" s="72"/>
      <c r="Q430" s="72"/>
      <c r="R430" s="72"/>
      <c r="S430" s="72"/>
      <c r="T430" s="72"/>
      <c r="U430" s="72"/>
      <c r="V430" s="72"/>
    </row>
    <row r="431" spans="1:25" ht="27.75" customHeight="1">
      <c r="A431" s="87" t="str">
        <f>IF(ISBLANK(C431)," ",426-COUNTBLANK($C$6:C431))</f>
        <v xml:space="preserve"> </v>
      </c>
      <c r="B431" s="88"/>
      <c r="C431" s="88"/>
      <c r="D431" s="89"/>
      <c r="E431" s="89"/>
      <c r="F431" s="73"/>
      <c r="G431" s="73"/>
      <c r="H431" s="73"/>
      <c r="I431" s="73"/>
      <c r="J431" s="73"/>
      <c r="K431" s="73"/>
      <c r="L431" s="73"/>
      <c r="M431" s="74"/>
      <c r="N431" s="71" t="str">
        <f t="shared" si="6"/>
        <v/>
      </c>
      <c r="O431" s="72"/>
      <c r="P431" s="72"/>
      <c r="Q431" s="72"/>
      <c r="R431" s="72"/>
      <c r="S431" s="72"/>
      <c r="T431" s="72"/>
      <c r="U431" s="72"/>
      <c r="V431" s="72"/>
    </row>
    <row r="432" spans="1:25" ht="27.75" customHeight="1">
      <c r="A432" s="87" t="str">
        <f>IF(ISBLANK(C432)," ",427-COUNTBLANK($C$6:C432))</f>
        <v xml:space="preserve"> </v>
      </c>
      <c r="B432" s="88"/>
      <c r="C432" s="88"/>
      <c r="D432" s="89"/>
      <c r="E432" s="89"/>
      <c r="F432" s="73"/>
      <c r="G432" s="73"/>
      <c r="H432" s="73"/>
      <c r="I432" s="73"/>
      <c r="J432" s="73"/>
      <c r="K432" s="73"/>
      <c r="L432" s="73"/>
      <c r="M432" s="74"/>
      <c r="N432" s="71" t="str">
        <f t="shared" si="6"/>
        <v/>
      </c>
      <c r="O432" s="72"/>
      <c r="P432" s="72"/>
      <c r="Q432" s="72"/>
      <c r="R432" s="72"/>
      <c r="S432" s="72"/>
      <c r="T432" s="72"/>
      <c r="U432" s="72"/>
      <c r="V432" s="72"/>
    </row>
    <row r="433" spans="1:25" ht="27.75" customHeight="1">
      <c r="A433" s="87" t="str">
        <f>IF(ISBLANK(C433)," ",428-COUNTBLANK($C$6:C433))</f>
        <v xml:space="preserve"> </v>
      </c>
      <c r="B433" s="88"/>
      <c r="C433" s="88"/>
      <c r="D433" s="89"/>
      <c r="E433" s="89"/>
      <c r="F433" s="73"/>
      <c r="G433" s="73"/>
      <c r="H433" s="73"/>
      <c r="I433" s="73"/>
      <c r="J433" s="73"/>
      <c r="K433" s="73"/>
      <c r="L433" s="73"/>
      <c r="M433" s="74"/>
      <c r="N433" s="71" t="str">
        <f t="shared" si="6"/>
        <v/>
      </c>
      <c r="O433" s="72"/>
      <c r="P433" s="72"/>
      <c r="Q433" s="72"/>
      <c r="R433" s="72"/>
      <c r="S433" s="72"/>
      <c r="T433" s="72"/>
      <c r="U433" s="72"/>
      <c r="V433" s="72"/>
    </row>
    <row r="434" spans="1:25" ht="27.75" customHeight="1">
      <c r="A434" s="87" t="str">
        <f>IF(ISBLANK(C434)," ",429-COUNTBLANK($C$6:C434))</f>
        <v xml:space="preserve"> </v>
      </c>
      <c r="B434" s="88"/>
      <c r="C434" s="88"/>
      <c r="D434" s="89"/>
      <c r="E434" s="89"/>
      <c r="F434" s="73"/>
      <c r="G434" s="73"/>
      <c r="H434" s="73"/>
      <c r="I434" s="73"/>
      <c r="J434" s="73"/>
      <c r="K434" s="73"/>
      <c r="L434" s="73"/>
      <c r="M434" s="74"/>
      <c r="N434" s="71" t="str">
        <f t="shared" si="6"/>
        <v/>
      </c>
      <c r="O434" s="72"/>
      <c r="P434" s="72"/>
      <c r="Q434" s="72"/>
      <c r="R434" s="72"/>
      <c r="S434" s="72"/>
      <c r="T434" s="72"/>
      <c r="U434" s="72"/>
      <c r="V434" s="72"/>
    </row>
    <row r="435" spans="1:25" ht="27.75" customHeight="1">
      <c r="A435" s="87" t="str">
        <f>IF(ISBLANK(C435)," ",430-COUNTBLANK($C$6:C435))</f>
        <v xml:space="preserve"> </v>
      </c>
      <c r="B435" s="88"/>
      <c r="C435" s="88"/>
      <c r="D435" s="89"/>
      <c r="E435" s="89"/>
      <c r="F435" s="73"/>
      <c r="G435" s="73"/>
      <c r="H435" s="73"/>
      <c r="I435" s="73"/>
      <c r="J435" s="73"/>
      <c r="K435" s="73"/>
      <c r="L435" s="73"/>
      <c r="M435" s="74"/>
      <c r="N435" s="71" t="str">
        <f t="shared" si="6"/>
        <v/>
      </c>
      <c r="O435" s="72"/>
      <c r="P435" s="72"/>
      <c r="Q435" s="72"/>
      <c r="R435" s="72"/>
      <c r="S435" s="72"/>
      <c r="T435" s="72"/>
      <c r="U435" s="72"/>
      <c r="V435" s="72"/>
    </row>
    <row r="436" spans="1:25" ht="27.75" customHeight="1">
      <c r="A436" s="87" t="str">
        <f>IF(ISBLANK(C436)," ",431-COUNTBLANK($C$6:C436))</f>
        <v xml:space="preserve"> </v>
      </c>
      <c r="B436" s="88"/>
      <c r="C436" s="88"/>
      <c r="D436" s="89"/>
      <c r="E436" s="89"/>
      <c r="F436" s="73"/>
      <c r="G436" s="73"/>
      <c r="H436" s="73"/>
      <c r="I436" s="73"/>
      <c r="J436" s="73"/>
      <c r="K436" s="73"/>
      <c r="L436" s="73"/>
      <c r="M436" s="74"/>
      <c r="N436" s="71" t="str">
        <f t="shared" si="6"/>
        <v/>
      </c>
      <c r="O436" s="72"/>
      <c r="P436" s="72"/>
      <c r="Q436" s="72"/>
      <c r="R436" s="72"/>
      <c r="S436" s="72"/>
      <c r="T436" s="72"/>
      <c r="U436" s="72"/>
      <c r="V436" s="72"/>
    </row>
    <row r="437" spans="1:25" ht="27.75" customHeight="1">
      <c r="A437" s="87" t="str">
        <f>IF(ISBLANK(C437)," ",432-COUNTBLANK($C$6:C437))</f>
        <v xml:space="preserve"> </v>
      </c>
      <c r="B437" s="88"/>
      <c r="C437" s="88"/>
      <c r="D437" s="89"/>
      <c r="E437" s="89"/>
      <c r="F437" s="73"/>
      <c r="G437" s="73"/>
      <c r="H437" s="73"/>
      <c r="I437" s="73"/>
      <c r="J437" s="73"/>
      <c r="K437" s="73"/>
      <c r="L437" s="73"/>
      <c r="M437" s="74"/>
      <c r="N437" s="71" t="str">
        <f t="shared" si="6"/>
        <v/>
      </c>
      <c r="O437" s="72"/>
      <c r="P437" s="72"/>
      <c r="Q437" s="72"/>
      <c r="R437" s="72"/>
      <c r="S437" s="72"/>
      <c r="T437" s="72"/>
      <c r="U437" s="72"/>
      <c r="V437" s="72"/>
    </row>
    <row r="438" spans="1:25" ht="27.75" customHeight="1">
      <c r="A438" s="87" t="str">
        <f>IF(ISBLANK(C438)," ",433-COUNTBLANK($C$6:C438))</f>
        <v xml:space="preserve"> </v>
      </c>
      <c r="B438" s="88"/>
      <c r="C438" s="88"/>
      <c r="D438" s="89"/>
      <c r="E438" s="89"/>
      <c r="F438" s="73"/>
      <c r="G438" s="73"/>
      <c r="H438" s="73"/>
      <c r="I438" s="73"/>
      <c r="J438" s="73"/>
      <c r="K438" s="73"/>
      <c r="L438" s="73"/>
      <c r="M438" s="74"/>
      <c r="N438" s="71" t="str">
        <f t="shared" si="6"/>
        <v/>
      </c>
      <c r="O438" s="72"/>
      <c r="P438" s="72"/>
      <c r="Q438" s="72"/>
      <c r="R438" s="72"/>
      <c r="S438" s="72"/>
      <c r="T438" s="72"/>
      <c r="U438" s="72"/>
      <c r="V438" s="72"/>
    </row>
    <row r="439" spans="1:25" ht="27.75" customHeight="1">
      <c r="A439" s="87" t="str">
        <f>IF(ISBLANK(C439)," ",434-COUNTBLANK($C$6:C439))</f>
        <v xml:space="preserve"> </v>
      </c>
      <c r="B439" s="88"/>
      <c r="C439" s="88"/>
      <c r="D439" s="89"/>
      <c r="E439" s="89"/>
      <c r="F439" s="73"/>
      <c r="G439" s="73"/>
      <c r="H439" s="73"/>
      <c r="I439" s="73"/>
      <c r="J439" s="73"/>
      <c r="K439" s="73"/>
      <c r="L439" s="73"/>
      <c r="M439" s="74"/>
      <c r="N439" s="71" t="str">
        <f t="shared" si="6"/>
        <v/>
      </c>
      <c r="O439" s="72"/>
      <c r="P439" s="72"/>
      <c r="Q439" s="72"/>
      <c r="R439" s="72"/>
      <c r="S439" s="72"/>
      <c r="T439" s="72"/>
      <c r="U439" s="72"/>
      <c r="V439" s="72"/>
    </row>
    <row r="440" spans="1:25" ht="27.75" customHeight="1">
      <c r="A440" s="87" t="str">
        <f>IF(ISBLANK(C440)," ",435-COUNTBLANK($C$6:C440))</f>
        <v xml:space="preserve"> </v>
      </c>
      <c r="B440" s="88"/>
      <c r="C440" s="88"/>
      <c r="D440" s="89"/>
      <c r="E440" s="89"/>
      <c r="F440" s="73"/>
      <c r="G440" s="73"/>
      <c r="H440" s="73"/>
      <c r="I440" s="73"/>
      <c r="J440" s="73"/>
      <c r="K440" s="73"/>
      <c r="L440" s="73"/>
      <c r="M440" s="74"/>
      <c r="N440" s="71" t="str">
        <f t="shared" si="6"/>
        <v/>
      </c>
      <c r="O440" s="72"/>
      <c r="P440" s="72"/>
      <c r="Q440" s="72"/>
      <c r="R440" s="72"/>
      <c r="S440" s="72"/>
      <c r="T440" s="72"/>
      <c r="U440" s="72"/>
      <c r="V440" s="72"/>
    </row>
    <row r="441" spans="1:25" ht="27.75" customHeight="1">
      <c r="A441" s="87" t="str">
        <f>IF(ISBLANK(C441)," ",436-COUNTBLANK($C$6:C441))</f>
        <v xml:space="preserve"> </v>
      </c>
      <c r="B441" s="88"/>
      <c r="C441" s="88"/>
      <c r="D441" s="89"/>
      <c r="E441" s="89"/>
      <c r="F441" s="73"/>
      <c r="G441" s="73"/>
      <c r="H441" s="73"/>
      <c r="I441" s="73"/>
      <c r="J441" s="73"/>
      <c r="K441" s="73"/>
      <c r="L441" s="73"/>
      <c r="M441" s="74"/>
      <c r="N441" s="71" t="str">
        <f t="shared" si="6"/>
        <v/>
      </c>
      <c r="O441" s="75"/>
      <c r="P441" s="72"/>
      <c r="Q441" s="72"/>
      <c r="R441" s="72"/>
      <c r="S441" s="72"/>
      <c r="T441" s="72"/>
      <c r="U441" s="72"/>
      <c r="V441" s="76"/>
    </row>
    <row r="442" spans="1:25" ht="27.75" customHeight="1">
      <c r="A442" s="87" t="str">
        <f>IF(ISBLANK(C442)," ",437-COUNTBLANK($C$6:C442))</f>
        <v xml:space="preserve"> </v>
      </c>
      <c r="B442" s="88"/>
      <c r="C442" s="88"/>
      <c r="D442" s="89"/>
      <c r="E442" s="89"/>
      <c r="F442" s="73"/>
      <c r="G442" s="73"/>
      <c r="H442" s="73"/>
      <c r="I442" s="73"/>
      <c r="J442" s="73"/>
      <c r="K442" s="73"/>
      <c r="L442" s="73"/>
      <c r="M442" s="74"/>
      <c r="N442" s="71" t="str">
        <f t="shared" si="6"/>
        <v/>
      </c>
      <c r="O442" s="75"/>
      <c r="P442" s="72"/>
      <c r="Q442" s="72"/>
      <c r="R442" s="72"/>
      <c r="S442" s="72"/>
      <c r="T442" s="72"/>
      <c r="U442" s="72"/>
      <c r="V442" s="76"/>
    </row>
    <row r="443" spans="1:25" ht="27.75" customHeight="1">
      <c r="A443" s="87" t="str">
        <f>IF(ISBLANK(C443)," ",438-COUNTBLANK($C$6:C443))</f>
        <v xml:space="preserve"> </v>
      </c>
      <c r="B443" s="88"/>
      <c r="C443" s="88"/>
      <c r="D443" s="89"/>
      <c r="E443" s="89"/>
      <c r="F443" s="73"/>
      <c r="G443" s="73"/>
      <c r="H443" s="73"/>
      <c r="I443" s="73"/>
      <c r="J443" s="73"/>
      <c r="K443" s="73"/>
      <c r="L443" s="73"/>
      <c r="M443" s="74"/>
      <c r="N443" s="71" t="str">
        <f t="shared" si="6"/>
        <v/>
      </c>
      <c r="O443" s="75"/>
      <c r="P443" s="72"/>
      <c r="Q443" s="72"/>
      <c r="R443" s="72"/>
      <c r="S443" s="72"/>
      <c r="T443" s="72"/>
      <c r="U443" s="72"/>
      <c r="V443" s="76"/>
    </row>
    <row r="444" spans="1:25" ht="27.75" customHeight="1">
      <c r="A444" s="87" t="str">
        <f>IF(ISBLANK(C444)," ",439-COUNTBLANK($C$6:C444))</f>
        <v xml:space="preserve"> </v>
      </c>
      <c r="B444" s="88"/>
      <c r="C444" s="88"/>
      <c r="D444" s="89"/>
      <c r="E444" s="89"/>
      <c r="F444" s="73"/>
      <c r="G444" s="73"/>
      <c r="H444" s="73"/>
      <c r="I444" s="73"/>
      <c r="J444" s="73"/>
      <c r="K444" s="73"/>
      <c r="L444" s="73"/>
      <c r="M444" s="74"/>
      <c r="N444" s="71" t="str">
        <f t="shared" si="6"/>
        <v/>
      </c>
      <c r="O444" s="75"/>
      <c r="P444" s="72"/>
      <c r="Q444" s="72"/>
      <c r="R444" s="72"/>
      <c r="S444" s="72"/>
      <c r="T444" s="72"/>
      <c r="U444" s="72"/>
      <c r="V444" s="76"/>
    </row>
    <row r="445" spans="1:25" ht="27.75" customHeight="1">
      <c r="A445" s="87" t="str">
        <f>IF(ISBLANK(C445)," ",440-COUNTBLANK($C$6:C445))</f>
        <v xml:space="preserve"> </v>
      </c>
      <c r="B445" s="88"/>
      <c r="C445" s="88"/>
      <c r="D445" s="89"/>
      <c r="E445" s="89"/>
      <c r="F445" s="73"/>
      <c r="G445" s="73"/>
      <c r="H445" s="73"/>
      <c r="I445" s="73"/>
      <c r="J445" s="73"/>
      <c r="K445" s="73"/>
      <c r="L445" s="73"/>
      <c r="M445" s="74"/>
      <c r="N445" s="71" t="str">
        <f t="shared" si="6"/>
        <v/>
      </c>
      <c r="O445" s="72"/>
      <c r="P445" s="72"/>
      <c r="Q445" s="72"/>
      <c r="R445" s="72"/>
      <c r="S445" s="72"/>
      <c r="T445" s="72"/>
      <c r="U445" s="72"/>
      <c r="V445" s="79"/>
      <c r="W445" s="72"/>
      <c r="X445" s="72"/>
      <c r="Y445" s="72"/>
    </row>
    <row r="446" spans="1:25" ht="27.75" customHeight="1">
      <c r="A446" s="80" t="s">
        <v>52</v>
      </c>
      <c r="B446" s="81"/>
      <c r="C446" s="96"/>
      <c r="D446" s="82"/>
      <c r="E446" s="82">
        <f>SUM(E426:E445)</f>
        <v>0</v>
      </c>
      <c r="F446" s="83"/>
      <c r="G446" s="83"/>
      <c r="H446" s="83"/>
      <c r="I446" s="83"/>
      <c r="J446" s="83"/>
      <c r="K446" s="83"/>
      <c r="L446" s="83"/>
      <c r="M446" s="84"/>
      <c r="N446" s="71" t="str">
        <f t="shared" si="6"/>
        <v/>
      </c>
      <c r="O446" s="75"/>
      <c r="P446" s="72"/>
      <c r="Q446" s="72"/>
      <c r="R446" s="72"/>
      <c r="S446" s="72"/>
      <c r="T446" s="72"/>
      <c r="U446" s="72"/>
      <c r="V446" s="79"/>
      <c r="W446" s="72"/>
      <c r="X446" s="72"/>
      <c r="Y446" s="72"/>
    </row>
    <row r="447" spans="1:25" ht="27.75" customHeight="1">
      <c r="A447" s="93" t="str">
        <f>IF(ISBLANK(C447)," ",442-COUNTBLANK($C$6:C447))</f>
        <v xml:space="preserve"> </v>
      </c>
      <c r="B447" s="94"/>
      <c r="C447" s="94"/>
      <c r="D447" s="95"/>
      <c r="E447" s="95"/>
      <c r="F447" s="85"/>
      <c r="G447" s="85"/>
      <c r="H447" s="85"/>
      <c r="I447" s="85"/>
      <c r="J447" s="85"/>
      <c r="K447" s="85"/>
      <c r="L447" s="85"/>
      <c r="M447" s="86"/>
      <c r="N447" s="71" t="str">
        <f t="shared" si="6"/>
        <v/>
      </c>
      <c r="O447" s="72"/>
      <c r="P447" s="72"/>
      <c r="Q447" s="72"/>
      <c r="R447" s="72"/>
      <c r="S447" s="72"/>
      <c r="T447" s="72"/>
      <c r="U447" s="72"/>
      <c r="V447" s="72"/>
    </row>
    <row r="448" spans="1:25" ht="27.75" customHeight="1">
      <c r="A448" s="87" t="str">
        <f>IF(ISBLANK(C448)," ",443-COUNTBLANK($C$6:C448))</f>
        <v xml:space="preserve"> </v>
      </c>
      <c r="B448" s="88"/>
      <c r="C448" s="88"/>
      <c r="D448" s="89"/>
      <c r="E448" s="89"/>
      <c r="F448" s="73"/>
      <c r="G448" s="73"/>
      <c r="H448" s="73"/>
      <c r="I448" s="73"/>
      <c r="J448" s="73"/>
      <c r="K448" s="73"/>
      <c r="L448" s="73"/>
      <c r="M448" s="74"/>
      <c r="N448" s="71" t="str">
        <f t="shared" si="6"/>
        <v/>
      </c>
      <c r="O448" s="72"/>
      <c r="P448" s="72"/>
      <c r="Q448" s="72"/>
      <c r="R448" s="72"/>
      <c r="S448" s="72"/>
      <c r="T448" s="72"/>
      <c r="U448" s="72"/>
      <c r="V448" s="72"/>
    </row>
    <row r="449" spans="1:22" ht="27.75" customHeight="1">
      <c r="A449" s="87" t="str">
        <f>IF(ISBLANK(C449)," ",444-COUNTBLANK($C$6:C449))</f>
        <v xml:space="preserve"> </v>
      </c>
      <c r="B449" s="88"/>
      <c r="C449" s="88"/>
      <c r="D449" s="89"/>
      <c r="E449" s="89"/>
      <c r="F449" s="73"/>
      <c r="G449" s="73"/>
      <c r="H449" s="73"/>
      <c r="I449" s="73"/>
      <c r="J449" s="73"/>
      <c r="K449" s="73"/>
      <c r="L449" s="73"/>
      <c r="M449" s="74"/>
      <c r="N449" s="71" t="str">
        <f t="shared" si="6"/>
        <v/>
      </c>
      <c r="O449" s="72"/>
      <c r="P449" s="72"/>
      <c r="Q449" s="72"/>
      <c r="R449" s="72"/>
      <c r="S449" s="72"/>
      <c r="T449" s="72"/>
      <c r="U449" s="72"/>
      <c r="V449" s="72"/>
    </row>
    <row r="450" spans="1:22" ht="27.75" customHeight="1">
      <c r="A450" s="87" t="str">
        <f>IF(ISBLANK(C450)," ",445-COUNTBLANK($C$6:C450))</f>
        <v xml:space="preserve"> </v>
      </c>
      <c r="B450" s="88"/>
      <c r="C450" s="88"/>
      <c r="D450" s="89"/>
      <c r="E450" s="89"/>
      <c r="F450" s="73"/>
      <c r="G450" s="73"/>
      <c r="H450" s="73"/>
      <c r="I450" s="73"/>
      <c r="J450" s="73"/>
      <c r="K450" s="73"/>
      <c r="L450" s="73"/>
      <c r="M450" s="74"/>
      <c r="N450" s="71" t="str">
        <f t="shared" si="6"/>
        <v/>
      </c>
      <c r="O450" s="72"/>
      <c r="P450" s="72"/>
      <c r="Q450" s="72"/>
      <c r="R450" s="72"/>
      <c r="S450" s="72"/>
      <c r="T450" s="72"/>
      <c r="U450" s="72"/>
      <c r="V450" s="72"/>
    </row>
    <row r="451" spans="1:22" ht="27.75" customHeight="1">
      <c r="A451" s="87" t="str">
        <f>IF(ISBLANK(C451)," ",446-COUNTBLANK($C$6:C451))</f>
        <v xml:space="preserve"> </v>
      </c>
      <c r="B451" s="88"/>
      <c r="C451" s="88"/>
      <c r="D451" s="89"/>
      <c r="E451" s="89"/>
      <c r="F451" s="73"/>
      <c r="G451" s="73"/>
      <c r="H451" s="73"/>
      <c r="I451" s="73"/>
      <c r="J451" s="73"/>
      <c r="K451" s="73"/>
      <c r="L451" s="73"/>
      <c r="M451" s="74"/>
      <c r="N451" s="71" t="str">
        <f t="shared" si="6"/>
        <v/>
      </c>
      <c r="O451" s="72"/>
      <c r="P451" s="72"/>
      <c r="Q451" s="72"/>
      <c r="R451" s="72"/>
      <c r="S451" s="72"/>
      <c r="T451" s="72"/>
      <c r="U451" s="72"/>
      <c r="V451" s="72"/>
    </row>
    <row r="452" spans="1:22" ht="27.75" customHeight="1">
      <c r="A452" s="87" t="str">
        <f>IF(ISBLANK(C452)," ",447-COUNTBLANK($C$6:C452))</f>
        <v xml:space="preserve"> </v>
      </c>
      <c r="B452" s="88"/>
      <c r="C452" s="88"/>
      <c r="D452" s="89"/>
      <c r="E452" s="89"/>
      <c r="F452" s="73"/>
      <c r="G452" s="73"/>
      <c r="H452" s="73"/>
      <c r="I452" s="73"/>
      <c r="J452" s="73"/>
      <c r="K452" s="73"/>
      <c r="L452" s="73"/>
      <c r="M452" s="74"/>
      <c r="N452" s="71" t="str">
        <f t="shared" si="6"/>
        <v/>
      </c>
      <c r="O452" s="72"/>
      <c r="P452" s="72"/>
      <c r="Q452" s="72"/>
      <c r="R452" s="72"/>
      <c r="S452" s="72"/>
      <c r="T452" s="72"/>
      <c r="U452" s="72"/>
      <c r="V452" s="72"/>
    </row>
    <row r="453" spans="1:22" ht="27.75" customHeight="1">
      <c r="A453" s="87" t="str">
        <f>IF(ISBLANK(C453)," ",448-COUNTBLANK($C$6:C453))</f>
        <v xml:space="preserve"> </v>
      </c>
      <c r="B453" s="88"/>
      <c r="C453" s="88"/>
      <c r="D453" s="89"/>
      <c r="E453" s="89"/>
      <c r="F453" s="73"/>
      <c r="G453" s="73"/>
      <c r="H453" s="73"/>
      <c r="I453" s="73"/>
      <c r="J453" s="73"/>
      <c r="K453" s="73"/>
      <c r="L453" s="73"/>
      <c r="M453" s="74"/>
      <c r="N453" s="71" t="str">
        <f t="shared" si="6"/>
        <v/>
      </c>
      <c r="O453" s="72"/>
      <c r="P453" s="72"/>
      <c r="Q453" s="72"/>
      <c r="R453" s="72"/>
      <c r="S453" s="72"/>
      <c r="T453" s="72"/>
      <c r="U453" s="72"/>
      <c r="V453" s="72"/>
    </row>
    <row r="454" spans="1:22" ht="27.75" customHeight="1">
      <c r="A454" s="87" t="str">
        <f>IF(ISBLANK(C454)," ",449-COUNTBLANK($C$6:C454))</f>
        <v xml:space="preserve"> </v>
      </c>
      <c r="B454" s="88"/>
      <c r="C454" s="88"/>
      <c r="D454" s="89"/>
      <c r="E454" s="89"/>
      <c r="F454" s="73"/>
      <c r="G454" s="73"/>
      <c r="H454" s="73"/>
      <c r="I454" s="73"/>
      <c r="J454" s="73"/>
      <c r="K454" s="73"/>
      <c r="L454" s="73"/>
      <c r="M454" s="74"/>
      <c r="N454" s="71" t="str">
        <f t="shared" ref="N454:N517" si="7">CONCATENATE(C454,H454)</f>
        <v/>
      </c>
      <c r="O454" s="72"/>
      <c r="P454" s="72"/>
      <c r="Q454" s="72"/>
      <c r="R454" s="72"/>
      <c r="S454" s="72"/>
      <c r="T454" s="72"/>
      <c r="U454" s="72"/>
      <c r="V454" s="72"/>
    </row>
    <row r="455" spans="1:22" ht="27.75" customHeight="1">
      <c r="A455" s="87" t="str">
        <f>IF(ISBLANK(C455)," ",450-COUNTBLANK($C$6:C455))</f>
        <v xml:space="preserve"> </v>
      </c>
      <c r="B455" s="88"/>
      <c r="C455" s="88"/>
      <c r="D455" s="89"/>
      <c r="E455" s="89"/>
      <c r="F455" s="73"/>
      <c r="G455" s="73"/>
      <c r="H455" s="73"/>
      <c r="I455" s="73"/>
      <c r="J455" s="73"/>
      <c r="K455" s="73"/>
      <c r="L455" s="73"/>
      <c r="M455" s="74"/>
      <c r="N455" s="71" t="str">
        <f t="shared" si="7"/>
        <v/>
      </c>
      <c r="O455" s="72"/>
      <c r="P455" s="72"/>
      <c r="Q455" s="72"/>
      <c r="R455" s="72"/>
      <c r="S455" s="72"/>
      <c r="T455" s="72"/>
      <c r="U455" s="72"/>
      <c r="V455" s="72"/>
    </row>
    <row r="456" spans="1:22" ht="27.75" customHeight="1">
      <c r="A456" s="87" t="str">
        <f>IF(ISBLANK(C456)," ",451-COUNTBLANK($C$6:C456))</f>
        <v xml:space="preserve"> </v>
      </c>
      <c r="B456" s="88"/>
      <c r="C456" s="88"/>
      <c r="D456" s="89"/>
      <c r="E456" s="89"/>
      <c r="F456" s="73"/>
      <c r="G456" s="73"/>
      <c r="H456" s="73"/>
      <c r="I456" s="73"/>
      <c r="J456" s="73"/>
      <c r="K456" s="73"/>
      <c r="L456" s="73"/>
      <c r="M456" s="74"/>
      <c r="N456" s="71" t="str">
        <f t="shared" si="7"/>
        <v/>
      </c>
      <c r="O456" s="72"/>
      <c r="P456" s="72"/>
      <c r="Q456" s="72"/>
      <c r="R456" s="72"/>
      <c r="S456" s="72"/>
      <c r="T456" s="72"/>
      <c r="U456" s="72"/>
      <c r="V456" s="72"/>
    </row>
    <row r="457" spans="1:22" ht="27.75" customHeight="1">
      <c r="A457" s="87" t="str">
        <f>IF(ISBLANK(C457)," ",452-COUNTBLANK($C$6:C457))</f>
        <v xml:space="preserve"> </v>
      </c>
      <c r="B457" s="88"/>
      <c r="C457" s="88"/>
      <c r="D457" s="89"/>
      <c r="E457" s="89"/>
      <c r="F457" s="73"/>
      <c r="G457" s="73"/>
      <c r="H457" s="73"/>
      <c r="I457" s="73"/>
      <c r="J457" s="73"/>
      <c r="K457" s="73"/>
      <c r="L457" s="73"/>
      <c r="M457" s="74"/>
      <c r="N457" s="71" t="str">
        <f t="shared" si="7"/>
        <v/>
      </c>
      <c r="O457" s="72"/>
      <c r="P457" s="72"/>
      <c r="Q457" s="72"/>
      <c r="R457" s="72"/>
      <c r="S457" s="72"/>
      <c r="T457" s="72"/>
      <c r="U457" s="72"/>
      <c r="V457" s="72"/>
    </row>
    <row r="458" spans="1:22" ht="27.75" customHeight="1">
      <c r="A458" s="87" t="str">
        <f>IF(ISBLANK(C458)," ",453-COUNTBLANK($C$6:C458))</f>
        <v xml:space="preserve"> </v>
      </c>
      <c r="B458" s="88"/>
      <c r="C458" s="88"/>
      <c r="D458" s="89"/>
      <c r="E458" s="89"/>
      <c r="F458" s="73"/>
      <c r="G458" s="73"/>
      <c r="H458" s="73"/>
      <c r="I458" s="73"/>
      <c r="J458" s="73"/>
      <c r="K458" s="73"/>
      <c r="L458" s="73"/>
      <c r="M458" s="74"/>
      <c r="N458" s="71" t="str">
        <f t="shared" si="7"/>
        <v/>
      </c>
      <c r="O458" s="72"/>
      <c r="P458" s="72"/>
      <c r="Q458" s="72"/>
      <c r="R458" s="72"/>
      <c r="S458" s="72"/>
      <c r="T458" s="72"/>
      <c r="U458" s="72"/>
      <c r="V458" s="72"/>
    </row>
    <row r="459" spans="1:22" ht="27.75" customHeight="1">
      <c r="A459" s="87" t="str">
        <f>IF(ISBLANK(C459)," ",454-COUNTBLANK($C$6:C459))</f>
        <v xml:space="preserve"> </v>
      </c>
      <c r="B459" s="88"/>
      <c r="C459" s="88"/>
      <c r="D459" s="89"/>
      <c r="E459" s="89"/>
      <c r="F459" s="73"/>
      <c r="G459" s="73"/>
      <c r="H459" s="73"/>
      <c r="I459" s="73"/>
      <c r="J459" s="73"/>
      <c r="K459" s="73"/>
      <c r="L459" s="73"/>
      <c r="M459" s="74"/>
      <c r="N459" s="71" t="str">
        <f t="shared" si="7"/>
        <v/>
      </c>
      <c r="O459" s="72"/>
      <c r="P459" s="72"/>
      <c r="Q459" s="72"/>
      <c r="R459" s="72"/>
      <c r="S459" s="72"/>
      <c r="T459" s="72"/>
      <c r="U459" s="72"/>
      <c r="V459" s="72"/>
    </row>
    <row r="460" spans="1:22" ht="27.75" customHeight="1">
      <c r="A460" s="87" t="str">
        <f>IF(ISBLANK(C460)," ",455-COUNTBLANK($C$6:C460))</f>
        <v xml:space="preserve"> </v>
      </c>
      <c r="B460" s="88"/>
      <c r="C460" s="88"/>
      <c r="D460" s="89"/>
      <c r="E460" s="89"/>
      <c r="F460" s="73"/>
      <c r="G460" s="73"/>
      <c r="H460" s="73"/>
      <c r="I460" s="73"/>
      <c r="J460" s="73"/>
      <c r="K460" s="73"/>
      <c r="L460" s="73"/>
      <c r="M460" s="74"/>
      <c r="N460" s="71" t="str">
        <f t="shared" si="7"/>
        <v/>
      </c>
      <c r="O460" s="72"/>
      <c r="P460" s="72"/>
      <c r="Q460" s="72"/>
      <c r="R460" s="72"/>
      <c r="S460" s="72"/>
      <c r="T460" s="72"/>
      <c r="U460" s="72"/>
      <c r="V460" s="72"/>
    </row>
    <row r="461" spans="1:22" ht="27.75" customHeight="1">
      <c r="A461" s="87" t="str">
        <f>IF(ISBLANK(C461)," ",456-COUNTBLANK($C$6:C461))</f>
        <v xml:space="preserve"> </v>
      </c>
      <c r="B461" s="88"/>
      <c r="C461" s="88"/>
      <c r="D461" s="89"/>
      <c r="E461" s="89"/>
      <c r="F461" s="73"/>
      <c r="G461" s="73"/>
      <c r="H461" s="73"/>
      <c r="I461" s="73"/>
      <c r="J461" s="73"/>
      <c r="K461" s="73"/>
      <c r="L461" s="73"/>
      <c r="M461" s="74"/>
      <c r="N461" s="71" t="str">
        <f t="shared" si="7"/>
        <v/>
      </c>
      <c r="O461" s="72"/>
      <c r="P461" s="72"/>
      <c r="Q461" s="72"/>
      <c r="R461" s="72"/>
      <c r="S461" s="72"/>
      <c r="T461" s="72"/>
      <c r="U461" s="72"/>
      <c r="V461" s="72"/>
    </row>
    <row r="462" spans="1:22" ht="27.75" customHeight="1">
      <c r="A462" s="87" t="str">
        <f>IF(ISBLANK(C462)," ",457-COUNTBLANK($C$6:C462))</f>
        <v xml:space="preserve"> </v>
      </c>
      <c r="B462" s="88"/>
      <c r="C462" s="88"/>
      <c r="D462" s="89"/>
      <c r="E462" s="89"/>
      <c r="F462" s="73"/>
      <c r="G462" s="73"/>
      <c r="H462" s="73"/>
      <c r="I462" s="73"/>
      <c r="J462" s="73"/>
      <c r="K462" s="73"/>
      <c r="L462" s="73"/>
      <c r="M462" s="74"/>
      <c r="N462" s="71" t="str">
        <f t="shared" si="7"/>
        <v/>
      </c>
      <c r="O462" s="75"/>
      <c r="P462" s="72"/>
      <c r="Q462" s="72"/>
      <c r="R462" s="72"/>
      <c r="S462" s="72"/>
      <c r="T462" s="72"/>
      <c r="U462" s="72"/>
      <c r="V462" s="76"/>
    </row>
    <row r="463" spans="1:22" ht="27.75" customHeight="1">
      <c r="A463" s="87" t="str">
        <f>IF(ISBLANK(C463)," ",458-COUNTBLANK($C$6:C463))</f>
        <v xml:space="preserve"> </v>
      </c>
      <c r="B463" s="88"/>
      <c r="C463" s="88"/>
      <c r="D463" s="89"/>
      <c r="E463" s="89"/>
      <c r="F463" s="73"/>
      <c r="G463" s="73"/>
      <c r="H463" s="73"/>
      <c r="I463" s="73"/>
      <c r="J463" s="73"/>
      <c r="K463" s="73"/>
      <c r="L463" s="73"/>
      <c r="M463" s="74"/>
      <c r="N463" s="71" t="str">
        <f t="shared" si="7"/>
        <v/>
      </c>
      <c r="O463" s="75"/>
      <c r="P463" s="72"/>
      <c r="Q463" s="72"/>
      <c r="R463" s="72"/>
      <c r="S463" s="72"/>
      <c r="T463" s="72"/>
      <c r="U463" s="72"/>
      <c r="V463" s="76"/>
    </row>
    <row r="464" spans="1:22" ht="27.75" customHeight="1">
      <c r="A464" s="87" t="str">
        <f>IF(ISBLANK(C464)," ",459-COUNTBLANK($C$6:C464))</f>
        <v xml:space="preserve"> </v>
      </c>
      <c r="B464" s="88"/>
      <c r="C464" s="88"/>
      <c r="D464" s="89"/>
      <c r="E464" s="89"/>
      <c r="F464" s="73"/>
      <c r="G464" s="73"/>
      <c r="H464" s="73"/>
      <c r="I464" s="73"/>
      <c r="J464" s="73"/>
      <c r="K464" s="73"/>
      <c r="L464" s="73"/>
      <c r="M464" s="74"/>
      <c r="N464" s="71" t="str">
        <f t="shared" si="7"/>
        <v/>
      </c>
      <c r="O464" s="75"/>
      <c r="P464" s="72"/>
      <c r="Q464" s="72"/>
      <c r="R464" s="72"/>
      <c r="S464" s="72"/>
      <c r="T464" s="72"/>
      <c r="U464" s="72"/>
      <c r="V464" s="76"/>
    </row>
    <row r="465" spans="1:25" ht="27.75" customHeight="1">
      <c r="A465" s="87" t="str">
        <f>IF(ISBLANK(C465)," ",460-COUNTBLANK($C$6:C465))</f>
        <v xml:space="preserve"> </v>
      </c>
      <c r="B465" s="88"/>
      <c r="C465" s="88"/>
      <c r="D465" s="89"/>
      <c r="E465" s="89"/>
      <c r="F465" s="73"/>
      <c r="G465" s="73"/>
      <c r="H465" s="73"/>
      <c r="I465" s="73"/>
      <c r="J465" s="73"/>
      <c r="K465" s="73"/>
      <c r="L465" s="73"/>
      <c r="M465" s="74"/>
      <c r="N465" s="71" t="str">
        <f t="shared" si="7"/>
        <v/>
      </c>
      <c r="O465" s="75"/>
      <c r="P465" s="72"/>
      <c r="Q465" s="72"/>
      <c r="R465" s="72"/>
      <c r="S465" s="72"/>
      <c r="T465" s="72"/>
      <c r="U465" s="72"/>
      <c r="V465" s="76"/>
    </row>
    <row r="466" spans="1:25" ht="27.75" customHeight="1">
      <c r="A466" s="87" t="str">
        <f>IF(ISBLANK(C466)," ",461-COUNTBLANK($C$6:C466))</f>
        <v xml:space="preserve"> </v>
      </c>
      <c r="B466" s="88"/>
      <c r="C466" s="88"/>
      <c r="D466" s="89"/>
      <c r="E466" s="89"/>
      <c r="F466" s="73"/>
      <c r="G466" s="73"/>
      <c r="H466" s="73"/>
      <c r="I466" s="73"/>
      <c r="J466" s="73"/>
      <c r="K466" s="73"/>
      <c r="L466" s="73"/>
      <c r="M466" s="74"/>
      <c r="N466" s="71" t="str">
        <f t="shared" si="7"/>
        <v/>
      </c>
      <c r="O466" s="72"/>
      <c r="P466" s="72"/>
      <c r="Q466" s="72"/>
      <c r="R466" s="72"/>
      <c r="S466" s="72"/>
      <c r="T466" s="72"/>
      <c r="U466" s="72"/>
      <c r="V466" s="79"/>
      <c r="W466" s="72"/>
      <c r="X466" s="72"/>
      <c r="Y466" s="72"/>
    </row>
    <row r="467" spans="1:25" ht="27.75" customHeight="1">
      <c r="A467" s="80" t="s">
        <v>52</v>
      </c>
      <c r="B467" s="81"/>
      <c r="C467" s="96"/>
      <c r="D467" s="82"/>
      <c r="E467" s="82">
        <f>SUM(E447:E466)</f>
        <v>0</v>
      </c>
      <c r="F467" s="83"/>
      <c r="G467" s="83"/>
      <c r="H467" s="83"/>
      <c r="I467" s="83"/>
      <c r="J467" s="83"/>
      <c r="K467" s="83"/>
      <c r="L467" s="83"/>
      <c r="M467" s="84"/>
      <c r="N467" s="71" t="str">
        <f t="shared" si="7"/>
        <v/>
      </c>
      <c r="O467" s="75"/>
      <c r="P467" s="72"/>
      <c r="Q467" s="72"/>
      <c r="R467" s="72"/>
      <c r="S467" s="72"/>
      <c r="T467" s="72"/>
      <c r="U467" s="72"/>
      <c r="V467" s="79"/>
      <c r="W467" s="72"/>
      <c r="X467" s="72"/>
      <c r="Y467" s="72"/>
    </row>
    <row r="468" spans="1:25" ht="27.75" customHeight="1">
      <c r="A468" s="93" t="str">
        <f>IF(ISBLANK(C468)," ",463-COUNTBLANK($C$6:C468))</f>
        <v xml:space="preserve"> </v>
      </c>
      <c r="B468" s="94"/>
      <c r="C468" s="94"/>
      <c r="D468" s="95"/>
      <c r="E468" s="95"/>
      <c r="F468" s="85"/>
      <c r="G468" s="85"/>
      <c r="H468" s="85"/>
      <c r="I468" s="85"/>
      <c r="J468" s="85"/>
      <c r="K468" s="85"/>
      <c r="L468" s="85"/>
      <c r="M468" s="86"/>
      <c r="N468" s="71" t="str">
        <f t="shared" si="7"/>
        <v/>
      </c>
      <c r="O468" s="72"/>
      <c r="P468" s="72"/>
      <c r="Q468" s="72"/>
      <c r="R468" s="72"/>
      <c r="S468" s="72"/>
      <c r="T468" s="72"/>
      <c r="U468" s="72"/>
      <c r="V468" s="72"/>
    </row>
    <row r="469" spans="1:25" ht="27.75" customHeight="1">
      <c r="A469" s="87" t="str">
        <f>IF(ISBLANK(C469)," ",464-COUNTBLANK($C$6:C469))</f>
        <v xml:space="preserve"> </v>
      </c>
      <c r="B469" s="88"/>
      <c r="C469" s="88"/>
      <c r="D469" s="89"/>
      <c r="E469" s="89"/>
      <c r="F469" s="73"/>
      <c r="G469" s="73"/>
      <c r="H469" s="73"/>
      <c r="I469" s="73"/>
      <c r="J469" s="73"/>
      <c r="K469" s="73"/>
      <c r="L469" s="73"/>
      <c r="M469" s="74"/>
      <c r="N469" s="71" t="str">
        <f t="shared" si="7"/>
        <v/>
      </c>
      <c r="O469" s="72"/>
      <c r="P469" s="72"/>
      <c r="Q469" s="72"/>
      <c r="R469" s="72"/>
      <c r="S469" s="72"/>
      <c r="T469" s="72"/>
      <c r="U469" s="72"/>
      <c r="V469" s="72"/>
    </row>
    <row r="470" spans="1:25" ht="27.75" customHeight="1">
      <c r="A470" s="87" t="str">
        <f>IF(ISBLANK(C470)," ",465-COUNTBLANK($C$6:C470))</f>
        <v xml:space="preserve"> </v>
      </c>
      <c r="B470" s="88"/>
      <c r="C470" s="88"/>
      <c r="D470" s="89"/>
      <c r="E470" s="89"/>
      <c r="F470" s="73"/>
      <c r="G470" s="73"/>
      <c r="H470" s="73"/>
      <c r="I470" s="73"/>
      <c r="J470" s="73"/>
      <c r="K470" s="73"/>
      <c r="L470" s="73"/>
      <c r="M470" s="74"/>
      <c r="N470" s="71" t="str">
        <f t="shared" si="7"/>
        <v/>
      </c>
      <c r="O470" s="72"/>
      <c r="P470" s="72"/>
      <c r="Q470" s="72"/>
      <c r="R470" s="72"/>
      <c r="S470" s="72"/>
      <c r="T470" s="72"/>
      <c r="U470" s="72"/>
      <c r="V470" s="72"/>
    </row>
    <row r="471" spans="1:25" ht="27.75" customHeight="1">
      <c r="A471" s="87" t="str">
        <f>IF(ISBLANK(C471)," ",466-COUNTBLANK($C$6:C471))</f>
        <v xml:space="preserve"> </v>
      </c>
      <c r="B471" s="88"/>
      <c r="C471" s="88"/>
      <c r="D471" s="89"/>
      <c r="E471" s="89"/>
      <c r="F471" s="73"/>
      <c r="G471" s="73"/>
      <c r="H471" s="73"/>
      <c r="I471" s="73"/>
      <c r="J471" s="73"/>
      <c r="K471" s="73"/>
      <c r="L471" s="73"/>
      <c r="M471" s="74"/>
      <c r="N471" s="71" t="str">
        <f t="shared" si="7"/>
        <v/>
      </c>
      <c r="O471" s="72"/>
      <c r="P471" s="72"/>
      <c r="Q471" s="72"/>
      <c r="R471" s="72"/>
      <c r="S471" s="72"/>
      <c r="T471" s="72"/>
      <c r="U471" s="72"/>
      <c r="V471" s="72"/>
    </row>
    <row r="472" spans="1:25" ht="27.75" customHeight="1">
      <c r="A472" s="87" t="str">
        <f>IF(ISBLANK(C472)," ",467-COUNTBLANK($C$6:C472))</f>
        <v xml:space="preserve"> </v>
      </c>
      <c r="B472" s="88"/>
      <c r="C472" s="88"/>
      <c r="D472" s="89"/>
      <c r="E472" s="89"/>
      <c r="F472" s="73"/>
      <c r="G472" s="73"/>
      <c r="H472" s="73"/>
      <c r="I472" s="73"/>
      <c r="J472" s="73"/>
      <c r="K472" s="73"/>
      <c r="L472" s="73"/>
      <c r="M472" s="74"/>
      <c r="N472" s="71" t="str">
        <f t="shared" si="7"/>
        <v/>
      </c>
      <c r="O472" s="72"/>
      <c r="P472" s="72"/>
      <c r="Q472" s="72"/>
      <c r="R472" s="72"/>
      <c r="S472" s="72"/>
      <c r="T472" s="72"/>
      <c r="U472" s="72"/>
      <c r="V472" s="72"/>
    </row>
    <row r="473" spans="1:25" ht="27.75" customHeight="1">
      <c r="A473" s="87" t="str">
        <f>IF(ISBLANK(C473)," ",468-COUNTBLANK($C$6:C473))</f>
        <v xml:space="preserve"> </v>
      </c>
      <c r="B473" s="88"/>
      <c r="C473" s="88"/>
      <c r="D473" s="89"/>
      <c r="E473" s="89"/>
      <c r="F473" s="73"/>
      <c r="G473" s="73"/>
      <c r="H473" s="73"/>
      <c r="I473" s="73"/>
      <c r="J473" s="73"/>
      <c r="K473" s="73"/>
      <c r="L473" s="73"/>
      <c r="M473" s="74"/>
      <c r="N473" s="71" t="str">
        <f t="shared" si="7"/>
        <v/>
      </c>
      <c r="O473" s="72"/>
      <c r="P473" s="72"/>
      <c r="Q473" s="72"/>
      <c r="R473" s="72"/>
      <c r="S473" s="72"/>
      <c r="T473" s="72"/>
      <c r="U473" s="72"/>
      <c r="V473" s="72"/>
    </row>
    <row r="474" spans="1:25" ht="27.75" customHeight="1">
      <c r="A474" s="87" t="str">
        <f>IF(ISBLANK(C474)," ",469-COUNTBLANK($C$6:C474))</f>
        <v xml:space="preserve"> </v>
      </c>
      <c r="B474" s="88"/>
      <c r="C474" s="88"/>
      <c r="D474" s="89"/>
      <c r="E474" s="89"/>
      <c r="F474" s="73"/>
      <c r="G474" s="73"/>
      <c r="H474" s="73"/>
      <c r="I474" s="73"/>
      <c r="J474" s="73"/>
      <c r="K474" s="73"/>
      <c r="L474" s="73"/>
      <c r="M474" s="74"/>
      <c r="N474" s="71" t="str">
        <f t="shared" si="7"/>
        <v/>
      </c>
      <c r="O474" s="72"/>
      <c r="P474" s="72"/>
      <c r="Q474" s="72"/>
      <c r="R474" s="72"/>
      <c r="S474" s="72"/>
      <c r="T474" s="72"/>
      <c r="U474" s="72"/>
      <c r="V474" s="72"/>
    </row>
    <row r="475" spans="1:25" ht="27.75" customHeight="1">
      <c r="A475" s="87" t="str">
        <f>IF(ISBLANK(C475)," ",470-COUNTBLANK($C$6:C475))</f>
        <v xml:space="preserve"> </v>
      </c>
      <c r="B475" s="88"/>
      <c r="C475" s="88"/>
      <c r="D475" s="89"/>
      <c r="E475" s="89"/>
      <c r="F475" s="73"/>
      <c r="G475" s="73"/>
      <c r="H475" s="73"/>
      <c r="I475" s="73"/>
      <c r="J475" s="73"/>
      <c r="K475" s="73"/>
      <c r="L475" s="73"/>
      <c r="M475" s="74"/>
      <c r="N475" s="71" t="str">
        <f t="shared" si="7"/>
        <v/>
      </c>
      <c r="O475" s="72"/>
      <c r="P475" s="72"/>
      <c r="Q475" s="72"/>
      <c r="R475" s="72"/>
      <c r="S475" s="72"/>
      <c r="T475" s="72"/>
      <c r="U475" s="72"/>
      <c r="V475" s="72"/>
    </row>
    <row r="476" spans="1:25" ht="27.75" customHeight="1">
      <c r="A476" s="87" t="str">
        <f>IF(ISBLANK(C476)," ",471-COUNTBLANK($C$6:C476))</f>
        <v xml:space="preserve"> </v>
      </c>
      <c r="B476" s="88"/>
      <c r="C476" s="88"/>
      <c r="D476" s="89"/>
      <c r="E476" s="89"/>
      <c r="F476" s="73"/>
      <c r="G476" s="73"/>
      <c r="H476" s="73"/>
      <c r="I476" s="73"/>
      <c r="J476" s="73"/>
      <c r="K476" s="73"/>
      <c r="L476" s="73"/>
      <c r="M476" s="74"/>
      <c r="N476" s="71" t="str">
        <f t="shared" si="7"/>
        <v/>
      </c>
      <c r="O476" s="72"/>
      <c r="P476" s="72"/>
      <c r="Q476" s="72"/>
      <c r="R476" s="72"/>
      <c r="S476" s="72"/>
      <c r="T476" s="72"/>
      <c r="U476" s="72"/>
      <c r="V476" s="72"/>
    </row>
    <row r="477" spans="1:25" ht="27.75" customHeight="1">
      <c r="A477" s="87" t="str">
        <f>IF(ISBLANK(C477)," ",472-COUNTBLANK($C$6:C477))</f>
        <v xml:space="preserve"> </v>
      </c>
      <c r="B477" s="88"/>
      <c r="C477" s="88"/>
      <c r="D477" s="89"/>
      <c r="E477" s="89"/>
      <c r="F477" s="73"/>
      <c r="G477" s="73"/>
      <c r="H477" s="73"/>
      <c r="I477" s="73"/>
      <c r="J477" s="73"/>
      <c r="K477" s="73"/>
      <c r="L477" s="73"/>
      <c r="M477" s="74"/>
      <c r="N477" s="71" t="str">
        <f t="shared" si="7"/>
        <v/>
      </c>
      <c r="O477" s="72"/>
      <c r="P477" s="72"/>
      <c r="Q477" s="72"/>
      <c r="R477" s="72"/>
      <c r="S477" s="72"/>
      <c r="T477" s="72"/>
      <c r="U477" s="72"/>
      <c r="V477" s="72"/>
    </row>
    <row r="478" spans="1:25" ht="27.75" customHeight="1">
      <c r="A478" s="87" t="str">
        <f>IF(ISBLANK(C478)," ",473-COUNTBLANK($C$6:C478))</f>
        <v xml:space="preserve"> </v>
      </c>
      <c r="B478" s="88"/>
      <c r="C478" s="88"/>
      <c r="D478" s="89"/>
      <c r="E478" s="89"/>
      <c r="F478" s="73"/>
      <c r="G478" s="73"/>
      <c r="H478" s="73"/>
      <c r="I478" s="73"/>
      <c r="J478" s="73"/>
      <c r="K478" s="73"/>
      <c r="L478" s="73"/>
      <c r="M478" s="74"/>
      <c r="N478" s="71" t="str">
        <f t="shared" si="7"/>
        <v/>
      </c>
      <c r="O478" s="72"/>
      <c r="P478" s="72"/>
      <c r="Q478" s="72"/>
      <c r="R478" s="72"/>
      <c r="S478" s="72"/>
      <c r="T478" s="72"/>
      <c r="U478" s="72"/>
      <c r="V478" s="72"/>
    </row>
    <row r="479" spans="1:25" ht="27.75" customHeight="1">
      <c r="A479" s="87" t="str">
        <f>IF(ISBLANK(C479)," ",474-COUNTBLANK($C$6:C479))</f>
        <v xml:space="preserve"> </v>
      </c>
      <c r="B479" s="88"/>
      <c r="C479" s="88"/>
      <c r="D479" s="89"/>
      <c r="E479" s="89"/>
      <c r="F479" s="73"/>
      <c r="G479" s="73"/>
      <c r="H479" s="73"/>
      <c r="I479" s="73"/>
      <c r="J479" s="73"/>
      <c r="K479" s="73"/>
      <c r="L479" s="73"/>
      <c r="M479" s="74"/>
      <c r="N479" s="71" t="str">
        <f t="shared" si="7"/>
        <v/>
      </c>
      <c r="O479" s="72"/>
      <c r="P479" s="72"/>
      <c r="Q479" s="72"/>
      <c r="R479" s="72"/>
      <c r="S479" s="72"/>
      <c r="T479" s="72"/>
      <c r="U479" s="72"/>
      <c r="V479" s="72"/>
    </row>
    <row r="480" spans="1:25" ht="27.75" customHeight="1">
      <c r="A480" s="87" t="str">
        <f>IF(ISBLANK(C480)," ",475-COUNTBLANK($C$6:C480))</f>
        <v xml:space="preserve"> </v>
      </c>
      <c r="B480" s="88"/>
      <c r="C480" s="88"/>
      <c r="D480" s="89"/>
      <c r="E480" s="89"/>
      <c r="F480" s="73"/>
      <c r="G480" s="73"/>
      <c r="H480" s="73"/>
      <c r="I480" s="73"/>
      <c r="J480" s="73"/>
      <c r="K480" s="73"/>
      <c r="L480" s="73"/>
      <c r="M480" s="74"/>
      <c r="N480" s="71" t="str">
        <f t="shared" si="7"/>
        <v/>
      </c>
      <c r="O480" s="72"/>
      <c r="P480" s="72"/>
      <c r="Q480" s="72"/>
      <c r="R480" s="72"/>
      <c r="S480" s="72"/>
      <c r="T480" s="72"/>
      <c r="U480" s="72"/>
      <c r="V480" s="72"/>
    </row>
    <row r="481" spans="1:25" ht="27.75" customHeight="1">
      <c r="A481" s="87" t="str">
        <f>IF(ISBLANK(C481)," ",476-COUNTBLANK($C$6:C481))</f>
        <v xml:space="preserve"> </v>
      </c>
      <c r="B481" s="88"/>
      <c r="C481" s="88"/>
      <c r="D481" s="89"/>
      <c r="E481" s="89"/>
      <c r="F481" s="73"/>
      <c r="G481" s="73"/>
      <c r="H481" s="73"/>
      <c r="I481" s="73"/>
      <c r="J481" s="73"/>
      <c r="K481" s="73"/>
      <c r="L481" s="73"/>
      <c r="M481" s="74"/>
      <c r="N481" s="71" t="str">
        <f t="shared" si="7"/>
        <v/>
      </c>
      <c r="O481" s="72"/>
      <c r="P481" s="72"/>
      <c r="Q481" s="72"/>
      <c r="R481" s="72"/>
      <c r="S481" s="72"/>
      <c r="T481" s="72"/>
      <c r="U481" s="72"/>
      <c r="V481" s="72"/>
    </row>
    <row r="482" spans="1:25" ht="27.75" customHeight="1">
      <c r="A482" s="87" t="str">
        <f>IF(ISBLANK(C482)," ",477-COUNTBLANK($C$6:C482))</f>
        <v xml:space="preserve"> </v>
      </c>
      <c r="B482" s="88"/>
      <c r="C482" s="88"/>
      <c r="D482" s="89"/>
      <c r="E482" s="89"/>
      <c r="F482" s="73"/>
      <c r="G482" s="73"/>
      <c r="H482" s="73"/>
      <c r="I482" s="73"/>
      <c r="J482" s="73"/>
      <c r="K482" s="73"/>
      <c r="L482" s="73"/>
      <c r="M482" s="74"/>
      <c r="N482" s="71" t="str">
        <f t="shared" si="7"/>
        <v/>
      </c>
      <c r="O482" s="72"/>
      <c r="P482" s="72"/>
      <c r="Q482" s="72"/>
      <c r="R482" s="72"/>
      <c r="S482" s="72"/>
      <c r="T482" s="72"/>
      <c r="U482" s="72"/>
      <c r="V482" s="72"/>
    </row>
    <row r="483" spans="1:25" ht="27.75" customHeight="1">
      <c r="A483" s="87" t="str">
        <f>IF(ISBLANK(C483)," ",478-COUNTBLANK($C$6:C483))</f>
        <v xml:space="preserve"> </v>
      </c>
      <c r="B483" s="88"/>
      <c r="C483" s="88"/>
      <c r="D483" s="89"/>
      <c r="E483" s="89"/>
      <c r="F483" s="73"/>
      <c r="G483" s="73"/>
      <c r="H483" s="73"/>
      <c r="I483" s="73"/>
      <c r="J483" s="73"/>
      <c r="K483" s="73"/>
      <c r="L483" s="73"/>
      <c r="M483" s="74"/>
      <c r="N483" s="71" t="str">
        <f t="shared" si="7"/>
        <v/>
      </c>
      <c r="O483" s="75"/>
      <c r="P483" s="72"/>
      <c r="Q483" s="72"/>
      <c r="R483" s="72"/>
      <c r="S483" s="72"/>
      <c r="T483" s="72"/>
      <c r="U483" s="72"/>
      <c r="V483" s="76"/>
    </row>
    <row r="484" spans="1:25" ht="27.75" customHeight="1">
      <c r="A484" s="87" t="str">
        <f>IF(ISBLANK(C484)," ",479-COUNTBLANK($C$6:C484))</f>
        <v xml:space="preserve"> </v>
      </c>
      <c r="B484" s="88"/>
      <c r="C484" s="88"/>
      <c r="D484" s="89"/>
      <c r="E484" s="89"/>
      <c r="F484" s="73"/>
      <c r="G484" s="73"/>
      <c r="H484" s="73"/>
      <c r="I484" s="73"/>
      <c r="J484" s="73"/>
      <c r="K484" s="73"/>
      <c r="L484" s="73"/>
      <c r="M484" s="74"/>
      <c r="N484" s="71" t="str">
        <f t="shared" si="7"/>
        <v/>
      </c>
      <c r="O484" s="75"/>
      <c r="P484" s="72"/>
      <c r="Q484" s="72"/>
      <c r="R484" s="72"/>
      <c r="S484" s="72"/>
      <c r="T484" s="72"/>
      <c r="U484" s="72"/>
      <c r="V484" s="76"/>
    </row>
    <row r="485" spans="1:25" ht="27.75" customHeight="1">
      <c r="A485" s="87" t="str">
        <f>IF(ISBLANK(C485)," ",480-COUNTBLANK($C$6:C485))</f>
        <v xml:space="preserve"> </v>
      </c>
      <c r="B485" s="88"/>
      <c r="C485" s="88"/>
      <c r="D485" s="89"/>
      <c r="E485" s="89"/>
      <c r="F485" s="73"/>
      <c r="G485" s="73"/>
      <c r="H485" s="73"/>
      <c r="I485" s="73"/>
      <c r="J485" s="73"/>
      <c r="K485" s="73"/>
      <c r="L485" s="73"/>
      <c r="M485" s="74"/>
      <c r="N485" s="71" t="str">
        <f t="shared" si="7"/>
        <v/>
      </c>
      <c r="O485" s="75"/>
      <c r="P485" s="72"/>
      <c r="Q485" s="72"/>
      <c r="R485" s="72"/>
      <c r="S485" s="72"/>
      <c r="T485" s="72"/>
      <c r="U485" s="72"/>
      <c r="V485" s="76"/>
    </row>
    <row r="486" spans="1:25" ht="27.75" customHeight="1">
      <c r="A486" s="87" t="str">
        <f>IF(ISBLANK(C486)," ",481-COUNTBLANK($C$6:C486))</f>
        <v xml:space="preserve"> </v>
      </c>
      <c r="B486" s="88"/>
      <c r="C486" s="88"/>
      <c r="D486" s="89"/>
      <c r="E486" s="89"/>
      <c r="F486" s="73"/>
      <c r="G486" s="73"/>
      <c r="H486" s="73"/>
      <c r="I486" s="73"/>
      <c r="J486" s="73"/>
      <c r="K486" s="73"/>
      <c r="L486" s="73"/>
      <c r="M486" s="74"/>
      <c r="N486" s="71" t="str">
        <f t="shared" si="7"/>
        <v/>
      </c>
      <c r="O486" s="75"/>
      <c r="P486" s="72"/>
      <c r="Q486" s="72"/>
      <c r="R486" s="72"/>
      <c r="S486" s="72"/>
      <c r="T486" s="72"/>
      <c r="U486" s="72"/>
      <c r="V486" s="76"/>
    </row>
    <row r="487" spans="1:25" ht="27.75" customHeight="1">
      <c r="A487" s="87" t="str">
        <f>IF(ISBLANK(C487)," ",482-COUNTBLANK($C$6:C487))</f>
        <v xml:space="preserve"> </v>
      </c>
      <c r="B487" s="88"/>
      <c r="C487" s="88"/>
      <c r="D487" s="89"/>
      <c r="E487" s="89"/>
      <c r="F487" s="73"/>
      <c r="G487" s="73"/>
      <c r="H487" s="73"/>
      <c r="I487" s="73"/>
      <c r="J487" s="73"/>
      <c r="K487" s="73"/>
      <c r="L487" s="73"/>
      <c r="M487" s="74"/>
      <c r="N487" s="71" t="str">
        <f t="shared" si="7"/>
        <v/>
      </c>
      <c r="O487" s="72"/>
      <c r="P487" s="72"/>
      <c r="Q487" s="72"/>
      <c r="R487" s="72"/>
      <c r="S487" s="72"/>
      <c r="T487" s="72"/>
      <c r="U487" s="72"/>
      <c r="V487" s="79"/>
      <c r="W487" s="72"/>
      <c r="X487" s="72"/>
      <c r="Y487" s="72"/>
    </row>
    <row r="488" spans="1:25" ht="27.75" customHeight="1">
      <c r="A488" s="80" t="s">
        <v>52</v>
      </c>
      <c r="B488" s="81"/>
      <c r="C488" s="96"/>
      <c r="D488" s="82"/>
      <c r="E488" s="82">
        <f>SUM(E468:E487)</f>
        <v>0</v>
      </c>
      <c r="F488" s="83"/>
      <c r="G488" s="83"/>
      <c r="H488" s="83"/>
      <c r="I488" s="83"/>
      <c r="J488" s="83"/>
      <c r="K488" s="83"/>
      <c r="L488" s="83"/>
      <c r="M488" s="84"/>
      <c r="N488" s="71" t="str">
        <f t="shared" si="7"/>
        <v/>
      </c>
      <c r="O488" s="75"/>
      <c r="P488" s="72"/>
      <c r="Q488" s="72"/>
      <c r="R488" s="72"/>
      <c r="S488" s="72"/>
      <c r="T488" s="72"/>
      <c r="U488" s="72"/>
      <c r="V488" s="79"/>
      <c r="W488" s="72"/>
      <c r="X488" s="72"/>
      <c r="Y488" s="72"/>
    </row>
    <row r="489" spans="1:25" ht="27.75" customHeight="1">
      <c r="A489" s="93" t="str">
        <f>IF(ISBLANK(C489)," ",484-COUNTBLANK($C$6:C489))</f>
        <v xml:space="preserve"> </v>
      </c>
      <c r="B489" s="94"/>
      <c r="C489" s="94"/>
      <c r="D489" s="95"/>
      <c r="E489" s="95"/>
      <c r="F489" s="85"/>
      <c r="G489" s="85"/>
      <c r="H489" s="85"/>
      <c r="I489" s="85"/>
      <c r="J489" s="85"/>
      <c r="K489" s="85"/>
      <c r="L489" s="85"/>
      <c r="M489" s="86"/>
      <c r="N489" s="71" t="str">
        <f t="shared" si="7"/>
        <v/>
      </c>
      <c r="O489" s="72"/>
      <c r="P489" s="72"/>
      <c r="Q489" s="72"/>
      <c r="R489" s="72"/>
      <c r="S489" s="72"/>
      <c r="T489" s="72"/>
      <c r="U489" s="72"/>
      <c r="V489" s="72"/>
    </row>
    <row r="490" spans="1:25" ht="27.75" customHeight="1">
      <c r="A490" s="87" t="str">
        <f>IF(ISBLANK(C490)," ",485-COUNTBLANK($C$6:C490))</f>
        <v xml:space="preserve"> </v>
      </c>
      <c r="B490" s="88"/>
      <c r="C490" s="88"/>
      <c r="D490" s="89"/>
      <c r="E490" s="89"/>
      <c r="F490" s="73"/>
      <c r="G490" s="73"/>
      <c r="H490" s="73"/>
      <c r="I490" s="73"/>
      <c r="J490" s="73"/>
      <c r="K490" s="73"/>
      <c r="L490" s="73"/>
      <c r="M490" s="74"/>
      <c r="N490" s="71" t="str">
        <f t="shared" si="7"/>
        <v/>
      </c>
      <c r="O490" s="72"/>
      <c r="P490" s="72"/>
      <c r="Q490" s="72"/>
      <c r="R490" s="72"/>
      <c r="S490" s="72"/>
      <c r="T490" s="72"/>
      <c r="U490" s="72"/>
      <c r="V490" s="72"/>
    </row>
    <row r="491" spans="1:25" ht="27.75" customHeight="1">
      <c r="A491" s="87" t="str">
        <f>IF(ISBLANK(C491)," ",486-COUNTBLANK($C$6:C491))</f>
        <v xml:space="preserve"> </v>
      </c>
      <c r="B491" s="88"/>
      <c r="C491" s="88"/>
      <c r="D491" s="89"/>
      <c r="E491" s="89"/>
      <c r="F491" s="73"/>
      <c r="G491" s="73"/>
      <c r="H491" s="73"/>
      <c r="I491" s="73"/>
      <c r="J491" s="73"/>
      <c r="K491" s="73"/>
      <c r="L491" s="73"/>
      <c r="M491" s="74"/>
      <c r="N491" s="71" t="str">
        <f t="shared" si="7"/>
        <v/>
      </c>
      <c r="O491" s="72"/>
      <c r="P491" s="72"/>
      <c r="Q491" s="72"/>
      <c r="R491" s="72"/>
      <c r="S491" s="72"/>
      <c r="T491" s="72"/>
      <c r="U491" s="72"/>
      <c r="V491" s="72"/>
    </row>
    <row r="492" spans="1:25" ht="27.75" customHeight="1">
      <c r="A492" s="87" t="str">
        <f>IF(ISBLANK(C492)," ",487-COUNTBLANK($C$6:C492))</f>
        <v xml:space="preserve"> </v>
      </c>
      <c r="B492" s="88"/>
      <c r="C492" s="88"/>
      <c r="D492" s="89"/>
      <c r="E492" s="89"/>
      <c r="F492" s="73"/>
      <c r="G492" s="73"/>
      <c r="H492" s="73"/>
      <c r="I492" s="73"/>
      <c r="J492" s="73"/>
      <c r="K492" s="73"/>
      <c r="L492" s="73"/>
      <c r="M492" s="74"/>
      <c r="N492" s="71" t="str">
        <f t="shared" si="7"/>
        <v/>
      </c>
      <c r="O492" s="72"/>
      <c r="P492" s="72"/>
      <c r="Q492" s="72"/>
      <c r="R492" s="72"/>
      <c r="S492" s="72"/>
      <c r="T492" s="72"/>
      <c r="U492" s="72"/>
      <c r="V492" s="72"/>
    </row>
    <row r="493" spans="1:25" ht="27.75" customHeight="1">
      <c r="A493" s="87" t="str">
        <f>IF(ISBLANK(C493)," ",488-COUNTBLANK($C$6:C493))</f>
        <v xml:space="preserve"> </v>
      </c>
      <c r="B493" s="88"/>
      <c r="C493" s="88"/>
      <c r="D493" s="89"/>
      <c r="E493" s="89"/>
      <c r="F493" s="73"/>
      <c r="G493" s="73"/>
      <c r="H493" s="73"/>
      <c r="I493" s="73"/>
      <c r="J493" s="73"/>
      <c r="K493" s="73"/>
      <c r="L493" s="73"/>
      <c r="M493" s="74"/>
      <c r="N493" s="71" t="str">
        <f t="shared" si="7"/>
        <v/>
      </c>
      <c r="O493" s="72"/>
      <c r="P493" s="72"/>
      <c r="Q493" s="72"/>
      <c r="R493" s="72"/>
      <c r="S493" s="72"/>
      <c r="T493" s="72"/>
      <c r="U493" s="72"/>
      <c r="V493" s="72"/>
    </row>
    <row r="494" spans="1:25" ht="27.75" customHeight="1">
      <c r="A494" s="87" t="str">
        <f>IF(ISBLANK(C494)," ",489-COUNTBLANK($C$6:C494))</f>
        <v xml:space="preserve"> </v>
      </c>
      <c r="B494" s="88"/>
      <c r="C494" s="88"/>
      <c r="D494" s="89"/>
      <c r="E494" s="89"/>
      <c r="F494" s="73"/>
      <c r="G494" s="73"/>
      <c r="H494" s="73"/>
      <c r="I494" s="73"/>
      <c r="J494" s="73"/>
      <c r="K494" s="73"/>
      <c r="L494" s="73"/>
      <c r="M494" s="74"/>
      <c r="N494" s="71" t="str">
        <f t="shared" si="7"/>
        <v/>
      </c>
      <c r="O494" s="72"/>
      <c r="P494" s="72"/>
      <c r="Q494" s="72"/>
      <c r="R494" s="72"/>
      <c r="S494" s="72"/>
      <c r="T494" s="72"/>
      <c r="U494" s="72"/>
      <c r="V494" s="72"/>
    </row>
    <row r="495" spans="1:25" ht="27.75" customHeight="1">
      <c r="A495" s="87" t="str">
        <f>IF(ISBLANK(C495)," ",490-COUNTBLANK($C$6:C495))</f>
        <v xml:space="preserve"> </v>
      </c>
      <c r="B495" s="88"/>
      <c r="C495" s="88"/>
      <c r="D495" s="89"/>
      <c r="E495" s="89"/>
      <c r="F495" s="73"/>
      <c r="G495" s="73"/>
      <c r="H495" s="73"/>
      <c r="I495" s="73"/>
      <c r="J495" s="73"/>
      <c r="K495" s="73"/>
      <c r="L495" s="73"/>
      <c r="M495" s="74"/>
      <c r="N495" s="71" t="str">
        <f t="shared" si="7"/>
        <v/>
      </c>
      <c r="O495" s="72"/>
      <c r="P495" s="72"/>
      <c r="Q495" s="72"/>
      <c r="R495" s="72"/>
      <c r="S495" s="72"/>
      <c r="T495" s="72"/>
      <c r="U495" s="72"/>
      <c r="V495" s="72"/>
    </row>
    <row r="496" spans="1:25" ht="27.75" customHeight="1">
      <c r="A496" s="87" t="str">
        <f>IF(ISBLANK(C496)," ",491-COUNTBLANK($C$6:C496))</f>
        <v xml:space="preserve"> </v>
      </c>
      <c r="B496" s="88"/>
      <c r="C496" s="88"/>
      <c r="D496" s="89"/>
      <c r="E496" s="89"/>
      <c r="F496" s="73"/>
      <c r="G496" s="73"/>
      <c r="H496" s="73"/>
      <c r="I496" s="73"/>
      <c r="J496" s="73"/>
      <c r="K496" s="73"/>
      <c r="L496" s="73"/>
      <c r="M496" s="74"/>
      <c r="N496" s="71" t="str">
        <f t="shared" si="7"/>
        <v/>
      </c>
      <c r="O496" s="72"/>
      <c r="P496" s="72"/>
      <c r="Q496" s="72"/>
      <c r="R496" s="72"/>
      <c r="S496" s="72"/>
      <c r="T496" s="72"/>
      <c r="U496" s="72"/>
      <c r="V496" s="72"/>
    </row>
    <row r="497" spans="1:25" ht="27.75" customHeight="1">
      <c r="A497" s="87" t="str">
        <f>IF(ISBLANK(C497)," ",492-COUNTBLANK($C$6:C497))</f>
        <v xml:space="preserve"> </v>
      </c>
      <c r="B497" s="88"/>
      <c r="C497" s="88"/>
      <c r="D497" s="89"/>
      <c r="E497" s="89"/>
      <c r="F497" s="73"/>
      <c r="G497" s="73"/>
      <c r="H497" s="73"/>
      <c r="I497" s="73"/>
      <c r="J497" s="73"/>
      <c r="K497" s="73"/>
      <c r="L497" s="73"/>
      <c r="M497" s="74"/>
      <c r="N497" s="71" t="str">
        <f t="shared" si="7"/>
        <v/>
      </c>
      <c r="O497" s="72"/>
      <c r="P497" s="72"/>
      <c r="Q497" s="72"/>
      <c r="R497" s="72"/>
      <c r="S497" s="72"/>
      <c r="T497" s="72"/>
      <c r="U497" s="72"/>
      <c r="V497" s="72"/>
    </row>
    <row r="498" spans="1:25" ht="27.75" customHeight="1">
      <c r="A498" s="87" t="str">
        <f>IF(ISBLANK(C498)," ",493-COUNTBLANK($C$6:C498))</f>
        <v xml:space="preserve"> </v>
      </c>
      <c r="B498" s="88"/>
      <c r="C498" s="88"/>
      <c r="D498" s="89"/>
      <c r="E498" s="89"/>
      <c r="F498" s="73"/>
      <c r="G498" s="73"/>
      <c r="H498" s="73"/>
      <c r="I498" s="73"/>
      <c r="J498" s="73"/>
      <c r="K498" s="73"/>
      <c r="L498" s="73"/>
      <c r="M498" s="74"/>
      <c r="N498" s="71" t="str">
        <f t="shared" si="7"/>
        <v/>
      </c>
      <c r="O498" s="72"/>
      <c r="P498" s="72"/>
      <c r="Q498" s="72"/>
      <c r="R498" s="72"/>
      <c r="S498" s="72"/>
      <c r="T498" s="72"/>
      <c r="U498" s="72"/>
      <c r="V498" s="72"/>
    </row>
    <row r="499" spans="1:25" ht="27.75" customHeight="1">
      <c r="A499" s="87" t="str">
        <f>IF(ISBLANK(C499)," ",494-COUNTBLANK($C$6:C499))</f>
        <v xml:space="preserve"> </v>
      </c>
      <c r="B499" s="88"/>
      <c r="C499" s="88"/>
      <c r="D499" s="89"/>
      <c r="E499" s="89"/>
      <c r="F499" s="73"/>
      <c r="G499" s="73"/>
      <c r="H499" s="73"/>
      <c r="I499" s="73"/>
      <c r="J499" s="73"/>
      <c r="K499" s="73"/>
      <c r="L499" s="73"/>
      <c r="M499" s="74"/>
      <c r="N499" s="71" t="str">
        <f t="shared" si="7"/>
        <v/>
      </c>
      <c r="O499" s="72"/>
      <c r="P499" s="72"/>
      <c r="Q499" s="72"/>
      <c r="R499" s="72"/>
      <c r="S499" s="72"/>
      <c r="T499" s="72"/>
      <c r="U499" s="72"/>
      <c r="V499" s="72"/>
    </row>
    <row r="500" spans="1:25" ht="27.75" customHeight="1">
      <c r="A500" s="87" t="str">
        <f>IF(ISBLANK(C500)," ",495-COUNTBLANK($C$6:C500))</f>
        <v xml:space="preserve"> </v>
      </c>
      <c r="B500" s="88"/>
      <c r="C500" s="88"/>
      <c r="D500" s="89"/>
      <c r="E500" s="89"/>
      <c r="F500" s="73"/>
      <c r="G500" s="73"/>
      <c r="H500" s="73"/>
      <c r="I500" s="73"/>
      <c r="J500" s="73"/>
      <c r="K500" s="73"/>
      <c r="L500" s="73"/>
      <c r="M500" s="74"/>
      <c r="N500" s="71" t="str">
        <f t="shared" si="7"/>
        <v/>
      </c>
      <c r="O500" s="72"/>
      <c r="P500" s="72"/>
      <c r="Q500" s="72"/>
      <c r="R500" s="72"/>
      <c r="S500" s="72"/>
      <c r="T500" s="72"/>
      <c r="U500" s="72"/>
      <c r="V500" s="72"/>
    </row>
    <row r="501" spans="1:25" ht="27.75" customHeight="1">
      <c r="A501" s="87" t="str">
        <f>IF(ISBLANK(C501)," ",496-COUNTBLANK($C$6:C501))</f>
        <v xml:space="preserve"> </v>
      </c>
      <c r="B501" s="88"/>
      <c r="C501" s="88"/>
      <c r="D501" s="89"/>
      <c r="E501" s="89"/>
      <c r="F501" s="73"/>
      <c r="G501" s="73"/>
      <c r="H501" s="73"/>
      <c r="I501" s="73"/>
      <c r="J501" s="73"/>
      <c r="K501" s="73"/>
      <c r="L501" s="73"/>
      <c r="M501" s="74"/>
      <c r="N501" s="71" t="str">
        <f t="shared" si="7"/>
        <v/>
      </c>
      <c r="O501" s="72"/>
      <c r="P501" s="72"/>
      <c r="Q501" s="72"/>
      <c r="R501" s="72"/>
      <c r="S501" s="72"/>
      <c r="T501" s="72"/>
      <c r="U501" s="72"/>
      <c r="V501" s="72"/>
    </row>
    <row r="502" spans="1:25" ht="27.75" customHeight="1">
      <c r="A502" s="87" t="str">
        <f>IF(ISBLANK(C502)," ",497-COUNTBLANK($C$6:C502))</f>
        <v xml:space="preserve"> </v>
      </c>
      <c r="B502" s="88"/>
      <c r="C502" s="88"/>
      <c r="D502" s="89"/>
      <c r="E502" s="89"/>
      <c r="F502" s="73"/>
      <c r="G502" s="73"/>
      <c r="H502" s="73"/>
      <c r="I502" s="73"/>
      <c r="J502" s="73"/>
      <c r="K502" s="73"/>
      <c r="L502" s="73"/>
      <c r="M502" s="74"/>
      <c r="N502" s="71" t="str">
        <f t="shared" si="7"/>
        <v/>
      </c>
      <c r="O502" s="72"/>
      <c r="P502" s="72"/>
      <c r="Q502" s="72"/>
      <c r="R502" s="72"/>
      <c r="S502" s="72"/>
      <c r="T502" s="72"/>
      <c r="U502" s="72"/>
      <c r="V502" s="72"/>
    </row>
    <row r="503" spans="1:25" ht="27.75" customHeight="1">
      <c r="A503" s="87" t="str">
        <f>IF(ISBLANK(C503)," ",498-COUNTBLANK($C$6:C503))</f>
        <v xml:space="preserve"> </v>
      </c>
      <c r="B503" s="88"/>
      <c r="C503" s="88"/>
      <c r="D503" s="89"/>
      <c r="E503" s="89"/>
      <c r="F503" s="73"/>
      <c r="G503" s="73"/>
      <c r="H503" s="73"/>
      <c r="I503" s="73"/>
      <c r="J503" s="73"/>
      <c r="K503" s="73"/>
      <c r="L503" s="73"/>
      <c r="M503" s="74"/>
      <c r="N503" s="71" t="str">
        <f t="shared" si="7"/>
        <v/>
      </c>
      <c r="O503" s="72"/>
      <c r="P503" s="72"/>
      <c r="Q503" s="72"/>
      <c r="R503" s="72"/>
      <c r="S503" s="72"/>
      <c r="T503" s="72"/>
      <c r="U503" s="72"/>
      <c r="V503" s="72"/>
    </row>
    <row r="504" spans="1:25" ht="27.75" customHeight="1">
      <c r="A504" s="87" t="str">
        <f>IF(ISBLANK(C504)," ",499-COUNTBLANK($C$6:C504))</f>
        <v xml:space="preserve"> </v>
      </c>
      <c r="B504" s="88"/>
      <c r="C504" s="88"/>
      <c r="D504" s="89"/>
      <c r="E504" s="89"/>
      <c r="F504" s="73"/>
      <c r="G504" s="73"/>
      <c r="H504" s="73"/>
      <c r="I504" s="73"/>
      <c r="J504" s="73"/>
      <c r="K504" s="73"/>
      <c r="L504" s="73"/>
      <c r="M504" s="74"/>
      <c r="N504" s="71" t="str">
        <f t="shared" si="7"/>
        <v/>
      </c>
      <c r="O504" s="75"/>
      <c r="P504" s="72"/>
      <c r="Q504" s="72"/>
      <c r="R504" s="72"/>
      <c r="S504" s="72"/>
      <c r="T504" s="72"/>
      <c r="U504" s="72"/>
      <c r="V504" s="76"/>
    </row>
    <row r="505" spans="1:25" ht="27.75" customHeight="1">
      <c r="A505" s="87" t="str">
        <f>IF(ISBLANK(C505)," ",500-COUNTBLANK($C$6:C505))</f>
        <v xml:space="preserve"> </v>
      </c>
      <c r="B505" s="88"/>
      <c r="C505" s="88"/>
      <c r="D505" s="89"/>
      <c r="E505" s="89"/>
      <c r="F505" s="73"/>
      <c r="G505" s="73"/>
      <c r="H505" s="73"/>
      <c r="I505" s="73"/>
      <c r="J505" s="73"/>
      <c r="K505" s="73"/>
      <c r="L505" s="73"/>
      <c r="M505" s="74"/>
      <c r="N505" s="71" t="str">
        <f t="shared" si="7"/>
        <v/>
      </c>
      <c r="O505" s="75"/>
      <c r="P505" s="72"/>
      <c r="Q505" s="72"/>
      <c r="R505" s="72"/>
      <c r="S505" s="72"/>
      <c r="T505" s="72"/>
      <c r="U505" s="72"/>
      <c r="V505" s="76"/>
    </row>
    <row r="506" spans="1:25" ht="27.75" customHeight="1">
      <c r="A506" s="87" t="str">
        <f>IF(ISBLANK(C506)," ",501-COUNTBLANK($C$6:C506))</f>
        <v xml:space="preserve"> </v>
      </c>
      <c r="B506" s="88"/>
      <c r="C506" s="88"/>
      <c r="D506" s="89"/>
      <c r="E506" s="89"/>
      <c r="F506" s="73"/>
      <c r="G506" s="73"/>
      <c r="H506" s="73"/>
      <c r="I506" s="73"/>
      <c r="J506" s="73"/>
      <c r="K506" s="73"/>
      <c r="L506" s="73"/>
      <c r="M506" s="74"/>
      <c r="N506" s="71" t="str">
        <f t="shared" si="7"/>
        <v/>
      </c>
      <c r="O506" s="75"/>
      <c r="P506" s="72"/>
      <c r="Q506" s="72"/>
      <c r="R506" s="72"/>
      <c r="S506" s="72"/>
      <c r="T506" s="72"/>
      <c r="U506" s="72"/>
      <c r="V506" s="76"/>
    </row>
    <row r="507" spans="1:25" ht="27.75" customHeight="1">
      <c r="A507" s="87" t="str">
        <f>IF(ISBLANK(C507)," ",502-COUNTBLANK($C$6:C507))</f>
        <v xml:space="preserve"> </v>
      </c>
      <c r="B507" s="88"/>
      <c r="C507" s="88"/>
      <c r="D507" s="89"/>
      <c r="E507" s="89"/>
      <c r="F507" s="73"/>
      <c r="G507" s="73"/>
      <c r="H507" s="73"/>
      <c r="I507" s="73"/>
      <c r="J507" s="73"/>
      <c r="K507" s="73"/>
      <c r="L507" s="73"/>
      <c r="M507" s="74"/>
      <c r="N507" s="71" t="str">
        <f t="shared" si="7"/>
        <v/>
      </c>
      <c r="O507" s="75"/>
      <c r="P507" s="72"/>
      <c r="Q507" s="72"/>
      <c r="R507" s="72"/>
      <c r="S507" s="72"/>
      <c r="T507" s="72"/>
      <c r="U507" s="72"/>
      <c r="V507" s="76"/>
    </row>
    <row r="508" spans="1:25" ht="27.75" customHeight="1">
      <c r="A508" s="87" t="str">
        <f>IF(ISBLANK(C508)," ",503-COUNTBLANK($C$6:C508))</f>
        <v xml:space="preserve"> </v>
      </c>
      <c r="B508" s="88"/>
      <c r="C508" s="88"/>
      <c r="D508" s="89"/>
      <c r="E508" s="89"/>
      <c r="F508" s="73"/>
      <c r="G508" s="73"/>
      <c r="H508" s="73"/>
      <c r="I508" s="73"/>
      <c r="J508" s="73"/>
      <c r="K508" s="73"/>
      <c r="L508" s="73"/>
      <c r="M508" s="74"/>
      <c r="N508" s="71" t="str">
        <f t="shared" si="7"/>
        <v/>
      </c>
      <c r="O508" s="72"/>
      <c r="P508" s="72"/>
      <c r="Q508" s="72"/>
      <c r="R508" s="72"/>
      <c r="S508" s="72"/>
      <c r="T508" s="72"/>
      <c r="U508" s="72"/>
      <c r="V508" s="79"/>
      <c r="W508" s="72"/>
      <c r="X508" s="72"/>
      <c r="Y508" s="72"/>
    </row>
    <row r="509" spans="1:25" ht="27.75" customHeight="1">
      <c r="A509" s="80" t="s">
        <v>52</v>
      </c>
      <c r="B509" s="81"/>
      <c r="C509" s="96"/>
      <c r="D509" s="82"/>
      <c r="E509" s="82">
        <f>SUM(E489:E508)</f>
        <v>0</v>
      </c>
      <c r="F509" s="83"/>
      <c r="G509" s="83"/>
      <c r="H509" s="83"/>
      <c r="I509" s="83"/>
      <c r="J509" s="83"/>
      <c r="K509" s="83"/>
      <c r="L509" s="83"/>
      <c r="M509" s="84"/>
      <c r="N509" s="71" t="str">
        <f t="shared" si="7"/>
        <v/>
      </c>
      <c r="O509" s="75"/>
      <c r="P509" s="72"/>
      <c r="Q509" s="72"/>
      <c r="R509" s="72"/>
      <c r="S509" s="72"/>
      <c r="T509" s="72"/>
      <c r="U509" s="72"/>
      <c r="V509" s="79"/>
      <c r="W509" s="72"/>
      <c r="X509" s="72"/>
      <c r="Y509" s="72"/>
    </row>
    <row r="510" spans="1:25" ht="27.75" customHeight="1">
      <c r="A510" s="93" t="str">
        <f>IF(ISBLANK(C510)," ",505-COUNTBLANK($C$6:C510))</f>
        <v xml:space="preserve"> </v>
      </c>
      <c r="B510" s="94"/>
      <c r="C510" s="94"/>
      <c r="D510" s="95"/>
      <c r="E510" s="95"/>
      <c r="F510" s="85"/>
      <c r="G510" s="85"/>
      <c r="H510" s="85"/>
      <c r="I510" s="85"/>
      <c r="J510" s="85"/>
      <c r="K510" s="85"/>
      <c r="L510" s="85"/>
      <c r="M510" s="86"/>
      <c r="N510" s="71" t="str">
        <f t="shared" si="7"/>
        <v/>
      </c>
      <c r="O510" s="72"/>
      <c r="P510" s="72"/>
      <c r="Q510" s="72"/>
      <c r="R510" s="72"/>
      <c r="S510" s="72"/>
      <c r="T510" s="72"/>
      <c r="U510" s="72"/>
      <c r="V510" s="72"/>
    </row>
    <row r="511" spans="1:25" ht="27.75" customHeight="1">
      <c r="A511" s="87" t="str">
        <f>IF(ISBLANK(C511)," ",506-COUNTBLANK($C$6:C511))</f>
        <v xml:space="preserve"> </v>
      </c>
      <c r="B511" s="88"/>
      <c r="C511" s="88"/>
      <c r="D511" s="89"/>
      <c r="E511" s="89"/>
      <c r="F511" s="73"/>
      <c r="G511" s="73"/>
      <c r="H511" s="73"/>
      <c r="I511" s="73"/>
      <c r="J511" s="73"/>
      <c r="K511" s="73"/>
      <c r="L511" s="73"/>
      <c r="M511" s="74"/>
      <c r="N511" s="71" t="str">
        <f t="shared" si="7"/>
        <v/>
      </c>
      <c r="O511" s="72"/>
      <c r="P511" s="72"/>
      <c r="Q511" s="72"/>
      <c r="R511" s="72"/>
      <c r="S511" s="72"/>
      <c r="T511" s="72"/>
      <c r="U511" s="72"/>
      <c r="V511" s="72"/>
    </row>
    <row r="512" spans="1:25" ht="27.75" customHeight="1">
      <c r="A512" s="87" t="str">
        <f>IF(ISBLANK(C512)," ",507-COUNTBLANK($C$6:C512))</f>
        <v xml:space="preserve"> </v>
      </c>
      <c r="B512" s="88"/>
      <c r="C512" s="88"/>
      <c r="D512" s="89"/>
      <c r="E512" s="89"/>
      <c r="F512" s="73"/>
      <c r="G512" s="73"/>
      <c r="H512" s="73"/>
      <c r="I512" s="73"/>
      <c r="J512" s="73"/>
      <c r="K512" s="73"/>
      <c r="L512" s="73"/>
      <c r="M512" s="74"/>
      <c r="N512" s="71" t="str">
        <f t="shared" si="7"/>
        <v/>
      </c>
      <c r="O512" s="72"/>
      <c r="P512" s="72"/>
      <c r="Q512" s="72"/>
      <c r="R512" s="72"/>
      <c r="S512" s="72"/>
      <c r="T512" s="72"/>
      <c r="U512" s="72"/>
      <c r="V512" s="72"/>
    </row>
    <row r="513" spans="1:22" ht="27.75" customHeight="1">
      <c r="A513" s="87" t="str">
        <f>IF(ISBLANK(C513)," ",508-COUNTBLANK($C$6:C513))</f>
        <v xml:space="preserve"> </v>
      </c>
      <c r="B513" s="88"/>
      <c r="C513" s="88"/>
      <c r="D513" s="89"/>
      <c r="E513" s="89"/>
      <c r="F513" s="73"/>
      <c r="G513" s="73"/>
      <c r="H513" s="73"/>
      <c r="I513" s="73"/>
      <c r="J513" s="73"/>
      <c r="K513" s="73"/>
      <c r="L513" s="73"/>
      <c r="M513" s="74"/>
      <c r="N513" s="71" t="str">
        <f t="shared" si="7"/>
        <v/>
      </c>
      <c r="O513" s="72"/>
      <c r="P513" s="72"/>
      <c r="Q513" s="72"/>
      <c r="R513" s="72"/>
      <c r="S513" s="72"/>
      <c r="T513" s="72"/>
      <c r="U513" s="72"/>
      <c r="V513" s="72"/>
    </row>
    <row r="514" spans="1:22" ht="27.75" customHeight="1">
      <c r="A514" s="87" t="str">
        <f>IF(ISBLANK(C514)," ",509-COUNTBLANK($C$6:C514))</f>
        <v xml:space="preserve"> </v>
      </c>
      <c r="B514" s="88"/>
      <c r="C514" s="88"/>
      <c r="D514" s="89"/>
      <c r="E514" s="89"/>
      <c r="F514" s="73"/>
      <c r="G514" s="73"/>
      <c r="H514" s="73"/>
      <c r="I514" s="73"/>
      <c r="J514" s="73"/>
      <c r="K514" s="73"/>
      <c r="L514" s="73"/>
      <c r="M514" s="74"/>
      <c r="N514" s="71" t="str">
        <f t="shared" si="7"/>
        <v/>
      </c>
      <c r="O514" s="72"/>
      <c r="P514" s="72"/>
      <c r="Q514" s="72"/>
      <c r="R514" s="72"/>
      <c r="S514" s="72"/>
      <c r="T514" s="72"/>
      <c r="U514" s="72"/>
      <c r="V514" s="72"/>
    </row>
    <row r="515" spans="1:22" ht="27.75" customHeight="1">
      <c r="A515" s="87" t="str">
        <f>IF(ISBLANK(C515)," ",510-COUNTBLANK($C$6:C515))</f>
        <v xml:space="preserve"> </v>
      </c>
      <c r="B515" s="88"/>
      <c r="C515" s="88"/>
      <c r="D515" s="89"/>
      <c r="E515" s="89"/>
      <c r="F515" s="73"/>
      <c r="G515" s="73"/>
      <c r="H515" s="73"/>
      <c r="I515" s="73"/>
      <c r="J515" s="73"/>
      <c r="K515" s="73"/>
      <c r="L515" s="73"/>
      <c r="M515" s="74"/>
      <c r="N515" s="71" t="str">
        <f t="shared" si="7"/>
        <v/>
      </c>
      <c r="O515" s="72"/>
      <c r="P515" s="72"/>
      <c r="Q515" s="72"/>
      <c r="R515" s="72"/>
      <c r="S515" s="72"/>
      <c r="T515" s="72"/>
      <c r="U515" s="72"/>
      <c r="V515" s="72"/>
    </row>
    <row r="516" spans="1:22" ht="27.75" customHeight="1">
      <c r="A516" s="87" t="str">
        <f>IF(ISBLANK(C516)," ",511-COUNTBLANK($C$6:C516))</f>
        <v xml:space="preserve"> </v>
      </c>
      <c r="B516" s="88"/>
      <c r="C516" s="88"/>
      <c r="D516" s="89"/>
      <c r="E516" s="89"/>
      <c r="F516" s="73"/>
      <c r="G516" s="73"/>
      <c r="H516" s="73"/>
      <c r="I516" s="73"/>
      <c r="J516" s="73"/>
      <c r="K516" s="73"/>
      <c r="L516" s="73"/>
      <c r="M516" s="74"/>
      <c r="N516" s="71" t="str">
        <f t="shared" si="7"/>
        <v/>
      </c>
      <c r="O516" s="72"/>
      <c r="P516" s="72"/>
      <c r="Q516" s="72"/>
      <c r="R516" s="72"/>
      <c r="S516" s="72"/>
      <c r="T516" s="72"/>
      <c r="U516" s="72"/>
      <c r="V516" s="72"/>
    </row>
    <row r="517" spans="1:22" ht="27.75" customHeight="1">
      <c r="A517" s="87" t="str">
        <f>IF(ISBLANK(C517)," ",512-COUNTBLANK($C$6:C517))</f>
        <v xml:space="preserve"> </v>
      </c>
      <c r="B517" s="88"/>
      <c r="C517" s="88"/>
      <c r="D517" s="89"/>
      <c r="E517" s="89"/>
      <c r="F517" s="73"/>
      <c r="G517" s="73"/>
      <c r="H517" s="73"/>
      <c r="I517" s="73"/>
      <c r="J517" s="73"/>
      <c r="K517" s="73"/>
      <c r="L517" s="73"/>
      <c r="M517" s="74"/>
      <c r="N517" s="71" t="str">
        <f t="shared" si="7"/>
        <v/>
      </c>
      <c r="O517" s="72"/>
      <c r="P517" s="72"/>
      <c r="Q517" s="72"/>
      <c r="R517" s="72"/>
      <c r="S517" s="72"/>
      <c r="T517" s="72"/>
      <c r="U517" s="72"/>
      <c r="V517" s="72"/>
    </row>
    <row r="518" spans="1:22" ht="27.75" customHeight="1">
      <c r="A518" s="87" t="str">
        <f>IF(ISBLANK(C518)," ",513-COUNTBLANK($C$6:C518))</f>
        <v xml:space="preserve"> </v>
      </c>
      <c r="B518" s="88"/>
      <c r="C518" s="88"/>
      <c r="D518" s="89"/>
      <c r="E518" s="89"/>
      <c r="F518" s="73"/>
      <c r="G518" s="73"/>
      <c r="H518" s="73"/>
      <c r="I518" s="73"/>
      <c r="J518" s="73"/>
      <c r="K518" s="73"/>
      <c r="L518" s="73"/>
      <c r="M518" s="74"/>
      <c r="N518" s="71" t="str">
        <f t="shared" ref="N518:N530" si="8">CONCATENATE(C518,H518)</f>
        <v/>
      </c>
      <c r="O518" s="72"/>
      <c r="P518" s="72"/>
      <c r="Q518" s="72"/>
      <c r="R518" s="72"/>
      <c r="S518" s="72"/>
      <c r="T518" s="72"/>
      <c r="U518" s="72"/>
      <c r="V518" s="72"/>
    </row>
    <row r="519" spans="1:22" ht="27.75" customHeight="1">
      <c r="A519" s="87" t="str">
        <f>IF(ISBLANK(C519)," ",514-COUNTBLANK($C$6:C519))</f>
        <v xml:space="preserve"> </v>
      </c>
      <c r="B519" s="88"/>
      <c r="C519" s="88"/>
      <c r="D519" s="89"/>
      <c r="E519" s="89"/>
      <c r="F519" s="73"/>
      <c r="G519" s="73"/>
      <c r="H519" s="73"/>
      <c r="I519" s="73"/>
      <c r="J519" s="73"/>
      <c r="K519" s="73"/>
      <c r="L519" s="73"/>
      <c r="M519" s="74"/>
      <c r="N519" s="71" t="str">
        <f t="shared" si="8"/>
        <v/>
      </c>
      <c r="O519" s="72"/>
      <c r="P519" s="72"/>
      <c r="Q519" s="72"/>
      <c r="R519" s="72"/>
      <c r="S519" s="72"/>
      <c r="T519" s="72"/>
      <c r="U519" s="72"/>
      <c r="V519" s="72"/>
    </row>
    <row r="520" spans="1:22" ht="27.75" customHeight="1">
      <c r="A520" s="87" t="str">
        <f>IF(ISBLANK(C520)," ",515-COUNTBLANK($C$6:C520))</f>
        <v xml:space="preserve"> </v>
      </c>
      <c r="B520" s="88"/>
      <c r="C520" s="88"/>
      <c r="D520" s="89"/>
      <c r="E520" s="89"/>
      <c r="F520" s="73"/>
      <c r="G520" s="73"/>
      <c r="H520" s="73"/>
      <c r="I520" s="73"/>
      <c r="J520" s="73"/>
      <c r="K520" s="73"/>
      <c r="L520" s="73"/>
      <c r="M520" s="74"/>
      <c r="N520" s="71" t="str">
        <f t="shared" si="8"/>
        <v/>
      </c>
      <c r="O520" s="72"/>
      <c r="P520" s="72"/>
      <c r="Q520" s="72"/>
      <c r="R520" s="72"/>
      <c r="S520" s="72"/>
      <c r="T520" s="72"/>
      <c r="U520" s="72"/>
      <c r="V520" s="72"/>
    </row>
    <row r="521" spans="1:22" ht="27.75" customHeight="1">
      <c r="A521" s="87" t="str">
        <f>IF(ISBLANK(C521)," ",516-COUNTBLANK($C$6:C521))</f>
        <v xml:space="preserve"> </v>
      </c>
      <c r="B521" s="88"/>
      <c r="C521" s="88"/>
      <c r="D521" s="89"/>
      <c r="E521" s="89"/>
      <c r="F521" s="73"/>
      <c r="G521" s="73"/>
      <c r="H521" s="73"/>
      <c r="I521" s="73"/>
      <c r="J521" s="73"/>
      <c r="K521" s="73"/>
      <c r="L521" s="73"/>
      <c r="M521" s="74"/>
      <c r="N521" s="71" t="str">
        <f t="shared" si="8"/>
        <v/>
      </c>
      <c r="O521" s="72"/>
      <c r="P521" s="72"/>
      <c r="Q521" s="72"/>
      <c r="R521" s="72"/>
      <c r="S521" s="72"/>
      <c r="T521" s="72"/>
      <c r="U521" s="72"/>
      <c r="V521" s="72"/>
    </row>
    <row r="522" spans="1:22" ht="27.75" customHeight="1">
      <c r="A522" s="87" t="str">
        <f>IF(ISBLANK(C522)," ",517-COUNTBLANK($C$6:C522))</f>
        <v xml:space="preserve"> </v>
      </c>
      <c r="B522" s="88"/>
      <c r="C522" s="88"/>
      <c r="D522" s="89"/>
      <c r="E522" s="89"/>
      <c r="F522" s="73"/>
      <c r="G522" s="73"/>
      <c r="H522" s="73"/>
      <c r="I522" s="73"/>
      <c r="J522" s="73"/>
      <c r="K522" s="73"/>
      <c r="L522" s="73"/>
      <c r="M522" s="74"/>
      <c r="N522" s="71" t="str">
        <f t="shared" si="8"/>
        <v/>
      </c>
      <c r="O522" s="72"/>
      <c r="P522" s="72"/>
      <c r="Q522" s="72"/>
      <c r="R522" s="72"/>
      <c r="S522" s="72"/>
      <c r="T522" s="72"/>
      <c r="U522" s="72"/>
      <c r="V522" s="72"/>
    </row>
    <row r="523" spans="1:22" ht="27.75" customHeight="1">
      <c r="A523" s="87" t="str">
        <f>IF(ISBLANK(C523)," ",518-COUNTBLANK($C$6:C523))</f>
        <v xml:space="preserve"> </v>
      </c>
      <c r="B523" s="88"/>
      <c r="C523" s="88"/>
      <c r="D523" s="89"/>
      <c r="E523" s="89"/>
      <c r="F523" s="73"/>
      <c r="G523" s="73"/>
      <c r="H523" s="73"/>
      <c r="I523" s="73"/>
      <c r="J523" s="73"/>
      <c r="K523" s="73"/>
      <c r="L523" s="73"/>
      <c r="M523" s="74"/>
      <c r="N523" s="71" t="str">
        <f t="shared" si="8"/>
        <v/>
      </c>
      <c r="O523" s="72"/>
      <c r="P523" s="72"/>
      <c r="Q523" s="72"/>
      <c r="R523" s="72"/>
      <c r="S523" s="72"/>
      <c r="T523" s="72"/>
      <c r="U523" s="72"/>
      <c r="V523" s="72"/>
    </row>
    <row r="524" spans="1:22" ht="27.75" customHeight="1">
      <c r="A524" s="87" t="str">
        <f>IF(ISBLANK(C524)," ",519-COUNTBLANK($C$6:C524))</f>
        <v xml:space="preserve"> </v>
      </c>
      <c r="B524" s="88"/>
      <c r="C524" s="88"/>
      <c r="D524" s="89"/>
      <c r="E524" s="89"/>
      <c r="F524" s="73"/>
      <c r="G524" s="73"/>
      <c r="H524" s="73"/>
      <c r="I524" s="73"/>
      <c r="J524" s="73"/>
      <c r="K524" s="73"/>
      <c r="L524" s="73"/>
      <c r="M524" s="74"/>
      <c r="N524" s="71" t="str">
        <f t="shared" si="8"/>
        <v/>
      </c>
      <c r="O524" s="72"/>
      <c r="P524" s="72"/>
      <c r="Q524" s="72"/>
      <c r="R524" s="72"/>
      <c r="S524" s="72"/>
      <c r="T524" s="72"/>
      <c r="U524" s="72"/>
      <c r="V524" s="72"/>
    </row>
    <row r="525" spans="1:22" ht="27.75" customHeight="1">
      <c r="A525" s="87" t="str">
        <f>IF(ISBLANK(C525)," ",520-COUNTBLANK($C$6:C525))</f>
        <v xml:space="preserve"> </v>
      </c>
      <c r="B525" s="88"/>
      <c r="C525" s="88"/>
      <c r="D525" s="89"/>
      <c r="E525" s="89"/>
      <c r="F525" s="73"/>
      <c r="G525" s="73"/>
      <c r="H525" s="73"/>
      <c r="I525" s="73"/>
      <c r="J525" s="73"/>
      <c r="K525" s="73"/>
      <c r="L525" s="73"/>
      <c r="M525" s="74"/>
      <c r="N525" s="71" t="str">
        <f t="shared" si="8"/>
        <v/>
      </c>
      <c r="O525" s="75"/>
      <c r="P525" s="72"/>
      <c r="Q525" s="72"/>
      <c r="R525" s="72"/>
      <c r="S525" s="72"/>
      <c r="T525" s="72"/>
      <c r="U525" s="72"/>
      <c r="V525" s="76"/>
    </row>
    <row r="526" spans="1:22" ht="27.75" customHeight="1">
      <c r="A526" s="87" t="str">
        <f>IF(ISBLANK(C526)," ",521-COUNTBLANK($C$6:C526))</f>
        <v xml:space="preserve"> </v>
      </c>
      <c r="B526" s="88"/>
      <c r="C526" s="88"/>
      <c r="D526" s="89"/>
      <c r="E526" s="89"/>
      <c r="F526" s="73"/>
      <c r="G526" s="73"/>
      <c r="H526" s="73"/>
      <c r="I526" s="73"/>
      <c r="J526" s="73"/>
      <c r="K526" s="73"/>
      <c r="L526" s="73"/>
      <c r="M526" s="74"/>
      <c r="N526" s="71" t="str">
        <f t="shared" si="8"/>
        <v/>
      </c>
      <c r="O526" s="75"/>
      <c r="P526" s="72"/>
      <c r="Q526" s="72"/>
      <c r="R526" s="72"/>
      <c r="S526" s="72"/>
      <c r="T526" s="72"/>
      <c r="U526" s="72"/>
      <c r="V526" s="76"/>
    </row>
    <row r="527" spans="1:22" ht="27.75" customHeight="1">
      <c r="A527" s="87" t="str">
        <f>IF(ISBLANK(C527)," ",522-COUNTBLANK($C$6:C527))</f>
        <v xml:space="preserve"> </v>
      </c>
      <c r="B527" s="88"/>
      <c r="C527" s="88"/>
      <c r="D527" s="89"/>
      <c r="E527" s="89"/>
      <c r="F527" s="73"/>
      <c r="G527" s="73"/>
      <c r="H527" s="73"/>
      <c r="I527" s="73"/>
      <c r="J527" s="73"/>
      <c r="K527" s="73"/>
      <c r="L527" s="73"/>
      <c r="M527" s="74"/>
      <c r="N527" s="71" t="str">
        <f t="shared" si="8"/>
        <v/>
      </c>
      <c r="O527" s="75"/>
      <c r="P527" s="72"/>
      <c r="Q527" s="72"/>
      <c r="R527" s="72"/>
      <c r="S527" s="72"/>
      <c r="T527" s="72"/>
      <c r="U527" s="72"/>
      <c r="V527" s="76"/>
    </row>
    <row r="528" spans="1:22" ht="27.75" customHeight="1">
      <c r="A528" s="87" t="str">
        <f>IF(ISBLANK(C528)," ",523-COUNTBLANK($C$6:C528))</f>
        <v xml:space="preserve"> </v>
      </c>
      <c r="B528" s="88"/>
      <c r="C528" s="88"/>
      <c r="D528" s="89"/>
      <c r="E528" s="89"/>
      <c r="F528" s="73"/>
      <c r="G528" s="73"/>
      <c r="H528" s="73"/>
      <c r="I528" s="73"/>
      <c r="J528" s="73"/>
      <c r="K528" s="73"/>
      <c r="L528" s="73"/>
      <c r="M528" s="74"/>
      <c r="N528" s="71" t="str">
        <f t="shared" si="8"/>
        <v/>
      </c>
      <c r="O528" s="75"/>
      <c r="P528" s="72"/>
      <c r="Q528" s="72"/>
      <c r="R528" s="72"/>
      <c r="S528" s="72"/>
      <c r="T528" s="72"/>
      <c r="U528" s="72"/>
      <c r="V528" s="76"/>
    </row>
    <row r="529" spans="1:25" ht="27.75" customHeight="1">
      <c r="A529" s="87" t="str">
        <f>IF(ISBLANK(C529)," ",524-COUNTBLANK($C$6:C529))</f>
        <v xml:space="preserve"> </v>
      </c>
      <c r="B529" s="88"/>
      <c r="C529" s="88"/>
      <c r="D529" s="89"/>
      <c r="E529" s="89"/>
      <c r="F529" s="73"/>
      <c r="G529" s="73"/>
      <c r="H529" s="73"/>
      <c r="I529" s="73"/>
      <c r="J529" s="73"/>
      <c r="K529" s="73"/>
      <c r="L529" s="73"/>
      <c r="M529" s="74"/>
      <c r="N529" s="71" t="str">
        <f t="shared" si="8"/>
        <v/>
      </c>
      <c r="O529" s="72"/>
      <c r="P529" s="72"/>
      <c r="Q529" s="72"/>
      <c r="R529" s="72"/>
      <c r="S529" s="72"/>
      <c r="T529" s="72"/>
      <c r="U529" s="72"/>
      <c r="V529" s="79"/>
      <c r="W529" s="72"/>
      <c r="X529" s="72"/>
      <c r="Y529" s="72"/>
    </row>
    <row r="530" spans="1:25" ht="27.75" customHeight="1">
      <c r="A530" s="80" t="s">
        <v>52</v>
      </c>
      <c r="B530" s="81"/>
      <c r="C530" s="96"/>
      <c r="D530" s="82"/>
      <c r="E530" s="82">
        <f>SUM(E510:E529)</f>
        <v>0</v>
      </c>
      <c r="F530" s="83"/>
      <c r="G530" s="83"/>
      <c r="H530" s="83"/>
      <c r="I530" s="83"/>
      <c r="J530" s="83"/>
      <c r="K530" s="83"/>
      <c r="L530" s="83"/>
      <c r="M530" s="84"/>
      <c r="N530" s="71" t="str">
        <f t="shared" si="8"/>
        <v/>
      </c>
      <c r="O530" s="75"/>
      <c r="P530" s="72"/>
      <c r="Q530" s="72"/>
      <c r="R530" s="72"/>
      <c r="S530" s="72"/>
      <c r="T530" s="72"/>
      <c r="U530" s="72"/>
      <c r="V530" s="79"/>
      <c r="W530" s="72"/>
      <c r="X530" s="72"/>
      <c r="Y530" s="72"/>
    </row>
    <row r="531" spans="1:25">
      <c r="O531" s="99"/>
      <c r="P531" s="99"/>
      <c r="Q531" s="99"/>
      <c r="R531" s="99"/>
      <c r="S531" s="99"/>
      <c r="T531" s="99"/>
      <c r="U531" s="99"/>
      <c r="V531" s="99"/>
    </row>
    <row r="532" spans="1:25">
      <c r="O532" s="99"/>
      <c r="P532" s="99"/>
      <c r="Q532" s="99"/>
      <c r="R532" s="99"/>
      <c r="S532" s="99"/>
      <c r="T532" s="99"/>
      <c r="U532" s="99"/>
      <c r="V532" s="99"/>
    </row>
  </sheetData>
  <mergeCells count="4">
    <mergeCell ref="B4:B5"/>
    <mergeCell ref="C4:C5"/>
    <mergeCell ref="H4:I4"/>
    <mergeCell ref="M4:M5"/>
  </mergeCells>
  <phoneticPr fontId="5" type="noConversion"/>
  <printOptions horizontalCentered="1" verticalCentered="1"/>
  <pageMargins left="0.19685039370078741" right="0.19685039370078741" top="1.1811023622047245" bottom="0.59055118110236227" header="0.59055118110236227" footer="0.19685039370078741"/>
  <pageSetup paperSize="9" orientation="portrait" horizontalDpi="4294967292" r:id="rId1"/>
  <headerFooter alignWithMargins="0"/>
  <rowBreaks count="1" manualBreakCount="1">
    <brk id="2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2"/>
  <sheetViews>
    <sheetView showGridLines="0" showZeros="0" view="pageBreakPreview" zoomScaleNormal="70" workbookViewId="0">
      <selection activeCell="A26" sqref="A26:IV26"/>
    </sheetView>
  </sheetViews>
  <sheetFormatPr defaultRowHeight="11.25"/>
  <cols>
    <col min="1" max="1" width="4.33203125" style="51" customWidth="1"/>
    <col min="2" max="2" width="6.33203125" style="97" customWidth="1"/>
    <col min="3" max="3" width="3.77734375" style="51" customWidth="1"/>
    <col min="4" max="4" width="6.77734375" style="51" customWidth="1"/>
    <col min="5" max="5" width="6.77734375" style="98" customWidth="1"/>
    <col min="6" max="6" width="4.109375" style="51" customWidth="1"/>
    <col min="7" max="7" width="4.77734375" style="51" customWidth="1"/>
    <col min="8" max="8" width="7.33203125" style="51" customWidth="1"/>
    <col min="9" max="9" width="11.77734375" style="51" customWidth="1"/>
    <col min="10" max="10" width="6.77734375" style="51" customWidth="1"/>
    <col min="11" max="11" width="11.77734375" style="51" customWidth="1"/>
    <col min="12" max="12" width="6.77734375" style="51" customWidth="1"/>
    <col min="13" max="13" width="3.77734375" style="51" customWidth="1"/>
    <col min="14" max="14" width="20.77734375" style="99" hidden="1" customWidth="1"/>
    <col min="15" max="21" width="9.77734375" style="51" customWidth="1"/>
    <col min="22" max="22" width="10.77734375" style="51" customWidth="1"/>
    <col min="23" max="16384" width="8.88671875" style="51"/>
  </cols>
  <sheetData>
    <row r="1" spans="1:22" ht="30" customHeight="1">
      <c r="A1" s="45" t="s">
        <v>58</v>
      </c>
      <c r="B1" s="46"/>
      <c r="C1" s="47"/>
      <c r="D1" s="47"/>
      <c r="E1" s="48"/>
      <c r="F1" s="47"/>
      <c r="G1" s="47"/>
      <c r="H1" s="47"/>
      <c r="I1" s="47"/>
      <c r="J1" s="47"/>
      <c r="K1" s="47"/>
      <c r="L1" s="47"/>
      <c r="M1" s="47"/>
      <c r="N1" s="49"/>
      <c r="O1" s="50"/>
      <c r="P1" s="50"/>
      <c r="Q1" s="50"/>
      <c r="R1" s="50"/>
      <c r="S1" s="50"/>
      <c r="T1" s="50"/>
      <c r="U1" s="50"/>
      <c r="V1" s="50"/>
    </row>
    <row r="2" spans="1:22" ht="19.899999999999999" customHeight="1">
      <c r="A2" s="50"/>
      <c r="B2" s="52"/>
      <c r="C2" s="50"/>
      <c r="D2" s="50"/>
      <c r="E2" s="53"/>
      <c r="F2" s="50"/>
      <c r="G2" s="50"/>
      <c r="H2" s="50"/>
      <c r="I2" s="50"/>
      <c r="J2" s="54"/>
      <c r="K2" s="55">
        <v>3</v>
      </c>
      <c r="L2" s="47"/>
      <c r="M2" s="47"/>
      <c r="N2" s="56"/>
      <c r="O2" s="50"/>
      <c r="P2" s="50"/>
      <c r="Q2" s="50"/>
      <c r="R2" s="50"/>
      <c r="S2" s="50"/>
      <c r="T2" s="50"/>
      <c r="U2" s="50"/>
      <c r="V2" s="50"/>
    </row>
    <row r="3" spans="1:22" ht="10.15" customHeight="1">
      <c r="A3" s="50"/>
      <c r="B3" s="52"/>
      <c r="C3" s="50"/>
      <c r="D3" s="50"/>
      <c r="E3" s="53"/>
      <c r="F3" s="50"/>
      <c r="G3" s="50"/>
      <c r="H3" s="50"/>
      <c r="I3" s="50"/>
      <c r="J3" s="50"/>
      <c r="K3" s="50"/>
      <c r="L3" s="50"/>
      <c r="M3" s="50"/>
      <c r="N3" s="57"/>
      <c r="O3" s="50"/>
      <c r="P3" s="50"/>
      <c r="Q3" s="50"/>
      <c r="R3" s="50"/>
      <c r="S3" s="50"/>
      <c r="T3" s="50"/>
      <c r="U3" s="50"/>
      <c r="V3" s="50"/>
    </row>
    <row r="4" spans="1:22" ht="30" customHeight="1">
      <c r="A4" s="107" t="s">
        <v>39</v>
      </c>
      <c r="B4" s="519" t="s">
        <v>40</v>
      </c>
      <c r="C4" s="501" t="s">
        <v>41</v>
      </c>
      <c r="D4" s="108" t="s">
        <v>42</v>
      </c>
      <c r="E4" s="109" t="s">
        <v>43</v>
      </c>
      <c r="F4" s="110" t="s">
        <v>44</v>
      </c>
      <c r="G4" s="58"/>
      <c r="H4" s="499" t="s">
        <v>45</v>
      </c>
      <c r="I4" s="500"/>
      <c r="J4" s="59" t="s">
        <v>46</v>
      </c>
      <c r="K4" s="58"/>
      <c r="L4" s="60"/>
      <c r="M4" s="503" t="s">
        <v>31</v>
      </c>
      <c r="N4" s="56"/>
      <c r="O4" s="50"/>
      <c r="P4" s="61"/>
      <c r="Q4" s="61"/>
      <c r="R4" s="61"/>
      <c r="S4" s="61"/>
      <c r="T4" s="61"/>
      <c r="U4" s="61"/>
      <c r="V4" s="61"/>
    </row>
    <row r="5" spans="1:22" ht="30" customHeight="1">
      <c r="A5" s="62" t="s">
        <v>47</v>
      </c>
      <c r="B5" s="520"/>
      <c r="C5" s="502"/>
      <c r="D5" s="63" t="s">
        <v>59</v>
      </c>
      <c r="E5" s="63" t="s">
        <v>59</v>
      </c>
      <c r="F5" s="64" t="s">
        <v>41</v>
      </c>
      <c r="G5" s="65" t="s">
        <v>48</v>
      </c>
      <c r="H5" s="65" t="s">
        <v>49</v>
      </c>
      <c r="I5" s="64" t="s">
        <v>50</v>
      </c>
      <c r="J5" s="65" t="s">
        <v>49</v>
      </c>
      <c r="K5" s="65" t="s">
        <v>50</v>
      </c>
      <c r="L5" s="66" t="s">
        <v>51</v>
      </c>
      <c r="M5" s="504"/>
      <c r="N5" s="67"/>
      <c r="O5" s="61"/>
      <c r="P5" s="68"/>
      <c r="Q5" s="68"/>
      <c r="R5" s="68"/>
      <c r="S5" s="68"/>
      <c r="T5" s="68"/>
      <c r="U5" s="68"/>
      <c r="V5" s="50"/>
    </row>
    <row r="6" spans="1:22" ht="27.75" customHeight="1">
      <c r="A6" s="147"/>
      <c r="B6" s="148"/>
      <c r="C6" s="149"/>
      <c r="D6" s="150"/>
      <c r="E6" s="150"/>
      <c r="F6" s="151"/>
      <c r="G6" s="151"/>
      <c r="H6" s="152"/>
      <c r="I6" s="153"/>
      <c r="J6" s="69"/>
      <c r="K6" s="69"/>
      <c r="L6" s="69"/>
      <c r="M6" s="70"/>
      <c r="N6" s="71" t="str">
        <f t="shared" ref="N6:N69" si="0">CONCATENATE(C6,H6)</f>
        <v/>
      </c>
      <c r="O6" s="72"/>
      <c r="P6" s="72"/>
      <c r="Q6" s="72"/>
      <c r="R6" s="72"/>
      <c r="S6" s="72"/>
      <c r="T6" s="72"/>
      <c r="U6" s="72"/>
      <c r="V6" s="72"/>
    </row>
    <row r="7" spans="1:22" ht="27.75" customHeight="1">
      <c r="A7" s="154"/>
      <c r="B7" s="155"/>
      <c r="C7" s="156"/>
      <c r="D7" s="157"/>
      <c r="E7" s="157"/>
      <c r="F7" s="158"/>
      <c r="G7" s="158"/>
      <c r="H7" s="159"/>
      <c r="I7" s="160"/>
      <c r="J7" s="73"/>
      <c r="K7" s="73"/>
      <c r="L7" s="73"/>
      <c r="M7" s="74"/>
      <c r="N7" s="71" t="str">
        <f t="shared" si="0"/>
        <v/>
      </c>
      <c r="O7" s="72"/>
      <c r="P7" s="72"/>
      <c r="Q7" s="72"/>
      <c r="R7" s="72"/>
      <c r="S7" s="72"/>
      <c r="T7" s="72"/>
      <c r="U7" s="72"/>
      <c r="V7" s="72"/>
    </row>
    <row r="8" spans="1:22" ht="27.75" customHeight="1">
      <c r="A8" s="154"/>
      <c r="B8" s="155"/>
      <c r="C8" s="156"/>
      <c r="D8" s="157"/>
      <c r="E8" s="157"/>
      <c r="F8" s="158"/>
      <c r="G8" s="158"/>
      <c r="H8" s="159"/>
      <c r="I8" s="160"/>
      <c r="J8" s="73"/>
      <c r="K8" s="73"/>
      <c r="L8" s="73"/>
      <c r="M8" s="74"/>
      <c r="N8" s="71" t="str">
        <f t="shared" si="0"/>
        <v/>
      </c>
      <c r="O8" s="72"/>
      <c r="P8" s="72"/>
      <c r="Q8" s="72"/>
      <c r="R8" s="72"/>
      <c r="S8" s="72"/>
      <c r="T8" s="72"/>
      <c r="U8" s="72"/>
      <c r="V8" s="72"/>
    </row>
    <row r="9" spans="1:22" ht="27.75" customHeight="1">
      <c r="A9" s="154"/>
      <c r="B9" s="155"/>
      <c r="C9" s="156"/>
      <c r="D9" s="157"/>
      <c r="E9" s="157"/>
      <c r="F9" s="158"/>
      <c r="G9" s="158"/>
      <c r="H9" s="159"/>
      <c r="I9" s="160"/>
      <c r="J9" s="73"/>
      <c r="K9" s="73"/>
      <c r="L9" s="73"/>
      <c r="M9" s="74"/>
      <c r="N9" s="71" t="str">
        <f t="shared" si="0"/>
        <v/>
      </c>
      <c r="O9" s="72"/>
      <c r="P9" s="72"/>
      <c r="Q9" s="72"/>
      <c r="R9" s="72"/>
      <c r="S9" s="72"/>
      <c r="T9" s="72"/>
      <c r="U9" s="72"/>
      <c r="V9" s="72"/>
    </row>
    <row r="10" spans="1:22" ht="27.75" customHeight="1">
      <c r="A10" s="154"/>
      <c r="B10" s="155"/>
      <c r="C10" s="156"/>
      <c r="D10" s="157"/>
      <c r="E10" s="157"/>
      <c r="F10" s="158"/>
      <c r="G10" s="158"/>
      <c r="H10" s="159"/>
      <c r="I10" s="160"/>
      <c r="J10" s="73"/>
      <c r="K10" s="73"/>
      <c r="L10" s="73"/>
      <c r="M10" s="74"/>
      <c r="N10" s="71" t="str">
        <f t="shared" si="0"/>
        <v/>
      </c>
      <c r="O10" s="72"/>
      <c r="P10" s="72"/>
      <c r="Q10" s="72"/>
      <c r="R10" s="72"/>
      <c r="S10" s="72"/>
      <c r="T10" s="72"/>
      <c r="U10" s="72"/>
      <c r="V10" s="72"/>
    </row>
    <row r="11" spans="1:22" ht="27.75" customHeight="1">
      <c r="A11" s="154"/>
      <c r="B11" s="155"/>
      <c r="C11" s="156"/>
      <c r="D11" s="157"/>
      <c r="E11" s="157"/>
      <c r="F11" s="158"/>
      <c r="G11" s="158"/>
      <c r="H11" s="159"/>
      <c r="I11" s="160"/>
      <c r="J11" s="73"/>
      <c r="K11" s="73"/>
      <c r="L11" s="73"/>
      <c r="M11" s="74"/>
      <c r="N11" s="71" t="str">
        <f t="shared" si="0"/>
        <v/>
      </c>
      <c r="O11" s="72"/>
      <c r="P11" s="72"/>
      <c r="Q11" s="72"/>
      <c r="R11" s="72"/>
      <c r="S11" s="72"/>
      <c r="T11" s="72"/>
      <c r="U11" s="72"/>
      <c r="V11" s="72"/>
    </row>
    <row r="12" spans="1:22" ht="27.75" customHeight="1">
      <c r="A12" s="154"/>
      <c r="B12" s="155"/>
      <c r="C12" s="156"/>
      <c r="D12" s="157"/>
      <c r="E12" s="157"/>
      <c r="F12" s="158"/>
      <c r="G12" s="161"/>
      <c r="H12" s="159"/>
      <c r="I12" s="160"/>
      <c r="J12" s="73"/>
      <c r="K12" s="73"/>
      <c r="L12" s="73"/>
      <c r="M12" s="74"/>
      <c r="N12" s="71" t="str">
        <f t="shared" si="0"/>
        <v/>
      </c>
      <c r="O12" s="72"/>
      <c r="P12" s="72"/>
      <c r="Q12" s="72"/>
      <c r="R12" s="72"/>
      <c r="S12" s="72"/>
      <c r="T12" s="72"/>
      <c r="U12" s="72"/>
      <c r="V12" s="72"/>
    </row>
    <row r="13" spans="1:22" ht="27.75" customHeight="1">
      <c r="A13" s="154"/>
      <c r="B13" s="155"/>
      <c r="C13" s="156"/>
      <c r="D13" s="157"/>
      <c r="E13" s="157"/>
      <c r="F13" s="158"/>
      <c r="G13" s="158"/>
      <c r="H13" s="159"/>
      <c r="I13" s="160"/>
      <c r="J13" s="73"/>
      <c r="K13" s="73"/>
      <c r="L13" s="73"/>
      <c r="M13" s="74"/>
      <c r="N13" s="71" t="str">
        <f t="shared" si="0"/>
        <v/>
      </c>
      <c r="O13" s="72"/>
      <c r="P13" s="72"/>
      <c r="Q13" s="72"/>
      <c r="R13" s="72"/>
      <c r="S13" s="72"/>
      <c r="T13" s="72"/>
      <c r="U13" s="72"/>
      <c r="V13" s="72"/>
    </row>
    <row r="14" spans="1:22" ht="27.75" customHeight="1">
      <c r="A14" s="154"/>
      <c r="B14" s="155"/>
      <c r="C14" s="156"/>
      <c r="D14" s="157"/>
      <c r="E14" s="157"/>
      <c r="F14" s="158"/>
      <c r="G14" s="158"/>
      <c r="H14" s="159"/>
      <c r="I14" s="160"/>
      <c r="J14" s="73"/>
      <c r="K14" s="73"/>
      <c r="L14" s="73"/>
      <c r="M14" s="74"/>
      <c r="N14" s="71" t="str">
        <f t="shared" si="0"/>
        <v/>
      </c>
      <c r="O14" s="72"/>
      <c r="P14" s="72"/>
      <c r="Q14" s="72"/>
      <c r="R14" s="72"/>
      <c r="S14" s="72"/>
      <c r="T14" s="72"/>
      <c r="U14" s="72"/>
      <c r="V14" s="72"/>
    </row>
    <row r="15" spans="1:22" ht="27.75" customHeight="1">
      <c r="A15" s="154"/>
      <c r="B15" s="155"/>
      <c r="C15" s="156"/>
      <c r="D15" s="157"/>
      <c r="E15" s="157"/>
      <c r="F15" s="158"/>
      <c r="G15" s="158"/>
      <c r="H15" s="159"/>
      <c r="I15" s="160"/>
      <c r="J15" s="73"/>
      <c r="K15" s="73"/>
      <c r="L15" s="73"/>
      <c r="M15" s="74"/>
      <c r="N15" s="71" t="str">
        <f t="shared" si="0"/>
        <v/>
      </c>
      <c r="O15" s="72"/>
      <c r="P15" s="72"/>
      <c r="Q15" s="72"/>
      <c r="R15" s="72"/>
      <c r="S15" s="72"/>
      <c r="T15" s="72"/>
      <c r="U15" s="72"/>
      <c r="V15" s="72"/>
    </row>
    <row r="16" spans="1:22" ht="27.75" customHeight="1">
      <c r="A16" s="154"/>
      <c r="B16" s="155"/>
      <c r="C16" s="156"/>
      <c r="D16" s="157"/>
      <c r="E16" s="157"/>
      <c r="F16" s="158"/>
      <c r="G16" s="158"/>
      <c r="H16" s="159"/>
      <c r="I16" s="160"/>
      <c r="J16" s="73"/>
      <c r="K16" s="73"/>
      <c r="L16" s="73"/>
      <c r="M16" s="74"/>
      <c r="N16" s="71" t="str">
        <f t="shared" si="0"/>
        <v/>
      </c>
      <c r="O16" s="72"/>
      <c r="P16" s="72"/>
      <c r="Q16" s="72"/>
      <c r="R16" s="72"/>
      <c r="S16" s="72"/>
      <c r="T16" s="72"/>
      <c r="U16" s="72"/>
      <c r="V16" s="72"/>
    </row>
    <row r="17" spans="1:25" ht="27.75" customHeight="1">
      <c r="A17" s="154"/>
      <c r="B17" s="155"/>
      <c r="C17" s="156"/>
      <c r="D17" s="157"/>
      <c r="E17" s="157"/>
      <c r="F17" s="158"/>
      <c r="G17" s="158"/>
      <c r="H17" s="159"/>
      <c r="I17" s="160"/>
      <c r="J17" s="73"/>
      <c r="K17" s="73"/>
      <c r="L17" s="73"/>
      <c r="M17" s="74"/>
      <c r="N17" s="71" t="str">
        <f t="shared" si="0"/>
        <v/>
      </c>
      <c r="O17" s="72"/>
      <c r="P17" s="72"/>
      <c r="Q17" s="72"/>
      <c r="R17" s="72"/>
      <c r="S17" s="72"/>
      <c r="T17" s="72"/>
      <c r="U17" s="72"/>
      <c r="V17" s="72"/>
    </row>
    <row r="18" spans="1:25" ht="27.75" customHeight="1">
      <c r="A18" s="154"/>
      <c r="B18" s="155"/>
      <c r="C18" s="156"/>
      <c r="D18" s="157"/>
      <c r="E18" s="157"/>
      <c r="F18" s="158"/>
      <c r="G18" s="158"/>
      <c r="H18" s="159"/>
      <c r="I18" s="160"/>
      <c r="J18" s="73"/>
      <c r="K18" s="73"/>
      <c r="L18" s="73"/>
      <c r="M18" s="74"/>
      <c r="N18" s="71" t="str">
        <f t="shared" si="0"/>
        <v/>
      </c>
      <c r="O18" s="72"/>
      <c r="P18" s="72"/>
      <c r="Q18" s="72"/>
      <c r="R18" s="72"/>
      <c r="S18" s="72"/>
      <c r="T18" s="72"/>
      <c r="U18" s="72"/>
      <c r="V18" s="72"/>
    </row>
    <row r="19" spans="1:25" ht="27.75" customHeight="1">
      <c r="A19" s="154"/>
      <c r="B19" s="155"/>
      <c r="C19" s="156"/>
      <c r="D19" s="157"/>
      <c r="E19" s="157"/>
      <c r="F19" s="158"/>
      <c r="G19" s="158"/>
      <c r="H19" s="159"/>
      <c r="I19" s="160"/>
      <c r="J19" s="73"/>
      <c r="K19" s="73"/>
      <c r="L19" s="73"/>
      <c r="M19" s="74"/>
      <c r="N19" s="71" t="str">
        <f t="shared" si="0"/>
        <v/>
      </c>
      <c r="O19" s="72"/>
      <c r="P19" s="72"/>
      <c r="Q19" s="72"/>
      <c r="R19" s="72"/>
      <c r="S19" s="72"/>
      <c r="T19" s="72"/>
      <c r="U19" s="72"/>
      <c r="V19" s="72"/>
    </row>
    <row r="20" spans="1:25" ht="27.75" customHeight="1">
      <c r="A20" s="154"/>
      <c r="B20" s="155"/>
      <c r="C20" s="156"/>
      <c r="D20" s="157"/>
      <c r="E20" s="157"/>
      <c r="F20" s="158"/>
      <c r="G20" s="158"/>
      <c r="H20" s="159"/>
      <c r="I20" s="160"/>
      <c r="J20" s="73"/>
      <c r="K20" s="73"/>
      <c r="L20" s="73"/>
      <c r="M20" s="74"/>
      <c r="N20" s="71" t="str">
        <f t="shared" si="0"/>
        <v/>
      </c>
      <c r="O20" s="72"/>
      <c r="P20" s="72"/>
      <c r="Q20" s="72"/>
      <c r="R20" s="72"/>
      <c r="S20" s="72"/>
      <c r="T20" s="72"/>
      <c r="U20" s="72"/>
      <c r="V20" s="72"/>
    </row>
    <row r="21" spans="1:25" ht="27.75" customHeight="1">
      <c r="A21" s="154"/>
      <c r="B21" s="155"/>
      <c r="C21" s="156"/>
      <c r="D21" s="157"/>
      <c r="E21" s="157"/>
      <c r="F21" s="158"/>
      <c r="G21" s="158"/>
      <c r="H21" s="159"/>
      <c r="I21" s="160"/>
      <c r="J21" s="73"/>
      <c r="K21" s="73"/>
      <c r="L21" s="73"/>
      <c r="M21" s="74"/>
      <c r="N21" s="71" t="str">
        <f t="shared" si="0"/>
        <v/>
      </c>
      <c r="O21" s="75"/>
      <c r="P21" s="72"/>
      <c r="Q21" s="72"/>
      <c r="R21" s="72"/>
      <c r="S21" s="72"/>
      <c r="T21" s="72"/>
      <c r="U21" s="72"/>
      <c r="V21" s="76"/>
    </row>
    <row r="22" spans="1:25" ht="27.75" customHeight="1">
      <c r="A22" s="154"/>
      <c r="B22" s="155"/>
      <c r="C22" s="156"/>
      <c r="D22" s="157"/>
      <c r="E22" s="157"/>
      <c r="F22" s="158"/>
      <c r="G22" s="161"/>
      <c r="H22" s="159"/>
      <c r="I22" s="160"/>
      <c r="J22" s="73"/>
      <c r="K22" s="73"/>
      <c r="L22" s="73"/>
      <c r="M22" s="74"/>
      <c r="N22" s="71" t="str">
        <f t="shared" si="0"/>
        <v/>
      </c>
      <c r="O22" s="75"/>
      <c r="P22" s="72"/>
      <c r="Q22" s="72"/>
      <c r="R22" s="72"/>
      <c r="S22" s="72"/>
      <c r="T22" s="72"/>
      <c r="U22" s="72"/>
      <c r="V22" s="76"/>
    </row>
    <row r="23" spans="1:25" ht="27.75" customHeight="1">
      <c r="A23" s="154"/>
      <c r="B23" s="155"/>
      <c r="C23" s="156"/>
      <c r="D23" s="157"/>
      <c r="E23" s="157"/>
      <c r="F23" s="158"/>
      <c r="G23" s="158"/>
      <c r="H23" s="159"/>
      <c r="I23" s="160"/>
      <c r="J23" s="73"/>
      <c r="K23" s="73"/>
      <c r="L23" s="73"/>
      <c r="M23" s="74"/>
      <c r="N23" s="71" t="str">
        <f t="shared" si="0"/>
        <v/>
      </c>
      <c r="O23" s="75"/>
      <c r="P23" s="72"/>
      <c r="Q23" s="72"/>
      <c r="R23" s="72"/>
      <c r="S23" s="72"/>
      <c r="T23" s="72"/>
      <c r="U23" s="72"/>
      <c r="V23" s="76"/>
    </row>
    <row r="24" spans="1:25" ht="27.75" customHeight="1">
      <c r="A24" s="154"/>
      <c r="B24" s="155"/>
      <c r="C24" s="156"/>
      <c r="D24" s="157"/>
      <c r="E24" s="157"/>
      <c r="F24" s="158"/>
      <c r="G24" s="158"/>
      <c r="H24" s="159"/>
      <c r="I24" s="159"/>
      <c r="J24" s="73"/>
      <c r="K24" s="73"/>
      <c r="L24" s="73"/>
      <c r="M24" s="74"/>
      <c r="N24" s="71" t="str">
        <f t="shared" si="0"/>
        <v/>
      </c>
      <c r="O24" s="75"/>
      <c r="P24" s="72"/>
      <c r="Q24" s="72"/>
      <c r="R24" s="72"/>
      <c r="S24" s="72"/>
      <c r="T24" s="72"/>
      <c r="U24" s="72"/>
      <c r="V24" s="76"/>
    </row>
    <row r="25" spans="1:25" ht="27.75" customHeight="1">
      <c r="A25" s="162"/>
      <c r="B25" s="163"/>
      <c r="C25" s="164"/>
      <c r="D25" s="165"/>
      <c r="E25" s="165"/>
      <c r="F25" s="166"/>
      <c r="G25" s="166"/>
      <c r="H25" s="167"/>
      <c r="I25" s="168"/>
      <c r="J25" s="77"/>
      <c r="K25" s="77"/>
      <c r="L25" s="77"/>
      <c r="M25" s="78"/>
      <c r="N25" s="71" t="str">
        <f t="shared" si="0"/>
        <v/>
      </c>
      <c r="O25" s="72"/>
      <c r="P25" s="72"/>
      <c r="Q25" s="72"/>
      <c r="R25" s="72"/>
      <c r="S25" s="72"/>
      <c r="T25" s="72"/>
      <c r="U25" s="72"/>
      <c r="V25" s="79"/>
      <c r="W25" s="72"/>
      <c r="X25" s="72"/>
      <c r="Y25" s="72"/>
    </row>
    <row r="26" spans="1:25" ht="27.75" customHeight="1">
      <c r="A26" s="80" t="s">
        <v>52</v>
      </c>
      <c r="B26" s="81"/>
      <c r="C26" s="96"/>
      <c r="D26" s="82"/>
      <c r="E26" s="82">
        <f>SUM(E6:E25)</f>
        <v>0</v>
      </c>
      <c r="F26" s="83"/>
      <c r="G26" s="83"/>
      <c r="H26" s="83"/>
      <c r="I26" s="83"/>
      <c r="J26" s="83"/>
      <c r="K26" s="83"/>
      <c r="L26" s="83"/>
      <c r="M26" s="84"/>
      <c r="N26" s="71" t="str">
        <f t="shared" si="0"/>
        <v/>
      </c>
      <c r="O26" s="75"/>
      <c r="P26" s="72"/>
      <c r="Q26" s="72"/>
      <c r="R26" s="72"/>
      <c r="S26" s="72"/>
      <c r="T26" s="72"/>
      <c r="U26" s="72"/>
      <c r="V26" s="79"/>
      <c r="W26" s="72"/>
      <c r="X26" s="72"/>
      <c r="Y26" s="72"/>
    </row>
    <row r="27" spans="1:25" ht="27.75" customHeight="1">
      <c r="A27" s="169"/>
      <c r="B27" s="170"/>
      <c r="C27" s="171"/>
      <c r="D27" s="172"/>
      <c r="E27" s="172"/>
      <c r="F27" s="173"/>
      <c r="G27" s="173"/>
      <c r="H27" s="174"/>
      <c r="I27" s="175"/>
      <c r="J27" s="85"/>
      <c r="K27" s="85"/>
      <c r="L27" s="85"/>
      <c r="M27" s="86"/>
      <c r="N27" s="71" t="str">
        <f t="shared" si="0"/>
        <v/>
      </c>
      <c r="O27" s="72"/>
      <c r="P27" s="72"/>
      <c r="Q27" s="72"/>
      <c r="R27" s="72"/>
      <c r="S27" s="72"/>
      <c r="T27" s="72"/>
      <c r="U27" s="72"/>
      <c r="V27" s="72"/>
    </row>
    <row r="28" spans="1:25" ht="27.75" customHeight="1">
      <c r="A28" s="154"/>
      <c r="B28" s="155"/>
      <c r="C28" s="156"/>
      <c r="D28" s="157"/>
      <c r="E28" s="157"/>
      <c r="F28" s="158"/>
      <c r="G28" s="158"/>
      <c r="H28" s="159"/>
      <c r="I28" s="160"/>
      <c r="J28" s="73"/>
      <c r="K28" s="73"/>
      <c r="L28" s="73"/>
      <c r="M28" s="74"/>
      <c r="N28" s="71" t="str">
        <f t="shared" si="0"/>
        <v/>
      </c>
      <c r="O28" s="72"/>
      <c r="P28" s="72"/>
      <c r="Q28" s="72"/>
      <c r="R28" s="72"/>
      <c r="S28" s="72"/>
      <c r="T28" s="72"/>
      <c r="U28" s="72"/>
      <c r="V28" s="72"/>
    </row>
    <row r="29" spans="1:25" ht="27.75" customHeight="1">
      <c r="A29" s="154"/>
      <c r="B29" s="155"/>
      <c r="C29" s="156"/>
      <c r="D29" s="157"/>
      <c r="E29" s="157"/>
      <c r="F29" s="158"/>
      <c r="G29" s="158"/>
      <c r="H29" s="159"/>
      <c r="I29" s="160"/>
      <c r="J29" s="73"/>
      <c r="K29" s="73"/>
      <c r="L29" s="73"/>
      <c r="M29" s="74"/>
      <c r="N29" s="71" t="str">
        <f t="shared" si="0"/>
        <v/>
      </c>
      <c r="O29" s="72"/>
      <c r="P29" s="72"/>
      <c r="Q29" s="72"/>
      <c r="R29" s="72"/>
      <c r="S29" s="72"/>
      <c r="T29" s="72"/>
      <c r="U29" s="72"/>
      <c r="V29" s="72"/>
    </row>
    <row r="30" spans="1:25" ht="27.75" customHeight="1">
      <c r="A30" s="154"/>
      <c r="B30" s="155"/>
      <c r="C30" s="156"/>
      <c r="D30" s="157"/>
      <c r="E30" s="157"/>
      <c r="F30" s="158"/>
      <c r="G30" s="158"/>
      <c r="H30" s="159"/>
      <c r="I30" s="160"/>
      <c r="J30" s="73"/>
      <c r="K30" s="73"/>
      <c r="L30" s="73"/>
      <c r="M30" s="74"/>
      <c r="N30" s="71" t="str">
        <f t="shared" si="0"/>
        <v/>
      </c>
      <c r="O30" s="72"/>
      <c r="P30" s="72"/>
      <c r="Q30" s="72"/>
      <c r="R30" s="72"/>
      <c r="S30" s="72"/>
      <c r="T30" s="72"/>
      <c r="U30" s="72"/>
      <c r="V30" s="72"/>
    </row>
    <row r="31" spans="1:25" ht="27.75" customHeight="1">
      <c r="A31" s="154"/>
      <c r="B31" s="155"/>
      <c r="C31" s="156"/>
      <c r="D31" s="157"/>
      <c r="E31" s="157"/>
      <c r="F31" s="158"/>
      <c r="G31" s="158"/>
      <c r="H31" s="159"/>
      <c r="I31" s="160"/>
      <c r="J31" s="73"/>
      <c r="K31" s="73"/>
      <c r="L31" s="73"/>
      <c r="M31" s="74"/>
      <c r="N31" s="71" t="str">
        <f t="shared" si="0"/>
        <v/>
      </c>
      <c r="O31" s="72"/>
      <c r="P31" s="72"/>
      <c r="Q31" s="72"/>
      <c r="R31" s="72"/>
      <c r="S31" s="72"/>
      <c r="T31" s="72"/>
      <c r="U31" s="72"/>
      <c r="V31" s="72"/>
    </row>
    <row r="32" spans="1:25" ht="27.75" customHeight="1">
      <c r="A32" s="87" t="str">
        <f>IF(ISBLANK(C32)," ",27-COUNTBLANK($C$6:C32))</f>
        <v xml:space="preserve"> </v>
      </c>
      <c r="B32" s="88"/>
      <c r="C32" s="88"/>
      <c r="D32" s="89"/>
      <c r="E32" s="89"/>
      <c r="F32" s="73"/>
      <c r="G32" s="73"/>
      <c r="H32" s="73"/>
      <c r="I32" s="73"/>
      <c r="J32" s="73"/>
      <c r="K32" s="73"/>
      <c r="L32" s="73"/>
      <c r="M32" s="74"/>
      <c r="N32" s="71" t="str">
        <f t="shared" si="0"/>
        <v/>
      </c>
      <c r="O32" s="72"/>
      <c r="P32" s="72"/>
      <c r="Q32" s="72"/>
      <c r="R32" s="72"/>
      <c r="S32" s="72"/>
      <c r="T32" s="72"/>
      <c r="U32" s="72"/>
      <c r="V32" s="72"/>
    </row>
    <row r="33" spans="1:25" ht="27.75" customHeight="1">
      <c r="A33" s="87" t="str">
        <f>IF(ISBLANK(C33)," ",28-COUNTBLANK($C$6:C33))</f>
        <v xml:space="preserve"> </v>
      </c>
      <c r="B33" s="88"/>
      <c r="C33" s="88"/>
      <c r="D33" s="89"/>
      <c r="E33" s="89"/>
      <c r="F33" s="73"/>
      <c r="G33" s="73"/>
      <c r="H33" s="73"/>
      <c r="I33" s="73"/>
      <c r="J33" s="73"/>
      <c r="K33" s="73"/>
      <c r="L33" s="73"/>
      <c r="M33" s="74"/>
      <c r="N33" s="71" t="str">
        <f t="shared" si="0"/>
        <v/>
      </c>
      <c r="O33" s="72"/>
      <c r="P33" s="72"/>
      <c r="Q33" s="72"/>
      <c r="R33" s="72"/>
      <c r="S33" s="72"/>
      <c r="T33" s="72"/>
      <c r="U33" s="72"/>
      <c r="V33" s="72"/>
    </row>
    <row r="34" spans="1:25" ht="27.75" customHeight="1">
      <c r="A34" s="87" t="str">
        <f>IF(ISBLANK(C34)," ",29-COUNTBLANK($C$6:C34))</f>
        <v xml:space="preserve"> </v>
      </c>
      <c r="B34" s="88"/>
      <c r="C34" s="88"/>
      <c r="D34" s="89"/>
      <c r="E34" s="89"/>
      <c r="F34" s="73"/>
      <c r="G34" s="73"/>
      <c r="H34" s="73"/>
      <c r="I34" s="73"/>
      <c r="J34" s="73"/>
      <c r="K34" s="73"/>
      <c r="L34" s="73"/>
      <c r="M34" s="74"/>
      <c r="N34" s="71" t="str">
        <f t="shared" si="0"/>
        <v/>
      </c>
      <c r="O34" s="72"/>
      <c r="P34" s="72"/>
      <c r="Q34" s="72"/>
      <c r="R34" s="72"/>
      <c r="S34" s="72"/>
      <c r="T34" s="72"/>
      <c r="U34" s="72"/>
      <c r="V34" s="72"/>
    </row>
    <row r="35" spans="1:25" ht="27.75" customHeight="1">
      <c r="A35" s="87" t="str">
        <f>IF(ISBLANK(C35)," ",30-COUNTBLANK($C$6:C35))</f>
        <v xml:space="preserve"> </v>
      </c>
      <c r="B35" s="88"/>
      <c r="C35" s="88"/>
      <c r="D35" s="89"/>
      <c r="E35" s="89"/>
      <c r="F35" s="73"/>
      <c r="G35" s="73"/>
      <c r="H35" s="73"/>
      <c r="I35" s="73"/>
      <c r="J35" s="73"/>
      <c r="K35" s="73"/>
      <c r="L35" s="73"/>
      <c r="M35" s="74"/>
      <c r="N35" s="71" t="str">
        <f t="shared" si="0"/>
        <v/>
      </c>
      <c r="O35" s="72"/>
      <c r="P35" s="72"/>
      <c r="Q35" s="72"/>
      <c r="R35" s="72"/>
      <c r="S35" s="72"/>
      <c r="T35" s="72"/>
      <c r="U35" s="72"/>
      <c r="V35" s="72"/>
    </row>
    <row r="36" spans="1:25" ht="27.75" customHeight="1">
      <c r="A36" s="87" t="str">
        <f>IF(ISBLANK(C36)," ",31-COUNTBLANK($C$6:C36))</f>
        <v xml:space="preserve"> </v>
      </c>
      <c r="B36" s="88"/>
      <c r="C36" s="88"/>
      <c r="D36" s="89"/>
      <c r="E36" s="89"/>
      <c r="F36" s="73"/>
      <c r="G36" s="73"/>
      <c r="H36" s="73"/>
      <c r="I36" s="73"/>
      <c r="J36" s="73"/>
      <c r="K36" s="73"/>
      <c r="L36" s="73"/>
      <c r="M36" s="74"/>
      <c r="N36" s="71" t="str">
        <f t="shared" si="0"/>
        <v/>
      </c>
      <c r="O36" s="72"/>
      <c r="P36" s="72"/>
      <c r="Q36" s="72"/>
      <c r="R36" s="72"/>
      <c r="S36" s="72"/>
      <c r="T36" s="72"/>
      <c r="U36" s="72"/>
      <c r="V36" s="72"/>
    </row>
    <row r="37" spans="1:25" ht="27.75" customHeight="1">
      <c r="A37" s="87" t="str">
        <f>IF(ISBLANK(C37)," ",32-COUNTBLANK($C$6:C37))</f>
        <v xml:space="preserve"> </v>
      </c>
      <c r="B37" s="88"/>
      <c r="C37" s="88"/>
      <c r="D37" s="89"/>
      <c r="E37" s="89"/>
      <c r="F37" s="73"/>
      <c r="G37" s="73"/>
      <c r="H37" s="73"/>
      <c r="I37" s="73"/>
      <c r="J37" s="73"/>
      <c r="K37" s="73"/>
      <c r="L37" s="73"/>
      <c r="M37" s="74"/>
      <c r="N37" s="71" t="str">
        <f t="shared" si="0"/>
        <v/>
      </c>
      <c r="O37" s="72"/>
      <c r="P37" s="72"/>
      <c r="Q37" s="72"/>
      <c r="R37" s="72"/>
      <c r="S37" s="72"/>
      <c r="T37" s="72"/>
      <c r="U37" s="72"/>
      <c r="V37" s="72"/>
    </row>
    <row r="38" spans="1:25" ht="27.75" customHeight="1">
      <c r="A38" s="87" t="str">
        <f>IF(ISBLANK(C38)," ",33-COUNTBLANK($C$6:C38))</f>
        <v xml:space="preserve"> </v>
      </c>
      <c r="B38" s="88"/>
      <c r="C38" s="88"/>
      <c r="D38" s="89"/>
      <c r="E38" s="89"/>
      <c r="F38" s="73"/>
      <c r="G38" s="73"/>
      <c r="H38" s="73"/>
      <c r="I38" s="73"/>
      <c r="J38" s="73"/>
      <c r="K38" s="73"/>
      <c r="L38" s="73"/>
      <c r="M38" s="74"/>
      <c r="N38" s="71" t="str">
        <f t="shared" si="0"/>
        <v/>
      </c>
      <c r="O38" s="72"/>
      <c r="P38" s="72"/>
      <c r="Q38" s="72"/>
      <c r="R38" s="72"/>
      <c r="S38" s="72"/>
      <c r="T38" s="72"/>
      <c r="U38" s="72"/>
      <c r="V38" s="72"/>
    </row>
    <row r="39" spans="1:25" ht="27.75" customHeight="1">
      <c r="A39" s="87" t="str">
        <f>IF(ISBLANK(C39)," ",34-COUNTBLANK($C$6:C39))</f>
        <v xml:space="preserve"> </v>
      </c>
      <c r="B39" s="88"/>
      <c r="C39" s="88"/>
      <c r="D39" s="89"/>
      <c r="E39" s="89"/>
      <c r="F39" s="73"/>
      <c r="G39" s="73"/>
      <c r="H39" s="73"/>
      <c r="I39" s="73"/>
      <c r="J39" s="73"/>
      <c r="K39" s="73"/>
      <c r="L39" s="73"/>
      <c r="M39" s="74"/>
      <c r="N39" s="71" t="str">
        <f t="shared" si="0"/>
        <v/>
      </c>
      <c r="O39" s="72"/>
      <c r="P39" s="72"/>
      <c r="Q39" s="72"/>
      <c r="R39" s="72"/>
      <c r="S39" s="72"/>
      <c r="T39" s="72"/>
      <c r="U39" s="72"/>
      <c r="V39" s="72"/>
    </row>
    <row r="40" spans="1:25" ht="27.75" customHeight="1">
      <c r="A40" s="87" t="str">
        <f>IF(ISBLANK(C40)," ",35-COUNTBLANK($C$6:C40))</f>
        <v xml:space="preserve"> </v>
      </c>
      <c r="B40" s="88"/>
      <c r="C40" s="88"/>
      <c r="D40" s="89"/>
      <c r="E40" s="89"/>
      <c r="F40" s="73"/>
      <c r="G40" s="73"/>
      <c r="H40" s="73"/>
      <c r="I40" s="73"/>
      <c r="J40" s="73"/>
      <c r="K40" s="73"/>
      <c r="L40" s="73"/>
      <c r="M40" s="74"/>
      <c r="N40" s="71" t="str">
        <f t="shared" si="0"/>
        <v/>
      </c>
      <c r="O40" s="72"/>
      <c r="P40" s="72"/>
      <c r="Q40" s="72"/>
      <c r="R40" s="72"/>
      <c r="S40" s="72"/>
      <c r="T40" s="72"/>
      <c r="U40" s="72"/>
      <c r="V40" s="72"/>
    </row>
    <row r="41" spans="1:25" ht="27.75" customHeight="1">
      <c r="A41" s="87" t="str">
        <f>IF(ISBLANK(C41)," ",36-COUNTBLANK($C$6:C41))</f>
        <v xml:space="preserve"> </v>
      </c>
      <c r="B41" s="88"/>
      <c r="C41" s="88"/>
      <c r="D41" s="89"/>
      <c r="E41" s="89"/>
      <c r="F41" s="73"/>
      <c r="G41" s="73"/>
      <c r="H41" s="73"/>
      <c r="I41" s="73"/>
      <c r="J41" s="73"/>
      <c r="K41" s="73"/>
      <c r="L41" s="73"/>
      <c r="M41" s="74"/>
      <c r="N41" s="71" t="str">
        <f t="shared" si="0"/>
        <v/>
      </c>
      <c r="O41" s="72"/>
      <c r="P41" s="72"/>
      <c r="Q41" s="72"/>
      <c r="R41" s="72"/>
      <c r="S41" s="72"/>
      <c r="T41" s="72"/>
      <c r="U41" s="72"/>
      <c r="V41" s="72"/>
    </row>
    <row r="42" spans="1:25" ht="27.75" customHeight="1">
      <c r="A42" s="87" t="str">
        <f>IF(ISBLANK(C42)," ",37-COUNTBLANK($C$6:C42))</f>
        <v xml:space="preserve"> </v>
      </c>
      <c r="B42" s="88"/>
      <c r="C42" s="88"/>
      <c r="D42" s="89"/>
      <c r="E42" s="89"/>
      <c r="F42" s="73"/>
      <c r="G42" s="73"/>
      <c r="H42" s="73"/>
      <c r="I42" s="73"/>
      <c r="J42" s="73"/>
      <c r="K42" s="73"/>
      <c r="L42" s="73"/>
      <c r="M42" s="74"/>
      <c r="N42" s="71" t="str">
        <f t="shared" si="0"/>
        <v/>
      </c>
      <c r="O42" s="75"/>
      <c r="P42" s="72"/>
      <c r="Q42" s="72"/>
      <c r="R42" s="72"/>
      <c r="S42" s="72"/>
      <c r="T42" s="72"/>
      <c r="U42" s="72"/>
      <c r="V42" s="76"/>
    </row>
    <row r="43" spans="1:25" ht="27.75" customHeight="1">
      <c r="A43" s="87" t="str">
        <f>IF(ISBLANK(C43)," ",38-COUNTBLANK($C$6:C43))</f>
        <v xml:space="preserve"> </v>
      </c>
      <c r="B43" s="88"/>
      <c r="C43" s="88"/>
      <c r="D43" s="89"/>
      <c r="E43" s="89"/>
      <c r="F43" s="73"/>
      <c r="G43" s="73"/>
      <c r="H43" s="73"/>
      <c r="I43" s="73"/>
      <c r="J43" s="73"/>
      <c r="K43" s="73"/>
      <c r="L43" s="73"/>
      <c r="M43" s="74"/>
      <c r="N43" s="71" t="str">
        <f t="shared" si="0"/>
        <v/>
      </c>
      <c r="O43" s="75"/>
      <c r="P43" s="72"/>
      <c r="Q43" s="72"/>
      <c r="R43" s="72"/>
      <c r="S43" s="72"/>
      <c r="T43" s="72"/>
      <c r="U43" s="72"/>
      <c r="V43" s="76"/>
    </row>
    <row r="44" spans="1:25" ht="27.75" customHeight="1">
      <c r="A44" s="87" t="str">
        <f>IF(ISBLANK(C44)," ",39-COUNTBLANK($C$6:C44))</f>
        <v xml:space="preserve"> </v>
      </c>
      <c r="B44" s="88"/>
      <c r="C44" s="88"/>
      <c r="D44" s="89"/>
      <c r="E44" s="89"/>
      <c r="F44" s="73"/>
      <c r="G44" s="73"/>
      <c r="H44" s="73"/>
      <c r="I44" s="73"/>
      <c r="J44" s="73"/>
      <c r="K44" s="73"/>
      <c r="L44" s="73"/>
      <c r="M44" s="74"/>
      <c r="N44" s="71" t="str">
        <f t="shared" si="0"/>
        <v/>
      </c>
      <c r="O44" s="75"/>
      <c r="P44" s="72"/>
      <c r="Q44" s="72"/>
      <c r="R44" s="72"/>
      <c r="S44" s="72"/>
      <c r="T44" s="72"/>
      <c r="U44" s="72"/>
      <c r="V44" s="76"/>
    </row>
    <row r="45" spans="1:25" ht="27.75" customHeight="1">
      <c r="A45" s="87" t="str">
        <f>IF(ISBLANK(C45)," ",40-COUNTBLANK($C$6:C45))</f>
        <v xml:space="preserve"> </v>
      </c>
      <c r="B45" s="88"/>
      <c r="C45" s="88"/>
      <c r="D45" s="89"/>
      <c r="E45" s="89"/>
      <c r="F45" s="73"/>
      <c r="G45" s="73"/>
      <c r="H45" s="73"/>
      <c r="I45" s="73"/>
      <c r="J45" s="73"/>
      <c r="K45" s="73"/>
      <c r="L45" s="73"/>
      <c r="M45" s="74"/>
      <c r="N45" s="71" t="str">
        <f t="shared" si="0"/>
        <v/>
      </c>
      <c r="O45" s="75"/>
      <c r="P45" s="72"/>
      <c r="Q45" s="72"/>
      <c r="R45" s="72"/>
      <c r="S45" s="72"/>
      <c r="T45" s="72"/>
      <c r="U45" s="72"/>
      <c r="V45" s="76"/>
    </row>
    <row r="46" spans="1:25" ht="27.75" customHeight="1">
      <c r="A46" s="90" t="str">
        <f>IF(ISBLANK(C46)," ",41-COUNTBLANK($C$6:C46))</f>
        <v xml:space="preserve"> </v>
      </c>
      <c r="B46" s="91"/>
      <c r="C46" s="91"/>
      <c r="D46" s="92"/>
      <c r="E46" s="92"/>
      <c r="F46" s="77"/>
      <c r="G46" s="77"/>
      <c r="H46" s="77"/>
      <c r="I46" s="77"/>
      <c r="J46" s="77"/>
      <c r="K46" s="77"/>
      <c r="L46" s="77"/>
      <c r="M46" s="78"/>
      <c r="N46" s="71" t="str">
        <f t="shared" si="0"/>
        <v/>
      </c>
      <c r="O46" s="72"/>
      <c r="P46" s="72"/>
      <c r="Q46" s="72"/>
      <c r="R46" s="72"/>
      <c r="S46" s="72"/>
      <c r="T46" s="72"/>
      <c r="U46" s="72"/>
      <c r="V46" s="79"/>
      <c r="W46" s="72"/>
      <c r="X46" s="72"/>
      <c r="Y46" s="72"/>
    </row>
    <row r="47" spans="1:25" ht="27.75" customHeight="1">
      <c r="A47" s="80" t="s">
        <v>52</v>
      </c>
      <c r="B47" s="81"/>
      <c r="C47" s="96"/>
      <c r="D47" s="82"/>
      <c r="E47" s="82">
        <f>SUM(E27:E46)</f>
        <v>0</v>
      </c>
      <c r="F47" s="83"/>
      <c r="G47" s="83"/>
      <c r="H47" s="83"/>
      <c r="I47" s="83"/>
      <c r="J47" s="83"/>
      <c r="K47" s="83"/>
      <c r="L47" s="83"/>
      <c r="M47" s="84"/>
      <c r="N47" s="71" t="str">
        <f t="shared" si="0"/>
        <v/>
      </c>
      <c r="O47" s="75"/>
      <c r="P47" s="72"/>
      <c r="Q47" s="72"/>
      <c r="R47" s="72"/>
      <c r="S47" s="72"/>
      <c r="T47" s="72"/>
      <c r="U47" s="72"/>
      <c r="V47" s="79"/>
      <c r="W47" s="72"/>
      <c r="X47" s="72"/>
      <c r="Y47" s="72"/>
    </row>
    <row r="48" spans="1:25" ht="27.75" customHeight="1">
      <c r="A48" s="93" t="str">
        <f>IF(ISBLANK(C48)," ",43-COUNTBLANK($C$6:C48))</f>
        <v xml:space="preserve"> </v>
      </c>
      <c r="B48" s="94"/>
      <c r="C48" s="94"/>
      <c r="D48" s="95"/>
      <c r="E48" s="95"/>
      <c r="F48" s="85"/>
      <c r="G48" s="85"/>
      <c r="H48" s="85"/>
      <c r="I48" s="85"/>
      <c r="J48" s="85"/>
      <c r="K48" s="85"/>
      <c r="L48" s="85"/>
      <c r="M48" s="86"/>
      <c r="N48" s="71" t="str">
        <f t="shared" si="0"/>
        <v/>
      </c>
      <c r="O48" s="72"/>
      <c r="P48" s="72"/>
      <c r="Q48" s="72"/>
      <c r="R48" s="72"/>
      <c r="S48" s="72"/>
      <c r="T48" s="72"/>
      <c r="U48" s="72"/>
      <c r="V48" s="72"/>
    </row>
    <row r="49" spans="1:22" ht="27.75" customHeight="1">
      <c r="A49" s="87" t="str">
        <f>IF(ISBLANK(C49)," ",44-COUNTBLANK($C$6:C49))</f>
        <v xml:space="preserve"> </v>
      </c>
      <c r="B49" s="88"/>
      <c r="C49" s="88"/>
      <c r="D49" s="89"/>
      <c r="E49" s="89"/>
      <c r="F49" s="73"/>
      <c r="G49" s="73"/>
      <c r="H49" s="73"/>
      <c r="I49" s="73"/>
      <c r="J49" s="73"/>
      <c r="K49" s="73"/>
      <c r="L49" s="73"/>
      <c r="M49" s="74"/>
      <c r="N49" s="71" t="str">
        <f t="shared" si="0"/>
        <v/>
      </c>
      <c r="O49" s="72"/>
      <c r="P49" s="72"/>
      <c r="Q49" s="72"/>
      <c r="R49" s="72"/>
      <c r="S49" s="72"/>
      <c r="T49" s="72"/>
      <c r="U49" s="72"/>
      <c r="V49" s="72"/>
    </row>
    <row r="50" spans="1:22" ht="27.75" customHeight="1">
      <c r="A50" s="87" t="str">
        <f>IF(ISBLANK(C50)," ",45-COUNTBLANK($C$6:C50))</f>
        <v xml:space="preserve"> </v>
      </c>
      <c r="B50" s="88"/>
      <c r="C50" s="88"/>
      <c r="D50" s="89"/>
      <c r="E50" s="89"/>
      <c r="F50" s="73"/>
      <c r="G50" s="73"/>
      <c r="H50" s="73"/>
      <c r="I50" s="73"/>
      <c r="J50" s="73"/>
      <c r="K50" s="73"/>
      <c r="L50" s="73"/>
      <c r="M50" s="74"/>
      <c r="N50" s="71" t="str">
        <f t="shared" si="0"/>
        <v/>
      </c>
      <c r="O50" s="72"/>
      <c r="P50" s="72"/>
      <c r="Q50" s="72"/>
      <c r="R50" s="72"/>
      <c r="S50" s="72"/>
      <c r="T50" s="72"/>
      <c r="U50" s="72"/>
      <c r="V50" s="72"/>
    </row>
    <row r="51" spans="1:22" ht="27.75" customHeight="1">
      <c r="A51" s="87" t="str">
        <f>IF(ISBLANK(C51)," ",46-COUNTBLANK($C$6:C51))</f>
        <v xml:space="preserve"> </v>
      </c>
      <c r="B51" s="88"/>
      <c r="C51" s="88"/>
      <c r="D51" s="89"/>
      <c r="E51" s="89"/>
      <c r="F51" s="73"/>
      <c r="G51" s="73"/>
      <c r="H51" s="73"/>
      <c r="I51" s="73"/>
      <c r="J51" s="73"/>
      <c r="K51" s="73"/>
      <c r="L51" s="73"/>
      <c r="M51" s="74"/>
      <c r="N51" s="71" t="str">
        <f t="shared" si="0"/>
        <v/>
      </c>
      <c r="O51" s="72"/>
      <c r="P51" s="72"/>
      <c r="Q51" s="72"/>
      <c r="R51" s="72"/>
      <c r="S51" s="72"/>
      <c r="T51" s="72"/>
      <c r="U51" s="72"/>
      <c r="V51" s="72"/>
    </row>
    <row r="52" spans="1:22" ht="27.75" customHeight="1">
      <c r="A52" s="87" t="str">
        <f>IF(ISBLANK(C52)," ",47-COUNTBLANK($C$6:C52))</f>
        <v xml:space="preserve"> </v>
      </c>
      <c r="B52" s="88"/>
      <c r="C52" s="88"/>
      <c r="D52" s="89"/>
      <c r="E52" s="89"/>
      <c r="F52" s="73"/>
      <c r="G52" s="73"/>
      <c r="H52" s="73"/>
      <c r="I52" s="73"/>
      <c r="J52" s="73"/>
      <c r="K52" s="73"/>
      <c r="L52" s="73"/>
      <c r="M52" s="74"/>
      <c r="N52" s="71" t="str">
        <f t="shared" si="0"/>
        <v/>
      </c>
      <c r="O52" s="72"/>
      <c r="P52" s="72"/>
      <c r="Q52" s="72"/>
      <c r="R52" s="72"/>
      <c r="S52" s="72"/>
      <c r="T52" s="72"/>
      <c r="U52" s="72"/>
      <c r="V52" s="72"/>
    </row>
    <row r="53" spans="1:22" ht="27.75" customHeight="1">
      <c r="A53" s="87" t="str">
        <f>IF(ISBLANK(C53)," ",48-COUNTBLANK($C$6:C53))</f>
        <v xml:space="preserve"> </v>
      </c>
      <c r="B53" s="88"/>
      <c r="C53" s="88"/>
      <c r="D53" s="89"/>
      <c r="E53" s="89"/>
      <c r="F53" s="73"/>
      <c r="G53" s="73"/>
      <c r="H53" s="73"/>
      <c r="I53" s="73"/>
      <c r="J53" s="73"/>
      <c r="K53" s="73"/>
      <c r="L53" s="73"/>
      <c r="M53" s="74"/>
      <c r="N53" s="71" t="str">
        <f t="shared" si="0"/>
        <v/>
      </c>
      <c r="O53" s="72"/>
      <c r="P53" s="72"/>
      <c r="Q53" s="72"/>
      <c r="R53" s="72"/>
      <c r="S53" s="72"/>
      <c r="T53" s="72"/>
      <c r="U53" s="72"/>
      <c r="V53" s="72"/>
    </row>
    <row r="54" spans="1:22" ht="27.75" customHeight="1">
      <c r="A54" s="87" t="str">
        <f>IF(ISBLANK(C54)," ",49-COUNTBLANK($C$6:C54))</f>
        <v xml:space="preserve"> </v>
      </c>
      <c r="B54" s="88"/>
      <c r="C54" s="88"/>
      <c r="D54" s="89"/>
      <c r="E54" s="89"/>
      <c r="F54" s="73"/>
      <c r="G54" s="73"/>
      <c r="H54" s="73"/>
      <c r="I54" s="73"/>
      <c r="J54" s="73"/>
      <c r="K54" s="73"/>
      <c r="L54" s="73"/>
      <c r="M54" s="74"/>
      <c r="N54" s="71" t="str">
        <f t="shared" si="0"/>
        <v/>
      </c>
      <c r="O54" s="72"/>
      <c r="P54" s="72"/>
      <c r="Q54" s="72"/>
      <c r="R54" s="72"/>
      <c r="S54" s="72"/>
      <c r="T54" s="72"/>
      <c r="U54" s="72"/>
      <c r="V54" s="72"/>
    </row>
    <row r="55" spans="1:22" ht="27.75" customHeight="1">
      <c r="A55" s="87" t="str">
        <f>IF(ISBLANK(C55)," ",50-COUNTBLANK($C$6:C55))</f>
        <v xml:space="preserve"> </v>
      </c>
      <c r="B55" s="88"/>
      <c r="C55" s="88"/>
      <c r="D55" s="89"/>
      <c r="E55" s="89"/>
      <c r="F55" s="73"/>
      <c r="G55" s="73"/>
      <c r="H55" s="73"/>
      <c r="I55" s="73"/>
      <c r="J55" s="73"/>
      <c r="K55" s="73"/>
      <c r="L55" s="73"/>
      <c r="M55" s="74"/>
      <c r="N55" s="71" t="str">
        <f t="shared" si="0"/>
        <v/>
      </c>
      <c r="O55" s="72"/>
      <c r="P55" s="72"/>
      <c r="Q55" s="72"/>
      <c r="R55" s="72"/>
      <c r="S55" s="72"/>
      <c r="T55" s="72"/>
      <c r="U55" s="72"/>
      <c r="V55" s="72"/>
    </row>
    <row r="56" spans="1:22" ht="27.75" customHeight="1">
      <c r="A56" s="87" t="str">
        <f>IF(ISBLANK(C56)," ",51-COUNTBLANK($C$6:C56))</f>
        <v xml:space="preserve"> </v>
      </c>
      <c r="B56" s="88"/>
      <c r="C56" s="88"/>
      <c r="D56" s="89"/>
      <c r="E56" s="89"/>
      <c r="F56" s="73"/>
      <c r="G56" s="73"/>
      <c r="H56" s="73"/>
      <c r="I56" s="73"/>
      <c r="J56" s="73"/>
      <c r="K56" s="73"/>
      <c r="L56" s="73"/>
      <c r="M56" s="74"/>
      <c r="N56" s="71" t="str">
        <f t="shared" si="0"/>
        <v/>
      </c>
      <c r="O56" s="72"/>
      <c r="P56" s="72"/>
      <c r="Q56" s="72"/>
      <c r="R56" s="72"/>
      <c r="S56" s="72"/>
      <c r="T56" s="72"/>
      <c r="U56" s="72"/>
      <c r="V56" s="72"/>
    </row>
    <row r="57" spans="1:22" ht="27.75" customHeight="1">
      <c r="A57" s="87" t="str">
        <f>IF(ISBLANK(C57)," ",52-COUNTBLANK($C$6:C57))</f>
        <v xml:space="preserve"> </v>
      </c>
      <c r="B57" s="88"/>
      <c r="C57" s="88"/>
      <c r="D57" s="89"/>
      <c r="E57" s="89"/>
      <c r="F57" s="73"/>
      <c r="G57" s="73"/>
      <c r="H57" s="73"/>
      <c r="I57" s="73"/>
      <c r="J57" s="73"/>
      <c r="K57" s="73"/>
      <c r="L57" s="73"/>
      <c r="M57" s="74"/>
      <c r="N57" s="71" t="str">
        <f t="shared" si="0"/>
        <v/>
      </c>
      <c r="O57" s="72"/>
      <c r="P57" s="72"/>
      <c r="Q57" s="72"/>
      <c r="R57" s="72"/>
      <c r="S57" s="72"/>
      <c r="T57" s="72"/>
      <c r="U57" s="72"/>
      <c r="V57" s="72"/>
    </row>
    <row r="58" spans="1:22" ht="27.75" customHeight="1">
      <c r="A58" s="87" t="str">
        <f>IF(ISBLANK(C58)," ",53-COUNTBLANK($C$6:C58))</f>
        <v xml:space="preserve"> </v>
      </c>
      <c r="B58" s="88"/>
      <c r="C58" s="88"/>
      <c r="D58" s="89"/>
      <c r="E58" s="89"/>
      <c r="F58" s="73"/>
      <c r="G58" s="73"/>
      <c r="H58" s="73"/>
      <c r="I58" s="73"/>
      <c r="J58" s="73"/>
      <c r="K58" s="73"/>
      <c r="L58" s="73"/>
      <c r="M58" s="74"/>
      <c r="N58" s="71" t="str">
        <f t="shared" si="0"/>
        <v/>
      </c>
      <c r="O58" s="72"/>
      <c r="P58" s="72"/>
      <c r="Q58" s="72"/>
      <c r="R58" s="72"/>
      <c r="S58" s="72"/>
      <c r="T58" s="72"/>
      <c r="U58" s="72"/>
      <c r="V58" s="72"/>
    </row>
    <row r="59" spans="1:22" ht="27.75" customHeight="1">
      <c r="A59" s="87" t="str">
        <f>IF(ISBLANK(C59)," ",54-COUNTBLANK($C$6:C59))</f>
        <v xml:space="preserve"> </v>
      </c>
      <c r="B59" s="88"/>
      <c r="C59" s="88"/>
      <c r="D59" s="89"/>
      <c r="E59" s="89"/>
      <c r="F59" s="73"/>
      <c r="G59" s="73"/>
      <c r="H59" s="73"/>
      <c r="I59" s="73"/>
      <c r="J59" s="73"/>
      <c r="K59" s="73"/>
      <c r="L59" s="73"/>
      <c r="M59" s="74"/>
      <c r="N59" s="71" t="str">
        <f t="shared" si="0"/>
        <v/>
      </c>
      <c r="O59" s="72"/>
      <c r="P59" s="72"/>
      <c r="Q59" s="72"/>
      <c r="R59" s="72"/>
      <c r="S59" s="72"/>
      <c r="T59" s="72"/>
      <c r="U59" s="72"/>
      <c r="V59" s="72"/>
    </row>
    <row r="60" spans="1:22" ht="27.75" customHeight="1">
      <c r="A60" s="87" t="str">
        <f>IF(ISBLANK(C60)," ",55-COUNTBLANK($C$6:C60))</f>
        <v xml:space="preserve"> </v>
      </c>
      <c r="B60" s="88"/>
      <c r="C60" s="88"/>
      <c r="D60" s="89"/>
      <c r="E60" s="89"/>
      <c r="F60" s="73"/>
      <c r="G60" s="73"/>
      <c r="H60" s="73"/>
      <c r="I60" s="73"/>
      <c r="J60" s="73"/>
      <c r="K60" s="73"/>
      <c r="L60" s="73"/>
      <c r="M60" s="74"/>
      <c r="N60" s="71" t="str">
        <f t="shared" si="0"/>
        <v/>
      </c>
      <c r="O60" s="72"/>
      <c r="P60" s="72"/>
      <c r="Q60" s="72"/>
      <c r="R60" s="72"/>
      <c r="S60" s="72"/>
      <c r="T60" s="72"/>
      <c r="U60" s="72"/>
      <c r="V60" s="72"/>
    </row>
    <row r="61" spans="1:22" ht="27.75" customHeight="1">
      <c r="A61" s="87" t="str">
        <f>IF(ISBLANK(C61)," ",56-COUNTBLANK($C$6:C61))</f>
        <v xml:space="preserve"> </v>
      </c>
      <c r="B61" s="88"/>
      <c r="C61" s="88"/>
      <c r="D61" s="89"/>
      <c r="E61" s="89"/>
      <c r="F61" s="73"/>
      <c r="G61" s="73"/>
      <c r="H61" s="73"/>
      <c r="I61" s="73"/>
      <c r="J61" s="73"/>
      <c r="K61" s="73"/>
      <c r="L61" s="73"/>
      <c r="M61" s="74"/>
      <c r="N61" s="71" t="str">
        <f t="shared" si="0"/>
        <v/>
      </c>
      <c r="O61" s="72"/>
      <c r="P61" s="72"/>
      <c r="Q61" s="72"/>
      <c r="R61" s="72"/>
      <c r="S61" s="72"/>
      <c r="T61" s="72"/>
      <c r="U61" s="72"/>
      <c r="V61" s="72"/>
    </row>
    <row r="62" spans="1:22" ht="27.75" customHeight="1">
      <c r="A62" s="87" t="str">
        <f>IF(ISBLANK(C62)," ",57-COUNTBLANK($C$6:C62))</f>
        <v xml:space="preserve"> </v>
      </c>
      <c r="B62" s="88"/>
      <c r="C62" s="88"/>
      <c r="D62" s="89"/>
      <c r="E62" s="89"/>
      <c r="F62" s="73"/>
      <c r="G62" s="73"/>
      <c r="H62" s="73"/>
      <c r="I62" s="73"/>
      <c r="J62" s="73"/>
      <c r="K62" s="73"/>
      <c r="L62" s="73"/>
      <c r="M62" s="74"/>
      <c r="N62" s="71" t="str">
        <f t="shared" si="0"/>
        <v/>
      </c>
      <c r="O62" s="72"/>
      <c r="P62" s="72"/>
      <c r="Q62" s="72"/>
      <c r="R62" s="72"/>
      <c r="S62" s="72"/>
      <c r="T62" s="72"/>
      <c r="U62" s="72"/>
      <c r="V62" s="72"/>
    </row>
    <row r="63" spans="1:22" ht="27.75" customHeight="1">
      <c r="A63" s="87" t="str">
        <f>IF(ISBLANK(C63)," ",58-COUNTBLANK($C$6:C63))</f>
        <v xml:space="preserve"> </v>
      </c>
      <c r="B63" s="88"/>
      <c r="C63" s="88"/>
      <c r="D63" s="89"/>
      <c r="E63" s="89"/>
      <c r="F63" s="73"/>
      <c r="G63" s="73"/>
      <c r="H63" s="73"/>
      <c r="I63" s="73"/>
      <c r="J63" s="73"/>
      <c r="K63" s="73"/>
      <c r="L63" s="73"/>
      <c r="M63" s="74"/>
      <c r="N63" s="71" t="str">
        <f t="shared" si="0"/>
        <v/>
      </c>
      <c r="O63" s="75"/>
      <c r="P63" s="72"/>
      <c r="Q63" s="72"/>
      <c r="R63" s="72"/>
      <c r="S63" s="72"/>
      <c r="T63" s="72"/>
      <c r="U63" s="72"/>
      <c r="V63" s="76"/>
    </row>
    <row r="64" spans="1:22" ht="27.75" customHeight="1">
      <c r="A64" s="87" t="str">
        <f>IF(ISBLANK(C64)," ",59-COUNTBLANK($C$6:C64))</f>
        <v xml:space="preserve"> </v>
      </c>
      <c r="B64" s="88"/>
      <c r="C64" s="88"/>
      <c r="D64" s="89"/>
      <c r="E64" s="89"/>
      <c r="F64" s="73"/>
      <c r="G64" s="73"/>
      <c r="H64" s="73"/>
      <c r="I64" s="73"/>
      <c r="J64" s="73"/>
      <c r="K64" s="73"/>
      <c r="L64" s="73"/>
      <c r="M64" s="74"/>
      <c r="N64" s="71" t="str">
        <f t="shared" si="0"/>
        <v/>
      </c>
      <c r="O64" s="75"/>
      <c r="P64" s="72"/>
      <c r="Q64" s="72"/>
      <c r="R64" s="72"/>
      <c r="S64" s="72"/>
      <c r="T64" s="72"/>
      <c r="U64" s="72"/>
      <c r="V64" s="76"/>
    </row>
    <row r="65" spans="1:25" ht="27.75" customHeight="1">
      <c r="A65" s="87" t="str">
        <f>IF(ISBLANK(C65)," ",60-COUNTBLANK($C$6:C65))</f>
        <v xml:space="preserve"> </v>
      </c>
      <c r="B65" s="88"/>
      <c r="C65" s="88"/>
      <c r="D65" s="89"/>
      <c r="E65" s="89"/>
      <c r="F65" s="73"/>
      <c r="G65" s="73"/>
      <c r="H65" s="73"/>
      <c r="I65" s="73"/>
      <c r="J65" s="73"/>
      <c r="K65" s="73"/>
      <c r="L65" s="73"/>
      <c r="M65" s="74"/>
      <c r="N65" s="71" t="str">
        <f t="shared" si="0"/>
        <v/>
      </c>
      <c r="O65" s="75"/>
      <c r="P65" s="72"/>
      <c r="Q65" s="72"/>
      <c r="R65" s="72"/>
      <c r="S65" s="72"/>
      <c r="T65" s="72"/>
      <c r="U65" s="72"/>
      <c r="V65" s="76"/>
    </row>
    <row r="66" spans="1:25" ht="27.75" customHeight="1">
      <c r="A66" s="87" t="str">
        <f>IF(ISBLANK(C66)," ",61-COUNTBLANK($C$6:C66))</f>
        <v xml:space="preserve"> </v>
      </c>
      <c r="B66" s="88"/>
      <c r="C66" s="88"/>
      <c r="D66" s="89"/>
      <c r="E66" s="89"/>
      <c r="F66" s="73"/>
      <c r="G66" s="73"/>
      <c r="H66" s="73"/>
      <c r="I66" s="73"/>
      <c r="J66" s="73"/>
      <c r="K66" s="73"/>
      <c r="L66" s="73"/>
      <c r="M66" s="74"/>
      <c r="N66" s="71" t="str">
        <f t="shared" si="0"/>
        <v/>
      </c>
      <c r="O66" s="75"/>
      <c r="P66" s="72"/>
      <c r="Q66" s="72"/>
      <c r="R66" s="72"/>
      <c r="S66" s="72"/>
      <c r="T66" s="72"/>
      <c r="U66" s="72"/>
      <c r="V66" s="76"/>
    </row>
    <row r="67" spans="1:25" ht="27.75" customHeight="1">
      <c r="A67" s="87" t="str">
        <f>IF(ISBLANK(C67)," ",62-COUNTBLANK($C$6:C67))</f>
        <v xml:space="preserve"> </v>
      </c>
      <c r="B67" s="88"/>
      <c r="C67" s="88"/>
      <c r="D67" s="89"/>
      <c r="E67" s="89"/>
      <c r="F67" s="73"/>
      <c r="G67" s="73"/>
      <c r="H67" s="73"/>
      <c r="I67" s="73"/>
      <c r="J67" s="73"/>
      <c r="K67" s="73"/>
      <c r="L67" s="73"/>
      <c r="M67" s="74"/>
      <c r="N67" s="71" t="str">
        <f t="shared" si="0"/>
        <v/>
      </c>
      <c r="O67" s="72"/>
      <c r="P67" s="72"/>
      <c r="Q67" s="72"/>
      <c r="R67" s="72"/>
      <c r="S67" s="72"/>
      <c r="T67" s="72"/>
      <c r="U67" s="72"/>
      <c r="V67" s="79"/>
      <c r="W67" s="72"/>
      <c r="X67" s="72"/>
      <c r="Y67" s="72"/>
    </row>
    <row r="68" spans="1:25" ht="27.75" customHeight="1">
      <c r="A68" s="80" t="s">
        <v>52</v>
      </c>
      <c r="B68" s="81"/>
      <c r="C68" s="96"/>
      <c r="D68" s="82"/>
      <c r="E68" s="82">
        <f>SUM(E48:E67)</f>
        <v>0</v>
      </c>
      <c r="F68" s="83"/>
      <c r="G68" s="83"/>
      <c r="H68" s="83"/>
      <c r="I68" s="83"/>
      <c r="J68" s="83"/>
      <c r="K68" s="83"/>
      <c r="L68" s="83"/>
      <c r="M68" s="84"/>
      <c r="N68" s="71" t="str">
        <f t="shared" si="0"/>
        <v/>
      </c>
      <c r="O68" s="75"/>
      <c r="P68" s="72"/>
      <c r="Q68" s="72"/>
      <c r="R68" s="72"/>
      <c r="S68" s="72"/>
      <c r="T68" s="72"/>
      <c r="U68" s="72"/>
      <c r="V68" s="79"/>
      <c r="W68" s="72"/>
      <c r="X68" s="72"/>
      <c r="Y68" s="72"/>
    </row>
    <row r="69" spans="1:25" ht="27.75" customHeight="1">
      <c r="A69" s="93" t="str">
        <f>IF(ISBLANK(C69)," ",64-COUNTBLANK($C$6:C69))</f>
        <v xml:space="preserve"> </v>
      </c>
      <c r="B69" s="94"/>
      <c r="C69" s="94"/>
      <c r="D69" s="95"/>
      <c r="E69" s="95"/>
      <c r="F69" s="85"/>
      <c r="G69" s="85"/>
      <c r="H69" s="85"/>
      <c r="I69" s="85"/>
      <c r="J69" s="85"/>
      <c r="K69" s="85"/>
      <c r="L69" s="85"/>
      <c r="M69" s="86"/>
      <c r="N69" s="71" t="str">
        <f t="shared" si="0"/>
        <v/>
      </c>
      <c r="O69" s="72"/>
      <c r="P69" s="72"/>
      <c r="Q69" s="72"/>
      <c r="R69" s="72"/>
      <c r="S69" s="72"/>
      <c r="T69" s="72"/>
      <c r="U69" s="72"/>
      <c r="V69" s="72"/>
    </row>
    <row r="70" spans="1:25" ht="27.75" customHeight="1">
      <c r="A70" s="87" t="str">
        <f>IF(ISBLANK(C70)," ",65-COUNTBLANK($C$6:C70))</f>
        <v xml:space="preserve"> </v>
      </c>
      <c r="B70" s="88"/>
      <c r="C70" s="88"/>
      <c r="D70" s="89"/>
      <c r="E70" s="89"/>
      <c r="F70" s="73"/>
      <c r="G70" s="73"/>
      <c r="H70" s="73"/>
      <c r="I70" s="73"/>
      <c r="J70" s="73"/>
      <c r="K70" s="73"/>
      <c r="L70" s="73"/>
      <c r="M70" s="74"/>
      <c r="N70" s="71" t="str">
        <f t="shared" ref="N70:N133" si="1">CONCATENATE(C70,H70)</f>
        <v/>
      </c>
      <c r="O70" s="72"/>
      <c r="P70" s="72"/>
      <c r="Q70" s="72"/>
      <c r="R70" s="72"/>
      <c r="S70" s="72"/>
      <c r="T70" s="72"/>
      <c r="U70" s="72"/>
      <c r="V70" s="72"/>
    </row>
    <row r="71" spans="1:25" ht="27.75" customHeight="1">
      <c r="A71" s="87" t="str">
        <f>IF(ISBLANK(C71)," ",66-COUNTBLANK($C$6:C71))</f>
        <v xml:space="preserve"> </v>
      </c>
      <c r="B71" s="88"/>
      <c r="C71" s="88"/>
      <c r="D71" s="89"/>
      <c r="E71" s="89"/>
      <c r="F71" s="73"/>
      <c r="G71" s="73"/>
      <c r="H71" s="73"/>
      <c r="I71" s="73"/>
      <c r="J71" s="73"/>
      <c r="K71" s="73"/>
      <c r="L71" s="73"/>
      <c r="M71" s="74"/>
      <c r="N71" s="71" t="str">
        <f t="shared" si="1"/>
        <v/>
      </c>
      <c r="O71" s="72"/>
      <c r="P71" s="72"/>
      <c r="Q71" s="72"/>
      <c r="R71" s="72"/>
      <c r="S71" s="72"/>
      <c r="T71" s="72"/>
      <c r="U71" s="72"/>
      <c r="V71" s="72"/>
    </row>
    <row r="72" spans="1:25" ht="27.75" customHeight="1">
      <c r="A72" s="87" t="str">
        <f>IF(ISBLANK(C72)," ",67-COUNTBLANK($C$6:C72))</f>
        <v xml:space="preserve"> </v>
      </c>
      <c r="B72" s="88"/>
      <c r="C72" s="88"/>
      <c r="D72" s="89"/>
      <c r="E72" s="89"/>
      <c r="F72" s="73"/>
      <c r="G72" s="73"/>
      <c r="H72" s="73"/>
      <c r="I72" s="73"/>
      <c r="J72" s="73"/>
      <c r="K72" s="73"/>
      <c r="L72" s="73"/>
      <c r="M72" s="74"/>
      <c r="N72" s="71" t="str">
        <f t="shared" si="1"/>
        <v/>
      </c>
      <c r="O72" s="72"/>
      <c r="P72" s="72"/>
      <c r="Q72" s="72"/>
      <c r="R72" s="72"/>
      <c r="S72" s="72"/>
      <c r="T72" s="72"/>
      <c r="U72" s="72"/>
      <c r="V72" s="72"/>
    </row>
    <row r="73" spans="1:25" ht="27.75" customHeight="1">
      <c r="A73" s="87" t="str">
        <f>IF(ISBLANK(C73)," ",68-COUNTBLANK($C$6:C73))</f>
        <v xml:space="preserve"> </v>
      </c>
      <c r="B73" s="88"/>
      <c r="C73" s="88"/>
      <c r="D73" s="89"/>
      <c r="E73" s="89"/>
      <c r="F73" s="73"/>
      <c r="G73" s="73"/>
      <c r="H73" s="73"/>
      <c r="I73" s="73"/>
      <c r="J73" s="73"/>
      <c r="K73" s="73"/>
      <c r="L73" s="73"/>
      <c r="M73" s="74"/>
      <c r="N73" s="71" t="str">
        <f t="shared" si="1"/>
        <v/>
      </c>
      <c r="O73" s="72"/>
      <c r="P73" s="72"/>
      <c r="Q73" s="72"/>
      <c r="R73" s="72"/>
      <c r="S73" s="72"/>
      <c r="T73" s="72"/>
      <c r="U73" s="72"/>
      <c r="V73" s="72"/>
    </row>
    <row r="74" spans="1:25" ht="27.75" customHeight="1">
      <c r="A74" s="87" t="str">
        <f>IF(ISBLANK(C74)," ",69-COUNTBLANK($C$6:C74))</f>
        <v xml:space="preserve"> </v>
      </c>
      <c r="B74" s="88"/>
      <c r="C74" s="88"/>
      <c r="D74" s="89"/>
      <c r="E74" s="89"/>
      <c r="F74" s="73"/>
      <c r="G74" s="73"/>
      <c r="H74" s="73"/>
      <c r="I74" s="73"/>
      <c r="J74" s="73"/>
      <c r="K74" s="73"/>
      <c r="L74" s="73"/>
      <c r="M74" s="74"/>
      <c r="N74" s="71" t="str">
        <f t="shared" si="1"/>
        <v/>
      </c>
      <c r="O74" s="72"/>
      <c r="P74" s="72"/>
      <c r="Q74" s="72"/>
      <c r="R74" s="72"/>
      <c r="S74" s="72"/>
      <c r="T74" s="72"/>
      <c r="U74" s="72"/>
      <c r="V74" s="72"/>
    </row>
    <row r="75" spans="1:25" ht="27.75" customHeight="1">
      <c r="A75" s="87" t="str">
        <f>IF(ISBLANK(C75)," ",70-COUNTBLANK($C$6:C75))</f>
        <v xml:space="preserve"> </v>
      </c>
      <c r="B75" s="88"/>
      <c r="C75" s="88"/>
      <c r="D75" s="89"/>
      <c r="E75" s="89"/>
      <c r="F75" s="73"/>
      <c r="G75" s="73"/>
      <c r="H75" s="73"/>
      <c r="I75" s="73"/>
      <c r="J75" s="73"/>
      <c r="K75" s="73"/>
      <c r="L75" s="73"/>
      <c r="M75" s="74"/>
      <c r="N75" s="71" t="str">
        <f t="shared" si="1"/>
        <v/>
      </c>
      <c r="O75" s="72"/>
      <c r="P75" s="72"/>
      <c r="Q75" s="72"/>
      <c r="R75" s="72"/>
      <c r="S75" s="72"/>
      <c r="T75" s="72"/>
      <c r="U75" s="72"/>
      <c r="V75" s="72"/>
    </row>
    <row r="76" spans="1:25" ht="27.75" customHeight="1">
      <c r="A76" s="87" t="str">
        <f>IF(ISBLANK(C76)," ",71-COUNTBLANK($C$6:C76))</f>
        <v xml:space="preserve"> </v>
      </c>
      <c r="B76" s="88"/>
      <c r="C76" s="88"/>
      <c r="D76" s="89"/>
      <c r="E76" s="89"/>
      <c r="F76" s="73"/>
      <c r="G76" s="73"/>
      <c r="H76" s="73"/>
      <c r="I76" s="73"/>
      <c r="J76" s="73"/>
      <c r="K76" s="73"/>
      <c r="L76" s="73"/>
      <c r="M76" s="74"/>
      <c r="N76" s="71" t="str">
        <f t="shared" si="1"/>
        <v/>
      </c>
      <c r="O76" s="72"/>
      <c r="P76" s="72"/>
      <c r="Q76" s="72"/>
      <c r="R76" s="72"/>
      <c r="S76" s="72"/>
      <c r="T76" s="72"/>
      <c r="U76" s="72"/>
      <c r="V76" s="72"/>
    </row>
    <row r="77" spans="1:25" ht="27.75" customHeight="1">
      <c r="A77" s="87" t="str">
        <f>IF(ISBLANK(C77)," ",72-COUNTBLANK($C$6:C77))</f>
        <v xml:space="preserve"> </v>
      </c>
      <c r="B77" s="88"/>
      <c r="C77" s="88"/>
      <c r="D77" s="89"/>
      <c r="E77" s="89"/>
      <c r="F77" s="73"/>
      <c r="G77" s="73"/>
      <c r="H77" s="73"/>
      <c r="I77" s="73"/>
      <c r="J77" s="73"/>
      <c r="K77" s="73"/>
      <c r="L77" s="73"/>
      <c r="M77" s="74"/>
      <c r="N77" s="71" t="str">
        <f t="shared" si="1"/>
        <v/>
      </c>
      <c r="O77" s="72"/>
      <c r="P77" s="72"/>
      <c r="Q77" s="72"/>
      <c r="R77" s="72"/>
      <c r="S77" s="72"/>
      <c r="T77" s="72"/>
      <c r="U77" s="72"/>
      <c r="V77" s="72"/>
    </row>
    <row r="78" spans="1:25" ht="27.75" customHeight="1">
      <c r="A78" s="87" t="str">
        <f>IF(ISBLANK(C78)," ",73-COUNTBLANK($C$6:C78))</f>
        <v xml:space="preserve"> </v>
      </c>
      <c r="B78" s="88"/>
      <c r="C78" s="88"/>
      <c r="D78" s="89"/>
      <c r="E78" s="89"/>
      <c r="F78" s="73"/>
      <c r="G78" s="73"/>
      <c r="H78" s="73"/>
      <c r="I78" s="73"/>
      <c r="J78" s="73"/>
      <c r="K78" s="73"/>
      <c r="L78" s="73"/>
      <c r="M78" s="74"/>
      <c r="N78" s="71" t="str">
        <f t="shared" si="1"/>
        <v/>
      </c>
      <c r="O78" s="72"/>
      <c r="P78" s="72"/>
      <c r="Q78" s="72"/>
      <c r="R78" s="72"/>
      <c r="S78" s="72"/>
      <c r="T78" s="72"/>
      <c r="U78" s="72"/>
      <c r="V78" s="72"/>
    </row>
    <row r="79" spans="1:25" ht="27.75" customHeight="1">
      <c r="A79" s="87" t="str">
        <f>IF(ISBLANK(C79)," ",74-COUNTBLANK($C$6:C79))</f>
        <v xml:space="preserve"> </v>
      </c>
      <c r="B79" s="88"/>
      <c r="C79" s="88"/>
      <c r="D79" s="89"/>
      <c r="E79" s="89"/>
      <c r="F79" s="73"/>
      <c r="G79" s="73"/>
      <c r="H79" s="73"/>
      <c r="I79" s="73"/>
      <c r="J79" s="73"/>
      <c r="K79" s="73"/>
      <c r="L79" s="73"/>
      <c r="M79" s="74"/>
      <c r="N79" s="71" t="str">
        <f t="shared" si="1"/>
        <v/>
      </c>
      <c r="O79" s="72"/>
      <c r="P79" s="72"/>
      <c r="Q79" s="72"/>
      <c r="R79" s="72"/>
      <c r="S79" s="72"/>
      <c r="T79" s="72"/>
      <c r="U79" s="72"/>
      <c r="V79" s="72"/>
    </row>
    <row r="80" spans="1:25" ht="27.75" customHeight="1">
      <c r="A80" s="87" t="str">
        <f>IF(ISBLANK(C80)," ",75-COUNTBLANK($C$6:C80))</f>
        <v xml:space="preserve"> </v>
      </c>
      <c r="B80" s="88"/>
      <c r="C80" s="88"/>
      <c r="D80" s="89"/>
      <c r="E80" s="89"/>
      <c r="F80" s="73"/>
      <c r="G80" s="73"/>
      <c r="H80" s="73"/>
      <c r="I80" s="73"/>
      <c r="J80" s="73"/>
      <c r="K80" s="73"/>
      <c r="L80" s="73"/>
      <c r="M80" s="74"/>
      <c r="N80" s="71" t="str">
        <f t="shared" si="1"/>
        <v/>
      </c>
      <c r="O80" s="72"/>
      <c r="P80" s="72"/>
      <c r="Q80" s="72"/>
      <c r="R80" s="72"/>
      <c r="S80" s="72"/>
      <c r="T80" s="72"/>
      <c r="U80" s="72"/>
      <c r="V80" s="72"/>
    </row>
    <row r="81" spans="1:25" ht="27.75" customHeight="1">
      <c r="A81" s="87" t="str">
        <f>IF(ISBLANK(C81)," ",76-COUNTBLANK($C$6:C81))</f>
        <v xml:space="preserve"> </v>
      </c>
      <c r="B81" s="88"/>
      <c r="C81" s="88"/>
      <c r="D81" s="89"/>
      <c r="E81" s="89"/>
      <c r="F81" s="73"/>
      <c r="G81" s="73"/>
      <c r="H81" s="73"/>
      <c r="I81" s="73"/>
      <c r="J81" s="73"/>
      <c r="K81" s="73"/>
      <c r="L81" s="73"/>
      <c r="M81" s="74"/>
      <c r="N81" s="71" t="str">
        <f t="shared" si="1"/>
        <v/>
      </c>
      <c r="O81" s="72"/>
      <c r="P81" s="72"/>
      <c r="Q81" s="72"/>
      <c r="R81" s="72"/>
      <c r="S81" s="72"/>
      <c r="T81" s="72"/>
      <c r="U81" s="72"/>
      <c r="V81" s="72"/>
    </row>
    <row r="82" spans="1:25" ht="27.75" customHeight="1">
      <c r="A82" s="87" t="str">
        <f>IF(ISBLANK(C82)," ",77-COUNTBLANK($C$6:C82))</f>
        <v xml:space="preserve"> </v>
      </c>
      <c r="B82" s="88"/>
      <c r="C82" s="88"/>
      <c r="D82" s="89"/>
      <c r="E82" s="89"/>
      <c r="F82" s="73"/>
      <c r="G82" s="73"/>
      <c r="H82" s="73"/>
      <c r="I82" s="73"/>
      <c r="J82" s="73"/>
      <c r="K82" s="73"/>
      <c r="L82" s="73"/>
      <c r="M82" s="74"/>
      <c r="N82" s="71" t="str">
        <f t="shared" si="1"/>
        <v/>
      </c>
      <c r="O82" s="72"/>
      <c r="P82" s="72"/>
      <c r="Q82" s="72"/>
      <c r="R82" s="72"/>
      <c r="S82" s="72"/>
      <c r="T82" s="72"/>
      <c r="U82" s="72"/>
      <c r="V82" s="72"/>
    </row>
    <row r="83" spans="1:25" ht="27.75" customHeight="1">
      <c r="A83" s="87" t="str">
        <f>IF(ISBLANK(C83)," ",78-COUNTBLANK($C$6:C83))</f>
        <v xml:space="preserve"> </v>
      </c>
      <c r="B83" s="88"/>
      <c r="C83" s="88"/>
      <c r="D83" s="89"/>
      <c r="E83" s="89"/>
      <c r="F83" s="73"/>
      <c r="G83" s="73"/>
      <c r="H83" s="73"/>
      <c r="I83" s="73"/>
      <c r="J83" s="73"/>
      <c r="K83" s="73"/>
      <c r="L83" s="73"/>
      <c r="M83" s="74"/>
      <c r="N83" s="71" t="str">
        <f t="shared" si="1"/>
        <v/>
      </c>
      <c r="O83" s="72"/>
      <c r="P83" s="72"/>
      <c r="Q83" s="72"/>
      <c r="R83" s="72"/>
      <c r="S83" s="72"/>
      <c r="T83" s="72"/>
      <c r="U83" s="72"/>
      <c r="V83" s="72"/>
    </row>
    <row r="84" spans="1:25" ht="27.75" customHeight="1">
      <c r="A84" s="87" t="str">
        <f>IF(ISBLANK(C84)," ",79-COUNTBLANK($C$6:C84))</f>
        <v xml:space="preserve"> </v>
      </c>
      <c r="B84" s="88"/>
      <c r="C84" s="88"/>
      <c r="D84" s="89"/>
      <c r="E84" s="89"/>
      <c r="F84" s="73"/>
      <c r="G84" s="73"/>
      <c r="H84" s="73"/>
      <c r="I84" s="73"/>
      <c r="J84" s="73"/>
      <c r="K84" s="73"/>
      <c r="L84" s="73"/>
      <c r="M84" s="74"/>
      <c r="N84" s="71" t="str">
        <f t="shared" si="1"/>
        <v/>
      </c>
      <c r="O84" s="75"/>
      <c r="P84" s="72"/>
      <c r="Q84" s="72"/>
      <c r="R84" s="72"/>
      <c r="S84" s="72"/>
      <c r="T84" s="72"/>
      <c r="U84" s="72"/>
      <c r="V84" s="76"/>
    </row>
    <row r="85" spans="1:25" ht="27.75" customHeight="1">
      <c r="A85" s="87" t="str">
        <f>IF(ISBLANK(C85)," ",80-COUNTBLANK($C$6:C85))</f>
        <v xml:space="preserve"> </v>
      </c>
      <c r="B85" s="88"/>
      <c r="C85" s="88"/>
      <c r="D85" s="89"/>
      <c r="E85" s="89"/>
      <c r="F85" s="73"/>
      <c r="G85" s="73"/>
      <c r="H85" s="73"/>
      <c r="I85" s="73"/>
      <c r="J85" s="73"/>
      <c r="K85" s="73"/>
      <c r="L85" s="73"/>
      <c r="M85" s="74"/>
      <c r="N85" s="71" t="str">
        <f t="shared" si="1"/>
        <v/>
      </c>
      <c r="O85" s="75"/>
      <c r="P85" s="72"/>
      <c r="Q85" s="72"/>
      <c r="R85" s="72"/>
      <c r="S85" s="72"/>
      <c r="T85" s="72"/>
      <c r="U85" s="72"/>
      <c r="V85" s="76"/>
    </row>
    <row r="86" spans="1:25" ht="27.75" customHeight="1">
      <c r="A86" s="87" t="str">
        <f>IF(ISBLANK(C86)," ",81-COUNTBLANK($C$6:C86))</f>
        <v xml:space="preserve"> </v>
      </c>
      <c r="B86" s="88"/>
      <c r="C86" s="88"/>
      <c r="D86" s="89"/>
      <c r="E86" s="89"/>
      <c r="F86" s="73"/>
      <c r="G86" s="73"/>
      <c r="H86" s="73"/>
      <c r="I86" s="73"/>
      <c r="J86" s="73"/>
      <c r="K86" s="73"/>
      <c r="L86" s="73"/>
      <c r="M86" s="74"/>
      <c r="N86" s="71" t="str">
        <f t="shared" si="1"/>
        <v/>
      </c>
      <c r="O86" s="75"/>
      <c r="P86" s="72"/>
      <c r="Q86" s="72"/>
      <c r="R86" s="72"/>
      <c r="S86" s="72"/>
      <c r="T86" s="72"/>
      <c r="U86" s="72"/>
      <c r="V86" s="76"/>
    </row>
    <row r="87" spans="1:25" ht="27.75" customHeight="1">
      <c r="A87" s="87" t="str">
        <f>IF(ISBLANK(C87)," ",82-COUNTBLANK($C$6:C87))</f>
        <v xml:space="preserve"> </v>
      </c>
      <c r="B87" s="88"/>
      <c r="C87" s="88"/>
      <c r="D87" s="89"/>
      <c r="E87" s="89"/>
      <c r="F87" s="73"/>
      <c r="G87" s="73"/>
      <c r="H87" s="73"/>
      <c r="I87" s="73"/>
      <c r="J87" s="73"/>
      <c r="K87" s="73"/>
      <c r="L87" s="73"/>
      <c r="M87" s="74"/>
      <c r="N87" s="71" t="str">
        <f t="shared" si="1"/>
        <v/>
      </c>
      <c r="O87" s="75"/>
      <c r="P87" s="72"/>
      <c r="Q87" s="72"/>
      <c r="R87" s="72"/>
      <c r="S87" s="72"/>
      <c r="T87" s="72"/>
      <c r="U87" s="72"/>
      <c r="V87" s="76"/>
    </row>
    <row r="88" spans="1:25" ht="27.75" customHeight="1">
      <c r="A88" s="87" t="str">
        <f>IF(ISBLANK(C88)," ",83-COUNTBLANK($C$6:C88))</f>
        <v xml:space="preserve"> </v>
      </c>
      <c r="B88" s="88"/>
      <c r="C88" s="88"/>
      <c r="D88" s="89"/>
      <c r="E88" s="89"/>
      <c r="F88" s="73"/>
      <c r="G88" s="73"/>
      <c r="H88" s="73"/>
      <c r="I88" s="73"/>
      <c r="J88" s="73"/>
      <c r="K88" s="73"/>
      <c r="L88" s="73"/>
      <c r="M88" s="74"/>
      <c r="N88" s="71" t="str">
        <f t="shared" si="1"/>
        <v/>
      </c>
      <c r="O88" s="72"/>
      <c r="P88" s="72"/>
      <c r="Q88" s="72"/>
      <c r="R88" s="72"/>
      <c r="S88" s="72"/>
      <c r="T88" s="72"/>
      <c r="U88" s="72"/>
      <c r="V88" s="79"/>
      <c r="W88" s="72"/>
      <c r="X88" s="72"/>
      <c r="Y88" s="72"/>
    </row>
    <row r="89" spans="1:25" ht="27.75" customHeight="1">
      <c r="A89" s="80" t="s">
        <v>52</v>
      </c>
      <c r="B89" s="81"/>
      <c r="C89" s="96"/>
      <c r="D89" s="82"/>
      <c r="E89" s="82">
        <f>SUM(E69:E88)</f>
        <v>0</v>
      </c>
      <c r="F89" s="83"/>
      <c r="G89" s="83"/>
      <c r="H89" s="83"/>
      <c r="I89" s="83"/>
      <c r="J89" s="83"/>
      <c r="K89" s="83"/>
      <c r="L89" s="83"/>
      <c r="M89" s="84"/>
      <c r="N89" s="71" t="str">
        <f t="shared" si="1"/>
        <v/>
      </c>
      <c r="O89" s="75"/>
      <c r="P89" s="72"/>
      <c r="Q89" s="72"/>
      <c r="R89" s="72"/>
      <c r="S89" s="72"/>
      <c r="T89" s="72"/>
      <c r="U89" s="72"/>
      <c r="V89" s="79"/>
      <c r="W89" s="72"/>
      <c r="X89" s="72"/>
      <c r="Y89" s="72"/>
    </row>
    <row r="90" spans="1:25" ht="27.75" customHeight="1">
      <c r="A90" s="93" t="str">
        <f>IF(ISBLANK(C90)," ",85-COUNTBLANK($C$6:C90))</f>
        <v xml:space="preserve"> </v>
      </c>
      <c r="B90" s="94"/>
      <c r="C90" s="94"/>
      <c r="D90" s="95"/>
      <c r="E90" s="95"/>
      <c r="F90" s="85"/>
      <c r="G90" s="85"/>
      <c r="H90" s="85"/>
      <c r="I90" s="85"/>
      <c r="J90" s="85"/>
      <c r="K90" s="85"/>
      <c r="L90" s="85"/>
      <c r="M90" s="86"/>
      <c r="N90" s="71" t="str">
        <f t="shared" si="1"/>
        <v/>
      </c>
      <c r="O90" s="72"/>
      <c r="P90" s="72"/>
      <c r="Q90" s="72"/>
      <c r="R90" s="72"/>
      <c r="S90" s="72"/>
      <c r="T90" s="72"/>
      <c r="U90" s="72"/>
      <c r="V90" s="72"/>
    </row>
    <row r="91" spans="1:25" ht="27.75" customHeight="1">
      <c r="A91" s="87" t="str">
        <f>IF(ISBLANK(C91)," ",86-COUNTBLANK($C$6:C91))</f>
        <v xml:space="preserve"> </v>
      </c>
      <c r="B91" s="88"/>
      <c r="C91" s="88"/>
      <c r="D91" s="89"/>
      <c r="E91" s="89"/>
      <c r="F91" s="73"/>
      <c r="G91" s="73"/>
      <c r="H91" s="73"/>
      <c r="I91" s="73"/>
      <c r="J91" s="73"/>
      <c r="K91" s="73"/>
      <c r="L91" s="73"/>
      <c r="M91" s="74"/>
      <c r="N91" s="71" t="str">
        <f t="shared" si="1"/>
        <v/>
      </c>
      <c r="O91" s="72"/>
      <c r="P91" s="72"/>
      <c r="Q91" s="72"/>
      <c r="R91" s="72"/>
      <c r="S91" s="72"/>
      <c r="T91" s="72"/>
      <c r="U91" s="72"/>
      <c r="V91" s="72"/>
    </row>
    <row r="92" spans="1:25" ht="27.75" customHeight="1">
      <c r="A92" s="87" t="str">
        <f>IF(ISBLANK(C92)," ",87-COUNTBLANK($C$6:C92))</f>
        <v xml:space="preserve"> </v>
      </c>
      <c r="B92" s="88"/>
      <c r="C92" s="88"/>
      <c r="D92" s="89"/>
      <c r="E92" s="89"/>
      <c r="F92" s="73"/>
      <c r="G92" s="73"/>
      <c r="H92" s="73"/>
      <c r="I92" s="73"/>
      <c r="J92" s="73"/>
      <c r="K92" s="73"/>
      <c r="L92" s="73"/>
      <c r="M92" s="74"/>
      <c r="N92" s="71" t="str">
        <f t="shared" si="1"/>
        <v/>
      </c>
      <c r="O92" s="72"/>
      <c r="P92" s="72"/>
      <c r="Q92" s="72"/>
      <c r="R92" s="72"/>
      <c r="S92" s="72"/>
      <c r="T92" s="72"/>
      <c r="U92" s="72"/>
      <c r="V92" s="72"/>
    </row>
    <row r="93" spans="1:25" ht="27.75" customHeight="1">
      <c r="A93" s="87" t="str">
        <f>IF(ISBLANK(C93)," ",88-COUNTBLANK($C$6:C93))</f>
        <v xml:space="preserve"> </v>
      </c>
      <c r="B93" s="88"/>
      <c r="C93" s="88"/>
      <c r="D93" s="89"/>
      <c r="E93" s="89"/>
      <c r="F93" s="73"/>
      <c r="G93" s="73"/>
      <c r="H93" s="73"/>
      <c r="I93" s="73"/>
      <c r="J93" s="73"/>
      <c r="K93" s="73"/>
      <c r="L93" s="73"/>
      <c r="M93" s="74"/>
      <c r="N93" s="71" t="str">
        <f t="shared" si="1"/>
        <v/>
      </c>
      <c r="O93" s="72"/>
      <c r="P93" s="72"/>
      <c r="Q93" s="72"/>
      <c r="R93" s="72"/>
      <c r="S93" s="72"/>
      <c r="T93" s="72"/>
      <c r="U93" s="72"/>
      <c r="V93" s="72"/>
    </row>
    <row r="94" spans="1:25" ht="27.75" customHeight="1">
      <c r="A94" s="87" t="str">
        <f>IF(ISBLANK(C94)," ",89-COUNTBLANK($C$6:C94))</f>
        <v xml:space="preserve"> </v>
      </c>
      <c r="B94" s="88"/>
      <c r="C94" s="88"/>
      <c r="D94" s="89"/>
      <c r="E94" s="89"/>
      <c r="F94" s="73"/>
      <c r="G94" s="73"/>
      <c r="H94" s="73"/>
      <c r="I94" s="73"/>
      <c r="J94" s="73"/>
      <c r="K94" s="73"/>
      <c r="L94" s="73"/>
      <c r="M94" s="74"/>
      <c r="N94" s="71" t="str">
        <f t="shared" si="1"/>
        <v/>
      </c>
      <c r="O94" s="72"/>
      <c r="P94" s="72"/>
      <c r="Q94" s="72"/>
      <c r="R94" s="72"/>
      <c r="S94" s="72"/>
      <c r="T94" s="72"/>
      <c r="U94" s="72"/>
      <c r="V94" s="72"/>
    </row>
    <row r="95" spans="1:25" ht="27.75" customHeight="1">
      <c r="A95" s="87" t="str">
        <f>IF(ISBLANK(C95)," ",90-COUNTBLANK($C$6:C95))</f>
        <v xml:space="preserve"> </v>
      </c>
      <c r="B95" s="88"/>
      <c r="C95" s="88"/>
      <c r="D95" s="89"/>
      <c r="E95" s="89"/>
      <c r="F95" s="73"/>
      <c r="G95" s="73"/>
      <c r="H95" s="73"/>
      <c r="I95" s="73"/>
      <c r="J95" s="73"/>
      <c r="K95" s="73"/>
      <c r="L95" s="73"/>
      <c r="M95" s="74"/>
      <c r="N95" s="71" t="str">
        <f t="shared" si="1"/>
        <v/>
      </c>
      <c r="O95" s="72"/>
      <c r="P95" s="72"/>
      <c r="Q95" s="72"/>
      <c r="R95" s="72"/>
      <c r="S95" s="72"/>
      <c r="T95" s="72"/>
      <c r="U95" s="72"/>
      <c r="V95" s="72"/>
    </row>
    <row r="96" spans="1:25" ht="27.75" customHeight="1">
      <c r="A96" s="87" t="str">
        <f>IF(ISBLANK(C96)," ",91-COUNTBLANK($C$6:C96))</f>
        <v xml:space="preserve"> </v>
      </c>
      <c r="B96" s="88"/>
      <c r="C96" s="88"/>
      <c r="D96" s="89"/>
      <c r="E96" s="89"/>
      <c r="F96" s="73"/>
      <c r="G96" s="73"/>
      <c r="H96" s="73"/>
      <c r="I96" s="73"/>
      <c r="J96" s="73"/>
      <c r="K96" s="73"/>
      <c r="L96" s="73"/>
      <c r="M96" s="74"/>
      <c r="N96" s="71" t="str">
        <f t="shared" si="1"/>
        <v/>
      </c>
      <c r="O96" s="72"/>
      <c r="P96" s="72"/>
      <c r="Q96" s="72"/>
      <c r="R96" s="72"/>
      <c r="S96" s="72"/>
      <c r="T96" s="72"/>
      <c r="U96" s="72"/>
      <c r="V96" s="72"/>
    </row>
    <row r="97" spans="1:25" ht="27.75" customHeight="1">
      <c r="A97" s="87" t="str">
        <f>IF(ISBLANK(C97)," ",92-COUNTBLANK($C$6:C97))</f>
        <v xml:space="preserve"> </v>
      </c>
      <c r="B97" s="88"/>
      <c r="C97" s="88"/>
      <c r="D97" s="89"/>
      <c r="E97" s="89"/>
      <c r="F97" s="73"/>
      <c r="G97" s="73"/>
      <c r="H97" s="73"/>
      <c r="I97" s="73"/>
      <c r="J97" s="73"/>
      <c r="K97" s="73"/>
      <c r="L97" s="73"/>
      <c r="M97" s="74"/>
      <c r="N97" s="71" t="str">
        <f t="shared" si="1"/>
        <v/>
      </c>
      <c r="O97" s="72"/>
      <c r="P97" s="72"/>
      <c r="Q97" s="72"/>
      <c r="R97" s="72"/>
      <c r="S97" s="72"/>
      <c r="T97" s="72"/>
      <c r="U97" s="72"/>
      <c r="V97" s="72"/>
    </row>
    <row r="98" spans="1:25" ht="27.75" customHeight="1">
      <c r="A98" s="87" t="str">
        <f>IF(ISBLANK(C98)," ",93-COUNTBLANK($C$6:C98))</f>
        <v xml:space="preserve"> </v>
      </c>
      <c r="B98" s="88"/>
      <c r="C98" s="88"/>
      <c r="D98" s="89"/>
      <c r="E98" s="89"/>
      <c r="F98" s="73"/>
      <c r="G98" s="73"/>
      <c r="H98" s="73"/>
      <c r="I98" s="73"/>
      <c r="J98" s="73"/>
      <c r="K98" s="73"/>
      <c r="L98" s="73"/>
      <c r="M98" s="74"/>
      <c r="N98" s="71" t="str">
        <f t="shared" si="1"/>
        <v/>
      </c>
      <c r="O98" s="72"/>
      <c r="P98" s="72"/>
      <c r="Q98" s="72"/>
      <c r="R98" s="72"/>
      <c r="S98" s="72"/>
      <c r="T98" s="72"/>
      <c r="U98" s="72"/>
      <c r="V98" s="72"/>
    </row>
    <row r="99" spans="1:25" ht="27.75" customHeight="1">
      <c r="A99" s="87" t="str">
        <f>IF(ISBLANK(C99)," ",94-COUNTBLANK($C$6:C99))</f>
        <v xml:space="preserve"> </v>
      </c>
      <c r="B99" s="88"/>
      <c r="C99" s="88"/>
      <c r="D99" s="89"/>
      <c r="E99" s="89"/>
      <c r="F99" s="73"/>
      <c r="G99" s="73"/>
      <c r="H99" s="73"/>
      <c r="I99" s="73"/>
      <c r="J99" s="73"/>
      <c r="K99" s="73"/>
      <c r="L99" s="73"/>
      <c r="M99" s="74"/>
      <c r="N99" s="71" t="str">
        <f t="shared" si="1"/>
        <v/>
      </c>
      <c r="O99" s="72"/>
      <c r="P99" s="72"/>
      <c r="Q99" s="72"/>
      <c r="R99" s="72"/>
      <c r="S99" s="72"/>
      <c r="T99" s="72"/>
      <c r="U99" s="72"/>
      <c r="V99" s="72"/>
    </row>
    <row r="100" spans="1:25" ht="27.75" customHeight="1">
      <c r="A100" s="87" t="str">
        <f>IF(ISBLANK(C100)," ",95-COUNTBLANK($C$6:C100))</f>
        <v xml:space="preserve"> </v>
      </c>
      <c r="B100" s="88"/>
      <c r="C100" s="88"/>
      <c r="D100" s="89"/>
      <c r="E100" s="89"/>
      <c r="F100" s="73"/>
      <c r="G100" s="73"/>
      <c r="H100" s="73"/>
      <c r="I100" s="73"/>
      <c r="J100" s="73"/>
      <c r="K100" s="73"/>
      <c r="L100" s="73"/>
      <c r="M100" s="74"/>
      <c r="N100" s="71" t="str">
        <f t="shared" si="1"/>
        <v/>
      </c>
      <c r="O100" s="72"/>
      <c r="P100" s="72"/>
      <c r="Q100" s="72"/>
      <c r="R100" s="72"/>
      <c r="S100" s="72"/>
      <c r="T100" s="72"/>
      <c r="U100" s="72"/>
      <c r="V100" s="72"/>
    </row>
    <row r="101" spans="1:25" ht="27.75" customHeight="1">
      <c r="A101" s="87" t="str">
        <f>IF(ISBLANK(C101)," ",96-COUNTBLANK($C$6:C101))</f>
        <v xml:space="preserve"> </v>
      </c>
      <c r="B101" s="88"/>
      <c r="C101" s="88"/>
      <c r="D101" s="89"/>
      <c r="E101" s="89"/>
      <c r="F101" s="73"/>
      <c r="G101" s="73"/>
      <c r="H101" s="73"/>
      <c r="I101" s="73"/>
      <c r="J101" s="73"/>
      <c r="K101" s="73"/>
      <c r="L101" s="73"/>
      <c r="M101" s="74"/>
      <c r="N101" s="71" t="str">
        <f t="shared" si="1"/>
        <v/>
      </c>
      <c r="O101" s="72"/>
      <c r="P101" s="72"/>
      <c r="Q101" s="72"/>
      <c r="R101" s="72"/>
      <c r="S101" s="72"/>
      <c r="T101" s="72"/>
      <c r="U101" s="72"/>
      <c r="V101" s="72"/>
    </row>
    <row r="102" spans="1:25" ht="27.75" customHeight="1">
      <c r="A102" s="87" t="str">
        <f>IF(ISBLANK(C102)," ",97-COUNTBLANK($C$6:C102))</f>
        <v xml:space="preserve"> </v>
      </c>
      <c r="B102" s="88"/>
      <c r="C102" s="88"/>
      <c r="D102" s="89"/>
      <c r="E102" s="89"/>
      <c r="F102" s="73"/>
      <c r="G102" s="73"/>
      <c r="H102" s="73"/>
      <c r="I102" s="73"/>
      <c r="J102" s="73"/>
      <c r="K102" s="73"/>
      <c r="L102" s="73"/>
      <c r="M102" s="74"/>
      <c r="N102" s="71" t="str">
        <f t="shared" si="1"/>
        <v/>
      </c>
      <c r="O102" s="72"/>
      <c r="P102" s="72"/>
      <c r="Q102" s="72"/>
      <c r="R102" s="72"/>
      <c r="S102" s="72"/>
      <c r="T102" s="72"/>
      <c r="U102" s="72"/>
      <c r="V102" s="72"/>
    </row>
    <row r="103" spans="1:25" ht="27.75" customHeight="1">
      <c r="A103" s="87" t="str">
        <f>IF(ISBLANK(C103)," ",98-COUNTBLANK($C$6:C103))</f>
        <v xml:space="preserve"> </v>
      </c>
      <c r="B103" s="88"/>
      <c r="C103" s="88"/>
      <c r="D103" s="89"/>
      <c r="E103" s="89"/>
      <c r="F103" s="73"/>
      <c r="G103" s="73"/>
      <c r="H103" s="73"/>
      <c r="I103" s="73"/>
      <c r="J103" s="73"/>
      <c r="K103" s="73"/>
      <c r="L103" s="73"/>
      <c r="M103" s="74"/>
      <c r="N103" s="71" t="str">
        <f t="shared" si="1"/>
        <v/>
      </c>
      <c r="O103" s="72"/>
      <c r="P103" s="72"/>
      <c r="Q103" s="72"/>
      <c r="R103" s="72"/>
      <c r="S103" s="72"/>
      <c r="T103" s="72"/>
      <c r="U103" s="72"/>
      <c r="V103" s="72"/>
    </row>
    <row r="104" spans="1:25" ht="27.75" customHeight="1">
      <c r="A104" s="87" t="str">
        <f>IF(ISBLANK(C104)," ",99-COUNTBLANK($C$6:C104))</f>
        <v xml:space="preserve"> </v>
      </c>
      <c r="B104" s="88"/>
      <c r="C104" s="88"/>
      <c r="D104" s="89"/>
      <c r="E104" s="89"/>
      <c r="F104" s="73"/>
      <c r="G104" s="73"/>
      <c r="H104" s="73"/>
      <c r="I104" s="73"/>
      <c r="J104" s="73"/>
      <c r="K104" s="73"/>
      <c r="L104" s="73"/>
      <c r="M104" s="74"/>
      <c r="N104" s="71" t="str">
        <f t="shared" si="1"/>
        <v/>
      </c>
      <c r="O104" s="72"/>
      <c r="P104" s="72"/>
      <c r="Q104" s="72"/>
      <c r="R104" s="72"/>
      <c r="S104" s="72"/>
      <c r="T104" s="72"/>
      <c r="U104" s="72"/>
      <c r="V104" s="72"/>
    </row>
    <row r="105" spans="1:25" ht="27.75" customHeight="1">
      <c r="A105" s="87" t="str">
        <f>IF(ISBLANK(C105)," ",100-COUNTBLANK($C$6:C105))</f>
        <v xml:space="preserve"> </v>
      </c>
      <c r="B105" s="88"/>
      <c r="C105" s="88"/>
      <c r="D105" s="89"/>
      <c r="E105" s="89"/>
      <c r="F105" s="73"/>
      <c r="G105" s="73"/>
      <c r="H105" s="73"/>
      <c r="I105" s="73"/>
      <c r="J105" s="73"/>
      <c r="K105" s="73"/>
      <c r="L105" s="73"/>
      <c r="M105" s="74"/>
      <c r="N105" s="71" t="str">
        <f t="shared" si="1"/>
        <v/>
      </c>
      <c r="O105" s="75"/>
      <c r="P105" s="72"/>
      <c r="Q105" s="72"/>
      <c r="R105" s="72"/>
      <c r="S105" s="72"/>
      <c r="T105" s="72"/>
      <c r="U105" s="72"/>
      <c r="V105" s="76"/>
    </row>
    <row r="106" spans="1:25" ht="27.75" customHeight="1">
      <c r="A106" s="87" t="str">
        <f>IF(ISBLANK(C106)," ",101-COUNTBLANK($C$6:C106))</f>
        <v xml:space="preserve"> </v>
      </c>
      <c r="B106" s="88"/>
      <c r="C106" s="88"/>
      <c r="D106" s="89"/>
      <c r="E106" s="89"/>
      <c r="F106" s="73"/>
      <c r="G106" s="73"/>
      <c r="H106" s="73"/>
      <c r="I106" s="73"/>
      <c r="J106" s="73"/>
      <c r="K106" s="73"/>
      <c r="L106" s="73"/>
      <c r="M106" s="74"/>
      <c r="N106" s="71" t="str">
        <f t="shared" si="1"/>
        <v/>
      </c>
      <c r="O106" s="75"/>
      <c r="P106" s="72"/>
      <c r="Q106" s="72"/>
      <c r="R106" s="72"/>
      <c r="S106" s="72"/>
      <c r="T106" s="72"/>
      <c r="U106" s="72"/>
      <c r="V106" s="76"/>
    </row>
    <row r="107" spans="1:25" ht="27.75" customHeight="1">
      <c r="A107" s="87" t="str">
        <f>IF(ISBLANK(C107)," ",102-COUNTBLANK($C$6:C107))</f>
        <v xml:space="preserve"> </v>
      </c>
      <c r="B107" s="88"/>
      <c r="C107" s="88"/>
      <c r="D107" s="89"/>
      <c r="E107" s="89"/>
      <c r="F107" s="73"/>
      <c r="G107" s="73"/>
      <c r="H107" s="73"/>
      <c r="I107" s="73"/>
      <c r="J107" s="73"/>
      <c r="K107" s="73"/>
      <c r="L107" s="73"/>
      <c r="M107" s="74"/>
      <c r="N107" s="71" t="str">
        <f t="shared" si="1"/>
        <v/>
      </c>
      <c r="O107" s="75"/>
      <c r="P107" s="72"/>
      <c r="Q107" s="72"/>
      <c r="R107" s="72"/>
      <c r="S107" s="72"/>
      <c r="T107" s="72"/>
      <c r="U107" s="72"/>
      <c r="V107" s="76"/>
    </row>
    <row r="108" spans="1:25" ht="27.75" customHeight="1">
      <c r="A108" s="87" t="str">
        <f>IF(ISBLANK(C108)," ",103-COUNTBLANK($C$6:C108))</f>
        <v xml:space="preserve"> </v>
      </c>
      <c r="B108" s="88"/>
      <c r="C108" s="88"/>
      <c r="D108" s="89"/>
      <c r="E108" s="89"/>
      <c r="F108" s="73"/>
      <c r="G108" s="73"/>
      <c r="H108" s="73"/>
      <c r="I108" s="73"/>
      <c r="J108" s="73"/>
      <c r="K108" s="73"/>
      <c r="L108" s="73"/>
      <c r="M108" s="74"/>
      <c r="N108" s="71" t="str">
        <f t="shared" si="1"/>
        <v/>
      </c>
      <c r="O108" s="75"/>
      <c r="P108" s="72"/>
      <c r="Q108" s="72"/>
      <c r="R108" s="72"/>
      <c r="S108" s="72"/>
      <c r="T108" s="72"/>
      <c r="U108" s="72"/>
      <c r="V108" s="76"/>
    </row>
    <row r="109" spans="1:25" ht="27.75" customHeight="1">
      <c r="A109" s="87" t="str">
        <f>IF(ISBLANK(C109)," ",104-COUNTBLANK($C$6:C109))</f>
        <v xml:space="preserve"> </v>
      </c>
      <c r="B109" s="88"/>
      <c r="C109" s="88"/>
      <c r="D109" s="89"/>
      <c r="E109" s="89"/>
      <c r="F109" s="73"/>
      <c r="G109" s="73"/>
      <c r="H109" s="73"/>
      <c r="I109" s="73"/>
      <c r="J109" s="73"/>
      <c r="K109" s="73"/>
      <c r="L109" s="73"/>
      <c r="M109" s="74"/>
      <c r="N109" s="71" t="str">
        <f t="shared" si="1"/>
        <v/>
      </c>
      <c r="O109" s="72"/>
      <c r="P109" s="72"/>
      <c r="Q109" s="72"/>
      <c r="R109" s="72"/>
      <c r="S109" s="72"/>
      <c r="T109" s="72"/>
      <c r="U109" s="72"/>
      <c r="V109" s="79"/>
      <c r="W109" s="72"/>
      <c r="X109" s="72"/>
      <c r="Y109" s="72"/>
    </row>
    <row r="110" spans="1:25" ht="27.75" customHeight="1">
      <c r="A110" s="80" t="s">
        <v>52</v>
      </c>
      <c r="B110" s="81"/>
      <c r="C110" s="96"/>
      <c r="D110" s="82"/>
      <c r="E110" s="82">
        <f>SUM(E90:E109)</f>
        <v>0</v>
      </c>
      <c r="F110" s="83"/>
      <c r="G110" s="83"/>
      <c r="H110" s="83"/>
      <c r="I110" s="83"/>
      <c r="J110" s="83"/>
      <c r="K110" s="83"/>
      <c r="L110" s="83"/>
      <c r="M110" s="84"/>
      <c r="N110" s="71" t="str">
        <f t="shared" si="1"/>
        <v/>
      </c>
      <c r="O110" s="75"/>
      <c r="P110" s="72"/>
      <c r="Q110" s="72"/>
      <c r="R110" s="72"/>
      <c r="S110" s="72"/>
      <c r="T110" s="72"/>
      <c r="U110" s="72"/>
      <c r="V110" s="79"/>
      <c r="W110" s="72"/>
      <c r="X110" s="72"/>
      <c r="Y110" s="72"/>
    </row>
    <row r="111" spans="1:25" ht="27.75" customHeight="1">
      <c r="A111" s="93" t="str">
        <f>IF(ISBLANK(C111)," ",106-COUNTBLANK($C$6:C111))</f>
        <v xml:space="preserve"> </v>
      </c>
      <c r="B111" s="94"/>
      <c r="C111" s="94"/>
      <c r="D111" s="95"/>
      <c r="E111" s="95"/>
      <c r="F111" s="85"/>
      <c r="G111" s="85"/>
      <c r="H111" s="85"/>
      <c r="I111" s="85"/>
      <c r="J111" s="85"/>
      <c r="K111" s="85"/>
      <c r="L111" s="85"/>
      <c r="M111" s="86"/>
      <c r="N111" s="71" t="str">
        <f t="shared" si="1"/>
        <v/>
      </c>
      <c r="O111" s="72"/>
      <c r="P111" s="72"/>
      <c r="Q111" s="72"/>
      <c r="R111" s="72"/>
      <c r="S111" s="72"/>
      <c r="T111" s="72"/>
      <c r="U111" s="72"/>
      <c r="V111" s="72"/>
    </row>
    <row r="112" spans="1:25" ht="27.75" customHeight="1">
      <c r="A112" s="87" t="str">
        <f>IF(ISBLANK(C112)," ",107-COUNTBLANK($C$6:C112))</f>
        <v xml:space="preserve"> </v>
      </c>
      <c r="B112" s="88"/>
      <c r="C112" s="88"/>
      <c r="D112" s="89"/>
      <c r="E112" s="89"/>
      <c r="F112" s="73"/>
      <c r="G112" s="73"/>
      <c r="H112" s="73"/>
      <c r="I112" s="73"/>
      <c r="J112" s="73"/>
      <c r="K112" s="73"/>
      <c r="L112" s="73"/>
      <c r="M112" s="74"/>
      <c r="N112" s="71" t="str">
        <f t="shared" si="1"/>
        <v/>
      </c>
      <c r="O112" s="72"/>
      <c r="P112" s="72"/>
      <c r="Q112" s="72"/>
      <c r="R112" s="72"/>
      <c r="S112" s="72"/>
      <c r="T112" s="72"/>
      <c r="U112" s="72"/>
      <c r="V112" s="72"/>
    </row>
    <row r="113" spans="1:22" ht="27.75" customHeight="1">
      <c r="A113" s="87" t="str">
        <f>IF(ISBLANK(C113)," ",108-COUNTBLANK($C$6:C113))</f>
        <v xml:space="preserve"> </v>
      </c>
      <c r="B113" s="88"/>
      <c r="C113" s="88"/>
      <c r="D113" s="89"/>
      <c r="E113" s="89"/>
      <c r="F113" s="73"/>
      <c r="G113" s="73"/>
      <c r="H113" s="73"/>
      <c r="I113" s="73"/>
      <c r="J113" s="73"/>
      <c r="K113" s="73"/>
      <c r="L113" s="73"/>
      <c r="M113" s="74"/>
      <c r="N113" s="71" t="str">
        <f t="shared" si="1"/>
        <v/>
      </c>
      <c r="O113" s="72"/>
      <c r="P113" s="72"/>
      <c r="Q113" s="72"/>
      <c r="R113" s="72"/>
      <c r="S113" s="72"/>
      <c r="T113" s="72"/>
      <c r="U113" s="72"/>
      <c r="V113" s="72"/>
    </row>
    <row r="114" spans="1:22" ht="27.75" customHeight="1">
      <c r="A114" s="87" t="str">
        <f>IF(ISBLANK(C114)," ",109-COUNTBLANK($C$6:C114))</f>
        <v xml:space="preserve"> </v>
      </c>
      <c r="B114" s="88"/>
      <c r="C114" s="88"/>
      <c r="D114" s="89"/>
      <c r="E114" s="89"/>
      <c r="F114" s="73"/>
      <c r="G114" s="73"/>
      <c r="H114" s="73"/>
      <c r="I114" s="73"/>
      <c r="J114" s="73"/>
      <c r="K114" s="73"/>
      <c r="L114" s="73"/>
      <c r="M114" s="74"/>
      <c r="N114" s="71" t="str">
        <f t="shared" si="1"/>
        <v/>
      </c>
      <c r="O114" s="72"/>
      <c r="P114" s="72"/>
      <c r="Q114" s="72"/>
      <c r="R114" s="72"/>
      <c r="S114" s="72"/>
      <c r="T114" s="72"/>
      <c r="U114" s="72"/>
      <c r="V114" s="72"/>
    </row>
    <row r="115" spans="1:22" ht="27.75" customHeight="1">
      <c r="A115" s="87" t="str">
        <f>IF(ISBLANK(C115)," ",110-COUNTBLANK($C$6:C115))</f>
        <v xml:space="preserve"> </v>
      </c>
      <c r="B115" s="88"/>
      <c r="C115" s="88"/>
      <c r="D115" s="89"/>
      <c r="E115" s="89"/>
      <c r="F115" s="73"/>
      <c r="G115" s="73"/>
      <c r="H115" s="73"/>
      <c r="I115" s="73"/>
      <c r="J115" s="73"/>
      <c r="K115" s="73"/>
      <c r="L115" s="73"/>
      <c r="M115" s="74"/>
      <c r="N115" s="71" t="str">
        <f t="shared" si="1"/>
        <v/>
      </c>
      <c r="O115" s="72"/>
      <c r="P115" s="72"/>
      <c r="Q115" s="72"/>
      <c r="R115" s="72"/>
      <c r="S115" s="72"/>
      <c r="T115" s="72"/>
      <c r="U115" s="72"/>
      <c r="V115" s="72"/>
    </row>
    <row r="116" spans="1:22" ht="27.75" customHeight="1">
      <c r="A116" s="87" t="str">
        <f>IF(ISBLANK(C116)," ",111-COUNTBLANK($C$6:C116))</f>
        <v xml:space="preserve"> </v>
      </c>
      <c r="B116" s="88"/>
      <c r="C116" s="88"/>
      <c r="D116" s="89"/>
      <c r="E116" s="89"/>
      <c r="F116" s="73"/>
      <c r="G116" s="73"/>
      <c r="H116" s="73"/>
      <c r="I116" s="73"/>
      <c r="J116" s="73"/>
      <c r="K116" s="73"/>
      <c r="L116" s="73"/>
      <c r="M116" s="74"/>
      <c r="N116" s="71" t="str">
        <f t="shared" si="1"/>
        <v/>
      </c>
      <c r="O116" s="72"/>
      <c r="P116" s="72"/>
      <c r="Q116" s="72"/>
      <c r="R116" s="72"/>
      <c r="S116" s="72"/>
      <c r="T116" s="72"/>
      <c r="U116" s="72"/>
      <c r="V116" s="72"/>
    </row>
    <row r="117" spans="1:22" ht="27.75" customHeight="1">
      <c r="A117" s="87" t="str">
        <f>IF(ISBLANK(C117)," ",112-COUNTBLANK($C$6:C117))</f>
        <v xml:space="preserve"> </v>
      </c>
      <c r="B117" s="88"/>
      <c r="C117" s="88"/>
      <c r="D117" s="89"/>
      <c r="E117" s="89"/>
      <c r="F117" s="73"/>
      <c r="G117" s="73"/>
      <c r="H117" s="73"/>
      <c r="I117" s="73"/>
      <c r="J117" s="73"/>
      <c r="K117" s="73"/>
      <c r="L117" s="73"/>
      <c r="M117" s="74"/>
      <c r="N117" s="71" t="str">
        <f t="shared" si="1"/>
        <v/>
      </c>
      <c r="O117" s="72"/>
      <c r="P117" s="72"/>
      <c r="Q117" s="72"/>
      <c r="R117" s="72"/>
      <c r="S117" s="72"/>
      <c r="T117" s="72"/>
      <c r="U117" s="72"/>
      <c r="V117" s="72"/>
    </row>
    <row r="118" spans="1:22" ht="27.75" customHeight="1">
      <c r="A118" s="87" t="str">
        <f>IF(ISBLANK(C118)," ",113-COUNTBLANK($C$6:C118))</f>
        <v xml:space="preserve"> </v>
      </c>
      <c r="B118" s="88"/>
      <c r="C118" s="88"/>
      <c r="D118" s="89"/>
      <c r="E118" s="89"/>
      <c r="F118" s="73"/>
      <c r="G118" s="73"/>
      <c r="H118" s="73"/>
      <c r="I118" s="73"/>
      <c r="J118" s="73"/>
      <c r="K118" s="73"/>
      <c r="L118" s="73"/>
      <c r="M118" s="74"/>
      <c r="N118" s="71" t="str">
        <f t="shared" si="1"/>
        <v/>
      </c>
      <c r="O118" s="72"/>
      <c r="P118" s="72"/>
      <c r="Q118" s="72"/>
      <c r="R118" s="72"/>
      <c r="S118" s="72"/>
      <c r="T118" s="72"/>
      <c r="U118" s="72"/>
      <c r="V118" s="72"/>
    </row>
    <row r="119" spans="1:22" ht="27.75" customHeight="1">
      <c r="A119" s="87" t="str">
        <f>IF(ISBLANK(C119)," ",114-COUNTBLANK($C$6:C119))</f>
        <v xml:space="preserve"> </v>
      </c>
      <c r="B119" s="88"/>
      <c r="C119" s="88"/>
      <c r="D119" s="89"/>
      <c r="E119" s="89"/>
      <c r="F119" s="73"/>
      <c r="G119" s="73"/>
      <c r="H119" s="73"/>
      <c r="I119" s="73"/>
      <c r="J119" s="73"/>
      <c r="K119" s="73"/>
      <c r="L119" s="73"/>
      <c r="M119" s="74"/>
      <c r="N119" s="71" t="str">
        <f t="shared" si="1"/>
        <v/>
      </c>
      <c r="O119" s="72"/>
      <c r="P119" s="72"/>
      <c r="Q119" s="72"/>
      <c r="R119" s="72"/>
      <c r="S119" s="72"/>
      <c r="T119" s="72"/>
      <c r="U119" s="72"/>
      <c r="V119" s="72"/>
    </row>
    <row r="120" spans="1:22" ht="27.75" customHeight="1">
      <c r="A120" s="87" t="str">
        <f>IF(ISBLANK(C120)," ",115-COUNTBLANK($C$6:C120))</f>
        <v xml:space="preserve"> </v>
      </c>
      <c r="B120" s="88"/>
      <c r="C120" s="88"/>
      <c r="D120" s="89"/>
      <c r="E120" s="89"/>
      <c r="F120" s="73"/>
      <c r="G120" s="73"/>
      <c r="H120" s="73"/>
      <c r="I120" s="73"/>
      <c r="J120" s="73"/>
      <c r="K120" s="73"/>
      <c r="L120" s="73"/>
      <c r="M120" s="74"/>
      <c r="N120" s="71" t="str">
        <f t="shared" si="1"/>
        <v/>
      </c>
      <c r="O120" s="72"/>
      <c r="P120" s="72"/>
      <c r="Q120" s="72"/>
      <c r="R120" s="72"/>
      <c r="S120" s="72"/>
      <c r="T120" s="72"/>
      <c r="U120" s="72"/>
      <c r="V120" s="72"/>
    </row>
    <row r="121" spans="1:22" ht="27.75" customHeight="1">
      <c r="A121" s="87" t="str">
        <f>IF(ISBLANK(C121)," ",116-COUNTBLANK($C$6:C121))</f>
        <v xml:space="preserve"> </v>
      </c>
      <c r="B121" s="88"/>
      <c r="C121" s="88"/>
      <c r="D121" s="89"/>
      <c r="E121" s="89"/>
      <c r="F121" s="73"/>
      <c r="G121" s="73"/>
      <c r="H121" s="73"/>
      <c r="I121" s="73"/>
      <c r="J121" s="73"/>
      <c r="K121" s="73"/>
      <c r="L121" s="73"/>
      <c r="M121" s="74"/>
      <c r="N121" s="71" t="str">
        <f t="shared" si="1"/>
        <v/>
      </c>
      <c r="O121" s="72"/>
      <c r="P121" s="72"/>
      <c r="Q121" s="72"/>
      <c r="R121" s="72"/>
      <c r="S121" s="72"/>
      <c r="T121" s="72"/>
      <c r="U121" s="72"/>
      <c r="V121" s="72"/>
    </row>
    <row r="122" spans="1:22" ht="27.75" customHeight="1">
      <c r="A122" s="87" t="str">
        <f>IF(ISBLANK(C122)," ",117-COUNTBLANK($C$6:C122))</f>
        <v xml:space="preserve"> </v>
      </c>
      <c r="B122" s="88"/>
      <c r="C122" s="88"/>
      <c r="D122" s="89"/>
      <c r="E122" s="89"/>
      <c r="F122" s="73"/>
      <c r="G122" s="73"/>
      <c r="H122" s="73"/>
      <c r="I122" s="73"/>
      <c r="J122" s="73"/>
      <c r="K122" s="73"/>
      <c r="L122" s="73"/>
      <c r="M122" s="74"/>
      <c r="N122" s="71" t="str">
        <f t="shared" si="1"/>
        <v/>
      </c>
      <c r="O122" s="72"/>
      <c r="P122" s="72"/>
      <c r="Q122" s="72"/>
      <c r="R122" s="72"/>
      <c r="S122" s="72"/>
      <c r="T122" s="72"/>
      <c r="U122" s="72"/>
      <c r="V122" s="72"/>
    </row>
    <row r="123" spans="1:22" ht="27.75" customHeight="1">
      <c r="A123" s="87" t="str">
        <f>IF(ISBLANK(C123)," ",118-COUNTBLANK($C$6:C123))</f>
        <v xml:space="preserve"> </v>
      </c>
      <c r="B123" s="88"/>
      <c r="C123" s="88"/>
      <c r="D123" s="89"/>
      <c r="E123" s="89"/>
      <c r="F123" s="73"/>
      <c r="G123" s="73"/>
      <c r="H123" s="73"/>
      <c r="I123" s="73"/>
      <c r="J123" s="73"/>
      <c r="K123" s="73"/>
      <c r="L123" s="73"/>
      <c r="M123" s="74"/>
      <c r="N123" s="71" t="str">
        <f t="shared" si="1"/>
        <v/>
      </c>
      <c r="O123" s="72"/>
      <c r="P123" s="72"/>
      <c r="Q123" s="72"/>
      <c r="R123" s="72"/>
      <c r="S123" s="72"/>
      <c r="T123" s="72"/>
      <c r="U123" s="72"/>
      <c r="V123" s="72"/>
    </row>
    <row r="124" spans="1:22" ht="27.75" customHeight="1">
      <c r="A124" s="87" t="str">
        <f>IF(ISBLANK(C124)," ",119-COUNTBLANK($C$6:C124))</f>
        <v xml:space="preserve"> </v>
      </c>
      <c r="B124" s="88"/>
      <c r="C124" s="88"/>
      <c r="D124" s="89"/>
      <c r="E124" s="89"/>
      <c r="F124" s="73"/>
      <c r="G124" s="73"/>
      <c r="H124" s="73"/>
      <c r="I124" s="73"/>
      <c r="J124" s="73"/>
      <c r="K124" s="73"/>
      <c r="L124" s="73"/>
      <c r="M124" s="74"/>
      <c r="N124" s="71" t="str">
        <f t="shared" si="1"/>
        <v/>
      </c>
      <c r="O124" s="72"/>
      <c r="P124" s="72"/>
      <c r="Q124" s="72"/>
      <c r="R124" s="72"/>
      <c r="S124" s="72"/>
      <c r="T124" s="72"/>
      <c r="U124" s="72"/>
      <c r="V124" s="72"/>
    </row>
    <row r="125" spans="1:22" ht="27.75" customHeight="1">
      <c r="A125" s="87" t="str">
        <f>IF(ISBLANK(C125)," ",120-COUNTBLANK($C$6:C125))</f>
        <v xml:space="preserve"> </v>
      </c>
      <c r="B125" s="88"/>
      <c r="C125" s="88"/>
      <c r="D125" s="89"/>
      <c r="E125" s="89"/>
      <c r="F125" s="73"/>
      <c r="G125" s="73"/>
      <c r="H125" s="73"/>
      <c r="I125" s="73"/>
      <c r="J125" s="73"/>
      <c r="K125" s="73"/>
      <c r="L125" s="73"/>
      <c r="M125" s="74"/>
      <c r="N125" s="71" t="str">
        <f t="shared" si="1"/>
        <v/>
      </c>
      <c r="O125" s="72"/>
      <c r="P125" s="72"/>
      <c r="Q125" s="72"/>
      <c r="R125" s="72"/>
      <c r="S125" s="72"/>
      <c r="T125" s="72"/>
      <c r="U125" s="72"/>
      <c r="V125" s="72"/>
    </row>
    <row r="126" spans="1:22" ht="27.75" customHeight="1">
      <c r="A126" s="87" t="str">
        <f>IF(ISBLANK(C126)," ",121-COUNTBLANK($C$6:C126))</f>
        <v xml:space="preserve"> </v>
      </c>
      <c r="B126" s="88"/>
      <c r="C126" s="88"/>
      <c r="D126" s="89"/>
      <c r="E126" s="89"/>
      <c r="F126" s="73"/>
      <c r="G126" s="73"/>
      <c r="H126" s="73"/>
      <c r="I126" s="73"/>
      <c r="J126" s="73"/>
      <c r="K126" s="73"/>
      <c r="L126" s="73"/>
      <c r="M126" s="74"/>
      <c r="N126" s="71" t="str">
        <f t="shared" si="1"/>
        <v/>
      </c>
      <c r="O126" s="75"/>
      <c r="P126" s="72"/>
      <c r="Q126" s="72"/>
      <c r="R126" s="72"/>
      <c r="S126" s="72"/>
      <c r="T126" s="72"/>
      <c r="U126" s="72"/>
      <c r="V126" s="76"/>
    </row>
    <row r="127" spans="1:22" ht="27.75" customHeight="1">
      <c r="A127" s="87" t="str">
        <f>IF(ISBLANK(C127)," ",122-COUNTBLANK($C$6:C127))</f>
        <v xml:space="preserve"> </v>
      </c>
      <c r="B127" s="88"/>
      <c r="C127" s="88"/>
      <c r="D127" s="89"/>
      <c r="E127" s="89"/>
      <c r="F127" s="73"/>
      <c r="G127" s="73"/>
      <c r="H127" s="73"/>
      <c r="I127" s="73"/>
      <c r="J127" s="73"/>
      <c r="K127" s="73"/>
      <c r="L127" s="73"/>
      <c r="M127" s="74"/>
      <c r="N127" s="71" t="str">
        <f t="shared" si="1"/>
        <v/>
      </c>
      <c r="O127" s="75"/>
      <c r="P127" s="72"/>
      <c r="Q127" s="72"/>
      <c r="R127" s="72"/>
      <c r="S127" s="72"/>
      <c r="T127" s="72"/>
      <c r="U127" s="72"/>
      <c r="V127" s="76"/>
    </row>
    <row r="128" spans="1:22" ht="27.75" customHeight="1">
      <c r="A128" s="87" t="str">
        <f>IF(ISBLANK(C128)," ",123-COUNTBLANK($C$6:C128))</f>
        <v xml:space="preserve"> </v>
      </c>
      <c r="B128" s="88"/>
      <c r="C128" s="88"/>
      <c r="D128" s="89"/>
      <c r="E128" s="89"/>
      <c r="F128" s="73"/>
      <c r="G128" s="73"/>
      <c r="H128" s="73"/>
      <c r="I128" s="73"/>
      <c r="J128" s="73"/>
      <c r="K128" s="73"/>
      <c r="L128" s="73"/>
      <c r="M128" s="74"/>
      <c r="N128" s="71" t="str">
        <f t="shared" si="1"/>
        <v/>
      </c>
      <c r="O128" s="75"/>
      <c r="P128" s="72"/>
      <c r="Q128" s="72"/>
      <c r="R128" s="72"/>
      <c r="S128" s="72"/>
      <c r="T128" s="72"/>
      <c r="U128" s="72"/>
      <c r="V128" s="76"/>
    </row>
    <row r="129" spans="1:25" ht="27.75" customHeight="1">
      <c r="A129" s="87" t="str">
        <f>IF(ISBLANK(C129)," ",124-COUNTBLANK($C$6:C129))</f>
        <v xml:space="preserve"> </v>
      </c>
      <c r="B129" s="88"/>
      <c r="C129" s="88"/>
      <c r="D129" s="89"/>
      <c r="E129" s="89"/>
      <c r="F129" s="73"/>
      <c r="G129" s="73"/>
      <c r="H129" s="73"/>
      <c r="I129" s="73"/>
      <c r="J129" s="73"/>
      <c r="K129" s="73"/>
      <c r="L129" s="73"/>
      <c r="M129" s="74"/>
      <c r="N129" s="71" t="str">
        <f t="shared" si="1"/>
        <v/>
      </c>
      <c r="O129" s="75"/>
      <c r="P129" s="72"/>
      <c r="Q129" s="72"/>
      <c r="R129" s="72"/>
      <c r="S129" s="72"/>
      <c r="T129" s="72"/>
      <c r="U129" s="72"/>
      <c r="V129" s="76"/>
    </row>
    <row r="130" spans="1:25" ht="27.75" customHeight="1">
      <c r="A130" s="87" t="str">
        <f>IF(ISBLANK(C130)," ",125-COUNTBLANK($C$6:C130))</f>
        <v xml:space="preserve"> </v>
      </c>
      <c r="B130" s="88"/>
      <c r="C130" s="88"/>
      <c r="D130" s="89"/>
      <c r="E130" s="89"/>
      <c r="F130" s="73"/>
      <c r="G130" s="73"/>
      <c r="H130" s="73"/>
      <c r="I130" s="73"/>
      <c r="J130" s="73"/>
      <c r="K130" s="73"/>
      <c r="L130" s="73"/>
      <c r="M130" s="74"/>
      <c r="N130" s="71" t="str">
        <f t="shared" si="1"/>
        <v/>
      </c>
      <c r="O130" s="72"/>
      <c r="P130" s="72"/>
      <c r="Q130" s="72"/>
      <c r="R130" s="72"/>
      <c r="S130" s="72"/>
      <c r="T130" s="72"/>
      <c r="U130" s="72"/>
      <c r="V130" s="79"/>
      <c r="W130" s="72"/>
      <c r="X130" s="72"/>
      <c r="Y130" s="72"/>
    </row>
    <row r="131" spans="1:25" ht="27.75" customHeight="1">
      <c r="A131" s="80" t="s">
        <v>52</v>
      </c>
      <c r="B131" s="81"/>
      <c r="C131" s="96"/>
      <c r="D131" s="82"/>
      <c r="E131" s="82">
        <f>SUM(E111:E130)</f>
        <v>0</v>
      </c>
      <c r="F131" s="83"/>
      <c r="G131" s="83"/>
      <c r="H131" s="83"/>
      <c r="I131" s="83"/>
      <c r="J131" s="83"/>
      <c r="K131" s="83"/>
      <c r="L131" s="83"/>
      <c r="M131" s="84"/>
      <c r="N131" s="71" t="str">
        <f t="shared" si="1"/>
        <v/>
      </c>
      <c r="O131" s="75"/>
      <c r="P131" s="72"/>
      <c r="Q131" s="72"/>
      <c r="R131" s="72"/>
      <c r="S131" s="72"/>
      <c r="T131" s="72"/>
      <c r="U131" s="72"/>
      <c r="V131" s="79"/>
      <c r="W131" s="72"/>
      <c r="X131" s="72"/>
      <c r="Y131" s="72"/>
    </row>
    <row r="132" spans="1:25" ht="27.75" customHeight="1">
      <c r="A132" s="93" t="str">
        <f>IF(ISBLANK(C132)," ",127-COUNTBLANK($C$6:C132))</f>
        <v xml:space="preserve"> </v>
      </c>
      <c r="B132" s="94"/>
      <c r="C132" s="94"/>
      <c r="D132" s="95"/>
      <c r="E132" s="95"/>
      <c r="F132" s="85"/>
      <c r="G132" s="85"/>
      <c r="H132" s="85"/>
      <c r="I132" s="85"/>
      <c r="J132" s="85"/>
      <c r="K132" s="85"/>
      <c r="L132" s="85"/>
      <c r="M132" s="86"/>
      <c r="N132" s="71" t="str">
        <f t="shared" si="1"/>
        <v/>
      </c>
      <c r="O132" s="72"/>
      <c r="P132" s="72"/>
      <c r="Q132" s="72"/>
      <c r="R132" s="72"/>
      <c r="S132" s="72"/>
      <c r="T132" s="72"/>
      <c r="U132" s="72"/>
      <c r="V132" s="72"/>
    </row>
    <row r="133" spans="1:25" ht="27.75" customHeight="1">
      <c r="A133" s="87" t="str">
        <f>IF(ISBLANK(C133)," ",128-COUNTBLANK($C$6:C133))</f>
        <v xml:space="preserve"> </v>
      </c>
      <c r="B133" s="88"/>
      <c r="C133" s="88"/>
      <c r="D133" s="89"/>
      <c r="E133" s="89"/>
      <c r="F133" s="73"/>
      <c r="G133" s="73"/>
      <c r="H133" s="73"/>
      <c r="I133" s="73"/>
      <c r="J133" s="73"/>
      <c r="K133" s="73"/>
      <c r="L133" s="73"/>
      <c r="M133" s="74"/>
      <c r="N133" s="71" t="str">
        <f t="shared" si="1"/>
        <v/>
      </c>
      <c r="O133" s="72"/>
      <c r="P133" s="72"/>
      <c r="Q133" s="72"/>
      <c r="R133" s="72"/>
      <c r="S133" s="72"/>
      <c r="T133" s="72"/>
      <c r="U133" s="72"/>
      <c r="V133" s="72"/>
    </row>
    <row r="134" spans="1:25" ht="27.75" customHeight="1">
      <c r="A134" s="87" t="str">
        <f>IF(ISBLANK(C134)," ",129-COUNTBLANK($C$6:C134))</f>
        <v xml:space="preserve"> </v>
      </c>
      <c r="B134" s="88"/>
      <c r="C134" s="88"/>
      <c r="D134" s="89"/>
      <c r="E134" s="89"/>
      <c r="F134" s="73"/>
      <c r="G134" s="73"/>
      <c r="H134" s="73"/>
      <c r="I134" s="73"/>
      <c r="J134" s="73"/>
      <c r="K134" s="73"/>
      <c r="L134" s="73"/>
      <c r="M134" s="74"/>
      <c r="N134" s="71" t="str">
        <f t="shared" ref="N134:N197" si="2">CONCATENATE(C134,H134)</f>
        <v/>
      </c>
      <c r="O134" s="72"/>
      <c r="P134" s="72"/>
      <c r="Q134" s="72"/>
      <c r="R134" s="72"/>
      <c r="S134" s="72"/>
      <c r="T134" s="72"/>
      <c r="U134" s="72"/>
      <c r="V134" s="72"/>
    </row>
    <row r="135" spans="1:25" ht="27.75" customHeight="1">
      <c r="A135" s="87" t="str">
        <f>IF(ISBLANK(C135)," ",130-COUNTBLANK($C$6:C135))</f>
        <v xml:space="preserve"> </v>
      </c>
      <c r="B135" s="88"/>
      <c r="C135" s="88"/>
      <c r="D135" s="89"/>
      <c r="E135" s="89"/>
      <c r="F135" s="73"/>
      <c r="G135" s="73"/>
      <c r="H135" s="73"/>
      <c r="I135" s="73"/>
      <c r="J135" s="73"/>
      <c r="K135" s="73"/>
      <c r="L135" s="73"/>
      <c r="M135" s="74"/>
      <c r="N135" s="71" t="str">
        <f t="shared" si="2"/>
        <v/>
      </c>
      <c r="O135" s="72"/>
      <c r="P135" s="72"/>
      <c r="Q135" s="72"/>
      <c r="R135" s="72"/>
      <c r="S135" s="72"/>
      <c r="T135" s="72"/>
      <c r="U135" s="72"/>
      <c r="V135" s="72"/>
    </row>
    <row r="136" spans="1:25" ht="27.75" customHeight="1">
      <c r="A136" s="87" t="str">
        <f>IF(ISBLANK(C136)," ",131-COUNTBLANK($C$6:C136))</f>
        <v xml:space="preserve"> </v>
      </c>
      <c r="B136" s="88"/>
      <c r="C136" s="88"/>
      <c r="D136" s="89"/>
      <c r="E136" s="89"/>
      <c r="F136" s="73"/>
      <c r="G136" s="73"/>
      <c r="H136" s="73"/>
      <c r="I136" s="73"/>
      <c r="J136" s="73"/>
      <c r="K136" s="73"/>
      <c r="L136" s="73"/>
      <c r="M136" s="74"/>
      <c r="N136" s="71" t="str">
        <f t="shared" si="2"/>
        <v/>
      </c>
      <c r="O136" s="72"/>
      <c r="P136" s="72"/>
      <c r="Q136" s="72"/>
      <c r="R136" s="72"/>
      <c r="S136" s="72"/>
      <c r="T136" s="72"/>
      <c r="U136" s="72"/>
      <c r="V136" s="72"/>
    </row>
    <row r="137" spans="1:25" ht="27.75" customHeight="1">
      <c r="A137" s="87" t="str">
        <f>IF(ISBLANK(C137)," ",132-COUNTBLANK($C$6:C137))</f>
        <v xml:space="preserve"> </v>
      </c>
      <c r="B137" s="88"/>
      <c r="C137" s="88"/>
      <c r="D137" s="89"/>
      <c r="E137" s="89"/>
      <c r="F137" s="73"/>
      <c r="G137" s="73"/>
      <c r="H137" s="73"/>
      <c r="I137" s="73"/>
      <c r="J137" s="73"/>
      <c r="K137" s="73"/>
      <c r="L137" s="73"/>
      <c r="M137" s="74"/>
      <c r="N137" s="71" t="str">
        <f t="shared" si="2"/>
        <v/>
      </c>
      <c r="O137" s="72"/>
      <c r="P137" s="72"/>
      <c r="Q137" s="72"/>
      <c r="R137" s="72"/>
      <c r="S137" s="72"/>
      <c r="T137" s="72"/>
      <c r="U137" s="72"/>
      <c r="V137" s="72"/>
    </row>
    <row r="138" spans="1:25" ht="27.75" customHeight="1">
      <c r="A138" s="87" t="str">
        <f>IF(ISBLANK(C138)," ",133-COUNTBLANK($C$6:C138))</f>
        <v xml:space="preserve"> </v>
      </c>
      <c r="B138" s="88"/>
      <c r="C138" s="88"/>
      <c r="D138" s="89"/>
      <c r="E138" s="89"/>
      <c r="F138" s="73"/>
      <c r="G138" s="73"/>
      <c r="H138" s="73"/>
      <c r="I138" s="73"/>
      <c r="J138" s="73"/>
      <c r="K138" s="73"/>
      <c r="L138" s="73"/>
      <c r="M138" s="74"/>
      <c r="N138" s="71" t="str">
        <f t="shared" si="2"/>
        <v/>
      </c>
      <c r="O138" s="72"/>
      <c r="P138" s="72"/>
      <c r="Q138" s="72"/>
      <c r="R138" s="72"/>
      <c r="S138" s="72"/>
      <c r="T138" s="72"/>
      <c r="U138" s="72"/>
      <c r="V138" s="72"/>
    </row>
    <row r="139" spans="1:25" ht="27.75" customHeight="1">
      <c r="A139" s="87" t="str">
        <f>IF(ISBLANK(C139)," ",134-COUNTBLANK($C$6:C139))</f>
        <v xml:space="preserve"> </v>
      </c>
      <c r="B139" s="88"/>
      <c r="C139" s="88"/>
      <c r="D139" s="89"/>
      <c r="E139" s="89"/>
      <c r="F139" s="73"/>
      <c r="G139" s="73"/>
      <c r="H139" s="73"/>
      <c r="I139" s="73"/>
      <c r="J139" s="73"/>
      <c r="K139" s="73"/>
      <c r="L139" s="73"/>
      <c r="M139" s="74"/>
      <c r="N139" s="71" t="str">
        <f t="shared" si="2"/>
        <v/>
      </c>
      <c r="O139" s="72"/>
      <c r="P139" s="72"/>
      <c r="Q139" s="72"/>
      <c r="R139" s="72"/>
      <c r="S139" s="72"/>
      <c r="T139" s="72"/>
      <c r="U139" s="72"/>
      <c r="V139" s="72"/>
    </row>
    <row r="140" spans="1:25" ht="27.75" customHeight="1">
      <c r="A140" s="87" t="str">
        <f>IF(ISBLANK(C140)," ",135-COUNTBLANK($C$6:C140))</f>
        <v xml:space="preserve"> </v>
      </c>
      <c r="B140" s="88"/>
      <c r="C140" s="88"/>
      <c r="D140" s="89"/>
      <c r="E140" s="89"/>
      <c r="F140" s="73"/>
      <c r="G140" s="73"/>
      <c r="H140" s="73"/>
      <c r="I140" s="73"/>
      <c r="J140" s="73"/>
      <c r="K140" s="73"/>
      <c r="L140" s="73"/>
      <c r="M140" s="74"/>
      <c r="N140" s="71" t="str">
        <f t="shared" si="2"/>
        <v/>
      </c>
      <c r="O140" s="72"/>
      <c r="P140" s="72"/>
      <c r="Q140" s="72"/>
      <c r="R140" s="72"/>
      <c r="S140" s="72"/>
      <c r="T140" s="72"/>
      <c r="U140" s="72"/>
      <c r="V140" s="72"/>
    </row>
    <row r="141" spans="1:25" ht="27.75" customHeight="1">
      <c r="A141" s="87" t="str">
        <f>IF(ISBLANK(C141)," ",136-COUNTBLANK($C$6:C141))</f>
        <v xml:space="preserve"> </v>
      </c>
      <c r="B141" s="88"/>
      <c r="C141" s="88"/>
      <c r="D141" s="89"/>
      <c r="E141" s="89"/>
      <c r="F141" s="73"/>
      <c r="G141" s="73"/>
      <c r="H141" s="73"/>
      <c r="I141" s="73"/>
      <c r="J141" s="73"/>
      <c r="K141" s="73"/>
      <c r="L141" s="73"/>
      <c r="M141" s="74"/>
      <c r="N141" s="71" t="str">
        <f t="shared" si="2"/>
        <v/>
      </c>
      <c r="O141" s="72"/>
      <c r="P141" s="72"/>
      <c r="Q141" s="72"/>
      <c r="R141" s="72"/>
      <c r="S141" s="72"/>
      <c r="T141" s="72"/>
      <c r="U141" s="72"/>
      <c r="V141" s="72"/>
    </row>
    <row r="142" spans="1:25" ht="27.75" customHeight="1">
      <c r="A142" s="87" t="str">
        <f>IF(ISBLANK(C142)," ",137-COUNTBLANK($C$6:C142))</f>
        <v xml:space="preserve"> </v>
      </c>
      <c r="B142" s="88"/>
      <c r="C142" s="88"/>
      <c r="D142" s="89"/>
      <c r="E142" s="89"/>
      <c r="F142" s="73"/>
      <c r="G142" s="73"/>
      <c r="H142" s="73"/>
      <c r="I142" s="73"/>
      <c r="J142" s="73"/>
      <c r="K142" s="73"/>
      <c r="L142" s="73"/>
      <c r="M142" s="74"/>
      <c r="N142" s="71" t="str">
        <f t="shared" si="2"/>
        <v/>
      </c>
      <c r="O142" s="72"/>
      <c r="P142" s="72"/>
      <c r="Q142" s="72"/>
      <c r="R142" s="72"/>
      <c r="S142" s="72"/>
      <c r="T142" s="72"/>
      <c r="U142" s="72"/>
      <c r="V142" s="72"/>
    </row>
    <row r="143" spans="1:25" ht="27.75" customHeight="1">
      <c r="A143" s="87" t="str">
        <f>IF(ISBLANK(C143)," ",138-COUNTBLANK($C$6:C143))</f>
        <v xml:space="preserve"> </v>
      </c>
      <c r="B143" s="88"/>
      <c r="C143" s="88"/>
      <c r="D143" s="89"/>
      <c r="E143" s="89"/>
      <c r="F143" s="73"/>
      <c r="G143" s="73"/>
      <c r="H143" s="73"/>
      <c r="I143" s="73"/>
      <c r="J143" s="73"/>
      <c r="K143" s="73"/>
      <c r="L143" s="73"/>
      <c r="M143" s="74"/>
      <c r="N143" s="71" t="str">
        <f t="shared" si="2"/>
        <v/>
      </c>
      <c r="O143" s="72"/>
      <c r="P143" s="72"/>
      <c r="Q143" s="72"/>
      <c r="R143" s="72"/>
      <c r="S143" s="72"/>
      <c r="T143" s="72"/>
      <c r="U143" s="72"/>
      <c r="V143" s="72"/>
    </row>
    <row r="144" spans="1:25" ht="27.75" customHeight="1">
      <c r="A144" s="87" t="str">
        <f>IF(ISBLANK(C144)," ",139-COUNTBLANK($C$6:C144))</f>
        <v xml:space="preserve"> </v>
      </c>
      <c r="B144" s="88"/>
      <c r="C144" s="88"/>
      <c r="D144" s="89"/>
      <c r="E144" s="89"/>
      <c r="F144" s="73"/>
      <c r="G144" s="73"/>
      <c r="H144" s="73"/>
      <c r="I144" s="73"/>
      <c r="J144" s="73"/>
      <c r="K144" s="73"/>
      <c r="L144" s="73"/>
      <c r="M144" s="74"/>
      <c r="N144" s="71" t="str">
        <f t="shared" si="2"/>
        <v/>
      </c>
      <c r="O144" s="72"/>
      <c r="P144" s="72"/>
      <c r="Q144" s="72"/>
      <c r="R144" s="72"/>
      <c r="S144" s="72"/>
      <c r="T144" s="72"/>
      <c r="U144" s="72"/>
      <c r="V144" s="72"/>
    </row>
    <row r="145" spans="1:25" ht="27.75" customHeight="1">
      <c r="A145" s="87" t="str">
        <f>IF(ISBLANK(C145)," ",140-COUNTBLANK($C$6:C145))</f>
        <v xml:space="preserve"> </v>
      </c>
      <c r="B145" s="88"/>
      <c r="C145" s="88"/>
      <c r="D145" s="89"/>
      <c r="E145" s="89"/>
      <c r="F145" s="73"/>
      <c r="G145" s="73"/>
      <c r="H145" s="73"/>
      <c r="I145" s="73"/>
      <c r="J145" s="73"/>
      <c r="K145" s="73"/>
      <c r="L145" s="73"/>
      <c r="M145" s="74"/>
      <c r="N145" s="71" t="str">
        <f t="shared" si="2"/>
        <v/>
      </c>
      <c r="O145" s="72"/>
      <c r="P145" s="72"/>
      <c r="Q145" s="72"/>
      <c r="R145" s="72"/>
      <c r="S145" s="72"/>
      <c r="T145" s="72"/>
      <c r="U145" s="72"/>
      <c r="V145" s="72"/>
    </row>
    <row r="146" spans="1:25" ht="27.75" customHeight="1">
      <c r="A146" s="87" t="str">
        <f>IF(ISBLANK(C146)," ",141-COUNTBLANK($C$6:C146))</f>
        <v xml:space="preserve"> </v>
      </c>
      <c r="B146" s="88"/>
      <c r="C146" s="88"/>
      <c r="D146" s="89"/>
      <c r="E146" s="89"/>
      <c r="F146" s="73"/>
      <c r="G146" s="73"/>
      <c r="H146" s="73"/>
      <c r="I146" s="73"/>
      <c r="J146" s="73"/>
      <c r="K146" s="73"/>
      <c r="L146" s="73"/>
      <c r="M146" s="74"/>
      <c r="N146" s="71" t="str">
        <f t="shared" si="2"/>
        <v/>
      </c>
      <c r="O146" s="72"/>
      <c r="P146" s="72"/>
      <c r="Q146" s="72"/>
      <c r="R146" s="72"/>
      <c r="S146" s="72"/>
      <c r="T146" s="72"/>
      <c r="U146" s="72"/>
      <c r="V146" s="72"/>
    </row>
    <row r="147" spans="1:25" ht="27.75" customHeight="1">
      <c r="A147" s="87" t="str">
        <f>IF(ISBLANK(C147)," ",142-COUNTBLANK($C$6:C147))</f>
        <v xml:space="preserve"> </v>
      </c>
      <c r="B147" s="88"/>
      <c r="C147" s="88"/>
      <c r="D147" s="89"/>
      <c r="E147" s="89"/>
      <c r="F147" s="73"/>
      <c r="G147" s="73"/>
      <c r="H147" s="73"/>
      <c r="I147" s="73"/>
      <c r="J147" s="73"/>
      <c r="K147" s="73"/>
      <c r="L147" s="73"/>
      <c r="M147" s="74"/>
      <c r="N147" s="71" t="str">
        <f t="shared" si="2"/>
        <v/>
      </c>
      <c r="O147" s="75"/>
      <c r="P147" s="72"/>
      <c r="Q147" s="72"/>
      <c r="R147" s="72"/>
      <c r="S147" s="72"/>
      <c r="T147" s="72"/>
      <c r="U147" s="72"/>
      <c r="V147" s="76"/>
    </row>
    <row r="148" spans="1:25" ht="27.75" customHeight="1">
      <c r="A148" s="87" t="str">
        <f>IF(ISBLANK(C148)," ",143-COUNTBLANK($C$6:C148))</f>
        <v xml:space="preserve"> </v>
      </c>
      <c r="B148" s="88"/>
      <c r="C148" s="88"/>
      <c r="D148" s="89"/>
      <c r="E148" s="89"/>
      <c r="F148" s="73"/>
      <c r="G148" s="73"/>
      <c r="H148" s="73"/>
      <c r="I148" s="73"/>
      <c r="J148" s="73"/>
      <c r="K148" s="73"/>
      <c r="L148" s="73"/>
      <c r="M148" s="74"/>
      <c r="N148" s="71" t="str">
        <f t="shared" si="2"/>
        <v/>
      </c>
      <c r="O148" s="75"/>
      <c r="P148" s="72"/>
      <c r="Q148" s="72"/>
      <c r="R148" s="72"/>
      <c r="S148" s="72"/>
      <c r="T148" s="72"/>
      <c r="U148" s="72"/>
      <c r="V148" s="76"/>
    </row>
    <row r="149" spans="1:25" ht="27.75" customHeight="1">
      <c r="A149" s="87" t="str">
        <f>IF(ISBLANK(C149)," ",144-COUNTBLANK($C$6:C149))</f>
        <v xml:space="preserve"> </v>
      </c>
      <c r="B149" s="88"/>
      <c r="C149" s="88"/>
      <c r="D149" s="89"/>
      <c r="E149" s="89"/>
      <c r="F149" s="73"/>
      <c r="G149" s="73"/>
      <c r="H149" s="73"/>
      <c r="I149" s="73"/>
      <c r="J149" s="73"/>
      <c r="K149" s="73"/>
      <c r="L149" s="73"/>
      <c r="M149" s="74"/>
      <c r="N149" s="71" t="str">
        <f t="shared" si="2"/>
        <v/>
      </c>
      <c r="O149" s="75"/>
      <c r="P149" s="72"/>
      <c r="Q149" s="72"/>
      <c r="R149" s="72"/>
      <c r="S149" s="72"/>
      <c r="T149" s="72"/>
      <c r="U149" s="72"/>
      <c r="V149" s="76"/>
    </row>
    <row r="150" spans="1:25" ht="27.75" customHeight="1">
      <c r="A150" s="87" t="str">
        <f>IF(ISBLANK(C150)," ",145-COUNTBLANK($C$6:C150))</f>
        <v xml:space="preserve"> </v>
      </c>
      <c r="B150" s="88"/>
      <c r="C150" s="88"/>
      <c r="D150" s="89"/>
      <c r="E150" s="89"/>
      <c r="F150" s="73"/>
      <c r="G150" s="73"/>
      <c r="H150" s="73"/>
      <c r="I150" s="73"/>
      <c r="J150" s="73"/>
      <c r="K150" s="73"/>
      <c r="L150" s="73"/>
      <c r="M150" s="74"/>
      <c r="N150" s="71" t="str">
        <f t="shared" si="2"/>
        <v/>
      </c>
      <c r="O150" s="75"/>
      <c r="P150" s="72"/>
      <c r="Q150" s="72"/>
      <c r="R150" s="72"/>
      <c r="S150" s="72"/>
      <c r="T150" s="72"/>
      <c r="U150" s="72"/>
      <c r="V150" s="76"/>
    </row>
    <row r="151" spans="1:25" ht="27.75" customHeight="1">
      <c r="A151" s="87" t="str">
        <f>IF(ISBLANK(C151)," ",146-COUNTBLANK($C$6:C151))</f>
        <v xml:space="preserve"> </v>
      </c>
      <c r="B151" s="88"/>
      <c r="C151" s="88"/>
      <c r="D151" s="89"/>
      <c r="E151" s="89"/>
      <c r="F151" s="73"/>
      <c r="G151" s="73"/>
      <c r="H151" s="73"/>
      <c r="I151" s="73"/>
      <c r="J151" s="73"/>
      <c r="K151" s="73"/>
      <c r="L151" s="73"/>
      <c r="M151" s="74"/>
      <c r="N151" s="71" t="str">
        <f t="shared" si="2"/>
        <v/>
      </c>
      <c r="O151" s="72"/>
      <c r="P151" s="72"/>
      <c r="Q151" s="72"/>
      <c r="R151" s="72"/>
      <c r="S151" s="72"/>
      <c r="T151" s="72"/>
      <c r="U151" s="72"/>
      <c r="V151" s="79"/>
      <c r="W151" s="72"/>
      <c r="X151" s="72"/>
      <c r="Y151" s="72"/>
    </row>
    <row r="152" spans="1:25" ht="27.75" customHeight="1">
      <c r="A152" s="80" t="s">
        <v>52</v>
      </c>
      <c r="B152" s="81"/>
      <c r="C152" s="96"/>
      <c r="D152" s="82"/>
      <c r="E152" s="82">
        <f>SUM(E132:E151)</f>
        <v>0</v>
      </c>
      <c r="F152" s="83"/>
      <c r="G152" s="83"/>
      <c r="H152" s="83"/>
      <c r="I152" s="83"/>
      <c r="J152" s="83"/>
      <c r="K152" s="83"/>
      <c r="L152" s="83"/>
      <c r="M152" s="84"/>
      <c r="N152" s="71" t="str">
        <f t="shared" si="2"/>
        <v/>
      </c>
      <c r="O152" s="75"/>
      <c r="P152" s="72"/>
      <c r="Q152" s="72"/>
      <c r="R152" s="72"/>
      <c r="S152" s="72"/>
      <c r="T152" s="72"/>
      <c r="U152" s="72"/>
      <c r="V152" s="79"/>
      <c r="W152" s="72"/>
      <c r="X152" s="72"/>
      <c r="Y152" s="72"/>
    </row>
    <row r="153" spans="1:25" ht="27.75" customHeight="1">
      <c r="A153" s="93" t="str">
        <f>IF(ISBLANK(C153)," ",148-COUNTBLANK($C$6:C153))</f>
        <v xml:space="preserve"> </v>
      </c>
      <c r="B153" s="94"/>
      <c r="C153" s="94"/>
      <c r="D153" s="95"/>
      <c r="E153" s="95"/>
      <c r="F153" s="85"/>
      <c r="G153" s="85"/>
      <c r="H153" s="85"/>
      <c r="I153" s="85"/>
      <c r="J153" s="85"/>
      <c r="K153" s="85"/>
      <c r="L153" s="85"/>
      <c r="M153" s="86"/>
      <c r="N153" s="71" t="str">
        <f t="shared" si="2"/>
        <v/>
      </c>
      <c r="O153" s="72"/>
      <c r="P153" s="72"/>
      <c r="Q153" s="72"/>
      <c r="R153" s="72"/>
      <c r="S153" s="72"/>
      <c r="T153" s="72"/>
      <c r="U153" s="72"/>
      <c r="V153" s="72"/>
    </row>
    <row r="154" spans="1:25" ht="27.75" customHeight="1">
      <c r="A154" s="87" t="str">
        <f>IF(ISBLANK(C154)," ",149-COUNTBLANK($C$6:C154))</f>
        <v xml:space="preserve"> </v>
      </c>
      <c r="B154" s="88"/>
      <c r="C154" s="88"/>
      <c r="D154" s="89"/>
      <c r="E154" s="89"/>
      <c r="F154" s="73"/>
      <c r="G154" s="73"/>
      <c r="H154" s="73"/>
      <c r="I154" s="73"/>
      <c r="J154" s="73"/>
      <c r="K154" s="73"/>
      <c r="L154" s="73"/>
      <c r="M154" s="74"/>
      <c r="N154" s="71" t="str">
        <f t="shared" si="2"/>
        <v/>
      </c>
      <c r="O154" s="72"/>
      <c r="P154" s="72"/>
      <c r="Q154" s="72"/>
      <c r="R154" s="72"/>
      <c r="S154" s="72"/>
      <c r="T154" s="72"/>
      <c r="U154" s="72"/>
      <c r="V154" s="72"/>
    </row>
    <row r="155" spans="1:25" ht="27.75" customHeight="1">
      <c r="A155" s="87" t="str">
        <f>IF(ISBLANK(C155)," ",150-COUNTBLANK($C$6:C155))</f>
        <v xml:space="preserve"> </v>
      </c>
      <c r="B155" s="88"/>
      <c r="C155" s="88"/>
      <c r="D155" s="89"/>
      <c r="E155" s="89"/>
      <c r="F155" s="73"/>
      <c r="G155" s="73"/>
      <c r="H155" s="73"/>
      <c r="I155" s="73"/>
      <c r="J155" s="73"/>
      <c r="K155" s="73"/>
      <c r="L155" s="73"/>
      <c r="M155" s="74"/>
      <c r="N155" s="71" t="str">
        <f t="shared" si="2"/>
        <v/>
      </c>
      <c r="O155" s="72"/>
      <c r="P155" s="72"/>
      <c r="Q155" s="72"/>
      <c r="R155" s="72"/>
      <c r="S155" s="72"/>
      <c r="T155" s="72"/>
      <c r="U155" s="72"/>
      <c r="V155" s="72"/>
    </row>
    <row r="156" spans="1:25" ht="27.75" customHeight="1">
      <c r="A156" s="87" t="str">
        <f>IF(ISBLANK(C156)," ",151-COUNTBLANK($C$6:C156))</f>
        <v xml:space="preserve"> </v>
      </c>
      <c r="B156" s="88"/>
      <c r="C156" s="88"/>
      <c r="D156" s="89"/>
      <c r="E156" s="89"/>
      <c r="F156" s="73"/>
      <c r="G156" s="73"/>
      <c r="H156" s="73"/>
      <c r="I156" s="73"/>
      <c r="J156" s="73"/>
      <c r="K156" s="73"/>
      <c r="L156" s="73"/>
      <c r="M156" s="74"/>
      <c r="N156" s="71" t="str">
        <f t="shared" si="2"/>
        <v/>
      </c>
      <c r="O156" s="72"/>
      <c r="P156" s="72"/>
      <c r="Q156" s="72"/>
      <c r="R156" s="72"/>
      <c r="S156" s="72"/>
      <c r="T156" s="72"/>
      <c r="U156" s="72"/>
      <c r="V156" s="72"/>
    </row>
    <row r="157" spans="1:25" ht="27.75" customHeight="1">
      <c r="A157" s="87" t="str">
        <f>IF(ISBLANK(C157)," ",152-COUNTBLANK($C$6:C157))</f>
        <v xml:space="preserve"> </v>
      </c>
      <c r="B157" s="88"/>
      <c r="C157" s="88"/>
      <c r="D157" s="89"/>
      <c r="E157" s="89"/>
      <c r="F157" s="73"/>
      <c r="G157" s="73"/>
      <c r="H157" s="73"/>
      <c r="I157" s="73"/>
      <c r="J157" s="73"/>
      <c r="K157" s="73"/>
      <c r="L157" s="73"/>
      <c r="M157" s="74"/>
      <c r="N157" s="71" t="str">
        <f t="shared" si="2"/>
        <v/>
      </c>
      <c r="O157" s="72"/>
      <c r="P157" s="72"/>
      <c r="Q157" s="72"/>
      <c r="R157" s="72"/>
      <c r="S157" s="72"/>
      <c r="T157" s="72"/>
      <c r="U157" s="72"/>
      <c r="V157" s="72"/>
    </row>
    <row r="158" spans="1:25" ht="27.75" customHeight="1">
      <c r="A158" s="87" t="str">
        <f>IF(ISBLANK(C158)," ",153-COUNTBLANK($C$6:C158))</f>
        <v xml:space="preserve"> </v>
      </c>
      <c r="B158" s="88"/>
      <c r="C158" s="88"/>
      <c r="D158" s="89"/>
      <c r="E158" s="89"/>
      <c r="F158" s="73"/>
      <c r="G158" s="73"/>
      <c r="H158" s="73"/>
      <c r="I158" s="73"/>
      <c r="J158" s="73"/>
      <c r="K158" s="73"/>
      <c r="L158" s="73"/>
      <c r="M158" s="74"/>
      <c r="N158" s="71" t="str">
        <f t="shared" si="2"/>
        <v/>
      </c>
      <c r="O158" s="72"/>
      <c r="P158" s="72"/>
      <c r="Q158" s="72"/>
      <c r="R158" s="72"/>
      <c r="S158" s="72"/>
      <c r="T158" s="72"/>
      <c r="U158" s="72"/>
      <c r="V158" s="72"/>
    </row>
    <row r="159" spans="1:25" ht="27.75" customHeight="1">
      <c r="A159" s="87" t="str">
        <f>IF(ISBLANK(C159)," ",154-COUNTBLANK($C$6:C159))</f>
        <v xml:space="preserve"> </v>
      </c>
      <c r="B159" s="88"/>
      <c r="C159" s="88"/>
      <c r="D159" s="89"/>
      <c r="E159" s="89"/>
      <c r="F159" s="73"/>
      <c r="G159" s="73"/>
      <c r="H159" s="73"/>
      <c r="I159" s="73"/>
      <c r="J159" s="73"/>
      <c r="K159" s="73"/>
      <c r="L159" s="73"/>
      <c r="M159" s="74"/>
      <c r="N159" s="71" t="str">
        <f t="shared" si="2"/>
        <v/>
      </c>
      <c r="O159" s="72"/>
      <c r="P159" s="72"/>
      <c r="Q159" s="72"/>
      <c r="R159" s="72"/>
      <c r="S159" s="72"/>
      <c r="T159" s="72"/>
      <c r="U159" s="72"/>
      <c r="V159" s="72"/>
    </row>
    <row r="160" spans="1:25" ht="27.75" customHeight="1">
      <c r="A160" s="87" t="str">
        <f>IF(ISBLANK(C160)," ",155-COUNTBLANK($C$6:C160))</f>
        <v xml:space="preserve"> </v>
      </c>
      <c r="B160" s="88"/>
      <c r="C160" s="88"/>
      <c r="D160" s="89"/>
      <c r="E160" s="89"/>
      <c r="F160" s="73"/>
      <c r="G160" s="73"/>
      <c r="H160" s="73"/>
      <c r="I160" s="73"/>
      <c r="J160" s="73"/>
      <c r="K160" s="73"/>
      <c r="L160" s="73"/>
      <c r="M160" s="74"/>
      <c r="N160" s="71" t="str">
        <f t="shared" si="2"/>
        <v/>
      </c>
      <c r="O160" s="72"/>
      <c r="P160" s="72"/>
      <c r="Q160" s="72"/>
      <c r="R160" s="72"/>
      <c r="S160" s="72"/>
      <c r="T160" s="72"/>
      <c r="U160" s="72"/>
      <c r="V160" s="72"/>
    </row>
    <row r="161" spans="1:25" ht="27.75" customHeight="1">
      <c r="A161" s="87" t="str">
        <f>IF(ISBLANK(C161)," ",156-COUNTBLANK($C$6:C161))</f>
        <v xml:space="preserve"> </v>
      </c>
      <c r="B161" s="88"/>
      <c r="C161" s="88"/>
      <c r="D161" s="89"/>
      <c r="E161" s="89"/>
      <c r="F161" s="73"/>
      <c r="G161" s="73"/>
      <c r="H161" s="73"/>
      <c r="I161" s="73"/>
      <c r="J161" s="73"/>
      <c r="K161" s="73"/>
      <c r="L161" s="73"/>
      <c r="M161" s="74"/>
      <c r="N161" s="71" t="str">
        <f t="shared" si="2"/>
        <v/>
      </c>
      <c r="O161" s="72"/>
      <c r="P161" s="72"/>
      <c r="Q161" s="72"/>
      <c r="R161" s="72"/>
      <c r="S161" s="72"/>
      <c r="T161" s="72"/>
      <c r="U161" s="72"/>
      <c r="V161" s="72"/>
    </row>
    <row r="162" spans="1:25" ht="27.75" customHeight="1">
      <c r="A162" s="87" t="str">
        <f>IF(ISBLANK(C162)," ",157-COUNTBLANK($C$6:C162))</f>
        <v xml:space="preserve"> </v>
      </c>
      <c r="B162" s="88"/>
      <c r="C162" s="88"/>
      <c r="D162" s="89"/>
      <c r="E162" s="89"/>
      <c r="F162" s="73"/>
      <c r="G162" s="73"/>
      <c r="H162" s="73"/>
      <c r="I162" s="73"/>
      <c r="J162" s="73"/>
      <c r="K162" s="73"/>
      <c r="L162" s="73"/>
      <c r="M162" s="74"/>
      <c r="N162" s="71" t="str">
        <f t="shared" si="2"/>
        <v/>
      </c>
      <c r="O162" s="72"/>
      <c r="P162" s="72"/>
      <c r="Q162" s="72"/>
      <c r="R162" s="72"/>
      <c r="S162" s="72"/>
      <c r="T162" s="72"/>
      <c r="U162" s="72"/>
      <c r="V162" s="72"/>
    </row>
    <row r="163" spans="1:25" ht="27.75" customHeight="1">
      <c r="A163" s="87" t="str">
        <f>IF(ISBLANK(C163)," ",158-COUNTBLANK($C$6:C163))</f>
        <v xml:space="preserve"> </v>
      </c>
      <c r="B163" s="88"/>
      <c r="C163" s="88"/>
      <c r="D163" s="89"/>
      <c r="E163" s="89"/>
      <c r="F163" s="73"/>
      <c r="G163" s="73"/>
      <c r="H163" s="73"/>
      <c r="I163" s="73"/>
      <c r="J163" s="73"/>
      <c r="K163" s="73"/>
      <c r="L163" s="73"/>
      <c r="M163" s="74"/>
      <c r="N163" s="71" t="str">
        <f t="shared" si="2"/>
        <v/>
      </c>
      <c r="O163" s="72"/>
      <c r="P163" s="72"/>
      <c r="Q163" s="72"/>
      <c r="R163" s="72"/>
      <c r="S163" s="72"/>
      <c r="T163" s="72"/>
      <c r="U163" s="72"/>
      <c r="V163" s="72"/>
    </row>
    <row r="164" spans="1:25" ht="27.75" customHeight="1">
      <c r="A164" s="87" t="str">
        <f>IF(ISBLANK(C164)," ",159-COUNTBLANK($C$6:C164))</f>
        <v xml:space="preserve"> </v>
      </c>
      <c r="B164" s="88"/>
      <c r="C164" s="88"/>
      <c r="D164" s="89"/>
      <c r="E164" s="89"/>
      <c r="F164" s="73"/>
      <c r="G164" s="73"/>
      <c r="H164" s="73"/>
      <c r="I164" s="73"/>
      <c r="J164" s="73"/>
      <c r="K164" s="73"/>
      <c r="L164" s="73"/>
      <c r="M164" s="74"/>
      <c r="N164" s="71" t="str">
        <f t="shared" si="2"/>
        <v/>
      </c>
      <c r="O164" s="72"/>
      <c r="P164" s="72"/>
      <c r="Q164" s="72"/>
      <c r="R164" s="72"/>
      <c r="S164" s="72"/>
      <c r="T164" s="72"/>
      <c r="U164" s="72"/>
      <c r="V164" s="72"/>
    </row>
    <row r="165" spans="1:25" ht="27.75" customHeight="1">
      <c r="A165" s="87" t="str">
        <f>IF(ISBLANK(C165)," ",160-COUNTBLANK($C$6:C165))</f>
        <v xml:space="preserve"> </v>
      </c>
      <c r="B165" s="88"/>
      <c r="C165" s="88"/>
      <c r="D165" s="89"/>
      <c r="E165" s="89"/>
      <c r="F165" s="73"/>
      <c r="G165" s="73"/>
      <c r="H165" s="73"/>
      <c r="I165" s="73"/>
      <c r="J165" s="73"/>
      <c r="K165" s="73"/>
      <c r="L165" s="73"/>
      <c r="M165" s="74"/>
      <c r="N165" s="71" t="str">
        <f t="shared" si="2"/>
        <v/>
      </c>
      <c r="O165" s="72"/>
      <c r="P165" s="72"/>
      <c r="Q165" s="72"/>
      <c r="R165" s="72"/>
      <c r="S165" s="72"/>
      <c r="T165" s="72"/>
      <c r="U165" s="72"/>
      <c r="V165" s="72"/>
    </row>
    <row r="166" spans="1:25" ht="27.75" customHeight="1">
      <c r="A166" s="87" t="str">
        <f>IF(ISBLANK(C166)," ",161-COUNTBLANK($C$6:C166))</f>
        <v xml:space="preserve"> </v>
      </c>
      <c r="B166" s="88"/>
      <c r="C166" s="88"/>
      <c r="D166" s="89"/>
      <c r="E166" s="89"/>
      <c r="F166" s="73"/>
      <c r="G166" s="73"/>
      <c r="H166" s="73"/>
      <c r="I166" s="73"/>
      <c r="J166" s="73"/>
      <c r="K166" s="73"/>
      <c r="L166" s="73"/>
      <c r="M166" s="74"/>
      <c r="N166" s="71" t="str">
        <f t="shared" si="2"/>
        <v/>
      </c>
      <c r="O166" s="72"/>
      <c r="P166" s="72"/>
      <c r="Q166" s="72"/>
      <c r="R166" s="72"/>
      <c r="S166" s="72"/>
      <c r="T166" s="72"/>
      <c r="U166" s="72"/>
      <c r="V166" s="72"/>
    </row>
    <row r="167" spans="1:25" ht="27.75" customHeight="1">
      <c r="A167" s="87" t="str">
        <f>IF(ISBLANK(C167)," ",162-COUNTBLANK($C$6:C167))</f>
        <v xml:space="preserve"> </v>
      </c>
      <c r="B167" s="88"/>
      <c r="C167" s="88"/>
      <c r="D167" s="89"/>
      <c r="E167" s="89"/>
      <c r="F167" s="73"/>
      <c r="G167" s="73"/>
      <c r="H167" s="73"/>
      <c r="I167" s="73"/>
      <c r="J167" s="73"/>
      <c r="K167" s="73"/>
      <c r="L167" s="73"/>
      <c r="M167" s="74"/>
      <c r="N167" s="71" t="str">
        <f t="shared" si="2"/>
        <v/>
      </c>
      <c r="O167" s="72"/>
      <c r="P167" s="72"/>
      <c r="Q167" s="72"/>
      <c r="R167" s="72"/>
      <c r="S167" s="72"/>
      <c r="T167" s="72"/>
      <c r="U167" s="72"/>
      <c r="V167" s="72"/>
    </row>
    <row r="168" spans="1:25" ht="27.75" customHeight="1">
      <c r="A168" s="87" t="str">
        <f>IF(ISBLANK(C168)," ",163-COUNTBLANK($C$6:C168))</f>
        <v xml:space="preserve"> </v>
      </c>
      <c r="B168" s="88"/>
      <c r="C168" s="88"/>
      <c r="D168" s="89"/>
      <c r="E168" s="89"/>
      <c r="F168" s="73"/>
      <c r="G168" s="73"/>
      <c r="H168" s="73"/>
      <c r="I168" s="73"/>
      <c r="J168" s="73"/>
      <c r="K168" s="73"/>
      <c r="L168" s="73"/>
      <c r="M168" s="74"/>
      <c r="N168" s="71" t="str">
        <f t="shared" si="2"/>
        <v/>
      </c>
      <c r="O168" s="75"/>
      <c r="P168" s="72"/>
      <c r="Q168" s="72"/>
      <c r="R168" s="72"/>
      <c r="S168" s="72"/>
      <c r="T168" s="72"/>
      <c r="U168" s="72"/>
      <c r="V168" s="76"/>
    </row>
    <row r="169" spans="1:25" ht="27.75" customHeight="1">
      <c r="A169" s="87" t="str">
        <f>IF(ISBLANK(C169)," ",164-COUNTBLANK($C$6:C169))</f>
        <v xml:space="preserve"> </v>
      </c>
      <c r="B169" s="88"/>
      <c r="C169" s="88"/>
      <c r="D169" s="89"/>
      <c r="E169" s="89"/>
      <c r="F169" s="73"/>
      <c r="G169" s="73"/>
      <c r="H169" s="73"/>
      <c r="I169" s="73"/>
      <c r="J169" s="73"/>
      <c r="K169" s="73"/>
      <c r="L169" s="73"/>
      <c r="M169" s="74"/>
      <c r="N169" s="71" t="str">
        <f t="shared" si="2"/>
        <v/>
      </c>
      <c r="O169" s="75"/>
      <c r="P169" s="72"/>
      <c r="Q169" s="72"/>
      <c r="R169" s="72"/>
      <c r="S169" s="72"/>
      <c r="T169" s="72"/>
      <c r="U169" s="72"/>
      <c r="V169" s="76"/>
    </row>
    <row r="170" spans="1:25" ht="27.75" customHeight="1">
      <c r="A170" s="87" t="str">
        <f>IF(ISBLANK(C170)," ",165-COUNTBLANK($C$6:C170))</f>
        <v xml:space="preserve"> </v>
      </c>
      <c r="B170" s="88"/>
      <c r="C170" s="88"/>
      <c r="D170" s="89"/>
      <c r="E170" s="89"/>
      <c r="F170" s="73"/>
      <c r="G170" s="73"/>
      <c r="H170" s="73"/>
      <c r="I170" s="73"/>
      <c r="J170" s="73"/>
      <c r="K170" s="73"/>
      <c r="L170" s="73"/>
      <c r="M170" s="74"/>
      <c r="N170" s="71" t="str">
        <f t="shared" si="2"/>
        <v/>
      </c>
      <c r="O170" s="75"/>
      <c r="P170" s="72"/>
      <c r="Q170" s="72"/>
      <c r="R170" s="72"/>
      <c r="S170" s="72"/>
      <c r="T170" s="72"/>
      <c r="U170" s="72"/>
      <c r="V170" s="76"/>
    </row>
    <row r="171" spans="1:25" ht="27.75" customHeight="1">
      <c r="A171" s="87" t="str">
        <f>IF(ISBLANK(C171)," ",166-COUNTBLANK($C$6:C171))</f>
        <v xml:space="preserve"> </v>
      </c>
      <c r="B171" s="88"/>
      <c r="C171" s="88"/>
      <c r="D171" s="89"/>
      <c r="E171" s="89"/>
      <c r="F171" s="73"/>
      <c r="G171" s="73"/>
      <c r="H171" s="73"/>
      <c r="I171" s="73"/>
      <c r="J171" s="73"/>
      <c r="K171" s="73"/>
      <c r="L171" s="73"/>
      <c r="M171" s="74"/>
      <c r="N171" s="71" t="str">
        <f t="shared" si="2"/>
        <v/>
      </c>
      <c r="O171" s="75"/>
      <c r="P171" s="72"/>
      <c r="Q171" s="72"/>
      <c r="R171" s="72"/>
      <c r="S171" s="72"/>
      <c r="T171" s="72"/>
      <c r="U171" s="72"/>
      <c r="V171" s="76"/>
    </row>
    <row r="172" spans="1:25" ht="27.75" customHeight="1">
      <c r="A172" s="87" t="str">
        <f>IF(ISBLANK(C172)," ",167-COUNTBLANK($C$6:C172))</f>
        <v xml:space="preserve"> </v>
      </c>
      <c r="B172" s="88"/>
      <c r="C172" s="88"/>
      <c r="D172" s="89"/>
      <c r="E172" s="89"/>
      <c r="F172" s="73"/>
      <c r="G172" s="73"/>
      <c r="H172" s="73"/>
      <c r="I172" s="73"/>
      <c r="J172" s="73"/>
      <c r="K172" s="73"/>
      <c r="L172" s="73"/>
      <c r="M172" s="74"/>
      <c r="N172" s="71" t="str">
        <f t="shared" si="2"/>
        <v/>
      </c>
      <c r="O172" s="72"/>
      <c r="P172" s="72"/>
      <c r="Q172" s="72"/>
      <c r="R172" s="72"/>
      <c r="S172" s="72"/>
      <c r="T172" s="72"/>
      <c r="U172" s="72"/>
      <c r="V172" s="79"/>
      <c r="W172" s="72"/>
      <c r="X172" s="72"/>
      <c r="Y172" s="72"/>
    </row>
    <row r="173" spans="1:25" ht="27.75" customHeight="1">
      <c r="A173" s="80" t="s">
        <v>52</v>
      </c>
      <c r="B173" s="81"/>
      <c r="C173" s="96"/>
      <c r="D173" s="82"/>
      <c r="E173" s="82">
        <f>SUM(E153:E172)</f>
        <v>0</v>
      </c>
      <c r="F173" s="83"/>
      <c r="G173" s="83"/>
      <c r="H173" s="83"/>
      <c r="I173" s="83"/>
      <c r="J173" s="83"/>
      <c r="K173" s="83"/>
      <c r="L173" s="83"/>
      <c r="M173" s="84"/>
      <c r="N173" s="71" t="str">
        <f t="shared" si="2"/>
        <v/>
      </c>
      <c r="O173" s="75"/>
      <c r="P173" s="72"/>
      <c r="Q173" s="72"/>
      <c r="R173" s="72"/>
      <c r="S173" s="72"/>
      <c r="T173" s="72"/>
      <c r="U173" s="72"/>
      <c r="V173" s="79"/>
      <c r="W173" s="72"/>
      <c r="X173" s="72"/>
      <c r="Y173" s="72"/>
    </row>
    <row r="174" spans="1:25" ht="27.75" customHeight="1">
      <c r="A174" s="93" t="str">
        <f>IF(ISBLANK(C174)," ",169-COUNTBLANK($C$6:C174))</f>
        <v xml:space="preserve"> </v>
      </c>
      <c r="B174" s="94"/>
      <c r="C174" s="94"/>
      <c r="D174" s="95"/>
      <c r="E174" s="95"/>
      <c r="F174" s="85"/>
      <c r="G174" s="85"/>
      <c r="H174" s="85"/>
      <c r="I174" s="85"/>
      <c r="J174" s="85"/>
      <c r="K174" s="85"/>
      <c r="L174" s="85"/>
      <c r="M174" s="86"/>
      <c r="N174" s="71" t="str">
        <f t="shared" si="2"/>
        <v/>
      </c>
      <c r="O174" s="72"/>
      <c r="P174" s="72"/>
      <c r="Q174" s="72"/>
      <c r="R174" s="72"/>
      <c r="S174" s="72"/>
      <c r="T174" s="72"/>
      <c r="U174" s="72"/>
      <c r="V174" s="72"/>
    </row>
    <row r="175" spans="1:25" ht="27.75" customHeight="1">
      <c r="A175" s="87" t="str">
        <f>IF(ISBLANK(C175)," ",170-COUNTBLANK($C$6:C175))</f>
        <v xml:space="preserve"> </v>
      </c>
      <c r="B175" s="88"/>
      <c r="C175" s="88"/>
      <c r="D175" s="89"/>
      <c r="E175" s="89"/>
      <c r="F175" s="73"/>
      <c r="G175" s="73"/>
      <c r="H175" s="73"/>
      <c r="I175" s="73"/>
      <c r="J175" s="73"/>
      <c r="K175" s="73"/>
      <c r="L175" s="73"/>
      <c r="M175" s="74"/>
      <c r="N175" s="71" t="str">
        <f t="shared" si="2"/>
        <v/>
      </c>
      <c r="O175" s="72"/>
      <c r="P175" s="72"/>
      <c r="Q175" s="72"/>
      <c r="R175" s="72"/>
      <c r="S175" s="72"/>
      <c r="T175" s="72"/>
      <c r="U175" s="72"/>
      <c r="V175" s="72"/>
    </row>
    <row r="176" spans="1:25" ht="27.75" customHeight="1">
      <c r="A176" s="87" t="str">
        <f>IF(ISBLANK(C176)," ",171-COUNTBLANK($C$6:C176))</f>
        <v xml:space="preserve"> </v>
      </c>
      <c r="B176" s="88"/>
      <c r="C176" s="88"/>
      <c r="D176" s="89"/>
      <c r="E176" s="89"/>
      <c r="F176" s="73"/>
      <c r="G176" s="73"/>
      <c r="H176" s="73"/>
      <c r="I176" s="73"/>
      <c r="J176" s="73"/>
      <c r="K176" s="73"/>
      <c r="L176" s="73"/>
      <c r="M176" s="74"/>
      <c r="N176" s="71" t="str">
        <f t="shared" si="2"/>
        <v/>
      </c>
      <c r="O176" s="72"/>
      <c r="P176" s="72"/>
      <c r="Q176" s="72"/>
      <c r="R176" s="72"/>
      <c r="S176" s="72"/>
      <c r="T176" s="72"/>
      <c r="U176" s="72"/>
      <c r="V176" s="72"/>
    </row>
    <row r="177" spans="1:22" ht="27.75" customHeight="1">
      <c r="A177" s="87" t="str">
        <f>IF(ISBLANK(C177)," ",172-COUNTBLANK($C$6:C177))</f>
        <v xml:space="preserve"> </v>
      </c>
      <c r="B177" s="88"/>
      <c r="C177" s="88"/>
      <c r="D177" s="89"/>
      <c r="E177" s="89"/>
      <c r="F177" s="73"/>
      <c r="G177" s="73"/>
      <c r="H177" s="73"/>
      <c r="I177" s="73"/>
      <c r="J177" s="73"/>
      <c r="K177" s="73"/>
      <c r="L177" s="73"/>
      <c r="M177" s="74"/>
      <c r="N177" s="71" t="str">
        <f t="shared" si="2"/>
        <v/>
      </c>
      <c r="O177" s="72"/>
      <c r="P177" s="72"/>
      <c r="Q177" s="72"/>
      <c r="R177" s="72"/>
      <c r="S177" s="72"/>
      <c r="T177" s="72"/>
      <c r="U177" s="72"/>
      <c r="V177" s="72"/>
    </row>
    <row r="178" spans="1:22" ht="27.75" customHeight="1">
      <c r="A178" s="87" t="str">
        <f>IF(ISBLANK(C178)," ",173-COUNTBLANK($C$6:C178))</f>
        <v xml:space="preserve"> </v>
      </c>
      <c r="B178" s="88"/>
      <c r="C178" s="88"/>
      <c r="D178" s="89"/>
      <c r="E178" s="89"/>
      <c r="F178" s="73"/>
      <c r="G178" s="73"/>
      <c r="H178" s="73"/>
      <c r="I178" s="73"/>
      <c r="J178" s="73"/>
      <c r="K178" s="73"/>
      <c r="L178" s="73"/>
      <c r="M178" s="74"/>
      <c r="N178" s="71" t="str">
        <f t="shared" si="2"/>
        <v/>
      </c>
      <c r="O178" s="72"/>
      <c r="P178" s="72"/>
      <c r="Q178" s="72"/>
      <c r="R178" s="72"/>
      <c r="S178" s="72"/>
      <c r="T178" s="72"/>
      <c r="U178" s="72"/>
      <c r="V178" s="72"/>
    </row>
    <row r="179" spans="1:22" ht="27.75" customHeight="1">
      <c r="A179" s="87" t="str">
        <f>IF(ISBLANK(C179)," ",174-COUNTBLANK($C$6:C179))</f>
        <v xml:space="preserve"> </v>
      </c>
      <c r="B179" s="88"/>
      <c r="C179" s="88"/>
      <c r="D179" s="89"/>
      <c r="E179" s="89"/>
      <c r="F179" s="73"/>
      <c r="G179" s="73"/>
      <c r="H179" s="73"/>
      <c r="I179" s="73"/>
      <c r="J179" s="73"/>
      <c r="K179" s="73"/>
      <c r="L179" s="73"/>
      <c r="M179" s="74"/>
      <c r="N179" s="71" t="str">
        <f t="shared" si="2"/>
        <v/>
      </c>
      <c r="O179" s="72"/>
      <c r="P179" s="72"/>
      <c r="Q179" s="72"/>
      <c r="R179" s="72"/>
      <c r="S179" s="72"/>
      <c r="T179" s="72"/>
      <c r="U179" s="72"/>
      <c r="V179" s="72"/>
    </row>
    <row r="180" spans="1:22" ht="27.75" customHeight="1">
      <c r="A180" s="87" t="str">
        <f>IF(ISBLANK(C180)," ",175-COUNTBLANK($C$6:C180))</f>
        <v xml:space="preserve"> </v>
      </c>
      <c r="B180" s="88"/>
      <c r="C180" s="88"/>
      <c r="D180" s="89"/>
      <c r="E180" s="89"/>
      <c r="F180" s="73"/>
      <c r="G180" s="73"/>
      <c r="H180" s="73"/>
      <c r="I180" s="73"/>
      <c r="J180" s="73"/>
      <c r="K180" s="73"/>
      <c r="L180" s="73"/>
      <c r="M180" s="74"/>
      <c r="N180" s="71" t="str">
        <f t="shared" si="2"/>
        <v/>
      </c>
      <c r="O180" s="72"/>
      <c r="P180" s="72"/>
      <c r="Q180" s="72"/>
      <c r="R180" s="72"/>
      <c r="S180" s="72"/>
      <c r="T180" s="72"/>
      <c r="U180" s="72"/>
      <c r="V180" s="72"/>
    </row>
    <row r="181" spans="1:22" ht="27.75" customHeight="1">
      <c r="A181" s="87" t="str">
        <f>IF(ISBLANK(C181)," ",176-COUNTBLANK($C$6:C181))</f>
        <v xml:space="preserve"> </v>
      </c>
      <c r="B181" s="88"/>
      <c r="C181" s="88"/>
      <c r="D181" s="89"/>
      <c r="E181" s="89"/>
      <c r="F181" s="73"/>
      <c r="G181" s="73"/>
      <c r="H181" s="73"/>
      <c r="I181" s="73"/>
      <c r="J181" s="73"/>
      <c r="K181" s="73"/>
      <c r="L181" s="73"/>
      <c r="M181" s="74"/>
      <c r="N181" s="71" t="str">
        <f t="shared" si="2"/>
        <v/>
      </c>
      <c r="O181" s="72"/>
      <c r="P181" s="72"/>
      <c r="Q181" s="72"/>
      <c r="R181" s="72"/>
      <c r="S181" s="72"/>
      <c r="T181" s="72"/>
      <c r="U181" s="72"/>
      <c r="V181" s="72"/>
    </row>
    <row r="182" spans="1:22" ht="27.75" customHeight="1">
      <c r="A182" s="87" t="str">
        <f>IF(ISBLANK(C182)," ",177-COUNTBLANK($C$6:C182))</f>
        <v xml:space="preserve"> </v>
      </c>
      <c r="B182" s="88"/>
      <c r="C182" s="88"/>
      <c r="D182" s="89"/>
      <c r="E182" s="89"/>
      <c r="F182" s="73"/>
      <c r="G182" s="73"/>
      <c r="H182" s="73"/>
      <c r="I182" s="73"/>
      <c r="J182" s="73"/>
      <c r="K182" s="73"/>
      <c r="L182" s="73"/>
      <c r="M182" s="74"/>
      <c r="N182" s="71" t="str">
        <f t="shared" si="2"/>
        <v/>
      </c>
      <c r="O182" s="72"/>
      <c r="P182" s="72"/>
      <c r="Q182" s="72"/>
      <c r="R182" s="72"/>
      <c r="S182" s="72"/>
      <c r="T182" s="72"/>
      <c r="U182" s="72"/>
      <c r="V182" s="72"/>
    </row>
    <row r="183" spans="1:22" ht="27.75" customHeight="1">
      <c r="A183" s="87" t="str">
        <f>IF(ISBLANK(C183)," ",178-COUNTBLANK($C$6:C183))</f>
        <v xml:space="preserve"> </v>
      </c>
      <c r="B183" s="88"/>
      <c r="C183" s="88"/>
      <c r="D183" s="89"/>
      <c r="E183" s="89"/>
      <c r="F183" s="73"/>
      <c r="G183" s="73"/>
      <c r="H183" s="73"/>
      <c r="I183" s="73"/>
      <c r="J183" s="73"/>
      <c r="K183" s="73"/>
      <c r="L183" s="73"/>
      <c r="M183" s="74"/>
      <c r="N183" s="71" t="str">
        <f t="shared" si="2"/>
        <v/>
      </c>
      <c r="O183" s="72"/>
      <c r="P183" s="72"/>
      <c r="Q183" s="72"/>
      <c r="R183" s="72"/>
      <c r="S183" s="72"/>
      <c r="T183" s="72"/>
      <c r="U183" s="72"/>
      <c r="V183" s="72"/>
    </row>
    <row r="184" spans="1:22" ht="27.75" customHeight="1">
      <c r="A184" s="87" t="str">
        <f>IF(ISBLANK(C184)," ",179-COUNTBLANK($C$6:C184))</f>
        <v xml:space="preserve"> </v>
      </c>
      <c r="B184" s="88"/>
      <c r="C184" s="88"/>
      <c r="D184" s="89"/>
      <c r="E184" s="89"/>
      <c r="F184" s="73"/>
      <c r="G184" s="73"/>
      <c r="H184" s="73"/>
      <c r="I184" s="73"/>
      <c r="J184" s="73"/>
      <c r="K184" s="73"/>
      <c r="L184" s="73"/>
      <c r="M184" s="74"/>
      <c r="N184" s="71" t="str">
        <f t="shared" si="2"/>
        <v/>
      </c>
      <c r="O184" s="72"/>
      <c r="P184" s="72"/>
      <c r="Q184" s="72"/>
      <c r="R184" s="72"/>
      <c r="S184" s="72"/>
      <c r="T184" s="72"/>
      <c r="U184" s="72"/>
      <c r="V184" s="72"/>
    </row>
    <row r="185" spans="1:22" ht="27.75" customHeight="1">
      <c r="A185" s="87" t="str">
        <f>IF(ISBLANK(C185)," ",180-COUNTBLANK($C$6:C185))</f>
        <v xml:space="preserve"> </v>
      </c>
      <c r="B185" s="88"/>
      <c r="C185" s="88"/>
      <c r="D185" s="89"/>
      <c r="E185" s="89"/>
      <c r="F185" s="73"/>
      <c r="G185" s="73"/>
      <c r="H185" s="73"/>
      <c r="I185" s="73"/>
      <c r="J185" s="73"/>
      <c r="K185" s="73"/>
      <c r="L185" s="73"/>
      <c r="M185" s="74"/>
      <c r="N185" s="71" t="str">
        <f t="shared" si="2"/>
        <v/>
      </c>
      <c r="O185" s="72"/>
      <c r="P185" s="72"/>
      <c r="Q185" s="72"/>
      <c r="R185" s="72"/>
      <c r="S185" s="72"/>
      <c r="T185" s="72"/>
      <c r="U185" s="72"/>
      <c r="V185" s="72"/>
    </row>
    <row r="186" spans="1:22" ht="27.75" customHeight="1">
      <c r="A186" s="87" t="str">
        <f>IF(ISBLANK(C186)," ",181-COUNTBLANK($C$6:C186))</f>
        <v xml:space="preserve"> </v>
      </c>
      <c r="B186" s="88"/>
      <c r="C186" s="88"/>
      <c r="D186" s="89"/>
      <c r="E186" s="89"/>
      <c r="F186" s="73"/>
      <c r="G186" s="73"/>
      <c r="H186" s="73"/>
      <c r="I186" s="73"/>
      <c r="J186" s="73"/>
      <c r="K186" s="73"/>
      <c r="L186" s="73"/>
      <c r="M186" s="74"/>
      <c r="N186" s="71" t="str">
        <f t="shared" si="2"/>
        <v/>
      </c>
      <c r="O186" s="72"/>
      <c r="P186" s="72"/>
      <c r="Q186" s="72"/>
      <c r="R186" s="72"/>
      <c r="S186" s="72"/>
      <c r="T186" s="72"/>
      <c r="U186" s="72"/>
      <c r="V186" s="72"/>
    </row>
    <row r="187" spans="1:22" ht="27.75" customHeight="1">
      <c r="A187" s="87" t="str">
        <f>IF(ISBLANK(C187)," ",182-COUNTBLANK($C$6:C187))</f>
        <v xml:space="preserve"> </v>
      </c>
      <c r="B187" s="88"/>
      <c r="C187" s="88"/>
      <c r="D187" s="89"/>
      <c r="E187" s="89"/>
      <c r="F187" s="73"/>
      <c r="G187" s="73"/>
      <c r="H187" s="73"/>
      <c r="I187" s="73"/>
      <c r="J187" s="73"/>
      <c r="K187" s="73"/>
      <c r="L187" s="73"/>
      <c r="M187" s="74"/>
      <c r="N187" s="71" t="str">
        <f t="shared" si="2"/>
        <v/>
      </c>
      <c r="O187" s="72"/>
      <c r="P187" s="72"/>
      <c r="Q187" s="72"/>
      <c r="R187" s="72"/>
      <c r="S187" s="72"/>
      <c r="T187" s="72"/>
      <c r="U187" s="72"/>
      <c r="V187" s="72"/>
    </row>
    <row r="188" spans="1:22" ht="27.75" customHeight="1">
      <c r="A188" s="87" t="str">
        <f>IF(ISBLANK(C188)," ",183-COUNTBLANK($C$6:C188))</f>
        <v xml:space="preserve"> </v>
      </c>
      <c r="B188" s="88"/>
      <c r="C188" s="88"/>
      <c r="D188" s="89"/>
      <c r="E188" s="89"/>
      <c r="F188" s="73"/>
      <c r="G188" s="73"/>
      <c r="H188" s="73"/>
      <c r="I188" s="73"/>
      <c r="J188" s="73"/>
      <c r="K188" s="73"/>
      <c r="L188" s="73"/>
      <c r="M188" s="74"/>
      <c r="N188" s="71" t="str">
        <f t="shared" si="2"/>
        <v/>
      </c>
      <c r="O188" s="72"/>
      <c r="P188" s="72"/>
      <c r="Q188" s="72"/>
      <c r="R188" s="72"/>
      <c r="S188" s="72"/>
      <c r="T188" s="72"/>
      <c r="U188" s="72"/>
      <c r="V188" s="72"/>
    </row>
    <row r="189" spans="1:22" ht="27.75" customHeight="1">
      <c r="A189" s="87" t="str">
        <f>IF(ISBLANK(C189)," ",184-COUNTBLANK($C$6:C189))</f>
        <v xml:space="preserve"> </v>
      </c>
      <c r="B189" s="88"/>
      <c r="C189" s="88"/>
      <c r="D189" s="89"/>
      <c r="E189" s="89"/>
      <c r="F189" s="73"/>
      <c r="G189" s="73"/>
      <c r="H189" s="73"/>
      <c r="I189" s="73"/>
      <c r="J189" s="73"/>
      <c r="K189" s="73"/>
      <c r="L189" s="73"/>
      <c r="M189" s="74"/>
      <c r="N189" s="71" t="str">
        <f t="shared" si="2"/>
        <v/>
      </c>
      <c r="O189" s="75"/>
      <c r="P189" s="72"/>
      <c r="Q189" s="72"/>
      <c r="R189" s="72"/>
      <c r="S189" s="72"/>
      <c r="T189" s="72"/>
      <c r="U189" s="72"/>
      <c r="V189" s="76"/>
    </row>
    <row r="190" spans="1:22" ht="27.75" customHeight="1">
      <c r="A190" s="87" t="str">
        <f>IF(ISBLANK(C190)," ",185-COUNTBLANK($C$6:C190))</f>
        <v xml:space="preserve"> </v>
      </c>
      <c r="B190" s="88"/>
      <c r="C190" s="88"/>
      <c r="D190" s="89"/>
      <c r="E190" s="89"/>
      <c r="F190" s="73"/>
      <c r="G190" s="73"/>
      <c r="H190" s="73"/>
      <c r="I190" s="73"/>
      <c r="J190" s="73"/>
      <c r="K190" s="73"/>
      <c r="L190" s="73"/>
      <c r="M190" s="74"/>
      <c r="N190" s="71" t="str">
        <f t="shared" si="2"/>
        <v/>
      </c>
      <c r="O190" s="75"/>
      <c r="P190" s="72"/>
      <c r="Q190" s="72"/>
      <c r="R190" s="72"/>
      <c r="S190" s="72"/>
      <c r="T190" s="72"/>
      <c r="U190" s="72"/>
      <c r="V190" s="76"/>
    </row>
    <row r="191" spans="1:22" ht="27.75" customHeight="1">
      <c r="A191" s="87" t="str">
        <f>IF(ISBLANK(C191)," ",186-COUNTBLANK($C$6:C191))</f>
        <v xml:space="preserve"> </v>
      </c>
      <c r="B191" s="88"/>
      <c r="C191" s="88"/>
      <c r="D191" s="89"/>
      <c r="E191" s="89"/>
      <c r="F191" s="73"/>
      <c r="G191" s="73"/>
      <c r="H191" s="73"/>
      <c r="I191" s="73"/>
      <c r="J191" s="73"/>
      <c r="K191" s="73"/>
      <c r="L191" s="73"/>
      <c r="M191" s="74"/>
      <c r="N191" s="71" t="str">
        <f t="shared" si="2"/>
        <v/>
      </c>
      <c r="O191" s="75"/>
      <c r="P191" s="72"/>
      <c r="Q191" s="72"/>
      <c r="R191" s="72"/>
      <c r="S191" s="72"/>
      <c r="T191" s="72"/>
      <c r="U191" s="72"/>
      <c r="V191" s="76"/>
    </row>
    <row r="192" spans="1:22" ht="27.75" customHeight="1">
      <c r="A192" s="87" t="str">
        <f>IF(ISBLANK(C192)," ",187-COUNTBLANK($C$6:C192))</f>
        <v xml:space="preserve"> </v>
      </c>
      <c r="B192" s="88"/>
      <c r="C192" s="88"/>
      <c r="D192" s="89"/>
      <c r="E192" s="89"/>
      <c r="F192" s="73"/>
      <c r="G192" s="73"/>
      <c r="H192" s="73"/>
      <c r="I192" s="73"/>
      <c r="J192" s="73"/>
      <c r="K192" s="73"/>
      <c r="L192" s="73"/>
      <c r="M192" s="74"/>
      <c r="N192" s="71" t="str">
        <f t="shared" si="2"/>
        <v/>
      </c>
      <c r="O192" s="75"/>
      <c r="P192" s="72"/>
      <c r="Q192" s="72"/>
      <c r="R192" s="72"/>
      <c r="S192" s="72"/>
      <c r="T192" s="72"/>
      <c r="U192" s="72"/>
      <c r="V192" s="76"/>
    </row>
    <row r="193" spans="1:25" ht="27.75" customHeight="1">
      <c r="A193" s="87" t="str">
        <f>IF(ISBLANK(C193)," ",188-COUNTBLANK($C$6:C193))</f>
        <v xml:space="preserve"> </v>
      </c>
      <c r="B193" s="88"/>
      <c r="C193" s="88"/>
      <c r="D193" s="89"/>
      <c r="E193" s="89"/>
      <c r="F193" s="73"/>
      <c r="G193" s="73"/>
      <c r="H193" s="73"/>
      <c r="I193" s="73"/>
      <c r="J193" s="73"/>
      <c r="K193" s="73"/>
      <c r="L193" s="73"/>
      <c r="M193" s="74"/>
      <c r="N193" s="71" t="str">
        <f t="shared" si="2"/>
        <v/>
      </c>
      <c r="O193" s="72"/>
      <c r="P193" s="72"/>
      <c r="Q193" s="72"/>
      <c r="R193" s="72"/>
      <c r="S193" s="72"/>
      <c r="T193" s="72"/>
      <c r="U193" s="72"/>
      <c r="V193" s="79"/>
      <c r="W193" s="72"/>
      <c r="X193" s="72"/>
      <c r="Y193" s="72"/>
    </row>
    <row r="194" spans="1:25" ht="27.75" customHeight="1">
      <c r="A194" s="80" t="s">
        <v>52</v>
      </c>
      <c r="B194" s="81"/>
      <c r="C194" s="96"/>
      <c r="D194" s="82"/>
      <c r="E194" s="82">
        <f>SUM(E174:E193)</f>
        <v>0</v>
      </c>
      <c r="F194" s="83"/>
      <c r="G194" s="83"/>
      <c r="H194" s="83"/>
      <c r="I194" s="83"/>
      <c r="J194" s="83"/>
      <c r="K194" s="83"/>
      <c r="L194" s="83"/>
      <c r="M194" s="84"/>
      <c r="N194" s="71" t="str">
        <f t="shared" si="2"/>
        <v/>
      </c>
      <c r="O194" s="75"/>
      <c r="P194" s="72"/>
      <c r="Q194" s="72"/>
      <c r="R194" s="72"/>
      <c r="S194" s="72"/>
      <c r="T194" s="72"/>
      <c r="U194" s="72"/>
      <c r="V194" s="79"/>
      <c r="W194" s="72"/>
      <c r="X194" s="72"/>
      <c r="Y194" s="72"/>
    </row>
    <row r="195" spans="1:25" ht="27.75" customHeight="1">
      <c r="A195" s="93" t="str">
        <f>IF(ISBLANK(C195)," ",190-COUNTBLANK($C$6:C195))</f>
        <v xml:space="preserve"> </v>
      </c>
      <c r="B195" s="94"/>
      <c r="C195" s="94"/>
      <c r="D195" s="95"/>
      <c r="E195" s="95"/>
      <c r="F195" s="85"/>
      <c r="G195" s="85"/>
      <c r="H195" s="85"/>
      <c r="I195" s="85"/>
      <c r="J195" s="85"/>
      <c r="K195" s="85"/>
      <c r="L195" s="85"/>
      <c r="M195" s="86"/>
      <c r="N195" s="71" t="str">
        <f t="shared" si="2"/>
        <v/>
      </c>
      <c r="O195" s="72"/>
      <c r="P195" s="72"/>
      <c r="Q195" s="72"/>
      <c r="R195" s="72"/>
      <c r="S195" s="72"/>
      <c r="T195" s="72"/>
      <c r="U195" s="72"/>
      <c r="V195" s="72"/>
    </row>
    <row r="196" spans="1:25" ht="27.75" customHeight="1">
      <c r="A196" s="87" t="str">
        <f>IF(ISBLANK(C196)," ",191-COUNTBLANK($C$6:C196))</f>
        <v xml:space="preserve"> </v>
      </c>
      <c r="B196" s="88"/>
      <c r="C196" s="88"/>
      <c r="D196" s="89"/>
      <c r="E196" s="89"/>
      <c r="F196" s="73"/>
      <c r="G196" s="73"/>
      <c r="H196" s="73"/>
      <c r="I196" s="73"/>
      <c r="J196" s="73"/>
      <c r="K196" s="73"/>
      <c r="L196" s="73"/>
      <c r="M196" s="74"/>
      <c r="N196" s="71" t="str">
        <f t="shared" si="2"/>
        <v/>
      </c>
      <c r="O196" s="72"/>
      <c r="P196" s="72"/>
      <c r="Q196" s="72"/>
      <c r="R196" s="72"/>
      <c r="S196" s="72"/>
      <c r="T196" s="72"/>
      <c r="U196" s="72"/>
      <c r="V196" s="72"/>
    </row>
    <row r="197" spans="1:25" ht="27.75" customHeight="1">
      <c r="A197" s="87" t="str">
        <f>IF(ISBLANK(C197)," ",192-COUNTBLANK($C$6:C197))</f>
        <v xml:space="preserve"> </v>
      </c>
      <c r="B197" s="88"/>
      <c r="C197" s="88"/>
      <c r="D197" s="89"/>
      <c r="E197" s="89"/>
      <c r="F197" s="73"/>
      <c r="G197" s="73"/>
      <c r="H197" s="73"/>
      <c r="I197" s="73"/>
      <c r="J197" s="73"/>
      <c r="K197" s="73"/>
      <c r="L197" s="73"/>
      <c r="M197" s="74"/>
      <c r="N197" s="71" t="str">
        <f t="shared" si="2"/>
        <v/>
      </c>
      <c r="O197" s="72"/>
      <c r="P197" s="72"/>
      <c r="Q197" s="72"/>
      <c r="R197" s="72"/>
      <c r="S197" s="72"/>
      <c r="T197" s="72"/>
      <c r="U197" s="72"/>
      <c r="V197" s="72"/>
    </row>
    <row r="198" spans="1:25" ht="27.75" customHeight="1">
      <c r="A198" s="87" t="str">
        <f>IF(ISBLANK(C198)," ",193-COUNTBLANK($C$6:C198))</f>
        <v xml:space="preserve"> </v>
      </c>
      <c r="B198" s="88"/>
      <c r="C198" s="88"/>
      <c r="D198" s="89"/>
      <c r="E198" s="89"/>
      <c r="F198" s="73"/>
      <c r="G198" s="73"/>
      <c r="H198" s="73"/>
      <c r="I198" s="73"/>
      <c r="J198" s="73"/>
      <c r="K198" s="73"/>
      <c r="L198" s="73"/>
      <c r="M198" s="74"/>
      <c r="N198" s="71" t="str">
        <f t="shared" ref="N198:N261" si="3">CONCATENATE(C198,H198)</f>
        <v/>
      </c>
      <c r="O198" s="72"/>
      <c r="P198" s="72"/>
      <c r="Q198" s="72"/>
      <c r="R198" s="72"/>
      <c r="S198" s="72"/>
      <c r="T198" s="72"/>
      <c r="U198" s="72"/>
      <c r="V198" s="72"/>
    </row>
    <row r="199" spans="1:25" ht="27.75" customHeight="1">
      <c r="A199" s="87" t="str">
        <f>IF(ISBLANK(C199)," ",194-COUNTBLANK($C$6:C199))</f>
        <v xml:space="preserve"> </v>
      </c>
      <c r="B199" s="88"/>
      <c r="C199" s="88"/>
      <c r="D199" s="89"/>
      <c r="E199" s="89"/>
      <c r="F199" s="73"/>
      <c r="G199" s="73"/>
      <c r="H199" s="73"/>
      <c r="I199" s="73"/>
      <c r="J199" s="73"/>
      <c r="K199" s="73"/>
      <c r="L199" s="73"/>
      <c r="M199" s="74"/>
      <c r="N199" s="71" t="str">
        <f t="shared" si="3"/>
        <v/>
      </c>
      <c r="O199" s="72"/>
      <c r="P199" s="72"/>
      <c r="Q199" s="72"/>
      <c r="R199" s="72"/>
      <c r="S199" s="72"/>
      <c r="T199" s="72"/>
      <c r="U199" s="72"/>
      <c r="V199" s="72"/>
    </row>
    <row r="200" spans="1:25" ht="27.75" customHeight="1">
      <c r="A200" s="87" t="str">
        <f>IF(ISBLANK(C200)," ",195-COUNTBLANK($C$6:C200))</f>
        <v xml:space="preserve"> </v>
      </c>
      <c r="B200" s="88"/>
      <c r="C200" s="88"/>
      <c r="D200" s="89"/>
      <c r="E200" s="89"/>
      <c r="F200" s="73"/>
      <c r="G200" s="73"/>
      <c r="H200" s="73"/>
      <c r="I200" s="73"/>
      <c r="J200" s="73"/>
      <c r="K200" s="73"/>
      <c r="L200" s="73"/>
      <c r="M200" s="74"/>
      <c r="N200" s="71" t="str">
        <f t="shared" si="3"/>
        <v/>
      </c>
      <c r="O200" s="72"/>
      <c r="P200" s="72"/>
      <c r="Q200" s="72"/>
      <c r="R200" s="72"/>
      <c r="S200" s="72"/>
      <c r="T200" s="72"/>
      <c r="U200" s="72"/>
      <c r="V200" s="72"/>
    </row>
    <row r="201" spans="1:25" ht="27.75" customHeight="1">
      <c r="A201" s="87" t="str">
        <f>IF(ISBLANK(C201)," ",196-COUNTBLANK($C$6:C201))</f>
        <v xml:space="preserve"> </v>
      </c>
      <c r="B201" s="88"/>
      <c r="C201" s="88"/>
      <c r="D201" s="89"/>
      <c r="E201" s="89"/>
      <c r="F201" s="73"/>
      <c r="G201" s="73"/>
      <c r="H201" s="73"/>
      <c r="I201" s="73"/>
      <c r="J201" s="73"/>
      <c r="K201" s="73"/>
      <c r="L201" s="73"/>
      <c r="M201" s="74"/>
      <c r="N201" s="71" t="str">
        <f t="shared" si="3"/>
        <v/>
      </c>
      <c r="O201" s="72"/>
      <c r="P201" s="72"/>
      <c r="Q201" s="72"/>
      <c r="R201" s="72"/>
      <c r="S201" s="72"/>
      <c r="T201" s="72"/>
      <c r="U201" s="72"/>
      <c r="V201" s="72"/>
    </row>
    <row r="202" spans="1:25" ht="27.75" customHeight="1">
      <c r="A202" s="87" t="str">
        <f>IF(ISBLANK(C202)," ",197-COUNTBLANK($C$6:C202))</f>
        <v xml:space="preserve"> </v>
      </c>
      <c r="B202" s="88"/>
      <c r="C202" s="88"/>
      <c r="D202" s="89"/>
      <c r="E202" s="89"/>
      <c r="F202" s="73"/>
      <c r="G202" s="73"/>
      <c r="H202" s="73"/>
      <c r="I202" s="73"/>
      <c r="J202" s="73"/>
      <c r="K202" s="73"/>
      <c r="L202" s="73"/>
      <c r="M202" s="74"/>
      <c r="N202" s="71" t="str">
        <f t="shared" si="3"/>
        <v/>
      </c>
      <c r="O202" s="72"/>
      <c r="P202" s="72"/>
      <c r="Q202" s="72"/>
      <c r="R202" s="72"/>
      <c r="S202" s="72"/>
      <c r="T202" s="72"/>
      <c r="U202" s="72"/>
      <c r="V202" s="72"/>
    </row>
    <row r="203" spans="1:25" ht="27.75" customHeight="1">
      <c r="A203" s="87" t="str">
        <f>IF(ISBLANK(C203)," ",198-COUNTBLANK($C$6:C203))</f>
        <v xml:space="preserve"> </v>
      </c>
      <c r="B203" s="88"/>
      <c r="C203" s="88"/>
      <c r="D203" s="89"/>
      <c r="E203" s="89"/>
      <c r="F203" s="73"/>
      <c r="G203" s="73"/>
      <c r="H203" s="73"/>
      <c r="I203" s="73"/>
      <c r="J203" s="73"/>
      <c r="K203" s="73"/>
      <c r="L203" s="73"/>
      <c r="M203" s="74"/>
      <c r="N203" s="71" t="str">
        <f t="shared" si="3"/>
        <v/>
      </c>
      <c r="O203" s="72"/>
      <c r="P203" s="72"/>
      <c r="Q203" s="72"/>
      <c r="R203" s="72"/>
      <c r="S203" s="72"/>
      <c r="T203" s="72"/>
      <c r="U203" s="72"/>
      <c r="V203" s="72"/>
    </row>
    <row r="204" spans="1:25" ht="27.75" customHeight="1">
      <c r="A204" s="87" t="str">
        <f>IF(ISBLANK(C204)," ",199-COUNTBLANK($C$6:C204))</f>
        <v xml:space="preserve"> </v>
      </c>
      <c r="B204" s="88"/>
      <c r="C204" s="88"/>
      <c r="D204" s="89"/>
      <c r="E204" s="89"/>
      <c r="F204" s="73"/>
      <c r="G204" s="73"/>
      <c r="H204" s="73"/>
      <c r="I204" s="73"/>
      <c r="J204" s="73"/>
      <c r="K204" s="73"/>
      <c r="L204" s="73"/>
      <c r="M204" s="74"/>
      <c r="N204" s="71" t="str">
        <f t="shared" si="3"/>
        <v/>
      </c>
      <c r="O204" s="72"/>
      <c r="P204" s="72"/>
      <c r="Q204" s="72"/>
      <c r="R204" s="72"/>
      <c r="S204" s="72"/>
      <c r="T204" s="72"/>
      <c r="U204" s="72"/>
      <c r="V204" s="72"/>
    </row>
    <row r="205" spans="1:25" ht="27.75" customHeight="1">
      <c r="A205" s="87" t="str">
        <f>IF(ISBLANK(C205)," ",200-COUNTBLANK($C$6:C205))</f>
        <v xml:space="preserve"> </v>
      </c>
      <c r="B205" s="88"/>
      <c r="C205" s="88"/>
      <c r="D205" s="89"/>
      <c r="E205" s="89"/>
      <c r="F205" s="73"/>
      <c r="G205" s="73"/>
      <c r="H205" s="73"/>
      <c r="I205" s="73"/>
      <c r="J205" s="73"/>
      <c r="K205" s="73"/>
      <c r="L205" s="73"/>
      <c r="M205" s="74"/>
      <c r="N205" s="71" t="str">
        <f t="shared" si="3"/>
        <v/>
      </c>
      <c r="O205" s="72"/>
      <c r="P205" s="72"/>
      <c r="Q205" s="72"/>
      <c r="R205" s="72"/>
      <c r="S205" s="72"/>
      <c r="T205" s="72"/>
      <c r="U205" s="72"/>
      <c r="V205" s="72"/>
    </row>
    <row r="206" spans="1:25" ht="27.75" customHeight="1">
      <c r="A206" s="87" t="str">
        <f>IF(ISBLANK(C206)," ",201-COUNTBLANK($C$6:C206))</f>
        <v xml:space="preserve"> </v>
      </c>
      <c r="B206" s="88"/>
      <c r="C206" s="88"/>
      <c r="D206" s="89"/>
      <c r="E206" s="89"/>
      <c r="F206" s="73"/>
      <c r="G206" s="73"/>
      <c r="H206" s="73"/>
      <c r="I206" s="73"/>
      <c r="J206" s="73"/>
      <c r="K206" s="73"/>
      <c r="L206" s="73"/>
      <c r="M206" s="74"/>
      <c r="N206" s="71" t="str">
        <f t="shared" si="3"/>
        <v/>
      </c>
      <c r="O206" s="72"/>
      <c r="P206" s="72"/>
      <c r="Q206" s="72"/>
      <c r="R206" s="72"/>
      <c r="S206" s="72"/>
      <c r="T206" s="72"/>
      <c r="U206" s="72"/>
      <c r="V206" s="72"/>
    </row>
    <row r="207" spans="1:25" ht="27.75" customHeight="1">
      <c r="A207" s="87" t="str">
        <f>IF(ISBLANK(C207)," ",202-COUNTBLANK($C$6:C207))</f>
        <v xml:space="preserve"> </v>
      </c>
      <c r="B207" s="88"/>
      <c r="C207" s="88"/>
      <c r="D207" s="89"/>
      <c r="E207" s="89"/>
      <c r="F207" s="73"/>
      <c r="G207" s="73"/>
      <c r="H207" s="73"/>
      <c r="I207" s="73"/>
      <c r="J207" s="73"/>
      <c r="K207" s="73"/>
      <c r="L207" s="73"/>
      <c r="M207" s="74"/>
      <c r="N207" s="71" t="str">
        <f t="shared" si="3"/>
        <v/>
      </c>
      <c r="O207" s="72"/>
      <c r="P207" s="72"/>
      <c r="Q207" s="72"/>
      <c r="R207" s="72"/>
      <c r="S207" s="72"/>
      <c r="T207" s="72"/>
      <c r="U207" s="72"/>
      <c r="V207" s="72"/>
    </row>
    <row r="208" spans="1:25" ht="27.75" customHeight="1">
      <c r="A208" s="87" t="str">
        <f>IF(ISBLANK(C208)," ",203-COUNTBLANK($C$6:C208))</f>
        <v xml:space="preserve"> </v>
      </c>
      <c r="B208" s="88"/>
      <c r="C208" s="88"/>
      <c r="D208" s="89"/>
      <c r="E208" s="89"/>
      <c r="F208" s="73"/>
      <c r="G208" s="73"/>
      <c r="H208" s="73"/>
      <c r="I208" s="73"/>
      <c r="J208" s="73"/>
      <c r="K208" s="73"/>
      <c r="L208" s="73"/>
      <c r="M208" s="74"/>
      <c r="N208" s="71" t="str">
        <f t="shared" si="3"/>
        <v/>
      </c>
      <c r="O208" s="72"/>
      <c r="P208" s="72"/>
      <c r="Q208" s="72"/>
      <c r="R208" s="72"/>
      <c r="S208" s="72"/>
      <c r="T208" s="72"/>
      <c r="U208" s="72"/>
      <c r="V208" s="72"/>
    </row>
    <row r="209" spans="1:25" ht="27.75" customHeight="1">
      <c r="A209" s="87" t="str">
        <f>IF(ISBLANK(C209)," ",204-COUNTBLANK($C$6:C209))</f>
        <v xml:space="preserve"> </v>
      </c>
      <c r="B209" s="88"/>
      <c r="C209" s="88"/>
      <c r="D209" s="89"/>
      <c r="E209" s="89"/>
      <c r="F209" s="73"/>
      <c r="G209" s="73"/>
      <c r="H209" s="73"/>
      <c r="I209" s="73"/>
      <c r="J209" s="73"/>
      <c r="K209" s="73"/>
      <c r="L209" s="73"/>
      <c r="M209" s="74"/>
      <c r="N209" s="71" t="str">
        <f t="shared" si="3"/>
        <v/>
      </c>
      <c r="O209" s="72"/>
      <c r="P209" s="72"/>
      <c r="Q209" s="72"/>
      <c r="R209" s="72"/>
      <c r="S209" s="72"/>
      <c r="T209" s="72"/>
      <c r="U209" s="72"/>
      <c r="V209" s="72"/>
    </row>
    <row r="210" spans="1:25" ht="27.75" customHeight="1">
      <c r="A210" s="87" t="str">
        <f>IF(ISBLANK(C210)," ",205-COUNTBLANK($C$6:C210))</f>
        <v xml:space="preserve"> </v>
      </c>
      <c r="B210" s="88"/>
      <c r="C210" s="88"/>
      <c r="D210" s="89"/>
      <c r="E210" s="89"/>
      <c r="F210" s="73"/>
      <c r="G210" s="73"/>
      <c r="H210" s="73"/>
      <c r="I210" s="73"/>
      <c r="J210" s="73"/>
      <c r="K210" s="73"/>
      <c r="L210" s="73"/>
      <c r="M210" s="74"/>
      <c r="N210" s="71" t="str">
        <f t="shared" si="3"/>
        <v/>
      </c>
      <c r="O210" s="75"/>
      <c r="P210" s="72"/>
      <c r="Q210" s="72"/>
      <c r="R210" s="72"/>
      <c r="S210" s="72"/>
      <c r="T210" s="72"/>
      <c r="U210" s="72"/>
      <c r="V210" s="76"/>
    </row>
    <row r="211" spans="1:25" ht="27.75" customHeight="1">
      <c r="A211" s="87" t="str">
        <f>IF(ISBLANK(C211)," ",206-COUNTBLANK($C$6:C211))</f>
        <v xml:space="preserve"> </v>
      </c>
      <c r="B211" s="88"/>
      <c r="C211" s="88"/>
      <c r="D211" s="89"/>
      <c r="E211" s="89"/>
      <c r="F211" s="73"/>
      <c r="G211" s="73"/>
      <c r="H211" s="73"/>
      <c r="I211" s="73"/>
      <c r="J211" s="73"/>
      <c r="K211" s="73"/>
      <c r="L211" s="73"/>
      <c r="M211" s="74"/>
      <c r="N211" s="71" t="str">
        <f t="shared" si="3"/>
        <v/>
      </c>
      <c r="O211" s="75"/>
      <c r="P211" s="72"/>
      <c r="Q211" s="72"/>
      <c r="R211" s="72"/>
      <c r="S211" s="72"/>
      <c r="T211" s="72"/>
      <c r="U211" s="72"/>
      <c r="V211" s="76"/>
    </row>
    <row r="212" spans="1:25" ht="27.75" customHeight="1">
      <c r="A212" s="87" t="str">
        <f>IF(ISBLANK(C212)," ",207-COUNTBLANK($C$6:C212))</f>
        <v xml:space="preserve"> </v>
      </c>
      <c r="B212" s="88"/>
      <c r="C212" s="88"/>
      <c r="D212" s="89"/>
      <c r="E212" s="89"/>
      <c r="F212" s="73"/>
      <c r="G212" s="73"/>
      <c r="H212" s="73"/>
      <c r="I212" s="73"/>
      <c r="J212" s="73"/>
      <c r="K212" s="73"/>
      <c r="L212" s="73"/>
      <c r="M212" s="74"/>
      <c r="N212" s="71" t="str">
        <f t="shared" si="3"/>
        <v/>
      </c>
      <c r="O212" s="75"/>
      <c r="P212" s="72"/>
      <c r="Q212" s="72"/>
      <c r="R212" s="72"/>
      <c r="S212" s="72"/>
      <c r="T212" s="72"/>
      <c r="U212" s="72"/>
      <c r="V212" s="76"/>
    </row>
    <row r="213" spans="1:25" ht="27.75" customHeight="1">
      <c r="A213" s="87" t="str">
        <f>IF(ISBLANK(C213)," ",208-COUNTBLANK($C$6:C213))</f>
        <v xml:space="preserve"> </v>
      </c>
      <c r="B213" s="88"/>
      <c r="C213" s="88"/>
      <c r="D213" s="89"/>
      <c r="E213" s="89"/>
      <c r="F213" s="73"/>
      <c r="G213" s="73"/>
      <c r="H213" s="73"/>
      <c r="I213" s="73"/>
      <c r="J213" s="73"/>
      <c r="K213" s="73"/>
      <c r="L213" s="73"/>
      <c r="M213" s="74"/>
      <c r="N213" s="71" t="str">
        <f t="shared" si="3"/>
        <v/>
      </c>
      <c r="O213" s="75"/>
      <c r="P213" s="72"/>
      <c r="Q213" s="72"/>
      <c r="R213" s="72"/>
      <c r="S213" s="72"/>
      <c r="T213" s="72"/>
      <c r="U213" s="72"/>
      <c r="V213" s="76"/>
    </row>
    <row r="214" spans="1:25" ht="27.75" customHeight="1">
      <c r="A214" s="87" t="str">
        <f>IF(ISBLANK(C214)," ",209-COUNTBLANK($C$6:C214))</f>
        <v xml:space="preserve"> </v>
      </c>
      <c r="B214" s="88"/>
      <c r="C214" s="88"/>
      <c r="D214" s="89"/>
      <c r="E214" s="89"/>
      <c r="F214" s="73"/>
      <c r="G214" s="73"/>
      <c r="H214" s="73"/>
      <c r="I214" s="73"/>
      <c r="J214" s="73"/>
      <c r="K214" s="73"/>
      <c r="L214" s="73"/>
      <c r="M214" s="74"/>
      <c r="N214" s="71" t="str">
        <f t="shared" si="3"/>
        <v/>
      </c>
      <c r="O214" s="72"/>
      <c r="P214" s="72"/>
      <c r="Q214" s="72"/>
      <c r="R214" s="72"/>
      <c r="S214" s="72"/>
      <c r="T214" s="72"/>
      <c r="U214" s="72"/>
      <c r="V214" s="79"/>
      <c r="W214" s="72"/>
      <c r="X214" s="72"/>
      <c r="Y214" s="72"/>
    </row>
    <row r="215" spans="1:25" ht="27.75" customHeight="1">
      <c r="A215" s="80" t="s">
        <v>52</v>
      </c>
      <c r="B215" s="81"/>
      <c r="C215" s="96"/>
      <c r="D215" s="82"/>
      <c r="E215" s="82">
        <f>SUM(E195:E214)</f>
        <v>0</v>
      </c>
      <c r="F215" s="83"/>
      <c r="G215" s="83"/>
      <c r="H215" s="83"/>
      <c r="I215" s="83"/>
      <c r="J215" s="83"/>
      <c r="K215" s="83"/>
      <c r="L215" s="83"/>
      <c r="M215" s="84"/>
      <c r="N215" s="71" t="str">
        <f t="shared" si="3"/>
        <v/>
      </c>
      <c r="O215" s="75"/>
      <c r="P215" s="72"/>
      <c r="Q215" s="72"/>
      <c r="R215" s="72"/>
      <c r="S215" s="72"/>
      <c r="T215" s="72"/>
      <c r="U215" s="72"/>
      <c r="V215" s="79"/>
      <c r="W215" s="72"/>
      <c r="X215" s="72"/>
      <c r="Y215" s="72"/>
    </row>
    <row r="216" spans="1:25" ht="27.75" customHeight="1">
      <c r="A216" s="93" t="str">
        <f>IF(ISBLANK(C216)," ",211-COUNTBLANK($C$6:C216))</f>
        <v xml:space="preserve"> </v>
      </c>
      <c r="B216" s="94"/>
      <c r="C216" s="94"/>
      <c r="D216" s="95"/>
      <c r="E216" s="95"/>
      <c r="F216" s="85"/>
      <c r="G216" s="85"/>
      <c r="H216" s="85"/>
      <c r="I216" s="85"/>
      <c r="J216" s="85"/>
      <c r="K216" s="85"/>
      <c r="L216" s="85"/>
      <c r="M216" s="86"/>
      <c r="N216" s="71" t="str">
        <f t="shared" si="3"/>
        <v/>
      </c>
      <c r="O216" s="72"/>
      <c r="P216" s="72"/>
      <c r="Q216" s="72"/>
      <c r="R216" s="72"/>
      <c r="S216" s="72"/>
      <c r="T216" s="72"/>
      <c r="U216" s="72"/>
      <c r="V216" s="72"/>
    </row>
    <row r="217" spans="1:25" ht="27.75" customHeight="1">
      <c r="A217" s="87" t="str">
        <f>IF(ISBLANK(C217)," ",212-COUNTBLANK($C$6:C217))</f>
        <v xml:space="preserve"> </v>
      </c>
      <c r="B217" s="88"/>
      <c r="C217" s="88"/>
      <c r="D217" s="89"/>
      <c r="E217" s="89"/>
      <c r="F217" s="73"/>
      <c r="G217" s="73"/>
      <c r="H217" s="73"/>
      <c r="I217" s="73"/>
      <c r="J217" s="73"/>
      <c r="K217" s="73"/>
      <c r="L217" s="73"/>
      <c r="M217" s="74"/>
      <c r="N217" s="71" t="str">
        <f t="shared" si="3"/>
        <v/>
      </c>
      <c r="O217" s="72"/>
      <c r="P217" s="72"/>
      <c r="Q217" s="72"/>
      <c r="R217" s="72"/>
      <c r="S217" s="72"/>
      <c r="T217" s="72"/>
      <c r="U217" s="72"/>
      <c r="V217" s="72"/>
    </row>
    <row r="218" spans="1:25" ht="27.75" customHeight="1">
      <c r="A218" s="87" t="str">
        <f>IF(ISBLANK(C218)," ",213-COUNTBLANK($C$6:C218))</f>
        <v xml:space="preserve"> </v>
      </c>
      <c r="B218" s="88"/>
      <c r="C218" s="88"/>
      <c r="D218" s="89"/>
      <c r="E218" s="89"/>
      <c r="F218" s="73"/>
      <c r="G218" s="73"/>
      <c r="H218" s="73"/>
      <c r="I218" s="73"/>
      <c r="J218" s="73"/>
      <c r="K218" s="73"/>
      <c r="L218" s="73"/>
      <c r="M218" s="74"/>
      <c r="N218" s="71" t="str">
        <f t="shared" si="3"/>
        <v/>
      </c>
      <c r="O218" s="72"/>
      <c r="P218" s="72"/>
      <c r="Q218" s="72"/>
      <c r="R218" s="72"/>
      <c r="S218" s="72"/>
      <c r="T218" s="72"/>
      <c r="U218" s="72"/>
      <c r="V218" s="72"/>
    </row>
    <row r="219" spans="1:25" ht="27.75" customHeight="1">
      <c r="A219" s="87" t="str">
        <f>IF(ISBLANK(C219)," ",214-COUNTBLANK($C$6:C219))</f>
        <v xml:space="preserve"> </v>
      </c>
      <c r="B219" s="88"/>
      <c r="C219" s="88"/>
      <c r="D219" s="89"/>
      <c r="E219" s="89"/>
      <c r="F219" s="73"/>
      <c r="G219" s="73"/>
      <c r="H219" s="73"/>
      <c r="I219" s="73"/>
      <c r="J219" s="73"/>
      <c r="K219" s="73"/>
      <c r="L219" s="73"/>
      <c r="M219" s="74"/>
      <c r="N219" s="71" t="str">
        <f t="shared" si="3"/>
        <v/>
      </c>
      <c r="O219" s="72"/>
      <c r="P219" s="72"/>
      <c r="Q219" s="72"/>
      <c r="R219" s="72"/>
      <c r="S219" s="72"/>
      <c r="T219" s="72"/>
      <c r="U219" s="72"/>
      <c r="V219" s="72"/>
    </row>
    <row r="220" spans="1:25" ht="27.75" customHeight="1">
      <c r="A220" s="87" t="str">
        <f>IF(ISBLANK(C220)," ",215-COUNTBLANK($C$6:C220))</f>
        <v xml:space="preserve"> </v>
      </c>
      <c r="B220" s="88"/>
      <c r="C220" s="88"/>
      <c r="D220" s="89"/>
      <c r="E220" s="89"/>
      <c r="F220" s="73"/>
      <c r="G220" s="73"/>
      <c r="H220" s="73"/>
      <c r="I220" s="73"/>
      <c r="J220" s="73"/>
      <c r="K220" s="73"/>
      <c r="L220" s="73"/>
      <c r="M220" s="74"/>
      <c r="N220" s="71" t="str">
        <f t="shared" si="3"/>
        <v/>
      </c>
      <c r="O220" s="72"/>
      <c r="P220" s="72"/>
      <c r="Q220" s="72"/>
      <c r="R220" s="72"/>
      <c r="S220" s="72"/>
      <c r="T220" s="72"/>
      <c r="U220" s="72"/>
      <c r="V220" s="72"/>
    </row>
    <row r="221" spans="1:25" ht="27.75" customHeight="1">
      <c r="A221" s="87" t="str">
        <f>IF(ISBLANK(C221)," ",216-COUNTBLANK($C$6:C221))</f>
        <v xml:space="preserve"> </v>
      </c>
      <c r="B221" s="88"/>
      <c r="C221" s="88"/>
      <c r="D221" s="89"/>
      <c r="E221" s="89"/>
      <c r="F221" s="73"/>
      <c r="G221" s="73"/>
      <c r="H221" s="73"/>
      <c r="I221" s="73"/>
      <c r="J221" s="73"/>
      <c r="K221" s="73"/>
      <c r="L221" s="73"/>
      <c r="M221" s="74"/>
      <c r="N221" s="71" t="str">
        <f t="shared" si="3"/>
        <v/>
      </c>
      <c r="O221" s="72"/>
      <c r="P221" s="72"/>
      <c r="Q221" s="72"/>
      <c r="R221" s="72"/>
      <c r="S221" s="72"/>
      <c r="T221" s="72"/>
      <c r="U221" s="72"/>
      <c r="V221" s="72"/>
    </row>
    <row r="222" spans="1:25" ht="27.75" customHeight="1">
      <c r="A222" s="87" t="str">
        <f>IF(ISBLANK(C222)," ",217-COUNTBLANK($C$6:C222))</f>
        <v xml:space="preserve"> </v>
      </c>
      <c r="B222" s="88"/>
      <c r="C222" s="88"/>
      <c r="D222" s="89"/>
      <c r="E222" s="89"/>
      <c r="F222" s="73"/>
      <c r="G222" s="73"/>
      <c r="H222" s="73"/>
      <c r="I222" s="73"/>
      <c r="J222" s="73"/>
      <c r="K222" s="73"/>
      <c r="L222" s="73"/>
      <c r="M222" s="74"/>
      <c r="N222" s="71" t="str">
        <f t="shared" si="3"/>
        <v/>
      </c>
      <c r="O222" s="72"/>
      <c r="P222" s="72"/>
      <c r="Q222" s="72"/>
      <c r="R222" s="72"/>
      <c r="S222" s="72"/>
      <c r="T222" s="72"/>
      <c r="U222" s="72"/>
      <c r="V222" s="72"/>
    </row>
    <row r="223" spans="1:25" ht="27.75" customHeight="1">
      <c r="A223" s="87" t="str">
        <f>IF(ISBLANK(C223)," ",218-COUNTBLANK($C$6:C223))</f>
        <v xml:space="preserve"> </v>
      </c>
      <c r="B223" s="88"/>
      <c r="C223" s="88"/>
      <c r="D223" s="89"/>
      <c r="E223" s="89"/>
      <c r="F223" s="73"/>
      <c r="G223" s="73"/>
      <c r="H223" s="73"/>
      <c r="I223" s="73"/>
      <c r="J223" s="73"/>
      <c r="K223" s="73"/>
      <c r="L223" s="73"/>
      <c r="M223" s="74"/>
      <c r="N223" s="71" t="str">
        <f t="shared" si="3"/>
        <v/>
      </c>
      <c r="O223" s="72"/>
      <c r="P223" s="72"/>
      <c r="Q223" s="72"/>
      <c r="R223" s="72"/>
      <c r="S223" s="72"/>
      <c r="T223" s="72"/>
      <c r="U223" s="72"/>
      <c r="V223" s="72"/>
    </row>
    <row r="224" spans="1:25" ht="27.75" customHeight="1">
      <c r="A224" s="87" t="str">
        <f>IF(ISBLANK(C224)," ",219-COUNTBLANK($C$6:C224))</f>
        <v xml:space="preserve"> </v>
      </c>
      <c r="B224" s="88"/>
      <c r="C224" s="88"/>
      <c r="D224" s="89"/>
      <c r="E224" s="89"/>
      <c r="F224" s="73"/>
      <c r="G224" s="73"/>
      <c r="H224" s="73"/>
      <c r="I224" s="73"/>
      <c r="J224" s="73"/>
      <c r="K224" s="73"/>
      <c r="L224" s="73"/>
      <c r="M224" s="74"/>
      <c r="N224" s="71" t="str">
        <f t="shared" si="3"/>
        <v/>
      </c>
      <c r="O224" s="72"/>
      <c r="P224" s="72"/>
      <c r="Q224" s="72"/>
      <c r="R224" s="72"/>
      <c r="S224" s="72"/>
      <c r="T224" s="72"/>
      <c r="U224" s="72"/>
      <c r="V224" s="72"/>
    </row>
    <row r="225" spans="1:25" ht="27.75" customHeight="1">
      <c r="A225" s="87" t="str">
        <f>IF(ISBLANK(C225)," ",220-COUNTBLANK($C$6:C225))</f>
        <v xml:space="preserve"> </v>
      </c>
      <c r="B225" s="88"/>
      <c r="C225" s="88"/>
      <c r="D225" s="89"/>
      <c r="E225" s="89"/>
      <c r="F225" s="73"/>
      <c r="G225" s="73"/>
      <c r="H225" s="73"/>
      <c r="I225" s="73"/>
      <c r="J225" s="73"/>
      <c r="K225" s="73"/>
      <c r="L225" s="73"/>
      <c r="M225" s="74"/>
      <c r="N225" s="71" t="str">
        <f t="shared" si="3"/>
        <v/>
      </c>
      <c r="O225" s="72"/>
      <c r="P225" s="72"/>
      <c r="Q225" s="72"/>
      <c r="R225" s="72"/>
      <c r="S225" s="72"/>
      <c r="T225" s="72"/>
      <c r="U225" s="72"/>
      <c r="V225" s="72"/>
    </row>
    <row r="226" spans="1:25" ht="27.75" customHeight="1">
      <c r="A226" s="87" t="str">
        <f>IF(ISBLANK(C226)," ",221-COUNTBLANK($C$6:C226))</f>
        <v xml:space="preserve"> </v>
      </c>
      <c r="B226" s="88"/>
      <c r="C226" s="88"/>
      <c r="D226" s="89"/>
      <c r="E226" s="89"/>
      <c r="F226" s="73"/>
      <c r="G226" s="73"/>
      <c r="H226" s="73"/>
      <c r="I226" s="73"/>
      <c r="J226" s="73"/>
      <c r="K226" s="73"/>
      <c r="L226" s="73"/>
      <c r="M226" s="74"/>
      <c r="N226" s="71" t="str">
        <f t="shared" si="3"/>
        <v/>
      </c>
      <c r="O226" s="72"/>
      <c r="P226" s="72"/>
      <c r="Q226" s="72"/>
      <c r="R226" s="72"/>
      <c r="S226" s="72"/>
      <c r="T226" s="72"/>
      <c r="U226" s="72"/>
      <c r="V226" s="72"/>
    </row>
    <row r="227" spans="1:25" ht="27.75" customHeight="1">
      <c r="A227" s="87" t="str">
        <f>IF(ISBLANK(C227)," ",222-COUNTBLANK($C$6:C227))</f>
        <v xml:space="preserve"> </v>
      </c>
      <c r="B227" s="88"/>
      <c r="C227" s="88"/>
      <c r="D227" s="89"/>
      <c r="E227" s="89"/>
      <c r="F227" s="73"/>
      <c r="G227" s="73"/>
      <c r="H227" s="73"/>
      <c r="I227" s="73"/>
      <c r="J227" s="73"/>
      <c r="K227" s="73"/>
      <c r="L227" s="73"/>
      <c r="M227" s="74"/>
      <c r="N227" s="71" t="str">
        <f t="shared" si="3"/>
        <v/>
      </c>
      <c r="O227" s="72"/>
      <c r="P227" s="72"/>
      <c r="Q227" s="72"/>
      <c r="R227" s="72"/>
      <c r="S227" s="72"/>
      <c r="T227" s="72"/>
      <c r="U227" s="72"/>
      <c r="V227" s="72"/>
    </row>
    <row r="228" spans="1:25" ht="27.75" customHeight="1">
      <c r="A228" s="87" t="str">
        <f>IF(ISBLANK(C228)," ",223-COUNTBLANK($C$6:C228))</f>
        <v xml:space="preserve"> </v>
      </c>
      <c r="B228" s="88"/>
      <c r="C228" s="88"/>
      <c r="D228" s="89"/>
      <c r="E228" s="89"/>
      <c r="F228" s="73"/>
      <c r="G228" s="73"/>
      <c r="H228" s="73"/>
      <c r="I228" s="73"/>
      <c r="J228" s="73"/>
      <c r="K228" s="73"/>
      <c r="L228" s="73"/>
      <c r="M228" s="74"/>
      <c r="N228" s="71" t="str">
        <f t="shared" si="3"/>
        <v/>
      </c>
      <c r="O228" s="72"/>
      <c r="P228" s="72"/>
      <c r="Q228" s="72"/>
      <c r="R228" s="72"/>
      <c r="S228" s="72"/>
      <c r="T228" s="72"/>
      <c r="U228" s="72"/>
      <c r="V228" s="72"/>
    </row>
    <row r="229" spans="1:25" ht="27.75" customHeight="1">
      <c r="A229" s="87" t="str">
        <f>IF(ISBLANK(C229)," ",224-COUNTBLANK($C$6:C229))</f>
        <v xml:space="preserve"> </v>
      </c>
      <c r="B229" s="88"/>
      <c r="C229" s="88"/>
      <c r="D229" s="89"/>
      <c r="E229" s="89"/>
      <c r="F229" s="73"/>
      <c r="G229" s="73"/>
      <c r="H229" s="73"/>
      <c r="I229" s="73"/>
      <c r="J229" s="73"/>
      <c r="K229" s="73"/>
      <c r="L229" s="73"/>
      <c r="M229" s="74"/>
      <c r="N229" s="71" t="str">
        <f t="shared" si="3"/>
        <v/>
      </c>
      <c r="O229" s="72"/>
      <c r="P229" s="72"/>
      <c r="Q229" s="72"/>
      <c r="R229" s="72"/>
      <c r="S229" s="72"/>
      <c r="T229" s="72"/>
      <c r="U229" s="72"/>
      <c r="V229" s="72"/>
    </row>
    <row r="230" spans="1:25" ht="27.75" customHeight="1">
      <c r="A230" s="87" t="str">
        <f>IF(ISBLANK(C230)," ",225-COUNTBLANK($C$6:C230))</f>
        <v xml:space="preserve"> </v>
      </c>
      <c r="B230" s="88"/>
      <c r="C230" s="88"/>
      <c r="D230" s="89"/>
      <c r="E230" s="89"/>
      <c r="F230" s="73"/>
      <c r="G230" s="73"/>
      <c r="H230" s="73"/>
      <c r="I230" s="73"/>
      <c r="J230" s="73"/>
      <c r="K230" s="73"/>
      <c r="L230" s="73"/>
      <c r="M230" s="74"/>
      <c r="N230" s="71" t="str">
        <f t="shared" si="3"/>
        <v/>
      </c>
      <c r="O230" s="72"/>
      <c r="P230" s="72"/>
      <c r="Q230" s="72"/>
      <c r="R230" s="72"/>
      <c r="S230" s="72"/>
      <c r="T230" s="72"/>
      <c r="U230" s="72"/>
      <c r="V230" s="72"/>
    </row>
    <row r="231" spans="1:25" ht="27.75" customHeight="1">
      <c r="A231" s="87" t="str">
        <f>IF(ISBLANK(C231)," ",226-COUNTBLANK($C$6:C231))</f>
        <v xml:space="preserve"> </v>
      </c>
      <c r="B231" s="88"/>
      <c r="C231" s="88"/>
      <c r="D231" s="89"/>
      <c r="E231" s="89"/>
      <c r="F231" s="73"/>
      <c r="G231" s="73"/>
      <c r="H231" s="73"/>
      <c r="I231" s="73"/>
      <c r="J231" s="73"/>
      <c r="K231" s="73"/>
      <c r="L231" s="73"/>
      <c r="M231" s="74"/>
      <c r="N231" s="71" t="str">
        <f t="shared" si="3"/>
        <v/>
      </c>
      <c r="O231" s="75"/>
      <c r="P231" s="72"/>
      <c r="Q231" s="72"/>
      <c r="R231" s="72"/>
      <c r="S231" s="72"/>
      <c r="T231" s="72"/>
      <c r="U231" s="72"/>
      <c r="V231" s="76"/>
    </row>
    <row r="232" spans="1:25" ht="27.75" customHeight="1">
      <c r="A232" s="87" t="str">
        <f>IF(ISBLANK(C232)," ",227-COUNTBLANK($C$6:C232))</f>
        <v xml:space="preserve"> </v>
      </c>
      <c r="B232" s="88"/>
      <c r="C232" s="88"/>
      <c r="D232" s="89"/>
      <c r="E232" s="89"/>
      <c r="F232" s="73"/>
      <c r="G232" s="73"/>
      <c r="H232" s="73"/>
      <c r="I232" s="73"/>
      <c r="J232" s="73"/>
      <c r="K232" s="73"/>
      <c r="L232" s="73"/>
      <c r="M232" s="74"/>
      <c r="N232" s="71" t="str">
        <f t="shared" si="3"/>
        <v/>
      </c>
      <c r="O232" s="75"/>
      <c r="P232" s="72"/>
      <c r="Q232" s="72"/>
      <c r="R232" s="72"/>
      <c r="S232" s="72"/>
      <c r="T232" s="72"/>
      <c r="U232" s="72"/>
      <c r="V232" s="76"/>
    </row>
    <row r="233" spans="1:25" ht="27.75" customHeight="1">
      <c r="A233" s="87" t="str">
        <f>IF(ISBLANK(C233)," ",228-COUNTBLANK($C$6:C233))</f>
        <v xml:space="preserve"> </v>
      </c>
      <c r="B233" s="88"/>
      <c r="C233" s="88"/>
      <c r="D233" s="89"/>
      <c r="E233" s="89"/>
      <c r="F233" s="73"/>
      <c r="G233" s="73"/>
      <c r="H233" s="73"/>
      <c r="I233" s="73"/>
      <c r="J233" s="73"/>
      <c r="K233" s="73"/>
      <c r="L233" s="73"/>
      <c r="M233" s="74"/>
      <c r="N233" s="71" t="str">
        <f t="shared" si="3"/>
        <v/>
      </c>
      <c r="O233" s="75"/>
      <c r="P233" s="72"/>
      <c r="Q233" s="72"/>
      <c r="R233" s="72"/>
      <c r="S233" s="72"/>
      <c r="T233" s="72"/>
      <c r="U233" s="72"/>
      <c r="V233" s="76"/>
    </row>
    <row r="234" spans="1:25" ht="27.75" customHeight="1">
      <c r="A234" s="87" t="str">
        <f>IF(ISBLANK(C234)," ",229-COUNTBLANK($C$6:C234))</f>
        <v xml:space="preserve"> </v>
      </c>
      <c r="B234" s="88"/>
      <c r="C234" s="88"/>
      <c r="D234" s="89"/>
      <c r="E234" s="89"/>
      <c r="F234" s="73"/>
      <c r="G234" s="73"/>
      <c r="H234" s="73"/>
      <c r="I234" s="73"/>
      <c r="J234" s="73"/>
      <c r="K234" s="73"/>
      <c r="L234" s="73"/>
      <c r="M234" s="74"/>
      <c r="N234" s="71" t="str">
        <f t="shared" si="3"/>
        <v/>
      </c>
      <c r="O234" s="75"/>
      <c r="P234" s="72"/>
      <c r="Q234" s="72"/>
      <c r="R234" s="72"/>
      <c r="S234" s="72"/>
      <c r="T234" s="72"/>
      <c r="U234" s="72"/>
      <c r="V234" s="76"/>
    </row>
    <row r="235" spans="1:25" ht="27.75" customHeight="1">
      <c r="A235" s="87" t="str">
        <f>IF(ISBLANK(C235)," ",230-COUNTBLANK($C$6:C235))</f>
        <v xml:space="preserve"> </v>
      </c>
      <c r="B235" s="88"/>
      <c r="C235" s="88"/>
      <c r="D235" s="89"/>
      <c r="E235" s="89"/>
      <c r="F235" s="73"/>
      <c r="G235" s="73"/>
      <c r="H235" s="73"/>
      <c r="I235" s="73"/>
      <c r="J235" s="73"/>
      <c r="K235" s="73"/>
      <c r="L235" s="73"/>
      <c r="M235" s="74"/>
      <c r="N235" s="71" t="str">
        <f t="shared" si="3"/>
        <v/>
      </c>
      <c r="O235" s="72"/>
      <c r="P235" s="72"/>
      <c r="Q235" s="72"/>
      <c r="R235" s="72"/>
      <c r="S235" s="72"/>
      <c r="T235" s="72"/>
      <c r="U235" s="72"/>
      <c r="V235" s="79"/>
      <c r="W235" s="72"/>
      <c r="X235" s="72"/>
      <c r="Y235" s="72"/>
    </row>
    <row r="236" spans="1:25" ht="27.75" customHeight="1">
      <c r="A236" s="80" t="s">
        <v>52</v>
      </c>
      <c r="B236" s="81"/>
      <c r="C236" s="96"/>
      <c r="D236" s="82"/>
      <c r="E236" s="82">
        <f>SUM(E216:E235)</f>
        <v>0</v>
      </c>
      <c r="F236" s="83"/>
      <c r="G236" s="83"/>
      <c r="H236" s="83"/>
      <c r="I236" s="83"/>
      <c r="J236" s="83"/>
      <c r="K236" s="83"/>
      <c r="L236" s="83"/>
      <c r="M236" s="84"/>
      <c r="N236" s="71" t="str">
        <f t="shared" si="3"/>
        <v/>
      </c>
      <c r="O236" s="75"/>
      <c r="P236" s="72"/>
      <c r="Q236" s="72"/>
      <c r="R236" s="72"/>
      <c r="S236" s="72"/>
      <c r="T236" s="72"/>
      <c r="U236" s="72"/>
      <c r="V236" s="79"/>
      <c r="W236" s="72"/>
      <c r="X236" s="72"/>
      <c r="Y236" s="72"/>
    </row>
    <row r="237" spans="1:25" ht="27.75" customHeight="1">
      <c r="A237" s="93" t="str">
        <f>IF(ISBLANK(C237)," ",232-COUNTBLANK($C$6:C237))</f>
        <v xml:space="preserve"> </v>
      </c>
      <c r="B237" s="94"/>
      <c r="C237" s="94"/>
      <c r="D237" s="95"/>
      <c r="E237" s="95"/>
      <c r="F237" s="85"/>
      <c r="G237" s="85"/>
      <c r="H237" s="85"/>
      <c r="I237" s="85"/>
      <c r="J237" s="85"/>
      <c r="K237" s="85"/>
      <c r="L237" s="85"/>
      <c r="M237" s="86"/>
      <c r="N237" s="71" t="str">
        <f t="shared" si="3"/>
        <v/>
      </c>
      <c r="O237" s="72"/>
      <c r="P237" s="72"/>
      <c r="Q237" s="72"/>
      <c r="R237" s="72"/>
      <c r="S237" s="72"/>
      <c r="T237" s="72"/>
      <c r="U237" s="72"/>
      <c r="V237" s="72"/>
    </row>
    <row r="238" spans="1:25" ht="27.75" customHeight="1">
      <c r="A238" s="87" t="str">
        <f>IF(ISBLANK(C238)," ",233-COUNTBLANK($C$6:C238))</f>
        <v xml:space="preserve"> </v>
      </c>
      <c r="B238" s="88"/>
      <c r="C238" s="88"/>
      <c r="D238" s="89"/>
      <c r="E238" s="89"/>
      <c r="F238" s="73"/>
      <c r="G238" s="73"/>
      <c r="H238" s="73"/>
      <c r="I238" s="73"/>
      <c r="J238" s="73"/>
      <c r="K238" s="73"/>
      <c r="L238" s="73"/>
      <c r="M238" s="74"/>
      <c r="N238" s="71" t="str">
        <f t="shared" si="3"/>
        <v/>
      </c>
      <c r="O238" s="72"/>
      <c r="P238" s="72"/>
      <c r="Q238" s="72"/>
      <c r="R238" s="72"/>
      <c r="S238" s="72"/>
      <c r="T238" s="72"/>
      <c r="U238" s="72"/>
      <c r="V238" s="72"/>
    </row>
    <row r="239" spans="1:25" ht="27.75" customHeight="1">
      <c r="A239" s="87" t="str">
        <f>IF(ISBLANK(C239)," ",234-COUNTBLANK($C$6:C239))</f>
        <v xml:space="preserve"> </v>
      </c>
      <c r="B239" s="88"/>
      <c r="C239" s="88"/>
      <c r="D239" s="89"/>
      <c r="E239" s="89"/>
      <c r="F239" s="73"/>
      <c r="G239" s="73"/>
      <c r="H239" s="73"/>
      <c r="I239" s="73"/>
      <c r="J239" s="73"/>
      <c r="K239" s="73"/>
      <c r="L239" s="73"/>
      <c r="M239" s="74"/>
      <c r="N239" s="71" t="str">
        <f t="shared" si="3"/>
        <v/>
      </c>
      <c r="O239" s="72"/>
      <c r="P239" s="72"/>
      <c r="Q239" s="72"/>
      <c r="R239" s="72"/>
      <c r="S239" s="72"/>
      <c r="T239" s="72"/>
      <c r="U239" s="72"/>
      <c r="V239" s="72"/>
    </row>
    <row r="240" spans="1:25" ht="27.75" customHeight="1">
      <c r="A240" s="87" t="str">
        <f>IF(ISBLANK(C240)," ",235-COUNTBLANK($C$6:C240))</f>
        <v xml:space="preserve"> </v>
      </c>
      <c r="B240" s="88"/>
      <c r="C240" s="88"/>
      <c r="D240" s="89"/>
      <c r="E240" s="89"/>
      <c r="F240" s="73"/>
      <c r="G240" s="73"/>
      <c r="H240" s="73"/>
      <c r="I240" s="73"/>
      <c r="J240" s="73"/>
      <c r="K240" s="73"/>
      <c r="L240" s="73"/>
      <c r="M240" s="74"/>
      <c r="N240" s="71" t="str">
        <f t="shared" si="3"/>
        <v/>
      </c>
      <c r="O240" s="72"/>
      <c r="P240" s="72"/>
      <c r="Q240" s="72"/>
      <c r="R240" s="72"/>
      <c r="S240" s="72"/>
      <c r="T240" s="72"/>
      <c r="U240" s="72"/>
      <c r="V240" s="72"/>
    </row>
    <row r="241" spans="1:25" ht="27.75" customHeight="1">
      <c r="A241" s="87" t="str">
        <f>IF(ISBLANK(C241)," ",236-COUNTBLANK($C$6:C241))</f>
        <v xml:space="preserve"> </v>
      </c>
      <c r="B241" s="88"/>
      <c r="C241" s="88"/>
      <c r="D241" s="89"/>
      <c r="E241" s="89"/>
      <c r="F241" s="73"/>
      <c r="G241" s="73"/>
      <c r="H241" s="73"/>
      <c r="I241" s="73"/>
      <c r="J241" s="73"/>
      <c r="K241" s="73"/>
      <c r="L241" s="73"/>
      <c r="M241" s="74"/>
      <c r="N241" s="71" t="str">
        <f t="shared" si="3"/>
        <v/>
      </c>
      <c r="O241" s="72"/>
      <c r="P241" s="72"/>
      <c r="Q241" s="72"/>
      <c r="R241" s="72"/>
      <c r="S241" s="72"/>
      <c r="T241" s="72"/>
      <c r="U241" s="72"/>
      <c r="V241" s="72"/>
    </row>
    <row r="242" spans="1:25" ht="27.75" customHeight="1">
      <c r="A242" s="87" t="str">
        <f>IF(ISBLANK(C242)," ",237-COUNTBLANK($C$6:C242))</f>
        <v xml:space="preserve"> </v>
      </c>
      <c r="B242" s="88"/>
      <c r="C242" s="88"/>
      <c r="D242" s="89"/>
      <c r="E242" s="89"/>
      <c r="F242" s="73"/>
      <c r="G242" s="73"/>
      <c r="H242" s="73"/>
      <c r="I242" s="73"/>
      <c r="J242" s="73"/>
      <c r="K242" s="73"/>
      <c r="L242" s="73"/>
      <c r="M242" s="74"/>
      <c r="N242" s="71" t="str">
        <f t="shared" si="3"/>
        <v/>
      </c>
      <c r="O242" s="72"/>
      <c r="P242" s="72"/>
      <c r="Q242" s="72"/>
      <c r="R242" s="72"/>
      <c r="S242" s="72"/>
      <c r="T242" s="72"/>
      <c r="U242" s="72"/>
      <c r="V242" s="72"/>
    </row>
    <row r="243" spans="1:25" ht="27.75" customHeight="1">
      <c r="A243" s="87" t="str">
        <f>IF(ISBLANK(C243)," ",238-COUNTBLANK($C$6:C243))</f>
        <v xml:space="preserve"> </v>
      </c>
      <c r="B243" s="88"/>
      <c r="C243" s="88"/>
      <c r="D243" s="89"/>
      <c r="E243" s="89"/>
      <c r="F243" s="73"/>
      <c r="G243" s="73"/>
      <c r="H243" s="73"/>
      <c r="I243" s="73"/>
      <c r="J243" s="73"/>
      <c r="K243" s="73"/>
      <c r="L243" s="73"/>
      <c r="M243" s="74"/>
      <c r="N243" s="71" t="str">
        <f t="shared" si="3"/>
        <v/>
      </c>
      <c r="O243" s="72"/>
      <c r="P243" s="72"/>
      <c r="Q243" s="72"/>
      <c r="R243" s="72"/>
      <c r="S243" s="72"/>
      <c r="T243" s="72"/>
      <c r="U243" s="72"/>
      <c r="V243" s="72"/>
    </row>
    <row r="244" spans="1:25" ht="27.75" customHeight="1">
      <c r="A244" s="87" t="str">
        <f>IF(ISBLANK(C244)," ",239-COUNTBLANK($C$6:C244))</f>
        <v xml:space="preserve"> </v>
      </c>
      <c r="B244" s="88"/>
      <c r="C244" s="88"/>
      <c r="D244" s="89"/>
      <c r="E244" s="89"/>
      <c r="F244" s="73"/>
      <c r="G244" s="73"/>
      <c r="H244" s="73"/>
      <c r="I244" s="73"/>
      <c r="J244" s="73"/>
      <c r="K244" s="73"/>
      <c r="L244" s="73"/>
      <c r="M244" s="74"/>
      <c r="N244" s="71" t="str">
        <f t="shared" si="3"/>
        <v/>
      </c>
      <c r="O244" s="72"/>
      <c r="P244" s="72"/>
      <c r="Q244" s="72"/>
      <c r="R244" s="72"/>
      <c r="S244" s="72"/>
      <c r="T244" s="72"/>
      <c r="U244" s="72"/>
      <c r="V244" s="72"/>
    </row>
    <row r="245" spans="1:25" ht="27.75" customHeight="1">
      <c r="A245" s="87" t="str">
        <f>IF(ISBLANK(C245)," ",240-COUNTBLANK($C$6:C245))</f>
        <v xml:space="preserve"> </v>
      </c>
      <c r="B245" s="88"/>
      <c r="C245" s="88"/>
      <c r="D245" s="89"/>
      <c r="E245" s="89"/>
      <c r="F245" s="73"/>
      <c r="G245" s="73"/>
      <c r="H245" s="73"/>
      <c r="I245" s="73"/>
      <c r="J245" s="73"/>
      <c r="K245" s="73"/>
      <c r="L245" s="73"/>
      <c r="M245" s="74"/>
      <c r="N245" s="71" t="str">
        <f t="shared" si="3"/>
        <v/>
      </c>
      <c r="O245" s="72"/>
      <c r="P245" s="72"/>
      <c r="Q245" s="72"/>
      <c r="R245" s="72"/>
      <c r="S245" s="72"/>
      <c r="T245" s="72"/>
      <c r="U245" s="72"/>
      <c r="V245" s="72"/>
    </row>
    <row r="246" spans="1:25" ht="27.75" customHeight="1">
      <c r="A246" s="87" t="str">
        <f>IF(ISBLANK(C246)," ",241-COUNTBLANK($C$6:C246))</f>
        <v xml:space="preserve"> </v>
      </c>
      <c r="B246" s="88"/>
      <c r="C246" s="88"/>
      <c r="D246" s="89"/>
      <c r="E246" s="89"/>
      <c r="F246" s="73"/>
      <c r="G246" s="73"/>
      <c r="H246" s="73"/>
      <c r="I246" s="73"/>
      <c r="J246" s="73"/>
      <c r="K246" s="73"/>
      <c r="L246" s="73"/>
      <c r="M246" s="74"/>
      <c r="N246" s="71" t="str">
        <f t="shared" si="3"/>
        <v/>
      </c>
      <c r="O246" s="72"/>
      <c r="P246" s="72"/>
      <c r="Q246" s="72"/>
      <c r="R246" s="72"/>
      <c r="S246" s="72"/>
      <c r="T246" s="72"/>
      <c r="U246" s="72"/>
      <c r="V246" s="72"/>
    </row>
    <row r="247" spans="1:25" ht="27.75" customHeight="1">
      <c r="A247" s="87" t="str">
        <f>IF(ISBLANK(C247)," ",242-COUNTBLANK($C$6:C247))</f>
        <v xml:space="preserve"> </v>
      </c>
      <c r="B247" s="88"/>
      <c r="C247" s="88"/>
      <c r="D247" s="89"/>
      <c r="E247" s="89"/>
      <c r="F247" s="73"/>
      <c r="G247" s="73"/>
      <c r="H247" s="73"/>
      <c r="I247" s="73"/>
      <c r="J247" s="73"/>
      <c r="K247" s="73"/>
      <c r="L247" s="73"/>
      <c r="M247" s="74"/>
      <c r="N247" s="71" t="str">
        <f t="shared" si="3"/>
        <v/>
      </c>
      <c r="O247" s="72"/>
      <c r="P247" s="72"/>
      <c r="Q247" s="72"/>
      <c r="R247" s="72"/>
      <c r="S247" s="72"/>
      <c r="T247" s="72"/>
      <c r="U247" s="72"/>
      <c r="V247" s="72"/>
    </row>
    <row r="248" spans="1:25" ht="27.75" customHeight="1">
      <c r="A248" s="87" t="str">
        <f>IF(ISBLANK(C248)," ",243-COUNTBLANK($C$6:C248))</f>
        <v xml:space="preserve"> </v>
      </c>
      <c r="B248" s="88"/>
      <c r="C248" s="88"/>
      <c r="D248" s="89"/>
      <c r="E248" s="89"/>
      <c r="F248" s="73"/>
      <c r="G248" s="73"/>
      <c r="H248" s="73"/>
      <c r="I248" s="73"/>
      <c r="J248" s="73"/>
      <c r="K248" s="73"/>
      <c r="L248" s="73"/>
      <c r="M248" s="74"/>
      <c r="N248" s="71" t="str">
        <f t="shared" si="3"/>
        <v/>
      </c>
      <c r="O248" s="72"/>
      <c r="P248" s="72"/>
      <c r="Q248" s="72"/>
      <c r="R248" s="72"/>
      <c r="S248" s="72"/>
      <c r="T248" s="72"/>
      <c r="U248" s="72"/>
      <c r="V248" s="72"/>
    </row>
    <row r="249" spans="1:25" ht="27.75" customHeight="1">
      <c r="A249" s="87" t="str">
        <f>IF(ISBLANK(C249)," ",244-COUNTBLANK($C$6:C249))</f>
        <v xml:space="preserve"> </v>
      </c>
      <c r="B249" s="88"/>
      <c r="C249" s="88"/>
      <c r="D249" s="89"/>
      <c r="E249" s="89"/>
      <c r="F249" s="73"/>
      <c r="G249" s="73"/>
      <c r="H249" s="73"/>
      <c r="I249" s="73"/>
      <c r="J249" s="73"/>
      <c r="K249" s="73"/>
      <c r="L249" s="73"/>
      <c r="M249" s="74"/>
      <c r="N249" s="71" t="str">
        <f t="shared" si="3"/>
        <v/>
      </c>
      <c r="O249" s="72"/>
      <c r="P249" s="72"/>
      <c r="Q249" s="72"/>
      <c r="R249" s="72"/>
      <c r="S249" s="72"/>
      <c r="T249" s="72"/>
      <c r="U249" s="72"/>
      <c r="V249" s="72"/>
    </row>
    <row r="250" spans="1:25" ht="27.75" customHeight="1">
      <c r="A250" s="87" t="str">
        <f>IF(ISBLANK(C250)," ",245-COUNTBLANK($C$6:C250))</f>
        <v xml:space="preserve"> </v>
      </c>
      <c r="B250" s="88"/>
      <c r="C250" s="88"/>
      <c r="D250" s="89"/>
      <c r="E250" s="89"/>
      <c r="F250" s="73"/>
      <c r="G250" s="73"/>
      <c r="H250" s="73"/>
      <c r="I250" s="73"/>
      <c r="J250" s="73"/>
      <c r="K250" s="73"/>
      <c r="L250" s="73"/>
      <c r="M250" s="74"/>
      <c r="N250" s="71" t="str">
        <f t="shared" si="3"/>
        <v/>
      </c>
      <c r="O250" s="72"/>
      <c r="P250" s="72"/>
      <c r="Q250" s="72"/>
      <c r="R250" s="72"/>
      <c r="S250" s="72"/>
      <c r="T250" s="72"/>
      <c r="U250" s="72"/>
      <c r="V250" s="72"/>
    </row>
    <row r="251" spans="1:25" ht="27.75" customHeight="1">
      <c r="A251" s="87" t="str">
        <f>IF(ISBLANK(C251)," ",246-COUNTBLANK($C$6:C251))</f>
        <v xml:space="preserve"> </v>
      </c>
      <c r="B251" s="88"/>
      <c r="C251" s="88"/>
      <c r="D251" s="89"/>
      <c r="E251" s="89"/>
      <c r="F251" s="73"/>
      <c r="G251" s="73"/>
      <c r="H251" s="73"/>
      <c r="I251" s="73"/>
      <c r="J251" s="73"/>
      <c r="K251" s="73"/>
      <c r="L251" s="73"/>
      <c r="M251" s="74"/>
      <c r="N251" s="71" t="str">
        <f t="shared" si="3"/>
        <v/>
      </c>
      <c r="O251" s="72"/>
      <c r="P251" s="72"/>
      <c r="Q251" s="72"/>
      <c r="R251" s="72"/>
      <c r="S251" s="72"/>
      <c r="T251" s="72"/>
      <c r="U251" s="72"/>
      <c r="V251" s="72"/>
    </row>
    <row r="252" spans="1:25" ht="27.75" customHeight="1">
      <c r="A252" s="87" t="str">
        <f>IF(ISBLANK(C252)," ",247-COUNTBLANK($C$6:C252))</f>
        <v xml:space="preserve"> </v>
      </c>
      <c r="B252" s="88"/>
      <c r="C252" s="88"/>
      <c r="D252" s="89"/>
      <c r="E252" s="89"/>
      <c r="F252" s="73"/>
      <c r="G252" s="73"/>
      <c r="H252" s="73"/>
      <c r="I252" s="73"/>
      <c r="J252" s="73"/>
      <c r="K252" s="73"/>
      <c r="L252" s="73"/>
      <c r="M252" s="74"/>
      <c r="N252" s="71" t="str">
        <f t="shared" si="3"/>
        <v/>
      </c>
      <c r="O252" s="75"/>
      <c r="P252" s="72"/>
      <c r="Q252" s="72"/>
      <c r="R252" s="72"/>
      <c r="S252" s="72"/>
      <c r="T252" s="72"/>
      <c r="U252" s="72"/>
      <c r="V252" s="76"/>
    </row>
    <row r="253" spans="1:25" ht="27.75" customHeight="1">
      <c r="A253" s="87" t="str">
        <f>IF(ISBLANK(C253)," ",248-COUNTBLANK($C$6:C253))</f>
        <v xml:space="preserve"> </v>
      </c>
      <c r="B253" s="88"/>
      <c r="C253" s="88"/>
      <c r="D253" s="89"/>
      <c r="E253" s="89"/>
      <c r="F253" s="73"/>
      <c r="G253" s="73"/>
      <c r="H253" s="73"/>
      <c r="I253" s="73"/>
      <c r="J253" s="73"/>
      <c r="K253" s="73"/>
      <c r="L253" s="73"/>
      <c r="M253" s="74"/>
      <c r="N253" s="71" t="str">
        <f t="shared" si="3"/>
        <v/>
      </c>
      <c r="O253" s="75"/>
      <c r="P253" s="72"/>
      <c r="Q253" s="72"/>
      <c r="R253" s="72"/>
      <c r="S253" s="72"/>
      <c r="T253" s="72"/>
      <c r="U253" s="72"/>
      <c r="V253" s="76"/>
    </row>
    <row r="254" spans="1:25" ht="27.75" customHeight="1">
      <c r="A254" s="87" t="str">
        <f>IF(ISBLANK(C254)," ",249-COUNTBLANK($C$6:C254))</f>
        <v xml:space="preserve"> </v>
      </c>
      <c r="B254" s="88"/>
      <c r="C254" s="88"/>
      <c r="D254" s="89"/>
      <c r="E254" s="89"/>
      <c r="F254" s="73"/>
      <c r="G254" s="73"/>
      <c r="H254" s="73"/>
      <c r="I254" s="73"/>
      <c r="J254" s="73"/>
      <c r="K254" s="73"/>
      <c r="L254" s="73"/>
      <c r="M254" s="74"/>
      <c r="N254" s="71" t="str">
        <f t="shared" si="3"/>
        <v/>
      </c>
      <c r="O254" s="75"/>
      <c r="P254" s="72"/>
      <c r="Q254" s="72"/>
      <c r="R254" s="72"/>
      <c r="S254" s="72"/>
      <c r="T254" s="72"/>
      <c r="U254" s="72"/>
      <c r="V254" s="76"/>
    </row>
    <row r="255" spans="1:25" ht="27.75" customHeight="1">
      <c r="A255" s="87" t="str">
        <f>IF(ISBLANK(C255)," ",250-COUNTBLANK($C$6:C255))</f>
        <v xml:space="preserve"> </v>
      </c>
      <c r="B255" s="88"/>
      <c r="C255" s="88"/>
      <c r="D255" s="89"/>
      <c r="E255" s="89"/>
      <c r="F255" s="73"/>
      <c r="G255" s="73"/>
      <c r="H255" s="73"/>
      <c r="I255" s="73"/>
      <c r="J255" s="73"/>
      <c r="K255" s="73"/>
      <c r="L255" s="73"/>
      <c r="M255" s="74"/>
      <c r="N255" s="71" t="str">
        <f t="shared" si="3"/>
        <v/>
      </c>
      <c r="O255" s="75"/>
      <c r="P255" s="72"/>
      <c r="Q255" s="72"/>
      <c r="R255" s="72"/>
      <c r="S255" s="72"/>
      <c r="T255" s="72"/>
      <c r="U255" s="72"/>
      <c r="V255" s="76"/>
    </row>
    <row r="256" spans="1:25" ht="27.75" customHeight="1">
      <c r="A256" s="87" t="str">
        <f>IF(ISBLANK(C256)," ",251-COUNTBLANK($C$6:C256))</f>
        <v xml:space="preserve"> </v>
      </c>
      <c r="B256" s="88"/>
      <c r="C256" s="88"/>
      <c r="D256" s="89"/>
      <c r="E256" s="89"/>
      <c r="F256" s="73"/>
      <c r="G256" s="73"/>
      <c r="H256" s="73"/>
      <c r="I256" s="73"/>
      <c r="J256" s="73"/>
      <c r="K256" s="73"/>
      <c r="L256" s="73"/>
      <c r="M256" s="74"/>
      <c r="N256" s="71" t="str">
        <f t="shared" si="3"/>
        <v/>
      </c>
      <c r="O256" s="72"/>
      <c r="P256" s="72"/>
      <c r="Q256" s="72"/>
      <c r="R256" s="72"/>
      <c r="S256" s="72"/>
      <c r="T256" s="72"/>
      <c r="U256" s="72"/>
      <c r="V256" s="79"/>
      <c r="W256" s="72"/>
      <c r="X256" s="72"/>
      <c r="Y256" s="72"/>
    </row>
    <row r="257" spans="1:25" ht="27.75" customHeight="1">
      <c r="A257" s="80" t="s">
        <v>52</v>
      </c>
      <c r="B257" s="81"/>
      <c r="C257" s="96"/>
      <c r="D257" s="82"/>
      <c r="E257" s="82">
        <f>SUM(E237:E256)</f>
        <v>0</v>
      </c>
      <c r="F257" s="83"/>
      <c r="G257" s="83"/>
      <c r="H257" s="83"/>
      <c r="I257" s="83"/>
      <c r="J257" s="83"/>
      <c r="K257" s="83"/>
      <c r="L257" s="83"/>
      <c r="M257" s="84"/>
      <c r="N257" s="71" t="str">
        <f t="shared" si="3"/>
        <v/>
      </c>
      <c r="O257" s="75"/>
      <c r="P257" s="72"/>
      <c r="Q257" s="72"/>
      <c r="R257" s="72"/>
      <c r="S257" s="72"/>
      <c r="T257" s="72"/>
      <c r="U257" s="72"/>
      <c r="V257" s="79"/>
      <c r="W257" s="72"/>
      <c r="X257" s="72"/>
      <c r="Y257" s="72"/>
    </row>
    <row r="258" spans="1:25" ht="27.75" customHeight="1">
      <c r="A258" s="93" t="str">
        <f>IF(ISBLANK(C258)," ",253-COUNTBLANK($C$6:C258))</f>
        <v xml:space="preserve"> </v>
      </c>
      <c r="B258" s="94"/>
      <c r="C258" s="94"/>
      <c r="D258" s="95"/>
      <c r="E258" s="95"/>
      <c r="F258" s="85"/>
      <c r="G258" s="85"/>
      <c r="H258" s="85"/>
      <c r="I258" s="85"/>
      <c r="J258" s="85"/>
      <c r="K258" s="85"/>
      <c r="L258" s="85"/>
      <c r="M258" s="86"/>
      <c r="N258" s="71" t="str">
        <f t="shared" si="3"/>
        <v/>
      </c>
      <c r="O258" s="72"/>
      <c r="P258" s="72"/>
      <c r="Q258" s="72"/>
      <c r="R258" s="72"/>
      <c r="S258" s="72"/>
      <c r="T258" s="72"/>
      <c r="U258" s="72"/>
      <c r="V258" s="72"/>
    </row>
    <row r="259" spans="1:25" ht="27.75" customHeight="1">
      <c r="A259" s="87" t="str">
        <f>IF(ISBLANK(C259)," ",254-COUNTBLANK($C$6:C259))</f>
        <v xml:space="preserve"> </v>
      </c>
      <c r="B259" s="88"/>
      <c r="C259" s="88"/>
      <c r="D259" s="89"/>
      <c r="E259" s="89"/>
      <c r="F259" s="73"/>
      <c r="G259" s="73"/>
      <c r="H259" s="73"/>
      <c r="I259" s="73"/>
      <c r="J259" s="73"/>
      <c r="K259" s="73"/>
      <c r="L259" s="73"/>
      <c r="M259" s="74"/>
      <c r="N259" s="71" t="str">
        <f t="shared" si="3"/>
        <v/>
      </c>
      <c r="O259" s="72"/>
      <c r="P259" s="72"/>
      <c r="Q259" s="72"/>
      <c r="R259" s="72"/>
      <c r="S259" s="72"/>
      <c r="T259" s="72"/>
      <c r="U259" s="72"/>
      <c r="V259" s="72"/>
    </row>
    <row r="260" spans="1:25" ht="27.75" customHeight="1">
      <c r="A260" s="87" t="str">
        <f>IF(ISBLANK(C260)," ",255-COUNTBLANK($C$6:C260))</f>
        <v xml:space="preserve"> </v>
      </c>
      <c r="B260" s="88"/>
      <c r="C260" s="88"/>
      <c r="D260" s="89"/>
      <c r="E260" s="89"/>
      <c r="F260" s="73"/>
      <c r="G260" s="73"/>
      <c r="H260" s="73"/>
      <c r="I260" s="73"/>
      <c r="J260" s="73"/>
      <c r="K260" s="73"/>
      <c r="L260" s="73"/>
      <c r="M260" s="74"/>
      <c r="N260" s="71" t="str">
        <f t="shared" si="3"/>
        <v/>
      </c>
      <c r="O260" s="72"/>
      <c r="P260" s="72"/>
      <c r="Q260" s="72"/>
      <c r="R260" s="72"/>
      <c r="S260" s="72"/>
      <c r="T260" s="72"/>
      <c r="U260" s="72"/>
      <c r="V260" s="72"/>
    </row>
    <row r="261" spans="1:25" ht="27.75" customHeight="1">
      <c r="A261" s="87" t="str">
        <f>IF(ISBLANK(C261)," ",256-COUNTBLANK($C$6:C261))</f>
        <v xml:space="preserve"> </v>
      </c>
      <c r="B261" s="88"/>
      <c r="C261" s="88"/>
      <c r="D261" s="89"/>
      <c r="E261" s="89"/>
      <c r="F261" s="73"/>
      <c r="G261" s="73"/>
      <c r="H261" s="73"/>
      <c r="I261" s="73"/>
      <c r="J261" s="73"/>
      <c r="K261" s="73"/>
      <c r="L261" s="73"/>
      <c r="M261" s="74"/>
      <c r="N261" s="71" t="str">
        <f t="shared" si="3"/>
        <v/>
      </c>
      <c r="O261" s="72"/>
      <c r="P261" s="72"/>
      <c r="Q261" s="72"/>
      <c r="R261" s="72"/>
      <c r="S261" s="72"/>
      <c r="T261" s="72"/>
      <c r="U261" s="72"/>
      <c r="V261" s="72"/>
    </row>
    <row r="262" spans="1:25" ht="27.75" customHeight="1">
      <c r="A262" s="87" t="str">
        <f>IF(ISBLANK(C262)," ",257-COUNTBLANK($C$6:C262))</f>
        <v xml:space="preserve"> </v>
      </c>
      <c r="B262" s="88"/>
      <c r="C262" s="88"/>
      <c r="D262" s="89"/>
      <c r="E262" s="89"/>
      <c r="F262" s="73"/>
      <c r="G262" s="73"/>
      <c r="H262" s="73"/>
      <c r="I262" s="73"/>
      <c r="J262" s="73"/>
      <c r="K262" s="73"/>
      <c r="L262" s="73"/>
      <c r="M262" s="74"/>
      <c r="N262" s="71" t="str">
        <f t="shared" ref="N262:N325" si="4">CONCATENATE(C262,H262)</f>
        <v/>
      </c>
      <c r="O262" s="72"/>
      <c r="P262" s="72"/>
      <c r="Q262" s="72"/>
      <c r="R262" s="72"/>
      <c r="S262" s="72"/>
      <c r="T262" s="72"/>
      <c r="U262" s="72"/>
      <c r="V262" s="72"/>
    </row>
    <row r="263" spans="1:25" ht="27.75" customHeight="1">
      <c r="A263" s="87" t="str">
        <f>IF(ISBLANK(C263)," ",258-COUNTBLANK($C$6:C263))</f>
        <v xml:space="preserve"> </v>
      </c>
      <c r="B263" s="88"/>
      <c r="C263" s="88"/>
      <c r="D263" s="89"/>
      <c r="E263" s="89"/>
      <c r="F263" s="73"/>
      <c r="G263" s="73"/>
      <c r="H263" s="73"/>
      <c r="I263" s="73"/>
      <c r="J263" s="73"/>
      <c r="K263" s="73"/>
      <c r="L263" s="73"/>
      <c r="M263" s="74"/>
      <c r="N263" s="71" t="str">
        <f t="shared" si="4"/>
        <v/>
      </c>
      <c r="O263" s="72"/>
      <c r="P263" s="72"/>
      <c r="Q263" s="72"/>
      <c r="R263" s="72"/>
      <c r="S263" s="72"/>
      <c r="T263" s="72"/>
      <c r="U263" s="72"/>
      <c r="V263" s="72"/>
    </row>
    <row r="264" spans="1:25" ht="27.75" customHeight="1">
      <c r="A264" s="87" t="str">
        <f>IF(ISBLANK(C264)," ",259-COUNTBLANK($C$6:C264))</f>
        <v xml:space="preserve"> </v>
      </c>
      <c r="B264" s="88"/>
      <c r="C264" s="88"/>
      <c r="D264" s="89"/>
      <c r="E264" s="89"/>
      <c r="F264" s="73"/>
      <c r="G264" s="73"/>
      <c r="H264" s="73"/>
      <c r="I264" s="73"/>
      <c r="J264" s="73"/>
      <c r="K264" s="73"/>
      <c r="L264" s="73"/>
      <c r="M264" s="74"/>
      <c r="N264" s="71" t="str">
        <f t="shared" si="4"/>
        <v/>
      </c>
      <c r="O264" s="72"/>
      <c r="P264" s="72"/>
      <c r="Q264" s="72"/>
      <c r="R264" s="72"/>
      <c r="S264" s="72"/>
      <c r="T264" s="72"/>
      <c r="U264" s="72"/>
      <c r="V264" s="72"/>
    </row>
    <row r="265" spans="1:25" ht="27.75" customHeight="1">
      <c r="A265" s="87" t="str">
        <f>IF(ISBLANK(C265)," ",260-COUNTBLANK($C$6:C265))</f>
        <v xml:space="preserve"> </v>
      </c>
      <c r="B265" s="88"/>
      <c r="C265" s="88"/>
      <c r="D265" s="89"/>
      <c r="E265" s="89"/>
      <c r="F265" s="73"/>
      <c r="G265" s="73"/>
      <c r="H265" s="73"/>
      <c r="I265" s="73"/>
      <c r="J265" s="73"/>
      <c r="K265" s="73"/>
      <c r="L265" s="73"/>
      <c r="M265" s="74"/>
      <c r="N265" s="71" t="str">
        <f t="shared" si="4"/>
        <v/>
      </c>
      <c r="O265" s="72"/>
      <c r="P265" s="72"/>
      <c r="Q265" s="72"/>
      <c r="R265" s="72"/>
      <c r="S265" s="72"/>
      <c r="T265" s="72"/>
      <c r="U265" s="72"/>
      <c r="V265" s="72"/>
    </row>
    <row r="266" spans="1:25" ht="27.75" customHeight="1">
      <c r="A266" s="87" t="str">
        <f>IF(ISBLANK(C266)," ",261-COUNTBLANK($C$6:C266))</f>
        <v xml:space="preserve"> </v>
      </c>
      <c r="B266" s="88"/>
      <c r="C266" s="88"/>
      <c r="D266" s="89"/>
      <c r="E266" s="89"/>
      <c r="F266" s="73"/>
      <c r="G266" s="73"/>
      <c r="H266" s="73"/>
      <c r="I266" s="73"/>
      <c r="J266" s="73"/>
      <c r="K266" s="73"/>
      <c r="L266" s="73"/>
      <c r="M266" s="74"/>
      <c r="N266" s="71" t="str">
        <f t="shared" si="4"/>
        <v/>
      </c>
      <c r="O266" s="72"/>
      <c r="P266" s="72"/>
      <c r="Q266" s="72"/>
      <c r="R266" s="72"/>
      <c r="S266" s="72"/>
      <c r="T266" s="72"/>
      <c r="U266" s="72"/>
      <c r="V266" s="72"/>
    </row>
    <row r="267" spans="1:25" ht="27.75" customHeight="1">
      <c r="A267" s="87" t="str">
        <f>IF(ISBLANK(C267)," ",262-COUNTBLANK($C$6:C267))</f>
        <v xml:space="preserve"> </v>
      </c>
      <c r="B267" s="88"/>
      <c r="C267" s="88"/>
      <c r="D267" s="89"/>
      <c r="E267" s="89"/>
      <c r="F267" s="73"/>
      <c r="G267" s="73"/>
      <c r="H267" s="73"/>
      <c r="I267" s="73"/>
      <c r="J267" s="73"/>
      <c r="K267" s="73"/>
      <c r="L267" s="73"/>
      <c r="M267" s="74"/>
      <c r="N267" s="71" t="str">
        <f t="shared" si="4"/>
        <v/>
      </c>
      <c r="O267" s="72"/>
      <c r="P267" s="72"/>
      <c r="Q267" s="72"/>
      <c r="R267" s="72"/>
      <c r="S267" s="72"/>
      <c r="T267" s="72"/>
      <c r="U267" s="72"/>
      <c r="V267" s="72"/>
    </row>
    <row r="268" spans="1:25" ht="27.75" customHeight="1">
      <c r="A268" s="87" t="str">
        <f>IF(ISBLANK(C268)," ",263-COUNTBLANK($C$6:C268))</f>
        <v xml:space="preserve"> </v>
      </c>
      <c r="B268" s="88"/>
      <c r="C268" s="88"/>
      <c r="D268" s="89"/>
      <c r="E268" s="89"/>
      <c r="F268" s="73"/>
      <c r="G268" s="73"/>
      <c r="H268" s="73"/>
      <c r="I268" s="73"/>
      <c r="J268" s="73"/>
      <c r="K268" s="73"/>
      <c r="L268" s="73"/>
      <c r="M268" s="74"/>
      <c r="N268" s="71" t="str">
        <f t="shared" si="4"/>
        <v/>
      </c>
      <c r="O268" s="72"/>
      <c r="P268" s="72"/>
      <c r="Q268" s="72"/>
      <c r="R268" s="72"/>
      <c r="S268" s="72"/>
      <c r="T268" s="72"/>
      <c r="U268" s="72"/>
      <c r="V268" s="72"/>
    </row>
    <row r="269" spans="1:25" ht="27.75" customHeight="1">
      <c r="A269" s="87" t="str">
        <f>IF(ISBLANK(C269)," ",264-COUNTBLANK($C$6:C269))</f>
        <v xml:space="preserve"> </v>
      </c>
      <c r="B269" s="88"/>
      <c r="C269" s="88"/>
      <c r="D269" s="89"/>
      <c r="E269" s="89"/>
      <c r="F269" s="73"/>
      <c r="G269" s="73"/>
      <c r="H269" s="73"/>
      <c r="I269" s="73"/>
      <c r="J269" s="73"/>
      <c r="K269" s="73"/>
      <c r="L269" s="73"/>
      <c r="M269" s="74"/>
      <c r="N269" s="71" t="str">
        <f t="shared" si="4"/>
        <v/>
      </c>
      <c r="O269" s="72"/>
      <c r="P269" s="72"/>
      <c r="Q269" s="72"/>
      <c r="R269" s="72"/>
      <c r="S269" s="72"/>
      <c r="T269" s="72"/>
      <c r="U269" s="72"/>
      <c r="V269" s="72"/>
    </row>
    <row r="270" spans="1:25" ht="27.75" customHeight="1">
      <c r="A270" s="87" t="str">
        <f>IF(ISBLANK(C270)," ",265-COUNTBLANK($C$6:C270))</f>
        <v xml:space="preserve"> </v>
      </c>
      <c r="B270" s="88"/>
      <c r="C270" s="88"/>
      <c r="D270" s="89"/>
      <c r="E270" s="89"/>
      <c r="F270" s="73"/>
      <c r="G270" s="73"/>
      <c r="H270" s="73"/>
      <c r="I270" s="73"/>
      <c r="J270" s="73"/>
      <c r="K270" s="73"/>
      <c r="L270" s="73"/>
      <c r="M270" s="74"/>
      <c r="N270" s="71" t="str">
        <f t="shared" si="4"/>
        <v/>
      </c>
      <c r="O270" s="72"/>
      <c r="P270" s="72"/>
      <c r="Q270" s="72"/>
      <c r="R270" s="72"/>
      <c r="S270" s="72"/>
      <c r="T270" s="72"/>
      <c r="U270" s="72"/>
      <c r="V270" s="72"/>
    </row>
    <row r="271" spans="1:25" ht="27.75" customHeight="1">
      <c r="A271" s="87" t="str">
        <f>IF(ISBLANK(C271)," ",266-COUNTBLANK($C$6:C271))</f>
        <v xml:space="preserve"> </v>
      </c>
      <c r="B271" s="88"/>
      <c r="C271" s="88"/>
      <c r="D271" s="89"/>
      <c r="E271" s="89"/>
      <c r="F271" s="73"/>
      <c r="G271" s="73"/>
      <c r="H271" s="73"/>
      <c r="I271" s="73"/>
      <c r="J271" s="73"/>
      <c r="K271" s="73"/>
      <c r="L271" s="73"/>
      <c r="M271" s="74"/>
      <c r="N271" s="71" t="str">
        <f t="shared" si="4"/>
        <v/>
      </c>
      <c r="O271" s="72"/>
      <c r="P271" s="72"/>
      <c r="Q271" s="72"/>
      <c r="R271" s="72"/>
      <c r="S271" s="72"/>
      <c r="T271" s="72"/>
      <c r="U271" s="72"/>
      <c r="V271" s="72"/>
    </row>
    <row r="272" spans="1:25" ht="27.75" customHeight="1">
      <c r="A272" s="87" t="str">
        <f>IF(ISBLANK(C272)," ",267-COUNTBLANK($C$6:C272))</f>
        <v xml:space="preserve"> </v>
      </c>
      <c r="B272" s="88"/>
      <c r="C272" s="88"/>
      <c r="D272" s="89"/>
      <c r="E272" s="89"/>
      <c r="F272" s="73"/>
      <c r="G272" s="73"/>
      <c r="H272" s="73"/>
      <c r="I272" s="73"/>
      <c r="J272" s="73"/>
      <c r="K272" s="73"/>
      <c r="L272" s="73"/>
      <c r="M272" s="74"/>
      <c r="N272" s="71" t="str">
        <f t="shared" si="4"/>
        <v/>
      </c>
      <c r="O272" s="72"/>
      <c r="P272" s="72"/>
      <c r="Q272" s="72"/>
      <c r="R272" s="72"/>
      <c r="S272" s="72"/>
      <c r="T272" s="72"/>
      <c r="U272" s="72"/>
      <c r="V272" s="72"/>
    </row>
    <row r="273" spans="1:25" ht="27.75" customHeight="1">
      <c r="A273" s="87" t="str">
        <f>IF(ISBLANK(C273)," ",268-COUNTBLANK($C$6:C273))</f>
        <v xml:space="preserve"> </v>
      </c>
      <c r="B273" s="88"/>
      <c r="C273" s="88"/>
      <c r="D273" s="89"/>
      <c r="E273" s="89"/>
      <c r="F273" s="73"/>
      <c r="G273" s="73"/>
      <c r="H273" s="73"/>
      <c r="I273" s="73"/>
      <c r="J273" s="73"/>
      <c r="K273" s="73"/>
      <c r="L273" s="73"/>
      <c r="M273" s="74"/>
      <c r="N273" s="71" t="str">
        <f t="shared" si="4"/>
        <v/>
      </c>
      <c r="O273" s="75"/>
      <c r="P273" s="72"/>
      <c r="Q273" s="72"/>
      <c r="R273" s="72"/>
      <c r="S273" s="72"/>
      <c r="T273" s="72"/>
      <c r="U273" s="72"/>
      <c r="V273" s="76"/>
    </row>
    <row r="274" spans="1:25" ht="27.75" customHeight="1">
      <c r="A274" s="87" t="str">
        <f>IF(ISBLANK(C274)," ",269-COUNTBLANK($C$6:C274))</f>
        <v xml:space="preserve"> </v>
      </c>
      <c r="B274" s="88"/>
      <c r="C274" s="88"/>
      <c r="D274" s="89"/>
      <c r="E274" s="89"/>
      <c r="F274" s="73"/>
      <c r="G274" s="73"/>
      <c r="H274" s="73"/>
      <c r="I274" s="73"/>
      <c r="J274" s="73"/>
      <c r="K274" s="73"/>
      <c r="L274" s="73"/>
      <c r="M274" s="74"/>
      <c r="N274" s="71" t="str">
        <f t="shared" si="4"/>
        <v/>
      </c>
      <c r="O274" s="75"/>
      <c r="P274" s="72"/>
      <c r="Q274" s="72"/>
      <c r="R274" s="72"/>
      <c r="S274" s="72"/>
      <c r="T274" s="72"/>
      <c r="U274" s="72"/>
      <c r="V274" s="76"/>
    </row>
    <row r="275" spans="1:25" ht="27.75" customHeight="1">
      <c r="A275" s="87" t="str">
        <f>IF(ISBLANK(C275)," ",270-COUNTBLANK($C$6:C275))</f>
        <v xml:space="preserve"> </v>
      </c>
      <c r="B275" s="88"/>
      <c r="C275" s="88"/>
      <c r="D275" s="89"/>
      <c r="E275" s="89"/>
      <c r="F275" s="73"/>
      <c r="G275" s="73"/>
      <c r="H275" s="73"/>
      <c r="I275" s="73"/>
      <c r="J275" s="73"/>
      <c r="K275" s="73"/>
      <c r="L275" s="73"/>
      <c r="M275" s="74"/>
      <c r="N275" s="71" t="str">
        <f t="shared" si="4"/>
        <v/>
      </c>
      <c r="O275" s="75"/>
      <c r="P275" s="72"/>
      <c r="Q275" s="72"/>
      <c r="R275" s="72"/>
      <c r="S275" s="72"/>
      <c r="T275" s="72"/>
      <c r="U275" s="72"/>
      <c r="V275" s="76"/>
    </row>
    <row r="276" spans="1:25" ht="27.75" customHeight="1">
      <c r="A276" s="87" t="str">
        <f>IF(ISBLANK(C276)," ",271-COUNTBLANK($C$6:C276))</f>
        <v xml:space="preserve"> </v>
      </c>
      <c r="B276" s="88"/>
      <c r="C276" s="88"/>
      <c r="D276" s="89"/>
      <c r="E276" s="89"/>
      <c r="F276" s="73"/>
      <c r="G276" s="73"/>
      <c r="H276" s="73"/>
      <c r="I276" s="73"/>
      <c r="J276" s="73"/>
      <c r="K276" s="73"/>
      <c r="L276" s="73"/>
      <c r="M276" s="74"/>
      <c r="N276" s="71" t="str">
        <f t="shared" si="4"/>
        <v/>
      </c>
      <c r="O276" s="75"/>
      <c r="P276" s="72"/>
      <c r="Q276" s="72"/>
      <c r="R276" s="72"/>
      <c r="S276" s="72"/>
      <c r="T276" s="72"/>
      <c r="U276" s="72"/>
      <c r="V276" s="76"/>
    </row>
    <row r="277" spans="1:25" ht="27.75" customHeight="1">
      <c r="A277" s="87" t="str">
        <f>IF(ISBLANK(C277)," ",272-COUNTBLANK($C$6:C277))</f>
        <v xml:space="preserve"> </v>
      </c>
      <c r="B277" s="88"/>
      <c r="C277" s="88"/>
      <c r="D277" s="89"/>
      <c r="E277" s="89"/>
      <c r="F277" s="73"/>
      <c r="G277" s="73"/>
      <c r="H277" s="73"/>
      <c r="I277" s="73"/>
      <c r="J277" s="73"/>
      <c r="K277" s="73"/>
      <c r="L277" s="73"/>
      <c r="M277" s="74"/>
      <c r="N277" s="71" t="str">
        <f t="shared" si="4"/>
        <v/>
      </c>
      <c r="O277" s="72"/>
      <c r="P277" s="72"/>
      <c r="Q277" s="72"/>
      <c r="R277" s="72"/>
      <c r="S277" s="72"/>
      <c r="T277" s="72"/>
      <c r="U277" s="72"/>
      <c r="V277" s="79"/>
      <c r="W277" s="72"/>
      <c r="X277" s="72"/>
      <c r="Y277" s="72"/>
    </row>
    <row r="278" spans="1:25" ht="27.75" customHeight="1">
      <c r="A278" s="80" t="s">
        <v>52</v>
      </c>
      <c r="B278" s="81"/>
      <c r="C278" s="96"/>
      <c r="D278" s="82"/>
      <c r="E278" s="82">
        <f>SUM(E258:E277)</f>
        <v>0</v>
      </c>
      <c r="F278" s="83"/>
      <c r="G278" s="83"/>
      <c r="H278" s="83"/>
      <c r="I278" s="83"/>
      <c r="J278" s="83"/>
      <c r="K278" s="83"/>
      <c r="L278" s="83"/>
      <c r="M278" s="84"/>
      <c r="N278" s="71" t="str">
        <f t="shared" si="4"/>
        <v/>
      </c>
      <c r="O278" s="75"/>
      <c r="P278" s="72"/>
      <c r="Q278" s="72"/>
      <c r="R278" s="72"/>
      <c r="S278" s="72"/>
      <c r="T278" s="72"/>
      <c r="U278" s="72"/>
      <c r="V278" s="79"/>
      <c r="W278" s="72"/>
      <c r="X278" s="72"/>
      <c r="Y278" s="72"/>
    </row>
    <row r="279" spans="1:25" ht="27.75" customHeight="1">
      <c r="A279" s="93" t="str">
        <f>IF(ISBLANK(C279)," ",274-COUNTBLANK($C$6:C279))</f>
        <v xml:space="preserve"> </v>
      </c>
      <c r="B279" s="94"/>
      <c r="C279" s="94"/>
      <c r="D279" s="95"/>
      <c r="E279" s="95"/>
      <c r="F279" s="85"/>
      <c r="G279" s="85"/>
      <c r="H279" s="85"/>
      <c r="I279" s="85"/>
      <c r="J279" s="85"/>
      <c r="K279" s="85"/>
      <c r="L279" s="85"/>
      <c r="M279" s="86"/>
      <c r="N279" s="71" t="str">
        <f t="shared" si="4"/>
        <v/>
      </c>
      <c r="O279" s="72"/>
      <c r="P279" s="72"/>
      <c r="Q279" s="72"/>
      <c r="R279" s="72"/>
      <c r="S279" s="72"/>
      <c r="T279" s="72"/>
      <c r="U279" s="72"/>
      <c r="V279" s="72"/>
    </row>
    <row r="280" spans="1:25" ht="27.75" customHeight="1">
      <c r="A280" s="87" t="str">
        <f>IF(ISBLANK(C280)," ",275-COUNTBLANK($C$6:C280))</f>
        <v xml:space="preserve"> </v>
      </c>
      <c r="B280" s="88"/>
      <c r="C280" s="88"/>
      <c r="D280" s="89"/>
      <c r="E280" s="89"/>
      <c r="F280" s="73"/>
      <c r="G280" s="73"/>
      <c r="H280" s="73"/>
      <c r="I280" s="73"/>
      <c r="J280" s="73"/>
      <c r="K280" s="73"/>
      <c r="L280" s="73"/>
      <c r="M280" s="74"/>
      <c r="N280" s="71" t="str">
        <f t="shared" si="4"/>
        <v/>
      </c>
      <c r="O280" s="72"/>
      <c r="P280" s="72"/>
      <c r="Q280" s="72"/>
      <c r="R280" s="72"/>
      <c r="S280" s="72"/>
      <c r="T280" s="72"/>
      <c r="U280" s="72"/>
      <c r="V280" s="72"/>
    </row>
    <row r="281" spans="1:25" ht="27.75" customHeight="1">
      <c r="A281" s="87" t="str">
        <f>IF(ISBLANK(C281)," ",276-COUNTBLANK($C$6:C281))</f>
        <v xml:space="preserve"> </v>
      </c>
      <c r="B281" s="88"/>
      <c r="C281" s="88"/>
      <c r="D281" s="89"/>
      <c r="E281" s="89"/>
      <c r="F281" s="73"/>
      <c r="G281" s="73"/>
      <c r="H281" s="73"/>
      <c r="I281" s="73"/>
      <c r="J281" s="73"/>
      <c r="K281" s="73"/>
      <c r="L281" s="73"/>
      <c r="M281" s="74"/>
      <c r="N281" s="71" t="str">
        <f t="shared" si="4"/>
        <v/>
      </c>
      <c r="O281" s="72"/>
      <c r="P281" s="72"/>
      <c r="Q281" s="72"/>
      <c r="R281" s="72"/>
      <c r="S281" s="72"/>
      <c r="T281" s="72"/>
      <c r="U281" s="72"/>
      <c r="V281" s="72"/>
    </row>
    <row r="282" spans="1:25" ht="27.75" customHeight="1">
      <c r="A282" s="87" t="str">
        <f>IF(ISBLANK(C282)," ",277-COUNTBLANK($C$6:C282))</f>
        <v xml:space="preserve"> </v>
      </c>
      <c r="B282" s="88"/>
      <c r="C282" s="88"/>
      <c r="D282" s="89"/>
      <c r="E282" s="89"/>
      <c r="F282" s="73"/>
      <c r="G282" s="73"/>
      <c r="H282" s="73"/>
      <c r="I282" s="73"/>
      <c r="J282" s="73"/>
      <c r="K282" s="73"/>
      <c r="L282" s="73"/>
      <c r="M282" s="74"/>
      <c r="N282" s="71" t="str">
        <f t="shared" si="4"/>
        <v/>
      </c>
      <c r="O282" s="72"/>
      <c r="P282" s="72"/>
      <c r="Q282" s="72"/>
      <c r="R282" s="72"/>
      <c r="S282" s="72"/>
      <c r="T282" s="72"/>
      <c r="U282" s="72"/>
      <c r="V282" s="72"/>
    </row>
    <row r="283" spans="1:25" ht="27.75" customHeight="1">
      <c r="A283" s="87" t="str">
        <f>IF(ISBLANK(C283)," ",278-COUNTBLANK($C$6:C283))</f>
        <v xml:space="preserve"> </v>
      </c>
      <c r="B283" s="88"/>
      <c r="C283" s="88"/>
      <c r="D283" s="89"/>
      <c r="E283" s="89"/>
      <c r="F283" s="73"/>
      <c r="G283" s="73"/>
      <c r="H283" s="73"/>
      <c r="I283" s="73"/>
      <c r="J283" s="73"/>
      <c r="K283" s="73"/>
      <c r="L283" s="73"/>
      <c r="M283" s="74"/>
      <c r="N283" s="71" t="str">
        <f t="shared" si="4"/>
        <v/>
      </c>
      <c r="O283" s="72"/>
      <c r="P283" s="72"/>
      <c r="Q283" s="72"/>
      <c r="R283" s="72"/>
      <c r="S283" s="72"/>
      <c r="T283" s="72"/>
      <c r="U283" s="72"/>
      <c r="V283" s="72"/>
    </row>
    <row r="284" spans="1:25" ht="27.75" customHeight="1">
      <c r="A284" s="87" t="str">
        <f>IF(ISBLANK(C284)," ",279-COUNTBLANK($C$6:C284))</f>
        <v xml:space="preserve"> </v>
      </c>
      <c r="B284" s="88"/>
      <c r="C284" s="88"/>
      <c r="D284" s="89"/>
      <c r="E284" s="89"/>
      <c r="F284" s="73"/>
      <c r="G284" s="73"/>
      <c r="H284" s="73"/>
      <c r="I284" s="73"/>
      <c r="J284" s="73"/>
      <c r="K284" s="73"/>
      <c r="L284" s="73"/>
      <c r="M284" s="74"/>
      <c r="N284" s="71" t="str">
        <f t="shared" si="4"/>
        <v/>
      </c>
      <c r="O284" s="72"/>
      <c r="P284" s="72"/>
      <c r="Q284" s="72"/>
      <c r="R284" s="72"/>
      <c r="S284" s="72"/>
      <c r="T284" s="72"/>
      <c r="U284" s="72"/>
      <c r="V284" s="72"/>
    </row>
    <row r="285" spans="1:25" ht="27.75" customHeight="1">
      <c r="A285" s="87" t="str">
        <f>IF(ISBLANK(C285)," ",280-COUNTBLANK($C$6:C285))</f>
        <v xml:space="preserve"> </v>
      </c>
      <c r="B285" s="88"/>
      <c r="C285" s="88"/>
      <c r="D285" s="89"/>
      <c r="E285" s="89"/>
      <c r="F285" s="73"/>
      <c r="G285" s="73"/>
      <c r="H285" s="73"/>
      <c r="I285" s="73"/>
      <c r="J285" s="73"/>
      <c r="K285" s="73"/>
      <c r="L285" s="73"/>
      <c r="M285" s="74"/>
      <c r="N285" s="71" t="str">
        <f t="shared" si="4"/>
        <v/>
      </c>
      <c r="O285" s="72"/>
      <c r="P285" s="72"/>
      <c r="Q285" s="72"/>
      <c r="R285" s="72"/>
      <c r="S285" s="72"/>
      <c r="T285" s="72"/>
      <c r="U285" s="72"/>
      <c r="V285" s="72"/>
    </row>
    <row r="286" spans="1:25" ht="27.75" customHeight="1">
      <c r="A286" s="87" t="str">
        <f>IF(ISBLANK(C286)," ",281-COUNTBLANK($C$6:C286))</f>
        <v xml:space="preserve"> </v>
      </c>
      <c r="B286" s="88"/>
      <c r="C286" s="88"/>
      <c r="D286" s="89"/>
      <c r="E286" s="89"/>
      <c r="F286" s="73"/>
      <c r="G286" s="73"/>
      <c r="H286" s="73"/>
      <c r="I286" s="73"/>
      <c r="J286" s="73"/>
      <c r="K286" s="73"/>
      <c r="L286" s="73"/>
      <c r="M286" s="74"/>
      <c r="N286" s="71" t="str">
        <f t="shared" si="4"/>
        <v/>
      </c>
      <c r="O286" s="72"/>
      <c r="P286" s="72"/>
      <c r="Q286" s="72"/>
      <c r="R286" s="72"/>
      <c r="S286" s="72"/>
      <c r="T286" s="72"/>
      <c r="U286" s="72"/>
      <c r="V286" s="72"/>
    </row>
    <row r="287" spans="1:25" ht="27.75" customHeight="1">
      <c r="A287" s="87" t="str">
        <f>IF(ISBLANK(C287)," ",282-COUNTBLANK($C$6:C287))</f>
        <v xml:space="preserve"> </v>
      </c>
      <c r="B287" s="88"/>
      <c r="C287" s="88"/>
      <c r="D287" s="89"/>
      <c r="E287" s="89"/>
      <c r="F287" s="73"/>
      <c r="G287" s="73"/>
      <c r="H287" s="73"/>
      <c r="I287" s="73"/>
      <c r="J287" s="73"/>
      <c r="K287" s="73"/>
      <c r="L287" s="73"/>
      <c r="M287" s="74"/>
      <c r="N287" s="71" t="str">
        <f t="shared" si="4"/>
        <v/>
      </c>
      <c r="O287" s="72"/>
      <c r="P287" s="72"/>
      <c r="Q287" s="72"/>
      <c r="R287" s="72"/>
      <c r="S287" s="72"/>
      <c r="T287" s="72"/>
      <c r="U287" s="72"/>
      <c r="V287" s="72"/>
    </row>
    <row r="288" spans="1:25" ht="27.75" customHeight="1">
      <c r="A288" s="87" t="str">
        <f>IF(ISBLANK(C288)," ",283-COUNTBLANK($C$6:C288))</f>
        <v xml:space="preserve"> </v>
      </c>
      <c r="B288" s="88"/>
      <c r="C288" s="88"/>
      <c r="D288" s="89"/>
      <c r="E288" s="89"/>
      <c r="F288" s="73"/>
      <c r="G288" s="73"/>
      <c r="H288" s="73"/>
      <c r="I288" s="73"/>
      <c r="J288" s="73"/>
      <c r="K288" s="73"/>
      <c r="L288" s="73"/>
      <c r="M288" s="74"/>
      <c r="N288" s="71" t="str">
        <f t="shared" si="4"/>
        <v/>
      </c>
      <c r="O288" s="72"/>
      <c r="P288" s="72"/>
      <c r="Q288" s="72"/>
      <c r="R288" s="72"/>
      <c r="S288" s="72"/>
      <c r="T288" s="72"/>
      <c r="U288" s="72"/>
      <c r="V288" s="72"/>
    </row>
    <row r="289" spans="1:25" ht="27.75" customHeight="1">
      <c r="A289" s="87" t="str">
        <f>IF(ISBLANK(C289)," ",284-COUNTBLANK($C$6:C289))</f>
        <v xml:space="preserve"> </v>
      </c>
      <c r="B289" s="88"/>
      <c r="C289" s="88"/>
      <c r="D289" s="89"/>
      <c r="E289" s="89"/>
      <c r="F289" s="73"/>
      <c r="G289" s="73"/>
      <c r="H289" s="73"/>
      <c r="I289" s="73"/>
      <c r="J289" s="73"/>
      <c r="K289" s="73"/>
      <c r="L289" s="73"/>
      <c r="M289" s="74"/>
      <c r="N289" s="71" t="str">
        <f t="shared" si="4"/>
        <v/>
      </c>
      <c r="O289" s="72"/>
      <c r="P289" s="72"/>
      <c r="Q289" s="72"/>
      <c r="R289" s="72"/>
      <c r="S289" s="72"/>
      <c r="T289" s="72"/>
      <c r="U289" s="72"/>
      <c r="V289" s="72"/>
    </row>
    <row r="290" spans="1:25" ht="27.75" customHeight="1">
      <c r="A290" s="87" t="str">
        <f>IF(ISBLANK(C290)," ",285-COUNTBLANK($C$6:C290))</f>
        <v xml:space="preserve"> </v>
      </c>
      <c r="B290" s="88"/>
      <c r="C290" s="88"/>
      <c r="D290" s="89"/>
      <c r="E290" s="89"/>
      <c r="F290" s="73"/>
      <c r="G290" s="73"/>
      <c r="H290" s="73"/>
      <c r="I290" s="73"/>
      <c r="J290" s="73"/>
      <c r="K290" s="73"/>
      <c r="L290" s="73"/>
      <c r="M290" s="74"/>
      <c r="N290" s="71" t="str">
        <f t="shared" si="4"/>
        <v/>
      </c>
      <c r="O290" s="72"/>
      <c r="P290" s="72"/>
      <c r="Q290" s="72"/>
      <c r="R290" s="72"/>
      <c r="S290" s="72"/>
      <c r="T290" s="72"/>
      <c r="U290" s="72"/>
      <c r="V290" s="72"/>
    </row>
    <row r="291" spans="1:25" ht="27.75" customHeight="1">
      <c r="A291" s="87" t="str">
        <f>IF(ISBLANK(C291)," ",286-COUNTBLANK($C$6:C291))</f>
        <v xml:space="preserve"> </v>
      </c>
      <c r="B291" s="88"/>
      <c r="C291" s="88"/>
      <c r="D291" s="89"/>
      <c r="E291" s="89"/>
      <c r="F291" s="73"/>
      <c r="G291" s="73"/>
      <c r="H291" s="73"/>
      <c r="I291" s="73"/>
      <c r="J291" s="73"/>
      <c r="K291" s="73"/>
      <c r="L291" s="73"/>
      <c r="M291" s="74"/>
      <c r="N291" s="71" t="str">
        <f t="shared" si="4"/>
        <v/>
      </c>
      <c r="O291" s="72"/>
      <c r="P291" s="72"/>
      <c r="Q291" s="72"/>
      <c r="R291" s="72"/>
      <c r="S291" s="72"/>
      <c r="T291" s="72"/>
      <c r="U291" s="72"/>
      <c r="V291" s="72"/>
    </row>
    <row r="292" spans="1:25" ht="27.75" customHeight="1">
      <c r="A292" s="87" t="str">
        <f>IF(ISBLANK(C292)," ",287-COUNTBLANK($C$6:C292))</f>
        <v xml:space="preserve"> </v>
      </c>
      <c r="B292" s="88"/>
      <c r="C292" s="88"/>
      <c r="D292" s="89"/>
      <c r="E292" s="89"/>
      <c r="F292" s="73"/>
      <c r="G292" s="73"/>
      <c r="H292" s="73"/>
      <c r="I292" s="73"/>
      <c r="J292" s="73"/>
      <c r="K292" s="73"/>
      <c r="L292" s="73"/>
      <c r="M292" s="74"/>
      <c r="N292" s="71" t="str">
        <f t="shared" si="4"/>
        <v/>
      </c>
      <c r="O292" s="72"/>
      <c r="P292" s="72"/>
      <c r="Q292" s="72"/>
      <c r="R292" s="72"/>
      <c r="S292" s="72"/>
      <c r="T292" s="72"/>
      <c r="U292" s="72"/>
      <c r="V292" s="72"/>
    </row>
    <row r="293" spans="1:25" ht="27.75" customHeight="1">
      <c r="A293" s="87" t="str">
        <f>IF(ISBLANK(C293)," ",288-COUNTBLANK($C$6:C293))</f>
        <v xml:space="preserve"> </v>
      </c>
      <c r="B293" s="88"/>
      <c r="C293" s="88"/>
      <c r="D293" s="89"/>
      <c r="E293" s="89"/>
      <c r="F293" s="73"/>
      <c r="G293" s="73"/>
      <c r="H293" s="73"/>
      <c r="I293" s="73"/>
      <c r="J293" s="73"/>
      <c r="K293" s="73"/>
      <c r="L293" s="73"/>
      <c r="M293" s="74"/>
      <c r="N293" s="71" t="str">
        <f t="shared" si="4"/>
        <v/>
      </c>
      <c r="O293" s="72"/>
      <c r="P293" s="72"/>
      <c r="Q293" s="72"/>
      <c r="R293" s="72"/>
      <c r="S293" s="72"/>
      <c r="T293" s="72"/>
      <c r="U293" s="72"/>
      <c r="V293" s="72"/>
    </row>
    <row r="294" spans="1:25" ht="27.75" customHeight="1">
      <c r="A294" s="87" t="str">
        <f>IF(ISBLANK(C294)," ",289-COUNTBLANK($C$6:C294))</f>
        <v xml:space="preserve"> </v>
      </c>
      <c r="B294" s="88"/>
      <c r="C294" s="88"/>
      <c r="D294" s="89"/>
      <c r="E294" s="89"/>
      <c r="F294" s="73"/>
      <c r="G294" s="73"/>
      <c r="H294" s="73"/>
      <c r="I294" s="73"/>
      <c r="J294" s="73"/>
      <c r="K294" s="73"/>
      <c r="L294" s="73"/>
      <c r="M294" s="74"/>
      <c r="N294" s="71" t="str">
        <f t="shared" si="4"/>
        <v/>
      </c>
      <c r="O294" s="75"/>
      <c r="P294" s="72"/>
      <c r="Q294" s="72"/>
      <c r="R294" s="72"/>
      <c r="S294" s="72"/>
      <c r="T294" s="72"/>
      <c r="U294" s="72"/>
      <c r="V294" s="76"/>
    </row>
    <row r="295" spans="1:25" ht="27.75" customHeight="1">
      <c r="A295" s="87" t="str">
        <f>IF(ISBLANK(C295)," ",290-COUNTBLANK($C$6:C295))</f>
        <v xml:space="preserve"> </v>
      </c>
      <c r="B295" s="88"/>
      <c r="C295" s="88"/>
      <c r="D295" s="89"/>
      <c r="E295" s="89"/>
      <c r="F295" s="73"/>
      <c r="G295" s="73"/>
      <c r="H295" s="73"/>
      <c r="I295" s="73"/>
      <c r="J295" s="73"/>
      <c r="K295" s="73"/>
      <c r="L295" s="73"/>
      <c r="M295" s="74"/>
      <c r="N295" s="71" t="str">
        <f t="shared" si="4"/>
        <v/>
      </c>
      <c r="O295" s="75"/>
      <c r="P295" s="72"/>
      <c r="Q295" s="72"/>
      <c r="R295" s="72"/>
      <c r="S295" s="72"/>
      <c r="T295" s="72"/>
      <c r="U295" s="72"/>
      <c r="V295" s="76"/>
    </row>
    <row r="296" spans="1:25" ht="27.75" customHeight="1">
      <c r="A296" s="87" t="str">
        <f>IF(ISBLANK(C296)," ",291-COUNTBLANK($C$6:C296))</f>
        <v xml:space="preserve"> </v>
      </c>
      <c r="B296" s="88"/>
      <c r="C296" s="88"/>
      <c r="D296" s="89"/>
      <c r="E296" s="89"/>
      <c r="F296" s="73"/>
      <c r="G296" s="73"/>
      <c r="H296" s="73"/>
      <c r="I296" s="73"/>
      <c r="J296" s="73"/>
      <c r="K296" s="73"/>
      <c r="L296" s="73"/>
      <c r="M296" s="74"/>
      <c r="N296" s="71" t="str">
        <f t="shared" si="4"/>
        <v/>
      </c>
      <c r="O296" s="75"/>
      <c r="P296" s="72"/>
      <c r="Q296" s="72"/>
      <c r="R296" s="72"/>
      <c r="S296" s="72"/>
      <c r="T296" s="72"/>
      <c r="U296" s="72"/>
      <c r="V296" s="76"/>
    </row>
    <row r="297" spans="1:25" ht="27.75" customHeight="1">
      <c r="A297" s="87" t="str">
        <f>IF(ISBLANK(C297)," ",292-COUNTBLANK($C$6:C297))</f>
        <v xml:space="preserve"> </v>
      </c>
      <c r="B297" s="88"/>
      <c r="C297" s="88"/>
      <c r="D297" s="89"/>
      <c r="E297" s="89"/>
      <c r="F297" s="73"/>
      <c r="G297" s="73"/>
      <c r="H297" s="73"/>
      <c r="I297" s="73"/>
      <c r="J297" s="73"/>
      <c r="K297" s="73"/>
      <c r="L297" s="73"/>
      <c r="M297" s="74"/>
      <c r="N297" s="71" t="str">
        <f t="shared" si="4"/>
        <v/>
      </c>
      <c r="O297" s="75"/>
      <c r="P297" s="72"/>
      <c r="Q297" s="72"/>
      <c r="R297" s="72"/>
      <c r="S297" s="72"/>
      <c r="T297" s="72"/>
      <c r="U297" s="72"/>
      <c r="V297" s="76"/>
    </row>
    <row r="298" spans="1:25" ht="27.75" customHeight="1">
      <c r="A298" s="87" t="str">
        <f>IF(ISBLANK(C298)," ",293-COUNTBLANK($C$6:C298))</f>
        <v xml:space="preserve"> </v>
      </c>
      <c r="B298" s="88"/>
      <c r="C298" s="88"/>
      <c r="D298" s="89"/>
      <c r="E298" s="89"/>
      <c r="F298" s="73"/>
      <c r="G298" s="73"/>
      <c r="H298" s="73"/>
      <c r="I298" s="73"/>
      <c r="J298" s="73"/>
      <c r="K298" s="73"/>
      <c r="L298" s="73"/>
      <c r="M298" s="74"/>
      <c r="N298" s="71" t="str">
        <f t="shared" si="4"/>
        <v/>
      </c>
      <c r="O298" s="72"/>
      <c r="P298" s="72"/>
      <c r="Q298" s="72"/>
      <c r="R298" s="72"/>
      <c r="S298" s="72"/>
      <c r="T298" s="72"/>
      <c r="U298" s="72"/>
      <c r="V298" s="79"/>
      <c r="W298" s="72"/>
      <c r="X298" s="72"/>
      <c r="Y298" s="72"/>
    </row>
    <row r="299" spans="1:25" ht="27.75" customHeight="1">
      <c r="A299" s="80" t="s">
        <v>52</v>
      </c>
      <c r="B299" s="81"/>
      <c r="C299" s="96"/>
      <c r="D299" s="82"/>
      <c r="E299" s="82">
        <f>SUM(E279:E298)</f>
        <v>0</v>
      </c>
      <c r="F299" s="83"/>
      <c r="G299" s="83"/>
      <c r="H299" s="83"/>
      <c r="I299" s="83"/>
      <c r="J299" s="83"/>
      <c r="K299" s="83"/>
      <c r="L299" s="83"/>
      <c r="M299" s="84"/>
      <c r="N299" s="71" t="str">
        <f t="shared" si="4"/>
        <v/>
      </c>
      <c r="O299" s="75"/>
      <c r="P299" s="72"/>
      <c r="Q299" s="72"/>
      <c r="R299" s="72"/>
      <c r="S299" s="72"/>
      <c r="T299" s="72"/>
      <c r="U299" s="72"/>
      <c r="V299" s="79"/>
      <c r="W299" s="72"/>
      <c r="X299" s="72"/>
      <c r="Y299" s="72"/>
    </row>
    <row r="300" spans="1:25" ht="27.75" customHeight="1">
      <c r="A300" s="93" t="str">
        <f>IF(ISBLANK(C300)," ",295-COUNTBLANK($C$6:C300))</f>
        <v xml:space="preserve"> </v>
      </c>
      <c r="B300" s="94"/>
      <c r="C300" s="94"/>
      <c r="D300" s="95"/>
      <c r="E300" s="95"/>
      <c r="F300" s="85"/>
      <c r="G300" s="85"/>
      <c r="H300" s="85"/>
      <c r="I300" s="85"/>
      <c r="J300" s="85"/>
      <c r="K300" s="85"/>
      <c r="L300" s="85"/>
      <c r="M300" s="86"/>
      <c r="N300" s="71" t="str">
        <f t="shared" si="4"/>
        <v/>
      </c>
      <c r="O300" s="72"/>
      <c r="P300" s="72"/>
      <c r="Q300" s="72"/>
      <c r="R300" s="72"/>
      <c r="S300" s="72"/>
      <c r="T300" s="72"/>
      <c r="U300" s="72"/>
      <c r="V300" s="72"/>
    </row>
    <row r="301" spans="1:25" ht="27.75" customHeight="1">
      <c r="A301" s="87" t="str">
        <f>IF(ISBLANK(C301)," ",296-COUNTBLANK($C$6:C301))</f>
        <v xml:space="preserve"> </v>
      </c>
      <c r="B301" s="88"/>
      <c r="C301" s="88"/>
      <c r="D301" s="89"/>
      <c r="E301" s="89"/>
      <c r="F301" s="73"/>
      <c r="G301" s="73"/>
      <c r="H301" s="73"/>
      <c r="I301" s="73"/>
      <c r="J301" s="73"/>
      <c r="K301" s="73"/>
      <c r="L301" s="73"/>
      <c r="M301" s="74"/>
      <c r="N301" s="71" t="str">
        <f t="shared" si="4"/>
        <v/>
      </c>
      <c r="O301" s="72"/>
      <c r="P301" s="72"/>
      <c r="Q301" s="72"/>
      <c r="R301" s="72"/>
      <c r="S301" s="72"/>
      <c r="T301" s="72"/>
      <c r="U301" s="72"/>
      <c r="V301" s="72"/>
    </row>
    <row r="302" spans="1:25" ht="27.75" customHeight="1">
      <c r="A302" s="87" t="str">
        <f>IF(ISBLANK(C302)," ",297-COUNTBLANK($C$6:C302))</f>
        <v xml:space="preserve"> </v>
      </c>
      <c r="B302" s="88"/>
      <c r="C302" s="88"/>
      <c r="D302" s="89"/>
      <c r="E302" s="89"/>
      <c r="F302" s="73"/>
      <c r="G302" s="73"/>
      <c r="H302" s="73"/>
      <c r="I302" s="73"/>
      <c r="J302" s="73"/>
      <c r="K302" s="73"/>
      <c r="L302" s="73"/>
      <c r="M302" s="74"/>
      <c r="N302" s="71" t="str">
        <f t="shared" si="4"/>
        <v/>
      </c>
      <c r="O302" s="72"/>
      <c r="P302" s="72"/>
      <c r="Q302" s="72"/>
      <c r="R302" s="72"/>
      <c r="S302" s="72"/>
      <c r="T302" s="72"/>
      <c r="U302" s="72"/>
      <c r="V302" s="72"/>
    </row>
    <row r="303" spans="1:25" ht="27.75" customHeight="1">
      <c r="A303" s="87" t="str">
        <f>IF(ISBLANK(C303)," ",298-COUNTBLANK($C$6:C303))</f>
        <v xml:space="preserve"> </v>
      </c>
      <c r="B303" s="88"/>
      <c r="C303" s="88"/>
      <c r="D303" s="89"/>
      <c r="E303" s="89"/>
      <c r="F303" s="73"/>
      <c r="G303" s="73"/>
      <c r="H303" s="73"/>
      <c r="I303" s="73"/>
      <c r="J303" s="73"/>
      <c r="K303" s="73"/>
      <c r="L303" s="73"/>
      <c r="M303" s="74"/>
      <c r="N303" s="71" t="str">
        <f t="shared" si="4"/>
        <v/>
      </c>
      <c r="O303" s="72"/>
      <c r="P303" s="72"/>
      <c r="Q303" s="72"/>
      <c r="R303" s="72"/>
      <c r="S303" s="72"/>
      <c r="T303" s="72"/>
      <c r="U303" s="72"/>
      <c r="V303" s="72"/>
    </row>
    <row r="304" spans="1:25" ht="27.75" customHeight="1">
      <c r="A304" s="87" t="str">
        <f>IF(ISBLANK(C304)," ",299-COUNTBLANK($C$6:C304))</f>
        <v xml:space="preserve"> </v>
      </c>
      <c r="B304" s="88"/>
      <c r="C304" s="88"/>
      <c r="D304" s="89"/>
      <c r="E304" s="89"/>
      <c r="F304" s="73"/>
      <c r="G304" s="73"/>
      <c r="H304" s="73"/>
      <c r="I304" s="73"/>
      <c r="J304" s="73"/>
      <c r="K304" s="73"/>
      <c r="L304" s="73"/>
      <c r="M304" s="74"/>
      <c r="N304" s="71" t="str">
        <f t="shared" si="4"/>
        <v/>
      </c>
      <c r="O304" s="72"/>
      <c r="P304" s="72"/>
      <c r="Q304" s="72"/>
      <c r="R304" s="72"/>
      <c r="S304" s="72"/>
      <c r="T304" s="72"/>
      <c r="U304" s="72"/>
      <c r="V304" s="72"/>
    </row>
    <row r="305" spans="1:25" ht="27.75" customHeight="1">
      <c r="A305" s="87" t="str">
        <f>IF(ISBLANK(C305)," ",300-COUNTBLANK($C$6:C305))</f>
        <v xml:space="preserve"> </v>
      </c>
      <c r="B305" s="88"/>
      <c r="C305" s="88"/>
      <c r="D305" s="89"/>
      <c r="E305" s="89"/>
      <c r="F305" s="73"/>
      <c r="G305" s="73"/>
      <c r="H305" s="73"/>
      <c r="I305" s="73"/>
      <c r="J305" s="73"/>
      <c r="K305" s="73"/>
      <c r="L305" s="73"/>
      <c r="M305" s="74"/>
      <c r="N305" s="71" t="str">
        <f t="shared" si="4"/>
        <v/>
      </c>
      <c r="O305" s="72"/>
      <c r="P305" s="72"/>
      <c r="Q305" s="72"/>
      <c r="R305" s="72"/>
      <c r="S305" s="72"/>
      <c r="T305" s="72"/>
      <c r="U305" s="72"/>
      <c r="V305" s="72"/>
    </row>
    <row r="306" spans="1:25" ht="27.75" customHeight="1">
      <c r="A306" s="87" t="str">
        <f>IF(ISBLANK(C306)," ",301-COUNTBLANK($C$6:C306))</f>
        <v xml:space="preserve"> </v>
      </c>
      <c r="B306" s="88"/>
      <c r="C306" s="88"/>
      <c r="D306" s="89"/>
      <c r="E306" s="89"/>
      <c r="F306" s="73"/>
      <c r="G306" s="73"/>
      <c r="H306" s="73"/>
      <c r="I306" s="73"/>
      <c r="J306" s="73"/>
      <c r="K306" s="73"/>
      <c r="L306" s="73"/>
      <c r="M306" s="74"/>
      <c r="N306" s="71" t="str">
        <f t="shared" si="4"/>
        <v/>
      </c>
      <c r="O306" s="72"/>
      <c r="P306" s="72"/>
      <c r="Q306" s="72"/>
      <c r="R306" s="72"/>
      <c r="S306" s="72"/>
      <c r="T306" s="72"/>
      <c r="U306" s="72"/>
      <c r="V306" s="72"/>
    </row>
    <row r="307" spans="1:25" ht="27.75" customHeight="1">
      <c r="A307" s="87" t="str">
        <f>IF(ISBLANK(C307)," ",302-COUNTBLANK($C$6:C307))</f>
        <v xml:space="preserve"> </v>
      </c>
      <c r="B307" s="88"/>
      <c r="C307" s="88"/>
      <c r="D307" s="89"/>
      <c r="E307" s="89"/>
      <c r="F307" s="73"/>
      <c r="G307" s="73"/>
      <c r="H307" s="73"/>
      <c r="I307" s="73"/>
      <c r="J307" s="73"/>
      <c r="K307" s="73"/>
      <c r="L307" s="73"/>
      <c r="M307" s="74"/>
      <c r="N307" s="71" t="str">
        <f t="shared" si="4"/>
        <v/>
      </c>
      <c r="O307" s="72"/>
      <c r="P307" s="72"/>
      <c r="Q307" s="72"/>
      <c r="R307" s="72"/>
      <c r="S307" s="72"/>
      <c r="T307" s="72"/>
      <c r="U307" s="72"/>
      <c r="V307" s="72"/>
    </row>
    <row r="308" spans="1:25" ht="27.75" customHeight="1">
      <c r="A308" s="87" t="str">
        <f>IF(ISBLANK(C308)," ",303-COUNTBLANK($C$6:C308))</f>
        <v xml:space="preserve"> </v>
      </c>
      <c r="B308" s="88"/>
      <c r="C308" s="88"/>
      <c r="D308" s="89"/>
      <c r="E308" s="89"/>
      <c r="F308" s="73"/>
      <c r="G308" s="73"/>
      <c r="H308" s="73"/>
      <c r="I308" s="73"/>
      <c r="J308" s="73"/>
      <c r="K308" s="73"/>
      <c r="L308" s="73"/>
      <c r="M308" s="74"/>
      <c r="N308" s="71" t="str">
        <f t="shared" si="4"/>
        <v/>
      </c>
      <c r="O308" s="72"/>
      <c r="P308" s="72"/>
      <c r="Q308" s="72"/>
      <c r="R308" s="72"/>
      <c r="S308" s="72"/>
      <c r="T308" s="72"/>
      <c r="U308" s="72"/>
      <c r="V308" s="72"/>
    </row>
    <row r="309" spans="1:25" ht="27.75" customHeight="1">
      <c r="A309" s="87" t="str">
        <f>IF(ISBLANK(C309)," ",304-COUNTBLANK($C$6:C309))</f>
        <v xml:space="preserve"> </v>
      </c>
      <c r="B309" s="88"/>
      <c r="C309" s="88"/>
      <c r="D309" s="89"/>
      <c r="E309" s="89"/>
      <c r="F309" s="73"/>
      <c r="G309" s="73"/>
      <c r="H309" s="73"/>
      <c r="I309" s="73"/>
      <c r="J309" s="73"/>
      <c r="K309" s="73"/>
      <c r="L309" s="73"/>
      <c r="M309" s="74"/>
      <c r="N309" s="71" t="str">
        <f t="shared" si="4"/>
        <v/>
      </c>
      <c r="O309" s="72"/>
      <c r="P309" s="72"/>
      <c r="Q309" s="72"/>
      <c r="R309" s="72"/>
      <c r="S309" s="72"/>
      <c r="T309" s="72"/>
      <c r="U309" s="72"/>
      <c r="V309" s="72"/>
    </row>
    <row r="310" spans="1:25" ht="27.75" customHeight="1">
      <c r="A310" s="87" t="str">
        <f>IF(ISBLANK(C310)," ",305-COUNTBLANK($C$6:C310))</f>
        <v xml:space="preserve"> </v>
      </c>
      <c r="B310" s="88"/>
      <c r="C310" s="88"/>
      <c r="D310" s="89"/>
      <c r="E310" s="89"/>
      <c r="F310" s="73"/>
      <c r="G310" s="73"/>
      <c r="H310" s="73"/>
      <c r="I310" s="73"/>
      <c r="J310" s="73"/>
      <c r="K310" s="73"/>
      <c r="L310" s="73"/>
      <c r="M310" s="74"/>
      <c r="N310" s="71" t="str">
        <f t="shared" si="4"/>
        <v/>
      </c>
      <c r="O310" s="72"/>
      <c r="P310" s="72"/>
      <c r="Q310" s="72"/>
      <c r="R310" s="72"/>
      <c r="S310" s="72"/>
      <c r="T310" s="72"/>
      <c r="U310" s="72"/>
      <c r="V310" s="72"/>
    </row>
    <row r="311" spans="1:25" ht="27.75" customHeight="1">
      <c r="A311" s="87" t="str">
        <f>IF(ISBLANK(C311)," ",306-COUNTBLANK($C$6:C311))</f>
        <v xml:space="preserve"> </v>
      </c>
      <c r="B311" s="88"/>
      <c r="C311" s="88"/>
      <c r="D311" s="89"/>
      <c r="E311" s="89"/>
      <c r="F311" s="73"/>
      <c r="G311" s="73"/>
      <c r="H311" s="73"/>
      <c r="I311" s="73"/>
      <c r="J311" s="73"/>
      <c r="K311" s="73"/>
      <c r="L311" s="73"/>
      <c r="M311" s="74"/>
      <c r="N311" s="71" t="str">
        <f t="shared" si="4"/>
        <v/>
      </c>
      <c r="O311" s="72"/>
      <c r="P311" s="72"/>
      <c r="Q311" s="72"/>
      <c r="R311" s="72"/>
      <c r="S311" s="72"/>
      <c r="T311" s="72"/>
      <c r="U311" s="72"/>
      <c r="V311" s="72"/>
    </row>
    <row r="312" spans="1:25" ht="27.75" customHeight="1">
      <c r="A312" s="87" t="str">
        <f>IF(ISBLANK(C312)," ",307-COUNTBLANK($C$6:C312))</f>
        <v xml:space="preserve"> </v>
      </c>
      <c r="B312" s="88"/>
      <c r="C312" s="88"/>
      <c r="D312" s="89"/>
      <c r="E312" s="89"/>
      <c r="F312" s="73"/>
      <c r="G312" s="73"/>
      <c r="H312" s="73"/>
      <c r="I312" s="73"/>
      <c r="J312" s="73"/>
      <c r="K312" s="73"/>
      <c r="L312" s="73"/>
      <c r="M312" s="74"/>
      <c r="N312" s="71" t="str">
        <f t="shared" si="4"/>
        <v/>
      </c>
      <c r="O312" s="72"/>
      <c r="P312" s="72"/>
      <c r="Q312" s="72"/>
      <c r="R312" s="72"/>
      <c r="S312" s="72"/>
      <c r="T312" s="72"/>
      <c r="U312" s="72"/>
      <c r="V312" s="72"/>
    </row>
    <row r="313" spans="1:25" ht="27.75" customHeight="1">
      <c r="A313" s="87" t="str">
        <f>IF(ISBLANK(C313)," ",308-COUNTBLANK($C$6:C313))</f>
        <v xml:space="preserve"> </v>
      </c>
      <c r="B313" s="88"/>
      <c r="C313" s="88"/>
      <c r="D313" s="89"/>
      <c r="E313" s="89"/>
      <c r="F313" s="73"/>
      <c r="G313" s="73"/>
      <c r="H313" s="73"/>
      <c r="I313" s="73"/>
      <c r="J313" s="73"/>
      <c r="K313" s="73"/>
      <c r="L313" s="73"/>
      <c r="M313" s="74"/>
      <c r="N313" s="71" t="str">
        <f t="shared" si="4"/>
        <v/>
      </c>
      <c r="O313" s="72"/>
      <c r="P313" s="72"/>
      <c r="Q313" s="72"/>
      <c r="R313" s="72"/>
      <c r="S313" s="72"/>
      <c r="T313" s="72"/>
      <c r="U313" s="72"/>
      <c r="V313" s="72"/>
    </row>
    <row r="314" spans="1:25" ht="27.75" customHeight="1">
      <c r="A314" s="87" t="str">
        <f>IF(ISBLANK(C314)," ",309-COUNTBLANK($C$6:C314))</f>
        <v xml:space="preserve"> </v>
      </c>
      <c r="B314" s="88"/>
      <c r="C314" s="88"/>
      <c r="D314" s="89"/>
      <c r="E314" s="89"/>
      <c r="F314" s="73"/>
      <c r="G314" s="73"/>
      <c r="H314" s="73"/>
      <c r="I314" s="73"/>
      <c r="J314" s="73"/>
      <c r="K314" s="73"/>
      <c r="L314" s="73"/>
      <c r="M314" s="74"/>
      <c r="N314" s="71" t="str">
        <f t="shared" si="4"/>
        <v/>
      </c>
      <c r="O314" s="72"/>
      <c r="P314" s="72"/>
      <c r="Q314" s="72"/>
      <c r="R314" s="72"/>
      <c r="S314" s="72"/>
      <c r="T314" s="72"/>
      <c r="U314" s="72"/>
      <c r="V314" s="72"/>
    </row>
    <row r="315" spans="1:25" ht="27.75" customHeight="1">
      <c r="A315" s="87" t="str">
        <f>IF(ISBLANK(C315)," ",310-COUNTBLANK($C$6:C315))</f>
        <v xml:space="preserve"> </v>
      </c>
      <c r="B315" s="88"/>
      <c r="C315" s="88"/>
      <c r="D315" s="89"/>
      <c r="E315" s="89"/>
      <c r="F315" s="73"/>
      <c r="G315" s="73"/>
      <c r="H315" s="73"/>
      <c r="I315" s="73"/>
      <c r="J315" s="73"/>
      <c r="K315" s="73"/>
      <c r="L315" s="73"/>
      <c r="M315" s="74"/>
      <c r="N315" s="71" t="str">
        <f t="shared" si="4"/>
        <v/>
      </c>
      <c r="O315" s="75"/>
      <c r="P315" s="72"/>
      <c r="Q315" s="72"/>
      <c r="R315" s="72"/>
      <c r="S315" s="72"/>
      <c r="T315" s="72"/>
      <c r="U315" s="72"/>
      <c r="V315" s="76"/>
    </row>
    <row r="316" spans="1:25" ht="27.75" customHeight="1">
      <c r="A316" s="87" t="str">
        <f>IF(ISBLANK(C316)," ",311-COUNTBLANK($C$6:C316))</f>
        <v xml:space="preserve"> </v>
      </c>
      <c r="B316" s="88"/>
      <c r="C316" s="88"/>
      <c r="D316" s="89"/>
      <c r="E316" s="89"/>
      <c r="F316" s="73"/>
      <c r="G316" s="73"/>
      <c r="H316" s="73"/>
      <c r="I316" s="73"/>
      <c r="J316" s="73"/>
      <c r="K316" s="73"/>
      <c r="L316" s="73"/>
      <c r="M316" s="74"/>
      <c r="N316" s="71" t="str">
        <f t="shared" si="4"/>
        <v/>
      </c>
      <c r="O316" s="75"/>
      <c r="P316" s="72"/>
      <c r="Q316" s="72"/>
      <c r="R316" s="72"/>
      <c r="S316" s="72"/>
      <c r="T316" s="72"/>
      <c r="U316" s="72"/>
      <c r="V316" s="76"/>
    </row>
    <row r="317" spans="1:25" ht="27.75" customHeight="1">
      <c r="A317" s="87" t="str">
        <f>IF(ISBLANK(C317)," ",312-COUNTBLANK($C$6:C317))</f>
        <v xml:space="preserve"> </v>
      </c>
      <c r="B317" s="88"/>
      <c r="C317" s="88"/>
      <c r="D317" s="89"/>
      <c r="E317" s="89"/>
      <c r="F317" s="73"/>
      <c r="G317" s="73"/>
      <c r="H317" s="73"/>
      <c r="I317" s="73"/>
      <c r="J317" s="73"/>
      <c r="K317" s="73"/>
      <c r="L317" s="73"/>
      <c r="M317" s="74"/>
      <c r="N317" s="71" t="str">
        <f t="shared" si="4"/>
        <v/>
      </c>
      <c r="O317" s="75"/>
      <c r="P317" s="72"/>
      <c r="Q317" s="72"/>
      <c r="R317" s="72"/>
      <c r="S317" s="72"/>
      <c r="T317" s="72"/>
      <c r="U317" s="72"/>
      <c r="V317" s="76"/>
    </row>
    <row r="318" spans="1:25" ht="27.75" customHeight="1">
      <c r="A318" s="87" t="str">
        <f>IF(ISBLANK(C318)," ",313-COUNTBLANK($C$6:C318))</f>
        <v xml:space="preserve"> </v>
      </c>
      <c r="B318" s="88"/>
      <c r="C318" s="88"/>
      <c r="D318" s="89"/>
      <c r="E318" s="89"/>
      <c r="F318" s="73"/>
      <c r="G318" s="73"/>
      <c r="H318" s="73"/>
      <c r="I318" s="73"/>
      <c r="J318" s="73"/>
      <c r="K318" s="73"/>
      <c r="L318" s="73"/>
      <c r="M318" s="74"/>
      <c r="N318" s="71" t="str">
        <f t="shared" si="4"/>
        <v/>
      </c>
      <c r="O318" s="75"/>
      <c r="P318" s="72"/>
      <c r="Q318" s="72"/>
      <c r="R318" s="72"/>
      <c r="S318" s="72"/>
      <c r="T318" s="72"/>
      <c r="U318" s="72"/>
      <c r="V318" s="76"/>
    </row>
    <row r="319" spans="1:25" ht="27.75" customHeight="1">
      <c r="A319" s="87" t="str">
        <f>IF(ISBLANK(C319)," ",314-COUNTBLANK($C$6:C319))</f>
        <v xml:space="preserve"> </v>
      </c>
      <c r="B319" s="88"/>
      <c r="C319" s="88"/>
      <c r="D319" s="89"/>
      <c r="E319" s="89"/>
      <c r="F319" s="73"/>
      <c r="G319" s="73"/>
      <c r="H319" s="73"/>
      <c r="I319" s="73"/>
      <c r="J319" s="73"/>
      <c r="K319" s="73"/>
      <c r="L319" s="73"/>
      <c r="M319" s="74"/>
      <c r="N319" s="71" t="str">
        <f t="shared" si="4"/>
        <v/>
      </c>
      <c r="O319" s="72"/>
      <c r="P319" s="72"/>
      <c r="Q319" s="72"/>
      <c r="R319" s="72"/>
      <c r="S319" s="72"/>
      <c r="T319" s="72"/>
      <c r="U319" s="72"/>
      <c r="V319" s="79"/>
      <c r="W319" s="72"/>
      <c r="X319" s="72"/>
      <c r="Y319" s="72"/>
    </row>
    <row r="320" spans="1:25" ht="27.75" customHeight="1">
      <c r="A320" s="80" t="s">
        <v>52</v>
      </c>
      <c r="B320" s="81"/>
      <c r="C320" s="96"/>
      <c r="D320" s="82"/>
      <c r="E320" s="82">
        <f>SUM(E300:E319)</f>
        <v>0</v>
      </c>
      <c r="F320" s="83"/>
      <c r="G320" s="83"/>
      <c r="H320" s="83"/>
      <c r="I320" s="83"/>
      <c r="J320" s="83"/>
      <c r="K320" s="83"/>
      <c r="L320" s="83"/>
      <c r="M320" s="84"/>
      <c r="N320" s="71" t="str">
        <f t="shared" si="4"/>
        <v/>
      </c>
      <c r="O320" s="75"/>
      <c r="P320" s="72"/>
      <c r="Q320" s="72"/>
      <c r="R320" s="72"/>
      <c r="S320" s="72"/>
      <c r="T320" s="72"/>
      <c r="U320" s="72"/>
      <c r="V320" s="79"/>
      <c r="W320" s="72"/>
      <c r="X320" s="72"/>
      <c r="Y320" s="72"/>
    </row>
    <row r="321" spans="1:22" ht="27.75" customHeight="1">
      <c r="A321" s="93" t="str">
        <f>IF(ISBLANK(C321)," ",316-COUNTBLANK($C$6:C321))</f>
        <v xml:space="preserve"> </v>
      </c>
      <c r="B321" s="94"/>
      <c r="C321" s="94"/>
      <c r="D321" s="95"/>
      <c r="E321" s="95"/>
      <c r="F321" s="85"/>
      <c r="G321" s="85"/>
      <c r="H321" s="85"/>
      <c r="I321" s="85"/>
      <c r="J321" s="85"/>
      <c r="K321" s="85"/>
      <c r="L321" s="85"/>
      <c r="M321" s="86"/>
      <c r="N321" s="71" t="str">
        <f t="shared" si="4"/>
        <v/>
      </c>
      <c r="O321" s="72"/>
      <c r="P321" s="72"/>
      <c r="Q321" s="72"/>
      <c r="R321" s="72"/>
      <c r="S321" s="72"/>
      <c r="T321" s="72"/>
      <c r="U321" s="72"/>
      <c r="V321" s="72"/>
    </row>
    <row r="322" spans="1:22" ht="27.75" customHeight="1">
      <c r="A322" s="87" t="str">
        <f>IF(ISBLANK(C322)," ",317-COUNTBLANK($C$6:C322))</f>
        <v xml:space="preserve"> </v>
      </c>
      <c r="B322" s="88"/>
      <c r="C322" s="88"/>
      <c r="D322" s="89"/>
      <c r="E322" s="89"/>
      <c r="F322" s="73"/>
      <c r="G322" s="73"/>
      <c r="H322" s="73"/>
      <c r="I322" s="73"/>
      <c r="J322" s="73"/>
      <c r="K322" s="73"/>
      <c r="L322" s="73"/>
      <c r="M322" s="74"/>
      <c r="N322" s="71" t="str">
        <f t="shared" si="4"/>
        <v/>
      </c>
      <c r="O322" s="72"/>
      <c r="P322" s="72"/>
      <c r="Q322" s="72"/>
      <c r="R322" s="72"/>
      <c r="S322" s="72"/>
      <c r="T322" s="72"/>
      <c r="U322" s="72"/>
      <c r="V322" s="72"/>
    </row>
    <row r="323" spans="1:22" ht="27.75" customHeight="1">
      <c r="A323" s="87" t="str">
        <f>IF(ISBLANK(C323)," ",318-COUNTBLANK($C$6:C323))</f>
        <v xml:space="preserve"> </v>
      </c>
      <c r="B323" s="88"/>
      <c r="C323" s="88"/>
      <c r="D323" s="89"/>
      <c r="E323" s="89"/>
      <c r="F323" s="73"/>
      <c r="G323" s="73"/>
      <c r="H323" s="73"/>
      <c r="I323" s="73"/>
      <c r="J323" s="73"/>
      <c r="K323" s="73"/>
      <c r="L323" s="73"/>
      <c r="M323" s="74"/>
      <c r="N323" s="71" t="str">
        <f t="shared" si="4"/>
        <v/>
      </c>
      <c r="O323" s="72"/>
      <c r="P323" s="72"/>
      <c r="Q323" s="72"/>
      <c r="R323" s="72"/>
      <c r="S323" s="72"/>
      <c r="T323" s="72"/>
      <c r="U323" s="72"/>
      <c r="V323" s="72"/>
    </row>
    <row r="324" spans="1:22" ht="27.75" customHeight="1">
      <c r="A324" s="87" t="str">
        <f>IF(ISBLANK(C324)," ",319-COUNTBLANK($C$6:C324))</f>
        <v xml:space="preserve"> </v>
      </c>
      <c r="B324" s="88"/>
      <c r="C324" s="88"/>
      <c r="D324" s="89"/>
      <c r="E324" s="89"/>
      <c r="F324" s="73"/>
      <c r="G324" s="73"/>
      <c r="H324" s="73"/>
      <c r="I324" s="73"/>
      <c r="J324" s="73"/>
      <c r="K324" s="73"/>
      <c r="L324" s="73"/>
      <c r="M324" s="74"/>
      <c r="N324" s="71" t="str">
        <f t="shared" si="4"/>
        <v/>
      </c>
      <c r="O324" s="72"/>
      <c r="P324" s="72"/>
      <c r="Q324" s="72"/>
      <c r="R324" s="72"/>
      <c r="S324" s="72"/>
      <c r="T324" s="72"/>
      <c r="U324" s="72"/>
      <c r="V324" s="72"/>
    </row>
    <row r="325" spans="1:22" ht="27.75" customHeight="1">
      <c r="A325" s="87" t="str">
        <f>IF(ISBLANK(C325)," ",320-COUNTBLANK($C$6:C325))</f>
        <v xml:space="preserve"> </v>
      </c>
      <c r="B325" s="88"/>
      <c r="C325" s="88"/>
      <c r="D325" s="89"/>
      <c r="E325" s="89"/>
      <c r="F325" s="73"/>
      <c r="G325" s="73"/>
      <c r="H325" s="73"/>
      <c r="I325" s="73"/>
      <c r="J325" s="73"/>
      <c r="K325" s="73"/>
      <c r="L325" s="73"/>
      <c r="M325" s="74"/>
      <c r="N325" s="71" t="str">
        <f t="shared" si="4"/>
        <v/>
      </c>
      <c r="O325" s="72"/>
      <c r="P325" s="72"/>
      <c r="Q325" s="72"/>
      <c r="R325" s="72"/>
      <c r="S325" s="72"/>
      <c r="T325" s="72"/>
      <c r="U325" s="72"/>
      <c r="V325" s="72"/>
    </row>
    <row r="326" spans="1:22" ht="27.75" customHeight="1">
      <c r="A326" s="87" t="str">
        <f>IF(ISBLANK(C326)," ",321-COUNTBLANK($C$6:C326))</f>
        <v xml:space="preserve"> </v>
      </c>
      <c r="B326" s="88"/>
      <c r="C326" s="88"/>
      <c r="D326" s="89"/>
      <c r="E326" s="89"/>
      <c r="F326" s="73"/>
      <c r="G326" s="73"/>
      <c r="H326" s="73"/>
      <c r="I326" s="73"/>
      <c r="J326" s="73"/>
      <c r="K326" s="73"/>
      <c r="L326" s="73"/>
      <c r="M326" s="74"/>
      <c r="N326" s="71" t="str">
        <f t="shared" ref="N326:N389" si="5">CONCATENATE(C326,H326)</f>
        <v/>
      </c>
      <c r="O326" s="72"/>
      <c r="P326" s="72"/>
      <c r="Q326" s="72"/>
      <c r="R326" s="72"/>
      <c r="S326" s="72"/>
      <c r="T326" s="72"/>
      <c r="U326" s="72"/>
      <c r="V326" s="72"/>
    </row>
    <row r="327" spans="1:22" ht="27.75" customHeight="1">
      <c r="A327" s="87" t="str">
        <f>IF(ISBLANK(C327)," ",322-COUNTBLANK($C$6:C327))</f>
        <v xml:space="preserve"> </v>
      </c>
      <c r="B327" s="88"/>
      <c r="C327" s="88"/>
      <c r="D327" s="89"/>
      <c r="E327" s="89"/>
      <c r="F327" s="73"/>
      <c r="G327" s="73"/>
      <c r="H327" s="73"/>
      <c r="I327" s="73"/>
      <c r="J327" s="73"/>
      <c r="K327" s="73"/>
      <c r="L327" s="73"/>
      <c r="M327" s="74"/>
      <c r="N327" s="71" t="str">
        <f t="shared" si="5"/>
        <v/>
      </c>
      <c r="O327" s="72"/>
      <c r="P327" s="72"/>
      <c r="Q327" s="72"/>
      <c r="R327" s="72"/>
      <c r="S327" s="72"/>
      <c r="T327" s="72"/>
      <c r="U327" s="72"/>
      <c r="V327" s="72"/>
    </row>
    <row r="328" spans="1:22" ht="27.75" customHeight="1">
      <c r="A328" s="87" t="str">
        <f>IF(ISBLANK(C328)," ",323-COUNTBLANK($C$6:C328))</f>
        <v xml:space="preserve"> </v>
      </c>
      <c r="B328" s="88"/>
      <c r="C328" s="88"/>
      <c r="D328" s="89"/>
      <c r="E328" s="89"/>
      <c r="F328" s="73"/>
      <c r="G328" s="73"/>
      <c r="H328" s="73"/>
      <c r="I328" s="73"/>
      <c r="J328" s="73"/>
      <c r="K328" s="73"/>
      <c r="L328" s="73"/>
      <c r="M328" s="74"/>
      <c r="N328" s="71" t="str">
        <f t="shared" si="5"/>
        <v/>
      </c>
      <c r="O328" s="72"/>
      <c r="P328" s="72"/>
      <c r="Q328" s="72"/>
      <c r="R328" s="72"/>
      <c r="S328" s="72"/>
      <c r="T328" s="72"/>
      <c r="U328" s="72"/>
      <c r="V328" s="72"/>
    </row>
    <row r="329" spans="1:22" ht="27.75" customHeight="1">
      <c r="A329" s="87" t="str">
        <f>IF(ISBLANK(C329)," ",324-COUNTBLANK($C$6:C329))</f>
        <v xml:space="preserve"> </v>
      </c>
      <c r="B329" s="88"/>
      <c r="C329" s="88"/>
      <c r="D329" s="89"/>
      <c r="E329" s="89"/>
      <c r="F329" s="73"/>
      <c r="G329" s="73"/>
      <c r="H329" s="73"/>
      <c r="I329" s="73"/>
      <c r="J329" s="73"/>
      <c r="K329" s="73"/>
      <c r="L329" s="73"/>
      <c r="M329" s="74"/>
      <c r="N329" s="71" t="str">
        <f t="shared" si="5"/>
        <v/>
      </c>
      <c r="O329" s="72"/>
      <c r="P329" s="72"/>
      <c r="Q329" s="72"/>
      <c r="R329" s="72"/>
      <c r="S329" s="72"/>
      <c r="T329" s="72"/>
      <c r="U329" s="72"/>
      <c r="V329" s="72"/>
    </row>
    <row r="330" spans="1:22" ht="27.75" customHeight="1">
      <c r="A330" s="87" t="str">
        <f>IF(ISBLANK(C330)," ",325-COUNTBLANK($C$6:C330))</f>
        <v xml:space="preserve"> </v>
      </c>
      <c r="B330" s="88"/>
      <c r="C330" s="88"/>
      <c r="D330" s="89"/>
      <c r="E330" s="89"/>
      <c r="F330" s="73"/>
      <c r="G330" s="73"/>
      <c r="H330" s="73"/>
      <c r="I330" s="73"/>
      <c r="J330" s="73"/>
      <c r="K330" s="73"/>
      <c r="L330" s="73"/>
      <c r="M330" s="74"/>
      <c r="N330" s="71" t="str">
        <f t="shared" si="5"/>
        <v/>
      </c>
      <c r="O330" s="72"/>
      <c r="P330" s="72"/>
      <c r="Q330" s="72"/>
      <c r="R330" s="72"/>
      <c r="S330" s="72"/>
      <c r="T330" s="72"/>
      <c r="U330" s="72"/>
      <c r="V330" s="72"/>
    </row>
    <row r="331" spans="1:22" ht="27.75" customHeight="1">
      <c r="A331" s="87" t="str">
        <f>IF(ISBLANK(C331)," ",326-COUNTBLANK($C$6:C331))</f>
        <v xml:space="preserve"> </v>
      </c>
      <c r="B331" s="88"/>
      <c r="C331" s="88"/>
      <c r="D331" s="89"/>
      <c r="E331" s="89"/>
      <c r="F331" s="73"/>
      <c r="G331" s="73"/>
      <c r="H331" s="73"/>
      <c r="I331" s="73"/>
      <c r="J331" s="73"/>
      <c r="K331" s="73"/>
      <c r="L331" s="73"/>
      <c r="M331" s="74"/>
      <c r="N331" s="71" t="str">
        <f t="shared" si="5"/>
        <v/>
      </c>
      <c r="O331" s="72"/>
      <c r="P331" s="72"/>
      <c r="Q331" s="72"/>
      <c r="R331" s="72"/>
      <c r="S331" s="72"/>
      <c r="T331" s="72"/>
      <c r="U331" s="72"/>
      <c r="V331" s="72"/>
    </row>
    <row r="332" spans="1:22" ht="27.75" customHeight="1">
      <c r="A332" s="87" t="str">
        <f>IF(ISBLANK(C332)," ",327-COUNTBLANK($C$6:C332))</f>
        <v xml:space="preserve"> </v>
      </c>
      <c r="B332" s="88"/>
      <c r="C332" s="88"/>
      <c r="D332" s="89"/>
      <c r="E332" s="89"/>
      <c r="F332" s="73"/>
      <c r="G332" s="73"/>
      <c r="H332" s="73"/>
      <c r="I332" s="73"/>
      <c r="J332" s="73"/>
      <c r="K332" s="73"/>
      <c r="L332" s="73"/>
      <c r="M332" s="74"/>
      <c r="N332" s="71" t="str">
        <f t="shared" si="5"/>
        <v/>
      </c>
      <c r="O332" s="72"/>
      <c r="P332" s="72"/>
      <c r="Q332" s="72"/>
      <c r="R332" s="72"/>
      <c r="S332" s="72"/>
      <c r="T332" s="72"/>
      <c r="U332" s="72"/>
      <c r="V332" s="72"/>
    </row>
    <row r="333" spans="1:22" ht="27.75" customHeight="1">
      <c r="A333" s="87" t="str">
        <f>IF(ISBLANK(C333)," ",328-COUNTBLANK($C$6:C333))</f>
        <v xml:space="preserve"> </v>
      </c>
      <c r="B333" s="88"/>
      <c r="C333" s="88"/>
      <c r="D333" s="89"/>
      <c r="E333" s="89"/>
      <c r="F333" s="73"/>
      <c r="G333" s="73"/>
      <c r="H333" s="73"/>
      <c r="I333" s="73"/>
      <c r="J333" s="73"/>
      <c r="K333" s="73"/>
      <c r="L333" s="73"/>
      <c r="M333" s="74"/>
      <c r="N333" s="71" t="str">
        <f t="shared" si="5"/>
        <v/>
      </c>
      <c r="O333" s="72"/>
      <c r="P333" s="72"/>
      <c r="Q333" s="72"/>
      <c r="R333" s="72"/>
      <c r="S333" s="72"/>
      <c r="T333" s="72"/>
      <c r="U333" s="72"/>
      <c r="V333" s="72"/>
    </row>
    <row r="334" spans="1:22" ht="27.75" customHeight="1">
      <c r="A334" s="87" t="str">
        <f>IF(ISBLANK(C334)," ",329-COUNTBLANK($C$6:C334))</f>
        <v xml:space="preserve"> </v>
      </c>
      <c r="B334" s="88"/>
      <c r="C334" s="88"/>
      <c r="D334" s="89"/>
      <c r="E334" s="89"/>
      <c r="F334" s="73"/>
      <c r="G334" s="73"/>
      <c r="H334" s="73"/>
      <c r="I334" s="73"/>
      <c r="J334" s="73"/>
      <c r="K334" s="73"/>
      <c r="L334" s="73"/>
      <c r="M334" s="74"/>
      <c r="N334" s="71" t="str">
        <f t="shared" si="5"/>
        <v/>
      </c>
      <c r="O334" s="72"/>
      <c r="P334" s="72"/>
      <c r="Q334" s="72"/>
      <c r="R334" s="72"/>
      <c r="S334" s="72"/>
      <c r="T334" s="72"/>
      <c r="U334" s="72"/>
      <c r="V334" s="72"/>
    </row>
    <row r="335" spans="1:22" ht="27.75" customHeight="1">
      <c r="A335" s="87" t="str">
        <f>IF(ISBLANK(C335)," ",330-COUNTBLANK($C$6:C335))</f>
        <v xml:space="preserve"> </v>
      </c>
      <c r="B335" s="88"/>
      <c r="C335" s="88"/>
      <c r="D335" s="89"/>
      <c r="E335" s="89"/>
      <c r="F335" s="73"/>
      <c r="G335" s="73"/>
      <c r="H335" s="73"/>
      <c r="I335" s="73"/>
      <c r="J335" s="73"/>
      <c r="K335" s="73"/>
      <c r="L335" s="73"/>
      <c r="M335" s="74"/>
      <c r="N335" s="71" t="str">
        <f t="shared" si="5"/>
        <v/>
      </c>
      <c r="O335" s="72"/>
      <c r="P335" s="72"/>
      <c r="Q335" s="72"/>
      <c r="R335" s="72"/>
      <c r="S335" s="72"/>
      <c r="T335" s="72"/>
      <c r="U335" s="72"/>
      <c r="V335" s="72"/>
    </row>
    <row r="336" spans="1:22" ht="27.75" customHeight="1">
      <c r="A336" s="87" t="str">
        <f>IF(ISBLANK(C336)," ",331-COUNTBLANK($C$6:C336))</f>
        <v xml:space="preserve"> </v>
      </c>
      <c r="B336" s="88"/>
      <c r="C336" s="88"/>
      <c r="D336" s="89"/>
      <c r="E336" s="89"/>
      <c r="F336" s="73"/>
      <c r="G336" s="73"/>
      <c r="H336" s="73"/>
      <c r="I336" s="73"/>
      <c r="J336" s="73"/>
      <c r="K336" s="73"/>
      <c r="L336" s="73"/>
      <c r="M336" s="74"/>
      <c r="N336" s="71" t="str">
        <f t="shared" si="5"/>
        <v/>
      </c>
      <c r="O336" s="75"/>
      <c r="P336" s="72"/>
      <c r="Q336" s="72"/>
      <c r="R336" s="72"/>
      <c r="S336" s="72"/>
      <c r="T336" s="72"/>
      <c r="U336" s="72"/>
      <c r="V336" s="76"/>
    </row>
    <row r="337" spans="1:25" ht="27.75" customHeight="1">
      <c r="A337" s="87" t="str">
        <f>IF(ISBLANK(C337)," ",332-COUNTBLANK($C$6:C337))</f>
        <v xml:space="preserve"> </v>
      </c>
      <c r="B337" s="88"/>
      <c r="C337" s="88"/>
      <c r="D337" s="89"/>
      <c r="E337" s="89"/>
      <c r="F337" s="73"/>
      <c r="G337" s="73"/>
      <c r="H337" s="73"/>
      <c r="I337" s="73"/>
      <c r="J337" s="73"/>
      <c r="K337" s="73"/>
      <c r="L337" s="73"/>
      <c r="M337" s="74"/>
      <c r="N337" s="71" t="str">
        <f t="shared" si="5"/>
        <v/>
      </c>
      <c r="O337" s="75"/>
      <c r="P337" s="72"/>
      <c r="Q337" s="72"/>
      <c r="R337" s="72"/>
      <c r="S337" s="72"/>
      <c r="T337" s="72"/>
      <c r="U337" s="72"/>
      <c r="V337" s="76"/>
    </row>
    <row r="338" spans="1:25" ht="27.75" customHeight="1">
      <c r="A338" s="87" t="str">
        <f>IF(ISBLANK(C338)," ",333-COUNTBLANK($C$6:C338))</f>
        <v xml:space="preserve"> </v>
      </c>
      <c r="B338" s="88"/>
      <c r="C338" s="88"/>
      <c r="D338" s="89"/>
      <c r="E338" s="89"/>
      <c r="F338" s="73"/>
      <c r="G338" s="73"/>
      <c r="H338" s="73"/>
      <c r="I338" s="73"/>
      <c r="J338" s="73"/>
      <c r="K338" s="73"/>
      <c r="L338" s="73"/>
      <c r="M338" s="74"/>
      <c r="N338" s="71" t="str">
        <f t="shared" si="5"/>
        <v/>
      </c>
      <c r="O338" s="75"/>
      <c r="P338" s="72"/>
      <c r="Q338" s="72"/>
      <c r="R338" s="72"/>
      <c r="S338" s="72"/>
      <c r="T338" s="72"/>
      <c r="U338" s="72"/>
      <c r="V338" s="76"/>
    </row>
    <row r="339" spans="1:25" ht="27.75" customHeight="1">
      <c r="A339" s="87" t="str">
        <f>IF(ISBLANK(C339)," ",334-COUNTBLANK($C$6:C339))</f>
        <v xml:space="preserve"> </v>
      </c>
      <c r="B339" s="88"/>
      <c r="C339" s="88"/>
      <c r="D339" s="89"/>
      <c r="E339" s="89"/>
      <c r="F339" s="73"/>
      <c r="G339" s="73"/>
      <c r="H339" s="73"/>
      <c r="I339" s="73"/>
      <c r="J339" s="73"/>
      <c r="K339" s="73"/>
      <c r="L339" s="73"/>
      <c r="M339" s="74"/>
      <c r="N339" s="71" t="str">
        <f t="shared" si="5"/>
        <v/>
      </c>
      <c r="O339" s="75"/>
      <c r="P339" s="72"/>
      <c r="Q339" s="72"/>
      <c r="R339" s="72"/>
      <c r="S339" s="72"/>
      <c r="T339" s="72"/>
      <c r="U339" s="72"/>
      <c r="V339" s="76"/>
    </row>
    <row r="340" spans="1:25" ht="27.75" customHeight="1">
      <c r="A340" s="87" t="str">
        <f>IF(ISBLANK(C340)," ",335-COUNTBLANK($C$6:C340))</f>
        <v xml:space="preserve"> </v>
      </c>
      <c r="B340" s="88"/>
      <c r="C340" s="88"/>
      <c r="D340" s="89"/>
      <c r="E340" s="89"/>
      <c r="F340" s="73"/>
      <c r="G340" s="73"/>
      <c r="H340" s="73"/>
      <c r="I340" s="73"/>
      <c r="J340" s="73"/>
      <c r="K340" s="73"/>
      <c r="L340" s="73"/>
      <c r="M340" s="74"/>
      <c r="N340" s="71" t="str">
        <f t="shared" si="5"/>
        <v/>
      </c>
      <c r="O340" s="72"/>
      <c r="P340" s="72"/>
      <c r="Q340" s="72"/>
      <c r="R340" s="72"/>
      <c r="S340" s="72"/>
      <c r="T340" s="72"/>
      <c r="U340" s="72"/>
      <c r="V340" s="79"/>
      <c r="W340" s="72"/>
      <c r="X340" s="72"/>
      <c r="Y340" s="72"/>
    </row>
    <row r="341" spans="1:25" ht="27.75" customHeight="1">
      <c r="A341" s="80" t="s">
        <v>52</v>
      </c>
      <c r="B341" s="81"/>
      <c r="C341" s="96"/>
      <c r="D341" s="82"/>
      <c r="E341" s="82">
        <f>SUM(E321:E340)</f>
        <v>0</v>
      </c>
      <c r="F341" s="83"/>
      <c r="G341" s="83"/>
      <c r="H341" s="83"/>
      <c r="I341" s="83"/>
      <c r="J341" s="83"/>
      <c r="K341" s="83"/>
      <c r="L341" s="83"/>
      <c r="M341" s="84"/>
      <c r="N341" s="71" t="str">
        <f t="shared" si="5"/>
        <v/>
      </c>
      <c r="O341" s="75"/>
      <c r="P341" s="72"/>
      <c r="Q341" s="72"/>
      <c r="R341" s="72"/>
      <c r="S341" s="72"/>
      <c r="T341" s="72"/>
      <c r="U341" s="72"/>
      <c r="V341" s="79"/>
      <c r="W341" s="72"/>
      <c r="X341" s="72"/>
      <c r="Y341" s="72"/>
    </row>
    <row r="342" spans="1:25" ht="27.75" customHeight="1">
      <c r="A342" s="93" t="str">
        <f>IF(ISBLANK(C342)," ",337-COUNTBLANK($C$6:C342))</f>
        <v xml:space="preserve"> </v>
      </c>
      <c r="B342" s="94"/>
      <c r="C342" s="94"/>
      <c r="D342" s="95"/>
      <c r="E342" s="95"/>
      <c r="F342" s="85"/>
      <c r="G342" s="85"/>
      <c r="H342" s="85"/>
      <c r="I342" s="85"/>
      <c r="J342" s="85"/>
      <c r="K342" s="85"/>
      <c r="L342" s="85"/>
      <c r="M342" s="86"/>
      <c r="N342" s="71" t="str">
        <f t="shared" si="5"/>
        <v/>
      </c>
      <c r="O342" s="72"/>
      <c r="P342" s="72"/>
      <c r="Q342" s="72"/>
      <c r="R342" s="72"/>
      <c r="S342" s="72"/>
      <c r="T342" s="72"/>
      <c r="U342" s="72"/>
      <c r="V342" s="72"/>
    </row>
    <row r="343" spans="1:25" ht="27.75" customHeight="1">
      <c r="A343" s="87" t="str">
        <f>IF(ISBLANK(C343)," ",338-COUNTBLANK($C$6:C343))</f>
        <v xml:space="preserve"> </v>
      </c>
      <c r="B343" s="88"/>
      <c r="C343" s="88"/>
      <c r="D343" s="89"/>
      <c r="E343" s="89"/>
      <c r="F343" s="73"/>
      <c r="G343" s="73"/>
      <c r="H343" s="73"/>
      <c r="I343" s="73"/>
      <c r="J343" s="73"/>
      <c r="K343" s="73"/>
      <c r="L343" s="73"/>
      <c r="M343" s="74"/>
      <c r="N343" s="71" t="str">
        <f t="shared" si="5"/>
        <v/>
      </c>
      <c r="O343" s="72"/>
      <c r="P343" s="72"/>
      <c r="Q343" s="72"/>
      <c r="R343" s="72"/>
      <c r="S343" s="72"/>
      <c r="T343" s="72"/>
      <c r="U343" s="72"/>
      <c r="V343" s="72"/>
    </row>
    <row r="344" spans="1:25" ht="27.75" customHeight="1">
      <c r="A344" s="87" t="str">
        <f>IF(ISBLANK(C344)," ",339-COUNTBLANK($C$6:C344))</f>
        <v xml:space="preserve"> </v>
      </c>
      <c r="B344" s="88"/>
      <c r="C344" s="88"/>
      <c r="D344" s="89"/>
      <c r="E344" s="89"/>
      <c r="F344" s="73"/>
      <c r="G344" s="73"/>
      <c r="H344" s="73"/>
      <c r="I344" s="73"/>
      <c r="J344" s="73"/>
      <c r="K344" s="73"/>
      <c r="L344" s="73"/>
      <c r="M344" s="74"/>
      <c r="N344" s="71" t="str">
        <f t="shared" si="5"/>
        <v/>
      </c>
      <c r="O344" s="72"/>
      <c r="P344" s="72"/>
      <c r="Q344" s="72"/>
      <c r="R344" s="72"/>
      <c r="S344" s="72"/>
      <c r="T344" s="72"/>
      <c r="U344" s="72"/>
      <c r="V344" s="72"/>
    </row>
    <row r="345" spans="1:25" ht="27.75" customHeight="1">
      <c r="A345" s="87" t="str">
        <f>IF(ISBLANK(C345)," ",340-COUNTBLANK($C$6:C345))</f>
        <v xml:space="preserve"> </v>
      </c>
      <c r="B345" s="88"/>
      <c r="C345" s="88"/>
      <c r="D345" s="89"/>
      <c r="E345" s="89"/>
      <c r="F345" s="73"/>
      <c r="G345" s="73"/>
      <c r="H345" s="73"/>
      <c r="I345" s="73"/>
      <c r="J345" s="73"/>
      <c r="K345" s="73"/>
      <c r="L345" s="73"/>
      <c r="M345" s="74"/>
      <c r="N345" s="71" t="str">
        <f t="shared" si="5"/>
        <v/>
      </c>
      <c r="O345" s="72"/>
      <c r="P345" s="72"/>
      <c r="Q345" s="72"/>
      <c r="R345" s="72"/>
      <c r="S345" s="72"/>
      <c r="T345" s="72"/>
      <c r="U345" s="72"/>
      <c r="V345" s="72"/>
    </row>
    <row r="346" spans="1:25" ht="27.75" customHeight="1">
      <c r="A346" s="87" t="str">
        <f>IF(ISBLANK(C346)," ",341-COUNTBLANK($C$6:C346))</f>
        <v xml:space="preserve"> </v>
      </c>
      <c r="B346" s="88"/>
      <c r="C346" s="88"/>
      <c r="D346" s="89"/>
      <c r="E346" s="89"/>
      <c r="F346" s="73"/>
      <c r="G346" s="73"/>
      <c r="H346" s="73"/>
      <c r="I346" s="73"/>
      <c r="J346" s="73"/>
      <c r="K346" s="73"/>
      <c r="L346" s="73"/>
      <c r="M346" s="74"/>
      <c r="N346" s="71" t="str">
        <f t="shared" si="5"/>
        <v/>
      </c>
      <c r="O346" s="72"/>
      <c r="P346" s="72"/>
      <c r="Q346" s="72"/>
      <c r="R346" s="72"/>
      <c r="S346" s="72"/>
      <c r="T346" s="72"/>
      <c r="U346" s="72"/>
      <c r="V346" s="72"/>
    </row>
    <row r="347" spans="1:25" ht="27.75" customHeight="1">
      <c r="A347" s="87" t="str">
        <f>IF(ISBLANK(C347)," ",342-COUNTBLANK($C$6:C347))</f>
        <v xml:space="preserve"> </v>
      </c>
      <c r="B347" s="88"/>
      <c r="C347" s="88"/>
      <c r="D347" s="89"/>
      <c r="E347" s="89"/>
      <c r="F347" s="73"/>
      <c r="G347" s="73"/>
      <c r="H347" s="73"/>
      <c r="I347" s="73"/>
      <c r="J347" s="73"/>
      <c r="K347" s="73"/>
      <c r="L347" s="73"/>
      <c r="M347" s="74"/>
      <c r="N347" s="71" t="str">
        <f t="shared" si="5"/>
        <v/>
      </c>
      <c r="O347" s="72"/>
      <c r="P347" s="72"/>
      <c r="Q347" s="72"/>
      <c r="R347" s="72"/>
      <c r="S347" s="72"/>
      <c r="T347" s="72"/>
      <c r="U347" s="72"/>
      <c r="V347" s="72"/>
    </row>
    <row r="348" spans="1:25" ht="27.75" customHeight="1">
      <c r="A348" s="87" t="str">
        <f>IF(ISBLANK(C348)," ",343-COUNTBLANK($C$6:C348))</f>
        <v xml:space="preserve"> </v>
      </c>
      <c r="B348" s="88"/>
      <c r="C348" s="88"/>
      <c r="D348" s="89"/>
      <c r="E348" s="89"/>
      <c r="F348" s="73"/>
      <c r="G348" s="73"/>
      <c r="H348" s="73"/>
      <c r="I348" s="73"/>
      <c r="J348" s="73"/>
      <c r="K348" s="73"/>
      <c r="L348" s="73"/>
      <c r="M348" s="74"/>
      <c r="N348" s="71" t="str">
        <f t="shared" si="5"/>
        <v/>
      </c>
      <c r="O348" s="72"/>
      <c r="P348" s="72"/>
      <c r="Q348" s="72"/>
      <c r="R348" s="72"/>
      <c r="S348" s="72"/>
      <c r="T348" s="72"/>
      <c r="U348" s="72"/>
      <c r="V348" s="72"/>
    </row>
    <row r="349" spans="1:25" ht="27.75" customHeight="1">
      <c r="A349" s="87" t="str">
        <f>IF(ISBLANK(C349)," ",344-COUNTBLANK($C$6:C349))</f>
        <v xml:space="preserve"> </v>
      </c>
      <c r="B349" s="88"/>
      <c r="C349" s="88"/>
      <c r="D349" s="89"/>
      <c r="E349" s="89"/>
      <c r="F349" s="73"/>
      <c r="G349" s="73"/>
      <c r="H349" s="73"/>
      <c r="I349" s="73"/>
      <c r="J349" s="73"/>
      <c r="K349" s="73"/>
      <c r="L349" s="73"/>
      <c r="M349" s="74"/>
      <c r="N349" s="71" t="str">
        <f t="shared" si="5"/>
        <v/>
      </c>
      <c r="O349" s="72"/>
      <c r="P349" s="72"/>
      <c r="Q349" s="72"/>
      <c r="R349" s="72"/>
      <c r="S349" s="72"/>
      <c r="T349" s="72"/>
      <c r="U349" s="72"/>
      <c r="V349" s="72"/>
    </row>
    <row r="350" spans="1:25" ht="27.75" customHeight="1">
      <c r="A350" s="87" t="str">
        <f>IF(ISBLANK(C350)," ",345-COUNTBLANK($C$6:C350))</f>
        <v xml:space="preserve"> </v>
      </c>
      <c r="B350" s="88"/>
      <c r="C350" s="88"/>
      <c r="D350" s="89"/>
      <c r="E350" s="89"/>
      <c r="F350" s="73"/>
      <c r="G350" s="73"/>
      <c r="H350" s="73"/>
      <c r="I350" s="73"/>
      <c r="J350" s="73"/>
      <c r="K350" s="73"/>
      <c r="L350" s="73"/>
      <c r="M350" s="74"/>
      <c r="N350" s="71" t="str">
        <f t="shared" si="5"/>
        <v/>
      </c>
      <c r="O350" s="72"/>
      <c r="P350" s="72"/>
      <c r="Q350" s="72"/>
      <c r="R350" s="72"/>
      <c r="S350" s="72"/>
      <c r="T350" s="72"/>
      <c r="U350" s="72"/>
      <c r="V350" s="72"/>
    </row>
    <row r="351" spans="1:25" ht="27.75" customHeight="1">
      <c r="A351" s="87" t="str">
        <f>IF(ISBLANK(C351)," ",346-COUNTBLANK($C$6:C351))</f>
        <v xml:space="preserve"> </v>
      </c>
      <c r="B351" s="88"/>
      <c r="C351" s="88"/>
      <c r="D351" s="89"/>
      <c r="E351" s="89"/>
      <c r="F351" s="73"/>
      <c r="G351" s="73"/>
      <c r="H351" s="73"/>
      <c r="I351" s="73"/>
      <c r="J351" s="73"/>
      <c r="K351" s="73"/>
      <c r="L351" s="73"/>
      <c r="M351" s="74"/>
      <c r="N351" s="71" t="str">
        <f t="shared" si="5"/>
        <v/>
      </c>
      <c r="O351" s="72"/>
      <c r="P351" s="72"/>
      <c r="Q351" s="72"/>
      <c r="R351" s="72"/>
      <c r="S351" s="72"/>
      <c r="T351" s="72"/>
      <c r="U351" s="72"/>
      <c r="V351" s="72"/>
    </row>
    <row r="352" spans="1:25" ht="27.75" customHeight="1">
      <c r="A352" s="87" t="str">
        <f>IF(ISBLANK(C352)," ",347-COUNTBLANK($C$6:C352))</f>
        <v xml:space="preserve"> </v>
      </c>
      <c r="B352" s="88"/>
      <c r="C352" s="88"/>
      <c r="D352" s="89"/>
      <c r="E352" s="89"/>
      <c r="F352" s="73"/>
      <c r="G352" s="73"/>
      <c r="H352" s="73"/>
      <c r="I352" s="73"/>
      <c r="J352" s="73"/>
      <c r="K352" s="73"/>
      <c r="L352" s="73"/>
      <c r="M352" s="74"/>
      <c r="N352" s="71" t="str">
        <f t="shared" si="5"/>
        <v/>
      </c>
      <c r="O352" s="72"/>
      <c r="P352" s="72"/>
      <c r="Q352" s="72"/>
      <c r="R352" s="72"/>
      <c r="S352" s="72"/>
      <c r="T352" s="72"/>
      <c r="U352" s="72"/>
      <c r="V352" s="72"/>
    </row>
    <row r="353" spans="1:25" ht="27.75" customHeight="1">
      <c r="A353" s="87" t="str">
        <f>IF(ISBLANK(C353)," ",348-COUNTBLANK($C$6:C353))</f>
        <v xml:space="preserve"> </v>
      </c>
      <c r="B353" s="88"/>
      <c r="C353" s="88"/>
      <c r="D353" s="89"/>
      <c r="E353" s="89"/>
      <c r="F353" s="73"/>
      <c r="G353" s="73"/>
      <c r="H353" s="73"/>
      <c r="I353" s="73"/>
      <c r="J353" s="73"/>
      <c r="K353" s="73"/>
      <c r="L353" s="73"/>
      <c r="M353" s="74"/>
      <c r="N353" s="71" t="str">
        <f t="shared" si="5"/>
        <v/>
      </c>
      <c r="O353" s="72"/>
      <c r="P353" s="72"/>
      <c r="Q353" s="72"/>
      <c r="R353" s="72"/>
      <c r="S353" s="72"/>
      <c r="T353" s="72"/>
      <c r="U353" s="72"/>
      <c r="V353" s="72"/>
    </row>
    <row r="354" spans="1:25" ht="27.75" customHeight="1">
      <c r="A354" s="87" t="str">
        <f>IF(ISBLANK(C354)," ",349-COUNTBLANK($C$6:C354))</f>
        <v xml:space="preserve"> </v>
      </c>
      <c r="B354" s="88"/>
      <c r="C354" s="88"/>
      <c r="D354" s="89"/>
      <c r="E354" s="89"/>
      <c r="F354" s="73"/>
      <c r="G354" s="73"/>
      <c r="H354" s="73"/>
      <c r="I354" s="73"/>
      <c r="J354" s="73"/>
      <c r="K354" s="73"/>
      <c r="L354" s="73"/>
      <c r="M354" s="74"/>
      <c r="N354" s="71" t="str">
        <f t="shared" si="5"/>
        <v/>
      </c>
      <c r="O354" s="72"/>
      <c r="P354" s="72"/>
      <c r="Q354" s="72"/>
      <c r="R354" s="72"/>
      <c r="S354" s="72"/>
      <c r="T354" s="72"/>
      <c r="U354" s="72"/>
      <c r="V354" s="72"/>
    </row>
    <row r="355" spans="1:25" ht="27.75" customHeight="1">
      <c r="A355" s="87" t="str">
        <f>IF(ISBLANK(C355)," ",350-COUNTBLANK($C$6:C355))</f>
        <v xml:space="preserve"> </v>
      </c>
      <c r="B355" s="88"/>
      <c r="C355" s="88"/>
      <c r="D355" s="89"/>
      <c r="E355" s="89"/>
      <c r="F355" s="73"/>
      <c r="G355" s="73"/>
      <c r="H355" s="73"/>
      <c r="I355" s="73"/>
      <c r="J355" s="73"/>
      <c r="K355" s="73"/>
      <c r="L355" s="73"/>
      <c r="M355" s="74"/>
      <c r="N355" s="71" t="str">
        <f t="shared" si="5"/>
        <v/>
      </c>
      <c r="O355" s="72"/>
      <c r="P355" s="72"/>
      <c r="Q355" s="72"/>
      <c r="R355" s="72"/>
      <c r="S355" s="72"/>
      <c r="T355" s="72"/>
      <c r="U355" s="72"/>
      <c r="V355" s="72"/>
    </row>
    <row r="356" spans="1:25" ht="27.75" customHeight="1">
      <c r="A356" s="87" t="str">
        <f>IF(ISBLANK(C356)," ",351-COUNTBLANK($C$6:C356))</f>
        <v xml:space="preserve"> </v>
      </c>
      <c r="B356" s="88"/>
      <c r="C356" s="88"/>
      <c r="D356" s="89"/>
      <c r="E356" s="89"/>
      <c r="F356" s="73"/>
      <c r="G356" s="73"/>
      <c r="H356" s="73"/>
      <c r="I356" s="73"/>
      <c r="J356" s="73"/>
      <c r="K356" s="73"/>
      <c r="L356" s="73"/>
      <c r="M356" s="74"/>
      <c r="N356" s="71" t="str">
        <f t="shared" si="5"/>
        <v/>
      </c>
      <c r="O356" s="72"/>
      <c r="P356" s="72"/>
      <c r="Q356" s="72"/>
      <c r="R356" s="72"/>
      <c r="S356" s="72"/>
      <c r="T356" s="72"/>
      <c r="U356" s="72"/>
      <c r="V356" s="72"/>
    </row>
    <row r="357" spans="1:25" ht="27.75" customHeight="1">
      <c r="A357" s="87" t="str">
        <f>IF(ISBLANK(C357)," ",352-COUNTBLANK($C$6:C357))</f>
        <v xml:space="preserve"> </v>
      </c>
      <c r="B357" s="88"/>
      <c r="C357" s="88"/>
      <c r="D357" s="89"/>
      <c r="E357" s="89"/>
      <c r="F357" s="73"/>
      <c r="G357" s="73"/>
      <c r="H357" s="73"/>
      <c r="I357" s="73"/>
      <c r="J357" s="73"/>
      <c r="K357" s="73"/>
      <c r="L357" s="73"/>
      <c r="M357" s="74"/>
      <c r="N357" s="71" t="str">
        <f t="shared" si="5"/>
        <v/>
      </c>
      <c r="O357" s="75"/>
      <c r="P357" s="72"/>
      <c r="Q357" s="72"/>
      <c r="R357" s="72"/>
      <c r="S357" s="72"/>
      <c r="T357" s="72"/>
      <c r="U357" s="72"/>
      <c r="V357" s="76"/>
    </row>
    <row r="358" spans="1:25" ht="27.75" customHeight="1">
      <c r="A358" s="87" t="str">
        <f>IF(ISBLANK(C358)," ",353-COUNTBLANK($C$6:C358))</f>
        <v xml:space="preserve"> </v>
      </c>
      <c r="B358" s="88"/>
      <c r="C358" s="88"/>
      <c r="D358" s="89"/>
      <c r="E358" s="89"/>
      <c r="F358" s="73"/>
      <c r="G358" s="73"/>
      <c r="H358" s="73"/>
      <c r="I358" s="73"/>
      <c r="J358" s="73"/>
      <c r="K358" s="73"/>
      <c r="L358" s="73"/>
      <c r="M358" s="74"/>
      <c r="N358" s="71" t="str">
        <f t="shared" si="5"/>
        <v/>
      </c>
      <c r="O358" s="75"/>
      <c r="P358" s="72"/>
      <c r="Q358" s="72"/>
      <c r="R358" s="72"/>
      <c r="S358" s="72"/>
      <c r="T358" s="72"/>
      <c r="U358" s="72"/>
      <c r="V358" s="76"/>
    </row>
    <row r="359" spans="1:25" ht="27.75" customHeight="1">
      <c r="A359" s="87" t="str">
        <f>IF(ISBLANK(C359)," ",354-COUNTBLANK($C$6:C359))</f>
        <v xml:space="preserve"> </v>
      </c>
      <c r="B359" s="88"/>
      <c r="C359" s="88"/>
      <c r="D359" s="89"/>
      <c r="E359" s="89"/>
      <c r="F359" s="73"/>
      <c r="G359" s="73"/>
      <c r="H359" s="73"/>
      <c r="I359" s="73"/>
      <c r="J359" s="73"/>
      <c r="K359" s="73"/>
      <c r="L359" s="73"/>
      <c r="M359" s="74"/>
      <c r="N359" s="71" t="str">
        <f t="shared" si="5"/>
        <v/>
      </c>
      <c r="O359" s="75"/>
      <c r="P359" s="72"/>
      <c r="Q359" s="72"/>
      <c r="R359" s="72"/>
      <c r="S359" s="72"/>
      <c r="T359" s="72"/>
      <c r="U359" s="72"/>
      <c r="V359" s="76"/>
    </row>
    <row r="360" spans="1:25" ht="27.75" customHeight="1">
      <c r="A360" s="87" t="str">
        <f>IF(ISBLANK(C360)," ",355-COUNTBLANK($C$6:C360))</f>
        <v xml:space="preserve"> </v>
      </c>
      <c r="B360" s="88"/>
      <c r="C360" s="88"/>
      <c r="D360" s="89"/>
      <c r="E360" s="89"/>
      <c r="F360" s="73"/>
      <c r="G360" s="73"/>
      <c r="H360" s="73"/>
      <c r="I360" s="73"/>
      <c r="J360" s="73"/>
      <c r="K360" s="73"/>
      <c r="L360" s="73"/>
      <c r="M360" s="74"/>
      <c r="N360" s="71" t="str">
        <f t="shared" si="5"/>
        <v/>
      </c>
      <c r="O360" s="75"/>
      <c r="P360" s="72"/>
      <c r="Q360" s="72"/>
      <c r="R360" s="72"/>
      <c r="S360" s="72"/>
      <c r="T360" s="72"/>
      <c r="U360" s="72"/>
      <c r="V360" s="76"/>
    </row>
    <row r="361" spans="1:25" ht="27.75" customHeight="1">
      <c r="A361" s="87" t="str">
        <f>IF(ISBLANK(C361)," ",356-COUNTBLANK($C$6:C361))</f>
        <v xml:space="preserve"> </v>
      </c>
      <c r="B361" s="88"/>
      <c r="C361" s="88"/>
      <c r="D361" s="89"/>
      <c r="E361" s="89"/>
      <c r="F361" s="73"/>
      <c r="G361" s="73"/>
      <c r="H361" s="73"/>
      <c r="I361" s="73"/>
      <c r="J361" s="73"/>
      <c r="K361" s="73"/>
      <c r="L361" s="73"/>
      <c r="M361" s="74"/>
      <c r="N361" s="71" t="str">
        <f t="shared" si="5"/>
        <v/>
      </c>
      <c r="O361" s="72"/>
      <c r="P361" s="72"/>
      <c r="Q361" s="72"/>
      <c r="R361" s="72"/>
      <c r="S361" s="72"/>
      <c r="T361" s="72"/>
      <c r="U361" s="72"/>
      <c r="V361" s="79"/>
      <c r="W361" s="72"/>
      <c r="X361" s="72"/>
      <c r="Y361" s="72"/>
    </row>
    <row r="362" spans="1:25" ht="27.75" customHeight="1">
      <c r="A362" s="80" t="s">
        <v>52</v>
      </c>
      <c r="B362" s="81"/>
      <c r="C362" s="96"/>
      <c r="D362" s="82"/>
      <c r="E362" s="82">
        <f>SUM(E342:E361)</f>
        <v>0</v>
      </c>
      <c r="F362" s="83"/>
      <c r="G362" s="83"/>
      <c r="H362" s="83"/>
      <c r="I362" s="83"/>
      <c r="J362" s="83"/>
      <c r="K362" s="83"/>
      <c r="L362" s="83"/>
      <c r="M362" s="84"/>
      <c r="N362" s="71" t="str">
        <f t="shared" si="5"/>
        <v/>
      </c>
      <c r="O362" s="75"/>
      <c r="P362" s="72"/>
      <c r="Q362" s="72"/>
      <c r="R362" s="72"/>
      <c r="S362" s="72"/>
      <c r="T362" s="72"/>
      <c r="U362" s="72"/>
      <c r="V362" s="79"/>
      <c r="W362" s="72"/>
      <c r="X362" s="72"/>
      <c r="Y362" s="72"/>
    </row>
    <row r="363" spans="1:25" ht="27.75" customHeight="1">
      <c r="A363" s="93" t="str">
        <f>IF(ISBLANK(C363)," ",358-COUNTBLANK($C$6:C363))</f>
        <v xml:space="preserve"> </v>
      </c>
      <c r="B363" s="94"/>
      <c r="C363" s="94"/>
      <c r="D363" s="95"/>
      <c r="E363" s="95"/>
      <c r="F363" s="85"/>
      <c r="G363" s="85"/>
      <c r="H363" s="85"/>
      <c r="I363" s="85"/>
      <c r="J363" s="85"/>
      <c r="K363" s="85"/>
      <c r="L363" s="85"/>
      <c r="M363" s="86"/>
      <c r="N363" s="71" t="str">
        <f t="shared" si="5"/>
        <v/>
      </c>
      <c r="O363" s="72"/>
      <c r="P363" s="72"/>
      <c r="Q363" s="72"/>
      <c r="R363" s="72"/>
      <c r="S363" s="72"/>
      <c r="T363" s="72"/>
      <c r="U363" s="72"/>
      <c r="V363" s="72"/>
    </row>
    <row r="364" spans="1:25" ht="27.75" customHeight="1">
      <c r="A364" s="87" t="str">
        <f>IF(ISBLANK(C364)," ",359-COUNTBLANK($C$6:C364))</f>
        <v xml:space="preserve"> </v>
      </c>
      <c r="B364" s="88"/>
      <c r="C364" s="88"/>
      <c r="D364" s="89"/>
      <c r="E364" s="89"/>
      <c r="F364" s="73"/>
      <c r="G364" s="73"/>
      <c r="H364" s="73"/>
      <c r="I364" s="73"/>
      <c r="J364" s="73"/>
      <c r="K364" s="73"/>
      <c r="L364" s="73"/>
      <c r="M364" s="74"/>
      <c r="N364" s="71" t="str">
        <f t="shared" si="5"/>
        <v/>
      </c>
      <c r="O364" s="72"/>
      <c r="P364" s="72"/>
      <c r="Q364" s="72"/>
      <c r="R364" s="72"/>
      <c r="S364" s="72"/>
      <c r="T364" s="72"/>
      <c r="U364" s="72"/>
      <c r="V364" s="72"/>
    </row>
    <row r="365" spans="1:25" ht="27.75" customHeight="1">
      <c r="A365" s="87" t="str">
        <f>IF(ISBLANK(C365)," ",360-COUNTBLANK($C$6:C365))</f>
        <v xml:space="preserve"> </v>
      </c>
      <c r="B365" s="88"/>
      <c r="C365" s="88"/>
      <c r="D365" s="89"/>
      <c r="E365" s="89"/>
      <c r="F365" s="73"/>
      <c r="G365" s="73"/>
      <c r="H365" s="73"/>
      <c r="I365" s="73"/>
      <c r="J365" s="73"/>
      <c r="K365" s="73"/>
      <c r="L365" s="73"/>
      <c r="M365" s="74"/>
      <c r="N365" s="71" t="str">
        <f t="shared" si="5"/>
        <v/>
      </c>
      <c r="O365" s="72"/>
      <c r="P365" s="72"/>
      <c r="Q365" s="72"/>
      <c r="R365" s="72"/>
      <c r="S365" s="72"/>
      <c r="T365" s="72"/>
      <c r="U365" s="72"/>
      <c r="V365" s="72"/>
    </row>
    <row r="366" spans="1:25" ht="27.75" customHeight="1">
      <c r="A366" s="87" t="str">
        <f>IF(ISBLANK(C366)," ",361-COUNTBLANK($C$6:C366))</f>
        <v xml:space="preserve"> </v>
      </c>
      <c r="B366" s="88"/>
      <c r="C366" s="88"/>
      <c r="D366" s="89"/>
      <c r="E366" s="89"/>
      <c r="F366" s="73"/>
      <c r="G366" s="73"/>
      <c r="H366" s="73"/>
      <c r="I366" s="73"/>
      <c r="J366" s="73"/>
      <c r="K366" s="73"/>
      <c r="L366" s="73"/>
      <c r="M366" s="74"/>
      <c r="N366" s="71" t="str">
        <f t="shared" si="5"/>
        <v/>
      </c>
      <c r="O366" s="72"/>
      <c r="P366" s="72"/>
      <c r="Q366" s="72"/>
      <c r="R366" s="72"/>
      <c r="S366" s="72"/>
      <c r="T366" s="72"/>
      <c r="U366" s="72"/>
      <c r="V366" s="72"/>
    </row>
    <row r="367" spans="1:25" ht="27.75" customHeight="1">
      <c r="A367" s="87" t="str">
        <f>IF(ISBLANK(C367)," ",362-COUNTBLANK($C$6:C367))</f>
        <v xml:space="preserve"> </v>
      </c>
      <c r="B367" s="88"/>
      <c r="C367" s="88"/>
      <c r="D367" s="89"/>
      <c r="E367" s="89"/>
      <c r="F367" s="73"/>
      <c r="G367" s="73"/>
      <c r="H367" s="73"/>
      <c r="I367" s="73"/>
      <c r="J367" s="73"/>
      <c r="K367" s="73"/>
      <c r="L367" s="73"/>
      <c r="M367" s="74"/>
      <c r="N367" s="71" t="str">
        <f t="shared" si="5"/>
        <v/>
      </c>
      <c r="O367" s="72"/>
      <c r="P367" s="72"/>
      <c r="Q367" s="72"/>
      <c r="R367" s="72"/>
      <c r="S367" s="72"/>
      <c r="T367" s="72"/>
      <c r="U367" s="72"/>
      <c r="V367" s="72"/>
    </row>
    <row r="368" spans="1:25" ht="27.75" customHeight="1">
      <c r="A368" s="87" t="str">
        <f>IF(ISBLANK(C368)," ",363-COUNTBLANK($C$6:C368))</f>
        <v xml:space="preserve"> </v>
      </c>
      <c r="B368" s="88"/>
      <c r="C368" s="88"/>
      <c r="D368" s="89"/>
      <c r="E368" s="89"/>
      <c r="F368" s="73"/>
      <c r="G368" s="73"/>
      <c r="H368" s="73"/>
      <c r="I368" s="73"/>
      <c r="J368" s="73"/>
      <c r="K368" s="73"/>
      <c r="L368" s="73"/>
      <c r="M368" s="74"/>
      <c r="N368" s="71" t="str">
        <f t="shared" si="5"/>
        <v/>
      </c>
      <c r="O368" s="72"/>
      <c r="P368" s="72"/>
      <c r="Q368" s="72"/>
      <c r="R368" s="72"/>
      <c r="S368" s="72"/>
      <c r="T368" s="72"/>
      <c r="U368" s="72"/>
      <c r="V368" s="72"/>
    </row>
    <row r="369" spans="1:25" ht="27.75" customHeight="1">
      <c r="A369" s="87" t="str">
        <f>IF(ISBLANK(C369)," ",364-COUNTBLANK($C$6:C369))</f>
        <v xml:space="preserve"> </v>
      </c>
      <c r="B369" s="88"/>
      <c r="C369" s="88"/>
      <c r="D369" s="89"/>
      <c r="E369" s="89"/>
      <c r="F369" s="73"/>
      <c r="G369" s="73"/>
      <c r="H369" s="73"/>
      <c r="I369" s="73"/>
      <c r="J369" s="73"/>
      <c r="K369" s="73"/>
      <c r="L369" s="73"/>
      <c r="M369" s="74"/>
      <c r="N369" s="71" t="str">
        <f t="shared" si="5"/>
        <v/>
      </c>
      <c r="O369" s="72"/>
      <c r="P369" s="72"/>
      <c r="Q369" s="72"/>
      <c r="R369" s="72"/>
      <c r="S369" s="72"/>
      <c r="T369" s="72"/>
      <c r="U369" s="72"/>
      <c r="V369" s="72"/>
    </row>
    <row r="370" spans="1:25" ht="27.75" customHeight="1">
      <c r="A370" s="87" t="str">
        <f>IF(ISBLANK(C370)," ",365-COUNTBLANK($C$6:C370))</f>
        <v xml:space="preserve"> </v>
      </c>
      <c r="B370" s="88"/>
      <c r="C370" s="88"/>
      <c r="D370" s="89"/>
      <c r="E370" s="89"/>
      <c r="F370" s="73"/>
      <c r="G370" s="73"/>
      <c r="H370" s="73"/>
      <c r="I370" s="73"/>
      <c r="J370" s="73"/>
      <c r="K370" s="73"/>
      <c r="L370" s="73"/>
      <c r="M370" s="74"/>
      <c r="N370" s="71" t="str">
        <f t="shared" si="5"/>
        <v/>
      </c>
      <c r="O370" s="72"/>
      <c r="P370" s="72"/>
      <c r="Q370" s="72"/>
      <c r="R370" s="72"/>
      <c r="S370" s="72"/>
      <c r="T370" s="72"/>
      <c r="U370" s="72"/>
      <c r="V370" s="72"/>
    </row>
    <row r="371" spans="1:25" ht="27.75" customHeight="1">
      <c r="A371" s="87" t="str">
        <f>IF(ISBLANK(C371)," ",366-COUNTBLANK($C$6:C371))</f>
        <v xml:space="preserve"> </v>
      </c>
      <c r="B371" s="88"/>
      <c r="C371" s="88"/>
      <c r="D371" s="89"/>
      <c r="E371" s="89"/>
      <c r="F371" s="73"/>
      <c r="G371" s="73"/>
      <c r="H371" s="73"/>
      <c r="I371" s="73"/>
      <c r="J371" s="73"/>
      <c r="K371" s="73"/>
      <c r="L371" s="73"/>
      <c r="M371" s="74"/>
      <c r="N371" s="71" t="str">
        <f t="shared" si="5"/>
        <v/>
      </c>
      <c r="O371" s="72"/>
      <c r="P371" s="72"/>
      <c r="Q371" s="72"/>
      <c r="R371" s="72"/>
      <c r="S371" s="72"/>
      <c r="T371" s="72"/>
      <c r="U371" s="72"/>
      <c r="V371" s="72"/>
    </row>
    <row r="372" spans="1:25" ht="27.75" customHeight="1">
      <c r="A372" s="87" t="str">
        <f>IF(ISBLANK(C372)," ",367-COUNTBLANK($C$6:C372))</f>
        <v xml:space="preserve"> </v>
      </c>
      <c r="B372" s="88"/>
      <c r="C372" s="88"/>
      <c r="D372" s="89"/>
      <c r="E372" s="89"/>
      <c r="F372" s="73"/>
      <c r="G372" s="73"/>
      <c r="H372" s="73"/>
      <c r="I372" s="73"/>
      <c r="J372" s="73"/>
      <c r="K372" s="73"/>
      <c r="L372" s="73"/>
      <c r="M372" s="74"/>
      <c r="N372" s="71" t="str">
        <f t="shared" si="5"/>
        <v/>
      </c>
      <c r="O372" s="72"/>
      <c r="P372" s="72"/>
      <c r="Q372" s="72"/>
      <c r="R372" s="72"/>
      <c r="S372" s="72"/>
      <c r="T372" s="72"/>
      <c r="U372" s="72"/>
      <c r="V372" s="72"/>
    </row>
    <row r="373" spans="1:25" ht="27.75" customHeight="1">
      <c r="A373" s="87" t="str">
        <f>IF(ISBLANK(C373)," ",368-COUNTBLANK($C$6:C373))</f>
        <v xml:space="preserve"> </v>
      </c>
      <c r="B373" s="88"/>
      <c r="C373" s="88"/>
      <c r="D373" s="89"/>
      <c r="E373" s="89"/>
      <c r="F373" s="73"/>
      <c r="G373" s="73"/>
      <c r="H373" s="73"/>
      <c r="I373" s="73"/>
      <c r="J373" s="73"/>
      <c r="K373" s="73"/>
      <c r="L373" s="73"/>
      <c r="M373" s="74"/>
      <c r="N373" s="71" t="str">
        <f t="shared" si="5"/>
        <v/>
      </c>
      <c r="O373" s="72"/>
      <c r="P373" s="72"/>
      <c r="Q373" s="72"/>
      <c r="R373" s="72"/>
      <c r="S373" s="72"/>
      <c r="T373" s="72"/>
      <c r="U373" s="72"/>
      <c r="V373" s="72"/>
    </row>
    <row r="374" spans="1:25" ht="27.75" customHeight="1">
      <c r="A374" s="87" t="str">
        <f>IF(ISBLANK(C374)," ",369-COUNTBLANK($C$6:C374))</f>
        <v xml:space="preserve"> </v>
      </c>
      <c r="B374" s="88"/>
      <c r="C374" s="88"/>
      <c r="D374" s="89"/>
      <c r="E374" s="89"/>
      <c r="F374" s="73"/>
      <c r="G374" s="73"/>
      <c r="H374" s="73"/>
      <c r="I374" s="73"/>
      <c r="J374" s="73"/>
      <c r="K374" s="73"/>
      <c r="L374" s="73"/>
      <c r="M374" s="74"/>
      <c r="N374" s="71" t="str">
        <f t="shared" si="5"/>
        <v/>
      </c>
      <c r="O374" s="72"/>
      <c r="P374" s="72"/>
      <c r="Q374" s="72"/>
      <c r="R374" s="72"/>
      <c r="S374" s="72"/>
      <c r="T374" s="72"/>
      <c r="U374" s="72"/>
      <c r="V374" s="72"/>
    </row>
    <row r="375" spans="1:25" ht="27.75" customHeight="1">
      <c r="A375" s="87" t="str">
        <f>IF(ISBLANK(C375)," ",370-COUNTBLANK($C$6:C375))</f>
        <v xml:space="preserve"> </v>
      </c>
      <c r="B375" s="88"/>
      <c r="C375" s="88"/>
      <c r="D375" s="89"/>
      <c r="E375" s="89"/>
      <c r="F375" s="73"/>
      <c r="G375" s="73"/>
      <c r="H375" s="73"/>
      <c r="I375" s="73"/>
      <c r="J375" s="73"/>
      <c r="K375" s="73"/>
      <c r="L375" s="73"/>
      <c r="M375" s="74"/>
      <c r="N375" s="71" t="str">
        <f t="shared" si="5"/>
        <v/>
      </c>
      <c r="O375" s="72"/>
      <c r="P375" s="72"/>
      <c r="Q375" s="72"/>
      <c r="R375" s="72"/>
      <c r="S375" s="72"/>
      <c r="T375" s="72"/>
      <c r="U375" s="72"/>
      <c r="V375" s="72"/>
    </row>
    <row r="376" spans="1:25" ht="27.75" customHeight="1">
      <c r="A376" s="87" t="str">
        <f>IF(ISBLANK(C376)," ",371-COUNTBLANK($C$6:C376))</f>
        <v xml:space="preserve"> </v>
      </c>
      <c r="B376" s="88"/>
      <c r="C376" s="88"/>
      <c r="D376" s="89"/>
      <c r="E376" s="89"/>
      <c r="F376" s="73"/>
      <c r="G376" s="73"/>
      <c r="H376" s="73"/>
      <c r="I376" s="73"/>
      <c r="J376" s="73"/>
      <c r="K376" s="73"/>
      <c r="L376" s="73"/>
      <c r="M376" s="74"/>
      <c r="N376" s="71" t="str">
        <f t="shared" si="5"/>
        <v/>
      </c>
      <c r="O376" s="72"/>
      <c r="P376" s="72"/>
      <c r="Q376" s="72"/>
      <c r="R376" s="72"/>
      <c r="S376" s="72"/>
      <c r="T376" s="72"/>
      <c r="U376" s="72"/>
      <c r="V376" s="72"/>
    </row>
    <row r="377" spans="1:25" ht="27.75" customHeight="1">
      <c r="A377" s="87" t="str">
        <f>IF(ISBLANK(C377)," ",372-COUNTBLANK($C$6:C377))</f>
        <v xml:space="preserve"> </v>
      </c>
      <c r="B377" s="88"/>
      <c r="C377" s="88"/>
      <c r="D377" s="89"/>
      <c r="E377" s="89"/>
      <c r="F377" s="73"/>
      <c r="G377" s="73"/>
      <c r="H377" s="73"/>
      <c r="I377" s="73"/>
      <c r="J377" s="73"/>
      <c r="K377" s="73"/>
      <c r="L377" s="73"/>
      <c r="M377" s="74"/>
      <c r="N377" s="71" t="str">
        <f t="shared" si="5"/>
        <v/>
      </c>
      <c r="O377" s="72"/>
      <c r="P377" s="72"/>
      <c r="Q377" s="72"/>
      <c r="R377" s="72"/>
      <c r="S377" s="72"/>
      <c r="T377" s="72"/>
      <c r="U377" s="72"/>
      <c r="V377" s="72"/>
    </row>
    <row r="378" spans="1:25" ht="27.75" customHeight="1">
      <c r="A378" s="87" t="str">
        <f>IF(ISBLANK(C378)," ",373-COUNTBLANK($C$6:C378))</f>
        <v xml:space="preserve"> </v>
      </c>
      <c r="B378" s="88"/>
      <c r="C378" s="88"/>
      <c r="D378" s="89"/>
      <c r="E378" s="89"/>
      <c r="F378" s="73"/>
      <c r="G378" s="73"/>
      <c r="H378" s="73"/>
      <c r="I378" s="73"/>
      <c r="J378" s="73"/>
      <c r="K378" s="73"/>
      <c r="L378" s="73"/>
      <c r="M378" s="74"/>
      <c r="N378" s="71" t="str">
        <f t="shared" si="5"/>
        <v/>
      </c>
      <c r="O378" s="75"/>
      <c r="P378" s="72"/>
      <c r="Q378" s="72"/>
      <c r="R378" s="72"/>
      <c r="S378" s="72"/>
      <c r="T378" s="72"/>
      <c r="U378" s="72"/>
      <c r="V378" s="76"/>
    </row>
    <row r="379" spans="1:25" ht="27.75" customHeight="1">
      <c r="A379" s="87" t="str">
        <f>IF(ISBLANK(C379)," ",374-COUNTBLANK($C$6:C379))</f>
        <v xml:space="preserve"> </v>
      </c>
      <c r="B379" s="88"/>
      <c r="C379" s="88"/>
      <c r="D379" s="89"/>
      <c r="E379" s="89"/>
      <c r="F379" s="73"/>
      <c r="G379" s="73"/>
      <c r="H379" s="73"/>
      <c r="I379" s="73"/>
      <c r="J379" s="73"/>
      <c r="K379" s="73"/>
      <c r="L379" s="73"/>
      <c r="M379" s="74"/>
      <c r="N379" s="71" t="str">
        <f t="shared" si="5"/>
        <v/>
      </c>
      <c r="O379" s="75"/>
      <c r="P379" s="72"/>
      <c r="Q379" s="72"/>
      <c r="R379" s="72"/>
      <c r="S379" s="72"/>
      <c r="T379" s="72"/>
      <c r="U379" s="72"/>
      <c r="V379" s="76"/>
    </row>
    <row r="380" spans="1:25" ht="27.75" customHeight="1">
      <c r="A380" s="87" t="str">
        <f>IF(ISBLANK(C380)," ",375-COUNTBLANK($C$6:C380))</f>
        <v xml:space="preserve"> </v>
      </c>
      <c r="B380" s="88"/>
      <c r="C380" s="88"/>
      <c r="D380" s="89"/>
      <c r="E380" s="89"/>
      <c r="F380" s="73"/>
      <c r="G380" s="73"/>
      <c r="H380" s="73"/>
      <c r="I380" s="73"/>
      <c r="J380" s="73"/>
      <c r="K380" s="73"/>
      <c r="L380" s="73"/>
      <c r="M380" s="74"/>
      <c r="N380" s="71" t="str">
        <f t="shared" si="5"/>
        <v/>
      </c>
      <c r="O380" s="75"/>
      <c r="P380" s="72"/>
      <c r="Q380" s="72"/>
      <c r="R380" s="72"/>
      <c r="S380" s="72"/>
      <c r="T380" s="72"/>
      <c r="U380" s="72"/>
      <c r="V380" s="76"/>
    </row>
    <row r="381" spans="1:25" ht="27.75" customHeight="1">
      <c r="A381" s="87" t="str">
        <f>IF(ISBLANK(C381)," ",376-COUNTBLANK($C$6:C381))</f>
        <v xml:space="preserve"> </v>
      </c>
      <c r="B381" s="88"/>
      <c r="C381" s="88"/>
      <c r="D381" s="89"/>
      <c r="E381" s="89"/>
      <c r="F381" s="73"/>
      <c r="G381" s="73"/>
      <c r="H381" s="73"/>
      <c r="I381" s="73"/>
      <c r="J381" s="73"/>
      <c r="K381" s="73"/>
      <c r="L381" s="73"/>
      <c r="M381" s="74"/>
      <c r="N381" s="71" t="str">
        <f t="shared" si="5"/>
        <v/>
      </c>
      <c r="O381" s="75"/>
      <c r="P381" s="72"/>
      <c r="Q381" s="72"/>
      <c r="R381" s="72"/>
      <c r="S381" s="72"/>
      <c r="T381" s="72"/>
      <c r="U381" s="72"/>
      <c r="V381" s="76"/>
    </row>
    <row r="382" spans="1:25" ht="27.75" customHeight="1">
      <c r="A382" s="87" t="str">
        <f>IF(ISBLANK(C382)," ",377-COUNTBLANK($C$6:C382))</f>
        <v xml:space="preserve"> </v>
      </c>
      <c r="B382" s="88"/>
      <c r="C382" s="88"/>
      <c r="D382" s="89"/>
      <c r="E382" s="89"/>
      <c r="F382" s="73"/>
      <c r="G382" s="73"/>
      <c r="H382" s="73"/>
      <c r="I382" s="73"/>
      <c r="J382" s="73"/>
      <c r="K382" s="73"/>
      <c r="L382" s="73"/>
      <c r="M382" s="74"/>
      <c r="N382" s="71" t="str">
        <f t="shared" si="5"/>
        <v/>
      </c>
      <c r="O382" s="72"/>
      <c r="P382" s="72"/>
      <c r="Q382" s="72"/>
      <c r="R382" s="72"/>
      <c r="S382" s="72"/>
      <c r="T382" s="72"/>
      <c r="U382" s="72"/>
      <c r="V382" s="79"/>
      <c r="W382" s="72"/>
      <c r="X382" s="72"/>
      <c r="Y382" s="72"/>
    </row>
    <row r="383" spans="1:25" ht="27.75" customHeight="1">
      <c r="A383" s="80" t="s">
        <v>52</v>
      </c>
      <c r="B383" s="81"/>
      <c r="C383" s="96"/>
      <c r="D383" s="82"/>
      <c r="E383" s="82">
        <f>SUM(E363:E382)</f>
        <v>0</v>
      </c>
      <c r="F383" s="83"/>
      <c r="G383" s="83"/>
      <c r="H383" s="83"/>
      <c r="I383" s="83"/>
      <c r="J383" s="83"/>
      <c r="K383" s="83"/>
      <c r="L383" s="83"/>
      <c r="M383" s="84"/>
      <c r="N383" s="71" t="str">
        <f t="shared" si="5"/>
        <v/>
      </c>
      <c r="O383" s="75"/>
      <c r="P383" s="72"/>
      <c r="Q383" s="72"/>
      <c r="R383" s="72"/>
      <c r="S383" s="72"/>
      <c r="T383" s="72"/>
      <c r="U383" s="72"/>
      <c r="V383" s="79"/>
      <c r="W383" s="72"/>
      <c r="X383" s="72"/>
      <c r="Y383" s="72"/>
    </row>
    <row r="384" spans="1:25" ht="27.75" customHeight="1">
      <c r="A384" s="93" t="str">
        <f>IF(ISBLANK(C384)," ",379-COUNTBLANK($C$6:C384))</f>
        <v xml:space="preserve"> </v>
      </c>
      <c r="B384" s="94"/>
      <c r="C384" s="94"/>
      <c r="D384" s="95"/>
      <c r="E384" s="95"/>
      <c r="F384" s="85"/>
      <c r="G384" s="85"/>
      <c r="H384" s="85"/>
      <c r="I384" s="85"/>
      <c r="J384" s="85"/>
      <c r="K384" s="85"/>
      <c r="L384" s="85"/>
      <c r="M384" s="86"/>
      <c r="N384" s="71" t="str">
        <f t="shared" si="5"/>
        <v/>
      </c>
      <c r="O384" s="72"/>
      <c r="P384" s="72"/>
      <c r="Q384" s="72"/>
      <c r="R384" s="72"/>
      <c r="S384" s="72"/>
      <c r="T384" s="72"/>
      <c r="U384" s="72"/>
      <c r="V384" s="72"/>
    </row>
    <row r="385" spans="1:22" ht="27.75" customHeight="1">
      <c r="A385" s="87" t="str">
        <f>IF(ISBLANK(C385)," ",380-COUNTBLANK($C$6:C385))</f>
        <v xml:space="preserve"> </v>
      </c>
      <c r="B385" s="88"/>
      <c r="C385" s="88"/>
      <c r="D385" s="89"/>
      <c r="E385" s="89"/>
      <c r="F385" s="73"/>
      <c r="G385" s="73"/>
      <c r="H385" s="73"/>
      <c r="I385" s="73"/>
      <c r="J385" s="73"/>
      <c r="K385" s="73"/>
      <c r="L385" s="73"/>
      <c r="M385" s="74"/>
      <c r="N385" s="71" t="str">
        <f t="shared" si="5"/>
        <v/>
      </c>
      <c r="O385" s="72"/>
      <c r="P385" s="72"/>
      <c r="Q385" s="72"/>
      <c r="R385" s="72"/>
      <c r="S385" s="72"/>
      <c r="T385" s="72"/>
      <c r="U385" s="72"/>
      <c r="V385" s="72"/>
    </row>
    <row r="386" spans="1:22" ht="27.75" customHeight="1">
      <c r="A386" s="87" t="str">
        <f>IF(ISBLANK(C386)," ",381-COUNTBLANK($C$6:C386))</f>
        <v xml:space="preserve"> </v>
      </c>
      <c r="B386" s="88"/>
      <c r="C386" s="88"/>
      <c r="D386" s="89"/>
      <c r="E386" s="89"/>
      <c r="F386" s="73"/>
      <c r="G386" s="73"/>
      <c r="H386" s="73"/>
      <c r="I386" s="73"/>
      <c r="J386" s="73"/>
      <c r="K386" s="73"/>
      <c r="L386" s="73"/>
      <c r="M386" s="74"/>
      <c r="N386" s="71" t="str">
        <f t="shared" si="5"/>
        <v/>
      </c>
      <c r="O386" s="72"/>
      <c r="P386" s="72"/>
      <c r="Q386" s="72"/>
      <c r="R386" s="72"/>
      <c r="S386" s="72"/>
      <c r="T386" s="72"/>
      <c r="U386" s="72"/>
      <c r="V386" s="72"/>
    </row>
    <row r="387" spans="1:22" ht="27.75" customHeight="1">
      <c r="A387" s="87" t="str">
        <f>IF(ISBLANK(C387)," ",382-COUNTBLANK($C$6:C387))</f>
        <v xml:space="preserve"> </v>
      </c>
      <c r="B387" s="88"/>
      <c r="C387" s="88"/>
      <c r="D387" s="89"/>
      <c r="E387" s="89"/>
      <c r="F387" s="73"/>
      <c r="G387" s="73"/>
      <c r="H387" s="73"/>
      <c r="I387" s="73"/>
      <c r="J387" s="73"/>
      <c r="K387" s="73"/>
      <c r="L387" s="73"/>
      <c r="M387" s="74"/>
      <c r="N387" s="71" t="str">
        <f t="shared" si="5"/>
        <v/>
      </c>
      <c r="O387" s="72"/>
      <c r="P387" s="72"/>
      <c r="Q387" s="72"/>
      <c r="R387" s="72"/>
      <c r="S387" s="72"/>
      <c r="T387" s="72"/>
      <c r="U387" s="72"/>
      <c r="V387" s="72"/>
    </row>
    <row r="388" spans="1:22" ht="27.75" customHeight="1">
      <c r="A388" s="87" t="str">
        <f>IF(ISBLANK(C388)," ",383-COUNTBLANK($C$6:C388))</f>
        <v xml:space="preserve"> </v>
      </c>
      <c r="B388" s="88"/>
      <c r="C388" s="88"/>
      <c r="D388" s="89"/>
      <c r="E388" s="89"/>
      <c r="F388" s="73"/>
      <c r="G388" s="73"/>
      <c r="H388" s="73"/>
      <c r="I388" s="73"/>
      <c r="J388" s="73"/>
      <c r="K388" s="73"/>
      <c r="L388" s="73"/>
      <c r="M388" s="74"/>
      <c r="N388" s="71" t="str">
        <f t="shared" si="5"/>
        <v/>
      </c>
      <c r="O388" s="72"/>
      <c r="P388" s="72"/>
      <c r="Q388" s="72"/>
      <c r="R388" s="72"/>
      <c r="S388" s="72"/>
      <c r="T388" s="72"/>
      <c r="U388" s="72"/>
      <c r="V388" s="72"/>
    </row>
    <row r="389" spans="1:22" ht="27.75" customHeight="1">
      <c r="A389" s="87" t="str">
        <f>IF(ISBLANK(C389)," ",384-COUNTBLANK($C$6:C389))</f>
        <v xml:space="preserve"> </v>
      </c>
      <c r="B389" s="88"/>
      <c r="C389" s="88"/>
      <c r="D389" s="89"/>
      <c r="E389" s="89"/>
      <c r="F389" s="73"/>
      <c r="G389" s="73"/>
      <c r="H389" s="73"/>
      <c r="I389" s="73"/>
      <c r="J389" s="73"/>
      <c r="K389" s="73"/>
      <c r="L389" s="73"/>
      <c r="M389" s="74"/>
      <c r="N389" s="71" t="str">
        <f t="shared" si="5"/>
        <v/>
      </c>
      <c r="O389" s="72"/>
      <c r="P389" s="72"/>
      <c r="Q389" s="72"/>
      <c r="R389" s="72"/>
      <c r="S389" s="72"/>
      <c r="T389" s="72"/>
      <c r="U389" s="72"/>
      <c r="V389" s="72"/>
    </row>
    <row r="390" spans="1:22" ht="27.75" customHeight="1">
      <c r="A390" s="87" t="str">
        <f>IF(ISBLANK(C390)," ",385-COUNTBLANK($C$6:C390))</f>
        <v xml:space="preserve"> </v>
      </c>
      <c r="B390" s="88"/>
      <c r="C390" s="88"/>
      <c r="D390" s="89"/>
      <c r="E390" s="89"/>
      <c r="F390" s="73"/>
      <c r="G390" s="73"/>
      <c r="H390" s="73"/>
      <c r="I390" s="73"/>
      <c r="J390" s="73"/>
      <c r="K390" s="73"/>
      <c r="L390" s="73"/>
      <c r="M390" s="74"/>
      <c r="N390" s="71" t="str">
        <f t="shared" ref="N390:N453" si="6">CONCATENATE(C390,H390)</f>
        <v/>
      </c>
      <c r="O390" s="72"/>
      <c r="P390" s="72"/>
      <c r="Q390" s="72"/>
      <c r="R390" s="72"/>
      <c r="S390" s="72"/>
      <c r="T390" s="72"/>
      <c r="U390" s="72"/>
      <c r="V390" s="72"/>
    </row>
    <row r="391" spans="1:22" ht="27.75" customHeight="1">
      <c r="A391" s="87" t="str">
        <f>IF(ISBLANK(C391)," ",386-COUNTBLANK($C$6:C391))</f>
        <v xml:space="preserve"> </v>
      </c>
      <c r="B391" s="88"/>
      <c r="C391" s="88"/>
      <c r="D391" s="89"/>
      <c r="E391" s="89"/>
      <c r="F391" s="73"/>
      <c r="G391" s="73"/>
      <c r="H391" s="73"/>
      <c r="I391" s="73"/>
      <c r="J391" s="73"/>
      <c r="K391" s="73"/>
      <c r="L391" s="73"/>
      <c r="M391" s="74"/>
      <c r="N391" s="71" t="str">
        <f t="shared" si="6"/>
        <v/>
      </c>
      <c r="O391" s="72"/>
      <c r="P391" s="72"/>
      <c r="Q391" s="72"/>
      <c r="R391" s="72"/>
      <c r="S391" s="72"/>
      <c r="T391" s="72"/>
      <c r="U391" s="72"/>
      <c r="V391" s="72"/>
    </row>
    <row r="392" spans="1:22" ht="27.75" customHeight="1">
      <c r="A392" s="87" t="str">
        <f>IF(ISBLANK(C392)," ",387-COUNTBLANK($C$6:C392))</f>
        <v xml:space="preserve"> </v>
      </c>
      <c r="B392" s="88"/>
      <c r="C392" s="88"/>
      <c r="D392" s="89"/>
      <c r="E392" s="89"/>
      <c r="F392" s="73"/>
      <c r="G392" s="73"/>
      <c r="H392" s="73"/>
      <c r="I392" s="73"/>
      <c r="J392" s="73"/>
      <c r="K392" s="73"/>
      <c r="L392" s="73"/>
      <c r="M392" s="74"/>
      <c r="N392" s="71" t="str">
        <f t="shared" si="6"/>
        <v/>
      </c>
      <c r="O392" s="72"/>
      <c r="P392" s="72"/>
      <c r="Q392" s="72"/>
      <c r="R392" s="72"/>
      <c r="S392" s="72"/>
      <c r="T392" s="72"/>
      <c r="U392" s="72"/>
      <c r="V392" s="72"/>
    </row>
    <row r="393" spans="1:22" ht="27.75" customHeight="1">
      <c r="A393" s="87" t="str">
        <f>IF(ISBLANK(C393)," ",388-COUNTBLANK($C$6:C393))</f>
        <v xml:space="preserve"> </v>
      </c>
      <c r="B393" s="88"/>
      <c r="C393" s="88"/>
      <c r="D393" s="89"/>
      <c r="E393" s="89"/>
      <c r="F393" s="73"/>
      <c r="G393" s="73"/>
      <c r="H393" s="73"/>
      <c r="I393" s="73"/>
      <c r="J393" s="73"/>
      <c r="K393" s="73"/>
      <c r="L393" s="73"/>
      <c r="M393" s="74"/>
      <c r="N393" s="71" t="str">
        <f t="shared" si="6"/>
        <v/>
      </c>
      <c r="O393" s="72"/>
      <c r="P393" s="72"/>
      <c r="Q393" s="72"/>
      <c r="R393" s="72"/>
      <c r="S393" s="72"/>
      <c r="T393" s="72"/>
      <c r="U393" s="72"/>
      <c r="V393" s="72"/>
    </row>
    <row r="394" spans="1:22" ht="27.75" customHeight="1">
      <c r="A394" s="87" t="str">
        <f>IF(ISBLANK(C394)," ",389-COUNTBLANK($C$6:C394))</f>
        <v xml:space="preserve"> </v>
      </c>
      <c r="B394" s="88"/>
      <c r="C394" s="88"/>
      <c r="D394" s="89"/>
      <c r="E394" s="89"/>
      <c r="F394" s="73"/>
      <c r="G394" s="73"/>
      <c r="H394" s="73"/>
      <c r="I394" s="73"/>
      <c r="J394" s="73"/>
      <c r="K394" s="73"/>
      <c r="L394" s="73"/>
      <c r="M394" s="74"/>
      <c r="N394" s="71" t="str">
        <f t="shared" si="6"/>
        <v/>
      </c>
      <c r="O394" s="72"/>
      <c r="P394" s="72"/>
      <c r="Q394" s="72"/>
      <c r="R394" s="72"/>
      <c r="S394" s="72"/>
      <c r="T394" s="72"/>
      <c r="U394" s="72"/>
      <c r="V394" s="72"/>
    </row>
    <row r="395" spans="1:22" ht="27.75" customHeight="1">
      <c r="A395" s="87" t="str">
        <f>IF(ISBLANK(C395)," ",390-COUNTBLANK($C$6:C395))</f>
        <v xml:space="preserve"> </v>
      </c>
      <c r="B395" s="88"/>
      <c r="C395" s="88"/>
      <c r="D395" s="89"/>
      <c r="E395" s="89"/>
      <c r="F395" s="73"/>
      <c r="G395" s="73"/>
      <c r="H395" s="73"/>
      <c r="I395" s="73"/>
      <c r="J395" s="73"/>
      <c r="K395" s="73"/>
      <c r="L395" s="73"/>
      <c r="M395" s="74"/>
      <c r="N395" s="71" t="str">
        <f t="shared" si="6"/>
        <v/>
      </c>
      <c r="O395" s="72"/>
      <c r="P395" s="72"/>
      <c r="Q395" s="72"/>
      <c r="R395" s="72"/>
      <c r="S395" s="72"/>
      <c r="T395" s="72"/>
      <c r="U395" s="72"/>
      <c r="V395" s="72"/>
    </row>
    <row r="396" spans="1:22" ht="27.75" customHeight="1">
      <c r="A396" s="87" t="str">
        <f>IF(ISBLANK(C396)," ",391-COUNTBLANK($C$6:C396))</f>
        <v xml:space="preserve"> </v>
      </c>
      <c r="B396" s="88"/>
      <c r="C396" s="88"/>
      <c r="D396" s="89"/>
      <c r="E396" s="89"/>
      <c r="F396" s="73"/>
      <c r="G396" s="73"/>
      <c r="H396" s="73"/>
      <c r="I396" s="73"/>
      <c r="J396" s="73"/>
      <c r="K396" s="73"/>
      <c r="L396" s="73"/>
      <c r="M396" s="74"/>
      <c r="N396" s="71" t="str">
        <f t="shared" si="6"/>
        <v/>
      </c>
      <c r="O396" s="72"/>
      <c r="P396" s="72"/>
      <c r="Q396" s="72"/>
      <c r="R396" s="72"/>
      <c r="S396" s="72"/>
      <c r="T396" s="72"/>
      <c r="U396" s="72"/>
      <c r="V396" s="72"/>
    </row>
    <row r="397" spans="1:22" ht="27.75" customHeight="1">
      <c r="A397" s="87" t="str">
        <f>IF(ISBLANK(C397)," ",392-COUNTBLANK($C$6:C397))</f>
        <v xml:space="preserve"> </v>
      </c>
      <c r="B397" s="88"/>
      <c r="C397" s="88"/>
      <c r="D397" s="89"/>
      <c r="E397" s="89"/>
      <c r="F397" s="73"/>
      <c r="G397" s="73"/>
      <c r="H397" s="73"/>
      <c r="I397" s="73"/>
      <c r="J397" s="73"/>
      <c r="K397" s="73"/>
      <c r="L397" s="73"/>
      <c r="M397" s="74"/>
      <c r="N397" s="71" t="str">
        <f t="shared" si="6"/>
        <v/>
      </c>
      <c r="O397" s="72"/>
      <c r="P397" s="72"/>
      <c r="Q397" s="72"/>
      <c r="R397" s="72"/>
      <c r="S397" s="72"/>
      <c r="T397" s="72"/>
      <c r="U397" s="72"/>
      <c r="V397" s="72"/>
    </row>
    <row r="398" spans="1:22" ht="27.75" customHeight="1">
      <c r="A398" s="87" t="str">
        <f>IF(ISBLANK(C398)," ",393-COUNTBLANK($C$6:C398))</f>
        <v xml:space="preserve"> </v>
      </c>
      <c r="B398" s="88"/>
      <c r="C398" s="88"/>
      <c r="D398" s="89"/>
      <c r="E398" s="89"/>
      <c r="F398" s="73"/>
      <c r="G398" s="73"/>
      <c r="H398" s="73"/>
      <c r="I398" s="73"/>
      <c r="J398" s="73"/>
      <c r="K398" s="73"/>
      <c r="L398" s="73"/>
      <c r="M398" s="74"/>
      <c r="N398" s="71" t="str">
        <f t="shared" si="6"/>
        <v/>
      </c>
      <c r="O398" s="72"/>
      <c r="P398" s="72"/>
      <c r="Q398" s="72"/>
      <c r="R398" s="72"/>
      <c r="S398" s="72"/>
      <c r="T398" s="72"/>
      <c r="U398" s="72"/>
      <c r="V398" s="72"/>
    </row>
    <row r="399" spans="1:22" ht="27.75" customHeight="1">
      <c r="A399" s="87" t="str">
        <f>IF(ISBLANK(C399)," ",394-COUNTBLANK($C$6:C399))</f>
        <v xml:space="preserve"> </v>
      </c>
      <c r="B399" s="88"/>
      <c r="C399" s="88"/>
      <c r="D399" s="89"/>
      <c r="E399" s="89"/>
      <c r="F399" s="73"/>
      <c r="G399" s="73"/>
      <c r="H399" s="73"/>
      <c r="I399" s="73"/>
      <c r="J399" s="73"/>
      <c r="K399" s="73"/>
      <c r="L399" s="73"/>
      <c r="M399" s="74"/>
      <c r="N399" s="71" t="str">
        <f t="shared" si="6"/>
        <v/>
      </c>
      <c r="O399" s="75"/>
      <c r="P399" s="72"/>
      <c r="Q399" s="72"/>
      <c r="R399" s="72"/>
      <c r="S399" s="72"/>
      <c r="T399" s="72"/>
      <c r="U399" s="72"/>
      <c r="V399" s="76"/>
    </row>
    <row r="400" spans="1:22" ht="27.75" customHeight="1">
      <c r="A400" s="87" t="str">
        <f>IF(ISBLANK(C400)," ",395-COUNTBLANK($C$6:C400))</f>
        <v xml:space="preserve"> </v>
      </c>
      <c r="B400" s="88"/>
      <c r="C400" s="88"/>
      <c r="D400" s="89"/>
      <c r="E400" s="89"/>
      <c r="F400" s="73"/>
      <c r="G400" s="73"/>
      <c r="H400" s="73"/>
      <c r="I400" s="73"/>
      <c r="J400" s="73"/>
      <c r="K400" s="73"/>
      <c r="L400" s="73"/>
      <c r="M400" s="74"/>
      <c r="N400" s="71" t="str">
        <f t="shared" si="6"/>
        <v/>
      </c>
      <c r="O400" s="75"/>
      <c r="P400" s="72"/>
      <c r="Q400" s="72"/>
      <c r="R400" s="72"/>
      <c r="S400" s="72"/>
      <c r="T400" s="72"/>
      <c r="U400" s="72"/>
      <c r="V400" s="76"/>
    </row>
    <row r="401" spans="1:25" ht="27.75" customHeight="1">
      <c r="A401" s="87" t="str">
        <f>IF(ISBLANK(C401)," ",396-COUNTBLANK($C$6:C401))</f>
        <v xml:space="preserve"> </v>
      </c>
      <c r="B401" s="88"/>
      <c r="C401" s="88"/>
      <c r="D401" s="89"/>
      <c r="E401" s="89"/>
      <c r="F401" s="73"/>
      <c r="G401" s="73"/>
      <c r="H401" s="73"/>
      <c r="I401" s="73"/>
      <c r="J401" s="73"/>
      <c r="K401" s="73"/>
      <c r="L401" s="73"/>
      <c r="M401" s="74"/>
      <c r="N401" s="71" t="str">
        <f t="shared" si="6"/>
        <v/>
      </c>
      <c r="O401" s="75"/>
      <c r="P401" s="72"/>
      <c r="Q401" s="72"/>
      <c r="R401" s="72"/>
      <c r="S401" s="72"/>
      <c r="T401" s="72"/>
      <c r="U401" s="72"/>
      <c r="V401" s="76"/>
    </row>
    <row r="402" spans="1:25" ht="27.75" customHeight="1">
      <c r="A402" s="87" t="str">
        <f>IF(ISBLANK(C402)," ",397-COUNTBLANK($C$6:C402))</f>
        <v xml:space="preserve"> </v>
      </c>
      <c r="B402" s="88"/>
      <c r="C402" s="88"/>
      <c r="D402" s="89"/>
      <c r="E402" s="89"/>
      <c r="F402" s="73"/>
      <c r="G402" s="73"/>
      <c r="H402" s="73"/>
      <c r="I402" s="73"/>
      <c r="J402" s="73"/>
      <c r="K402" s="73"/>
      <c r="L402" s="73"/>
      <c r="M402" s="74"/>
      <c r="N402" s="71" t="str">
        <f t="shared" si="6"/>
        <v/>
      </c>
      <c r="O402" s="75"/>
      <c r="P402" s="72"/>
      <c r="Q402" s="72"/>
      <c r="R402" s="72"/>
      <c r="S402" s="72"/>
      <c r="T402" s="72"/>
      <c r="U402" s="72"/>
      <c r="V402" s="76"/>
    </row>
    <row r="403" spans="1:25" ht="27.75" customHeight="1">
      <c r="A403" s="87" t="str">
        <f>IF(ISBLANK(C403)," ",398-COUNTBLANK($C$6:C403))</f>
        <v xml:space="preserve"> </v>
      </c>
      <c r="B403" s="88"/>
      <c r="C403" s="88"/>
      <c r="D403" s="89"/>
      <c r="E403" s="89"/>
      <c r="F403" s="73"/>
      <c r="G403" s="73"/>
      <c r="H403" s="73"/>
      <c r="I403" s="73"/>
      <c r="J403" s="73"/>
      <c r="K403" s="73"/>
      <c r="L403" s="73"/>
      <c r="M403" s="74"/>
      <c r="N403" s="71" t="str">
        <f t="shared" si="6"/>
        <v/>
      </c>
      <c r="O403" s="72"/>
      <c r="P403" s="72"/>
      <c r="Q403" s="72"/>
      <c r="R403" s="72"/>
      <c r="S403" s="72"/>
      <c r="T403" s="72"/>
      <c r="U403" s="72"/>
      <c r="V403" s="79"/>
      <c r="W403" s="72"/>
      <c r="X403" s="72"/>
      <c r="Y403" s="72"/>
    </row>
    <row r="404" spans="1:25" ht="27.75" customHeight="1">
      <c r="A404" s="80" t="s">
        <v>52</v>
      </c>
      <c r="B404" s="81"/>
      <c r="C404" s="96"/>
      <c r="D404" s="82"/>
      <c r="E404" s="82">
        <f>SUM(E384:E403)</f>
        <v>0</v>
      </c>
      <c r="F404" s="83"/>
      <c r="G404" s="83"/>
      <c r="H404" s="83"/>
      <c r="I404" s="83"/>
      <c r="J404" s="83"/>
      <c r="K404" s="83"/>
      <c r="L404" s="83"/>
      <c r="M404" s="84"/>
      <c r="N404" s="71" t="str">
        <f t="shared" si="6"/>
        <v/>
      </c>
      <c r="O404" s="75"/>
      <c r="P404" s="72"/>
      <c r="Q404" s="72"/>
      <c r="R404" s="72"/>
      <c r="S404" s="72"/>
      <c r="T404" s="72"/>
      <c r="U404" s="72"/>
      <c r="V404" s="79"/>
      <c r="W404" s="72"/>
      <c r="X404" s="72"/>
      <c r="Y404" s="72"/>
    </row>
    <row r="405" spans="1:25" ht="27.75" customHeight="1">
      <c r="A405" s="93" t="str">
        <f>IF(ISBLANK(C405)," ",400-COUNTBLANK($C$6:C405))</f>
        <v xml:space="preserve"> </v>
      </c>
      <c r="B405" s="94"/>
      <c r="C405" s="94"/>
      <c r="D405" s="95"/>
      <c r="E405" s="95"/>
      <c r="F405" s="85"/>
      <c r="G405" s="85"/>
      <c r="H405" s="85"/>
      <c r="I405" s="85"/>
      <c r="J405" s="85"/>
      <c r="K405" s="85"/>
      <c r="L405" s="85"/>
      <c r="M405" s="86"/>
      <c r="N405" s="71" t="str">
        <f t="shared" si="6"/>
        <v/>
      </c>
      <c r="O405" s="72"/>
      <c r="P405" s="72"/>
      <c r="Q405" s="72"/>
      <c r="R405" s="72"/>
      <c r="S405" s="72"/>
      <c r="T405" s="72"/>
      <c r="U405" s="72"/>
      <c r="V405" s="72"/>
    </row>
    <row r="406" spans="1:25" ht="27.75" customHeight="1">
      <c r="A406" s="87" t="str">
        <f>IF(ISBLANK(C406)," ",401-COUNTBLANK($C$6:C406))</f>
        <v xml:space="preserve"> </v>
      </c>
      <c r="B406" s="88"/>
      <c r="C406" s="88"/>
      <c r="D406" s="89"/>
      <c r="E406" s="89"/>
      <c r="F406" s="73"/>
      <c r="G406" s="73"/>
      <c r="H406" s="73"/>
      <c r="I406" s="73"/>
      <c r="J406" s="73"/>
      <c r="K406" s="73"/>
      <c r="L406" s="73"/>
      <c r="M406" s="74"/>
      <c r="N406" s="71" t="str">
        <f t="shared" si="6"/>
        <v/>
      </c>
      <c r="O406" s="72"/>
      <c r="P406" s="72"/>
      <c r="Q406" s="72"/>
      <c r="R406" s="72"/>
      <c r="S406" s="72"/>
      <c r="T406" s="72"/>
      <c r="U406" s="72"/>
      <c r="V406" s="72"/>
    </row>
    <row r="407" spans="1:25" ht="27.75" customHeight="1">
      <c r="A407" s="87" t="str">
        <f>IF(ISBLANK(C407)," ",402-COUNTBLANK($C$6:C407))</f>
        <v xml:space="preserve"> </v>
      </c>
      <c r="B407" s="88"/>
      <c r="C407" s="88"/>
      <c r="D407" s="89"/>
      <c r="E407" s="89"/>
      <c r="F407" s="73"/>
      <c r="G407" s="73"/>
      <c r="H407" s="73"/>
      <c r="I407" s="73"/>
      <c r="J407" s="73"/>
      <c r="K407" s="73"/>
      <c r="L407" s="73"/>
      <c r="M407" s="74"/>
      <c r="N407" s="71" t="str">
        <f t="shared" si="6"/>
        <v/>
      </c>
      <c r="O407" s="72"/>
      <c r="P407" s="72"/>
      <c r="Q407" s="72"/>
      <c r="R407" s="72"/>
      <c r="S407" s="72"/>
      <c r="T407" s="72"/>
      <c r="U407" s="72"/>
      <c r="V407" s="72"/>
    </row>
    <row r="408" spans="1:25" ht="27.75" customHeight="1">
      <c r="A408" s="87" t="str">
        <f>IF(ISBLANK(C408)," ",403-COUNTBLANK($C$6:C408))</f>
        <v xml:space="preserve"> </v>
      </c>
      <c r="B408" s="88"/>
      <c r="C408" s="88"/>
      <c r="D408" s="89"/>
      <c r="E408" s="89"/>
      <c r="F408" s="73"/>
      <c r="G408" s="73"/>
      <c r="H408" s="73"/>
      <c r="I408" s="73"/>
      <c r="J408" s="73"/>
      <c r="K408" s="73"/>
      <c r="L408" s="73"/>
      <c r="M408" s="74"/>
      <c r="N408" s="71" t="str">
        <f t="shared" si="6"/>
        <v/>
      </c>
      <c r="O408" s="72"/>
      <c r="P408" s="72"/>
      <c r="Q408" s="72"/>
      <c r="R408" s="72"/>
      <c r="S408" s="72"/>
      <c r="T408" s="72"/>
      <c r="U408" s="72"/>
      <c r="V408" s="72"/>
    </row>
    <row r="409" spans="1:25" ht="27.75" customHeight="1">
      <c r="A409" s="87" t="str">
        <f>IF(ISBLANK(C409)," ",404-COUNTBLANK($C$6:C409))</f>
        <v xml:space="preserve"> </v>
      </c>
      <c r="B409" s="88"/>
      <c r="C409" s="88"/>
      <c r="D409" s="89"/>
      <c r="E409" s="89"/>
      <c r="F409" s="73"/>
      <c r="G409" s="73"/>
      <c r="H409" s="73"/>
      <c r="I409" s="73"/>
      <c r="J409" s="73"/>
      <c r="K409" s="73"/>
      <c r="L409" s="73"/>
      <c r="M409" s="74"/>
      <c r="N409" s="71" t="str">
        <f t="shared" si="6"/>
        <v/>
      </c>
      <c r="O409" s="72"/>
      <c r="P409" s="72"/>
      <c r="Q409" s="72"/>
      <c r="R409" s="72"/>
      <c r="S409" s="72"/>
      <c r="T409" s="72"/>
      <c r="U409" s="72"/>
      <c r="V409" s="72"/>
    </row>
    <row r="410" spans="1:25" ht="27.75" customHeight="1">
      <c r="A410" s="87" t="str">
        <f>IF(ISBLANK(C410)," ",405-COUNTBLANK($C$6:C410))</f>
        <v xml:space="preserve"> </v>
      </c>
      <c r="B410" s="88"/>
      <c r="C410" s="88"/>
      <c r="D410" s="89"/>
      <c r="E410" s="89"/>
      <c r="F410" s="73"/>
      <c r="G410" s="73"/>
      <c r="H410" s="73"/>
      <c r="I410" s="73"/>
      <c r="J410" s="73"/>
      <c r="K410" s="73"/>
      <c r="L410" s="73"/>
      <c r="M410" s="74"/>
      <c r="N410" s="71" t="str">
        <f t="shared" si="6"/>
        <v/>
      </c>
      <c r="O410" s="72"/>
      <c r="P410" s="72"/>
      <c r="Q410" s="72"/>
      <c r="R410" s="72"/>
      <c r="S410" s="72"/>
      <c r="T410" s="72"/>
      <c r="U410" s="72"/>
      <c r="V410" s="72"/>
    </row>
    <row r="411" spans="1:25" ht="27.75" customHeight="1">
      <c r="A411" s="87" t="str">
        <f>IF(ISBLANK(C411)," ",406-COUNTBLANK($C$6:C411))</f>
        <v xml:space="preserve"> </v>
      </c>
      <c r="B411" s="88"/>
      <c r="C411" s="88"/>
      <c r="D411" s="89"/>
      <c r="E411" s="89"/>
      <c r="F411" s="73"/>
      <c r="G411" s="73"/>
      <c r="H411" s="73"/>
      <c r="I411" s="73"/>
      <c r="J411" s="73"/>
      <c r="K411" s="73"/>
      <c r="L411" s="73"/>
      <c r="M411" s="74"/>
      <c r="N411" s="71" t="str">
        <f t="shared" si="6"/>
        <v/>
      </c>
      <c r="O411" s="72"/>
      <c r="P411" s="72"/>
      <c r="Q411" s="72"/>
      <c r="R411" s="72"/>
      <c r="S411" s="72"/>
      <c r="T411" s="72"/>
      <c r="U411" s="72"/>
      <c r="V411" s="72"/>
    </row>
    <row r="412" spans="1:25" ht="27.75" customHeight="1">
      <c r="A412" s="87" t="str">
        <f>IF(ISBLANK(C412)," ",407-COUNTBLANK($C$6:C412))</f>
        <v xml:space="preserve"> </v>
      </c>
      <c r="B412" s="88"/>
      <c r="C412" s="88"/>
      <c r="D412" s="89"/>
      <c r="E412" s="89"/>
      <c r="F412" s="73"/>
      <c r="G412" s="73"/>
      <c r="H412" s="73"/>
      <c r="I412" s="73"/>
      <c r="J412" s="73"/>
      <c r="K412" s="73"/>
      <c r="L412" s="73"/>
      <c r="M412" s="74"/>
      <c r="N412" s="71" t="str">
        <f t="shared" si="6"/>
        <v/>
      </c>
      <c r="O412" s="72"/>
      <c r="P412" s="72"/>
      <c r="Q412" s="72"/>
      <c r="R412" s="72"/>
      <c r="S412" s="72"/>
      <c r="T412" s="72"/>
      <c r="U412" s="72"/>
      <c r="V412" s="72"/>
    </row>
    <row r="413" spans="1:25" ht="27.75" customHeight="1">
      <c r="A413" s="87" t="str">
        <f>IF(ISBLANK(C413)," ",408-COUNTBLANK($C$6:C413))</f>
        <v xml:space="preserve"> </v>
      </c>
      <c r="B413" s="88"/>
      <c r="C413" s="88"/>
      <c r="D413" s="89"/>
      <c r="E413" s="89"/>
      <c r="F413" s="73"/>
      <c r="G413" s="73"/>
      <c r="H413" s="73"/>
      <c r="I413" s="73"/>
      <c r="J413" s="73"/>
      <c r="K413" s="73"/>
      <c r="L413" s="73"/>
      <c r="M413" s="74"/>
      <c r="N413" s="71" t="str">
        <f t="shared" si="6"/>
        <v/>
      </c>
      <c r="O413" s="72"/>
      <c r="P413" s="72"/>
      <c r="Q413" s="72"/>
      <c r="R413" s="72"/>
      <c r="S413" s="72"/>
      <c r="T413" s="72"/>
      <c r="U413" s="72"/>
      <c r="V413" s="72"/>
    </row>
    <row r="414" spans="1:25" ht="27.75" customHeight="1">
      <c r="A414" s="87" t="str">
        <f>IF(ISBLANK(C414)," ",409-COUNTBLANK($C$6:C414))</f>
        <v xml:space="preserve"> </v>
      </c>
      <c r="B414" s="88"/>
      <c r="C414" s="88"/>
      <c r="D414" s="89"/>
      <c r="E414" s="89"/>
      <c r="F414" s="73"/>
      <c r="G414" s="73"/>
      <c r="H414" s="73"/>
      <c r="I414" s="73"/>
      <c r="J414" s="73"/>
      <c r="K414" s="73"/>
      <c r="L414" s="73"/>
      <c r="M414" s="74"/>
      <c r="N414" s="71" t="str">
        <f t="shared" si="6"/>
        <v/>
      </c>
      <c r="O414" s="72"/>
      <c r="P414" s="72"/>
      <c r="Q414" s="72"/>
      <c r="R414" s="72"/>
      <c r="S414" s="72"/>
      <c r="T414" s="72"/>
      <c r="U414" s="72"/>
      <c r="V414" s="72"/>
    </row>
    <row r="415" spans="1:25" ht="27.75" customHeight="1">
      <c r="A415" s="87" t="str">
        <f>IF(ISBLANK(C415)," ",410-COUNTBLANK($C$6:C415))</f>
        <v xml:space="preserve"> </v>
      </c>
      <c r="B415" s="88"/>
      <c r="C415" s="88"/>
      <c r="D415" s="89"/>
      <c r="E415" s="89"/>
      <c r="F415" s="73"/>
      <c r="G415" s="73"/>
      <c r="H415" s="73"/>
      <c r="I415" s="73"/>
      <c r="J415" s="73"/>
      <c r="K415" s="73"/>
      <c r="L415" s="73"/>
      <c r="M415" s="74"/>
      <c r="N415" s="71" t="str">
        <f t="shared" si="6"/>
        <v/>
      </c>
      <c r="O415" s="72"/>
      <c r="P415" s="72"/>
      <c r="Q415" s="72"/>
      <c r="R415" s="72"/>
      <c r="S415" s="72"/>
      <c r="T415" s="72"/>
      <c r="U415" s="72"/>
      <c r="V415" s="72"/>
    </row>
    <row r="416" spans="1:25" ht="27.75" customHeight="1">
      <c r="A416" s="87" t="str">
        <f>IF(ISBLANK(C416)," ",411-COUNTBLANK($C$6:C416))</f>
        <v xml:space="preserve"> </v>
      </c>
      <c r="B416" s="88"/>
      <c r="C416" s="88"/>
      <c r="D416" s="89"/>
      <c r="E416" s="89"/>
      <c r="F416" s="73"/>
      <c r="G416" s="73"/>
      <c r="H416" s="73"/>
      <c r="I416" s="73"/>
      <c r="J416" s="73"/>
      <c r="K416" s="73"/>
      <c r="L416" s="73"/>
      <c r="M416" s="74"/>
      <c r="N416" s="71" t="str">
        <f t="shared" si="6"/>
        <v/>
      </c>
      <c r="O416" s="72"/>
      <c r="P416" s="72"/>
      <c r="Q416" s="72"/>
      <c r="R416" s="72"/>
      <c r="S416" s="72"/>
      <c r="T416" s="72"/>
      <c r="U416" s="72"/>
      <c r="V416" s="72"/>
    </row>
    <row r="417" spans="1:25" ht="27.75" customHeight="1">
      <c r="A417" s="87" t="str">
        <f>IF(ISBLANK(C417)," ",412-COUNTBLANK($C$6:C417))</f>
        <v xml:space="preserve"> </v>
      </c>
      <c r="B417" s="88"/>
      <c r="C417" s="88"/>
      <c r="D417" s="89"/>
      <c r="E417" s="89"/>
      <c r="F417" s="73"/>
      <c r="G417" s="73"/>
      <c r="H417" s="73"/>
      <c r="I417" s="73"/>
      <c r="J417" s="73"/>
      <c r="K417" s="73"/>
      <c r="L417" s="73"/>
      <c r="M417" s="74"/>
      <c r="N417" s="71" t="str">
        <f t="shared" si="6"/>
        <v/>
      </c>
      <c r="O417" s="72"/>
      <c r="P417" s="72"/>
      <c r="Q417" s="72"/>
      <c r="R417" s="72"/>
      <c r="S417" s="72"/>
      <c r="T417" s="72"/>
      <c r="U417" s="72"/>
      <c r="V417" s="72"/>
    </row>
    <row r="418" spans="1:25" ht="27.75" customHeight="1">
      <c r="A418" s="87" t="str">
        <f>IF(ISBLANK(C418)," ",413-COUNTBLANK($C$6:C418))</f>
        <v xml:space="preserve"> </v>
      </c>
      <c r="B418" s="88"/>
      <c r="C418" s="88"/>
      <c r="D418" s="89"/>
      <c r="E418" s="89"/>
      <c r="F418" s="73"/>
      <c r="G418" s="73"/>
      <c r="H418" s="73"/>
      <c r="I418" s="73"/>
      <c r="J418" s="73"/>
      <c r="K418" s="73"/>
      <c r="L418" s="73"/>
      <c r="M418" s="74"/>
      <c r="N418" s="71" t="str">
        <f t="shared" si="6"/>
        <v/>
      </c>
      <c r="O418" s="72"/>
      <c r="P418" s="72"/>
      <c r="Q418" s="72"/>
      <c r="R418" s="72"/>
      <c r="S418" s="72"/>
      <c r="T418" s="72"/>
      <c r="U418" s="72"/>
      <c r="V418" s="72"/>
    </row>
    <row r="419" spans="1:25" ht="27.75" customHeight="1">
      <c r="A419" s="87" t="str">
        <f>IF(ISBLANK(C419)," ",414-COUNTBLANK($C$6:C419))</f>
        <v xml:space="preserve"> </v>
      </c>
      <c r="B419" s="88"/>
      <c r="C419" s="88"/>
      <c r="D419" s="89"/>
      <c r="E419" s="89"/>
      <c r="F419" s="73"/>
      <c r="G419" s="73"/>
      <c r="H419" s="73"/>
      <c r="I419" s="73"/>
      <c r="J419" s="73"/>
      <c r="K419" s="73"/>
      <c r="L419" s="73"/>
      <c r="M419" s="74"/>
      <c r="N419" s="71" t="str">
        <f t="shared" si="6"/>
        <v/>
      </c>
      <c r="O419" s="72"/>
      <c r="P419" s="72"/>
      <c r="Q419" s="72"/>
      <c r="R419" s="72"/>
      <c r="S419" s="72"/>
      <c r="T419" s="72"/>
      <c r="U419" s="72"/>
      <c r="V419" s="72"/>
    </row>
    <row r="420" spans="1:25" ht="27.75" customHeight="1">
      <c r="A420" s="87" t="str">
        <f>IF(ISBLANK(C420)," ",415-COUNTBLANK($C$6:C420))</f>
        <v xml:space="preserve"> </v>
      </c>
      <c r="B420" s="88"/>
      <c r="C420" s="88"/>
      <c r="D420" s="89"/>
      <c r="E420" s="89"/>
      <c r="F420" s="73"/>
      <c r="G420" s="73"/>
      <c r="H420" s="73"/>
      <c r="I420" s="73"/>
      <c r="J420" s="73"/>
      <c r="K420" s="73"/>
      <c r="L420" s="73"/>
      <c r="M420" s="74"/>
      <c r="N420" s="71" t="str">
        <f t="shared" si="6"/>
        <v/>
      </c>
      <c r="O420" s="75"/>
      <c r="P420" s="72"/>
      <c r="Q420" s="72"/>
      <c r="R420" s="72"/>
      <c r="S420" s="72"/>
      <c r="T420" s="72"/>
      <c r="U420" s="72"/>
      <c r="V420" s="76"/>
    </row>
    <row r="421" spans="1:25" ht="27.75" customHeight="1">
      <c r="A421" s="87" t="str">
        <f>IF(ISBLANK(C421)," ",416-COUNTBLANK($C$6:C421))</f>
        <v xml:space="preserve"> </v>
      </c>
      <c r="B421" s="88"/>
      <c r="C421" s="88"/>
      <c r="D421" s="89"/>
      <c r="E421" s="89"/>
      <c r="F421" s="73"/>
      <c r="G421" s="73"/>
      <c r="H421" s="73"/>
      <c r="I421" s="73"/>
      <c r="J421" s="73"/>
      <c r="K421" s="73"/>
      <c r="L421" s="73"/>
      <c r="M421" s="74"/>
      <c r="N421" s="71" t="str">
        <f t="shared" si="6"/>
        <v/>
      </c>
      <c r="O421" s="75"/>
      <c r="P421" s="72"/>
      <c r="Q421" s="72"/>
      <c r="R421" s="72"/>
      <c r="S421" s="72"/>
      <c r="T421" s="72"/>
      <c r="U421" s="72"/>
      <c r="V421" s="76"/>
    </row>
    <row r="422" spans="1:25" ht="27.75" customHeight="1">
      <c r="A422" s="87" t="str">
        <f>IF(ISBLANK(C422)," ",417-COUNTBLANK($C$6:C422))</f>
        <v xml:space="preserve"> </v>
      </c>
      <c r="B422" s="88"/>
      <c r="C422" s="88"/>
      <c r="D422" s="89"/>
      <c r="E422" s="89"/>
      <c r="F422" s="73"/>
      <c r="G422" s="73"/>
      <c r="H422" s="73"/>
      <c r="I422" s="73"/>
      <c r="J422" s="73"/>
      <c r="K422" s="73"/>
      <c r="L422" s="73"/>
      <c r="M422" s="74"/>
      <c r="N422" s="71" t="str">
        <f t="shared" si="6"/>
        <v/>
      </c>
      <c r="O422" s="75"/>
      <c r="P422" s="72"/>
      <c r="Q422" s="72"/>
      <c r="R422" s="72"/>
      <c r="S422" s="72"/>
      <c r="T422" s="72"/>
      <c r="U422" s="72"/>
      <c r="V422" s="76"/>
    </row>
    <row r="423" spans="1:25" ht="27.75" customHeight="1">
      <c r="A423" s="87" t="str">
        <f>IF(ISBLANK(C423)," ",418-COUNTBLANK($C$6:C423))</f>
        <v xml:space="preserve"> </v>
      </c>
      <c r="B423" s="88"/>
      <c r="C423" s="88"/>
      <c r="D423" s="89"/>
      <c r="E423" s="89"/>
      <c r="F423" s="73"/>
      <c r="G423" s="73"/>
      <c r="H423" s="73"/>
      <c r="I423" s="73"/>
      <c r="J423" s="73"/>
      <c r="K423" s="73"/>
      <c r="L423" s="73"/>
      <c r="M423" s="74"/>
      <c r="N423" s="71" t="str">
        <f t="shared" si="6"/>
        <v/>
      </c>
      <c r="O423" s="75"/>
      <c r="P423" s="72"/>
      <c r="Q423" s="72"/>
      <c r="R423" s="72"/>
      <c r="S423" s="72"/>
      <c r="T423" s="72"/>
      <c r="U423" s="72"/>
      <c r="V423" s="76"/>
    </row>
    <row r="424" spans="1:25" ht="27.75" customHeight="1">
      <c r="A424" s="87" t="str">
        <f>IF(ISBLANK(C424)," ",419-COUNTBLANK($C$6:C424))</f>
        <v xml:space="preserve"> </v>
      </c>
      <c r="B424" s="88"/>
      <c r="C424" s="88"/>
      <c r="D424" s="89"/>
      <c r="E424" s="89"/>
      <c r="F424" s="73"/>
      <c r="G424" s="73"/>
      <c r="H424" s="73"/>
      <c r="I424" s="73"/>
      <c r="J424" s="73"/>
      <c r="K424" s="73"/>
      <c r="L424" s="73"/>
      <c r="M424" s="74"/>
      <c r="N424" s="71" t="str">
        <f t="shared" si="6"/>
        <v/>
      </c>
      <c r="O424" s="72"/>
      <c r="P424" s="72"/>
      <c r="Q424" s="72"/>
      <c r="R424" s="72"/>
      <c r="S424" s="72"/>
      <c r="T424" s="72"/>
      <c r="U424" s="72"/>
      <c r="V424" s="79"/>
      <c r="W424" s="72"/>
      <c r="X424" s="72"/>
      <c r="Y424" s="72"/>
    </row>
    <row r="425" spans="1:25" ht="27.75" customHeight="1">
      <c r="A425" s="80" t="s">
        <v>52</v>
      </c>
      <c r="B425" s="81"/>
      <c r="C425" s="96"/>
      <c r="D425" s="82"/>
      <c r="E425" s="82">
        <f>SUM(E405:E424)</f>
        <v>0</v>
      </c>
      <c r="F425" s="83"/>
      <c r="G425" s="83"/>
      <c r="H425" s="83"/>
      <c r="I425" s="83"/>
      <c r="J425" s="83"/>
      <c r="K425" s="83"/>
      <c r="L425" s="83"/>
      <c r="M425" s="84"/>
      <c r="N425" s="71" t="str">
        <f t="shared" si="6"/>
        <v/>
      </c>
      <c r="O425" s="75"/>
      <c r="P425" s="72"/>
      <c r="Q425" s="72"/>
      <c r="R425" s="72"/>
      <c r="S425" s="72"/>
      <c r="T425" s="72"/>
      <c r="U425" s="72"/>
      <c r="V425" s="79"/>
      <c r="W425" s="72"/>
      <c r="X425" s="72"/>
      <c r="Y425" s="72"/>
    </row>
    <row r="426" spans="1:25" ht="27.75" customHeight="1">
      <c r="A426" s="93" t="str">
        <f>IF(ISBLANK(C426)," ",421-COUNTBLANK($C$6:C426))</f>
        <v xml:space="preserve"> </v>
      </c>
      <c r="B426" s="94"/>
      <c r="C426" s="94"/>
      <c r="D426" s="95"/>
      <c r="E426" s="95"/>
      <c r="F426" s="85"/>
      <c r="G426" s="85"/>
      <c r="H426" s="85"/>
      <c r="I426" s="85"/>
      <c r="J426" s="85"/>
      <c r="K426" s="85"/>
      <c r="L426" s="85"/>
      <c r="M426" s="86"/>
      <c r="N426" s="71" t="str">
        <f t="shared" si="6"/>
        <v/>
      </c>
      <c r="O426" s="72"/>
      <c r="P426" s="72"/>
      <c r="Q426" s="72"/>
      <c r="R426" s="72"/>
      <c r="S426" s="72"/>
      <c r="T426" s="72"/>
      <c r="U426" s="72"/>
      <c r="V426" s="72"/>
    </row>
    <row r="427" spans="1:25" ht="27.75" customHeight="1">
      <c r="A427" s="87" t="str">
        <f>IF(ISBLANK(C427)," ",422-COUNTBLANK($C$6:C427))</f>
        <v xml:space="preserve"> </v>
      </c>
      <c r="B427" s="88"/>
      <c r="C427" s="88"/>
      <c r="D427" s="89"/>
      <c r="E427" s="89"/>
      <c r="F427" s="73"/>
      <c r="G427" s="73"/>
      <c r="H427" s="73"/>
      <c r="I427" s="73"/>
      <c r="J427" s="73"/>
      <c r="K427" s="73"/>
      <c r="L427" s="73"/>
      <c r="M427" s="74"/>
      <c r="N427" s="71" t="str">
        <f t="shared" si="6"/>
        <v/>
      </c>
      <c r="O427" s="72"/>
      <c r="P427" s="72"/>
      <c r="Q427" s="72"/>
      <c r="R427" s="72"/>
      <c r="S427" s="72"/>
      <c r="T427" s="72"/>
      <c r="U427" s="72"/>
      <c r="V427" s="72"/>
    </row>
    <row r="428" spans="1:25" ht="27.75" customHeight="1">
      <c r="A428" s="87" t="str">
        <f>IF(ISBLANK(C428)," ",423-COUNTBLANK($C$6:C428))</f>
        <v xml:space="preserve"> </v>
      </c>
      <c r="B428" s="88"/>
      <c r="C428" s="88"/>
      <c r="D428" s="89"/>
      <c r="E428" s="89"/>
      <c r="F428" s="73"/>
      <c r="G428" s="73"/>
      <c r="H428" s="73"/>
      <c r="I428" s="73"/>
      <c r="J428" s="73"/>
      <c r="K428" s="73"/>
      <c r="L428" s="73"/>
      <c r="M428" s="74"/>
      <c r="N428" s="71" t="str">
        <f t="shared" si="6"/>
        <v/>
      </c>
      <c r="O428" s="72"/>
      <c r="P428" s="72"/>
      <c r="Q428" s="72"/>
      <c r="R428" s="72"/>
      <c r="S428" s="72"/>
      <c r="T428" s="72"/>
      <c r="U428" s="72"/>
      <c r="V428" s="72"/>
    </row>
    <row r="429" spans="1:25" ht="27.75" customHeight="1">
      <c r="A429" s="87" t="str">
        <f>IF(ISBLANK(C429)," ",424-COUNTBLANK($C$6:C429))</f>
        <v xml:space="preserve"> </v>
      </c>
      <c r="B429" s="88"/>
      <c r="C429" s="88"/>
      <c r="D429" s="89"/>
      <c r="E429" s="89"/>
      <c r="F429" s="73"/>
      <c r="G429" s="73"/>
      <c r="H429" s="73"/>
      <c r="I429" s="73"/>
      <c r="J429" s="73"/>
      <c r="K429" s="73"/>
      <c r="L429" s="73"/>
      <c r="M429" s="74"/>
      <c r="N429" s="71" t="str">
        <f t="shared" si="6"/>
        <v/>
      </c>
      <c r="O429" s="72"/>
      <c r="P429" s="72"/>
      <c r="Q429" s="72"/>
      <c r="R429" s="72"/>
      <c r="S429" s="72"/>
      <c r="T429" s="72"/>
      <c r="U429" s="72"/>
      <c r="V429" s="72"/>
    </row>
    <row r="430" spans="1:25" ht="27.75" customHeight="1">
      <c r="A430" s="87" t="str">
        <f>IF(ISBLANK(C430)," ",425-COUNTBLANK($C$6:C430))</f>
        <v xml:space="preserve"> </v>
      </c>
      <c r="B430" s="88"/>
      <c r="C430" s="88"/>
      <c r="D430" s="89"/>
      <c r="E430" s="89"/>
      <c r="F430" s="73"/>
      <c r="G430" s="73"/>
      <c r="H430" s="73"/>
      <c r="I430" s="73"/>
      <c r="J430" s="73"/>
      <c r="K430" s="73"/>
      <c r="L430" s="73"/>
      <c r="M430" s="74"/>
      <c r="N430" s="71" t="str">
        <f t="shared" si="6"/>
        <v/>
      </c>
      <c r="O430" s="72"/>
      <c r="P430" s="72"/>
      <c r="Q430" s="72"/>
      <c r="R430" s="72"/>
      <c r="S430" s="72"/>
      <c r="T430" s="72"/>
      <c r="U430" s="72"/>
      <c r="V430" s="72"/>
    </row>
    <row r="431" spans="1:25" ht="27.75" customHeight="1">
      <c r="A431" s="87" t="str">
        <f>IF(ISBLANK(C431)," ",426-COUNTBLANK($C$6:C431))</f>
        <v xml:space="preserve"> </v>
      </c>
      <c r="B431" s="88"/>
      <c r="C431" s="88"/>
      <c r="D431" s="89"/>
      <c r="E431" s="89"/>
      <c r="F431" s="73"/>
      <c r="G431" s="73"/>
      <c r="H431" s="73"/>
      <c r="I431" s="73"/>
      <c r="J431" s="73"/>
      <c r="K431" s="73"/>
      <c r="L431" s="73"/>
      <c r="M431" s="74"/>
      <c r="N431" s="71" t="str">
        <f t="shared" si="6"/>
        <v/>
      </c>
      <c r="O431" s="72"/>
      <c r="P431" s="72"/>
      <c r="Q431" s="72"/>
      <c r="R431" s="72"/>
      <c r="S431" s="72"/>
      <c r="T431" s="72"/>
      <c r="U431" s="72"/>
      <c r="V431" s="72"/>
    </row>
    <row r="432" spans="1:25" ht="27.75" customHeight="1">
      <c r="A432" s="87" t="str">
        <f>IF(ISBLANK(C432)," ",427-COUNTBLANK($C$6:C432))</f>
        <v xml:space="preserve"> </v>
      </c>
      <c r="B432" s="88"/>
      <c r="C432" s="88"/>
      <c r="D432" s="89"/>
      <c r="E432" s="89"/>
      <c r="F432" s="73"/>
      <c r="G432" s="73"/>
      <c r="H432" s="73"/>
      <c r="I432" s="73"/>
      <c r="J432" s="73"/>
      <c r="K432" s="73"/>
      <c r="L432" s="73"/>
      <c r="M432" s="74"/>
      <c r="N432" s="71" t="str">
        <f t="shared" si="6"/>
        <v/>
      </c>
      <c r="O432" s="72"/>
      <c r="P432" s="72"/>
      <c r="Q432" s="72"/>
      <c r="R432" s="72"/>
      <c r="S432" s="72"/>
      <c r="T432" s="72"/>
      <c r="U432" s="72"/>
      <c r="V432" s="72"/>
    </row>
    <row r="433" spans="1:25" ht="27.75" customHeight="1">
      <c r="A433" s="87" t="str">
        <f>IF(ISBLANK(C433)," ",428-COUNTBLANK($C$6:C433))</f>
        <v xml:space="preserve"> </v>
      </c>
      <c r="B433" s="88"/>
      <c r="C433" s="88"/>
      <c r="D433" s="89"/>
      <c r="E433" s="89"/>
      <c r="F433" s="73"/>
      <c r="G433" s="73"/>
      <c r="H433" s="73"/>
      <c r="I433" s="73"/>
      <c r="J433" s="73"/>
      <c r="K433" s="73"/>
      <c r="L433" s="73"/>
      <c r="M433" s="74"/>
      <c r="N433" s="71" t="str">
        <f t="shared" si="6"/>
        <v/>
      </c>
      <c r="O433" s="72"/>
      <c r="P433" s="72"/>
      <c r="Q433" s="72"/>
      <c r="R433" s="72"/>
      <c r="S433" s="72"/>
      <c r="T433" s="72"/>
      <c r="U433" s="72"/>
      <c r="V433" s="72"/>
    </row>
    <row r="434" spans="1:25" ht="27.75" customHeight="1">
      <c r="A434" s="87" t="str">
        <f>IF(ISBLANK(C434)," ",429-COUNTBLANK($C$6:C434))</f>
        <v xml:space="preserve"> </v>
      </c>
      <c r="B434" s="88"/>
      <c r="C434" s="88"/>
      <c r="D434" s="89"/>
      <c r="E434" s="89"/>
      <c r="F434" s="73"/>
      <c r="G434" s="73"/>
      <c r="H434" s="73"/>
      <c r="I434" s="73"/>
      <c r="J434" s="73"/>
      <c r="K434" s="73"/>
      <c r="L434" s="73"/>
      <c r="M434" s="74"/>
      <c r="N434" s="71" t="str">
        <f t="shared" si="6"/>
        <v/>
      </c>
      <c r="O434" s="72"/>
      <c r="P434" s="72"/>
      <c r="Q434" s="72"/>
      <c r="R434" s="72"/>
      <c r="S434" s="72"/>
      <c r="T434" s="72"/>
      <c r="U434" s="72"/>
      <c r="V434" s="72"/>
    </row>
    <row r="435" spans="1:25" ht="27.75" customHeight="1">
      <c r="A435" s="87" t="str">
        <f>IF(ISBLANK(C435)," ",430-COUNTBLANK($C$6:C435))</f>
        <v xml:space="preserve"> </v>
      </c>
      <c r="B435" s="88"/>
      <c r="C435" s="88"/>
      <c r="D435" s="89"/>
      <c r="E435" s="89"/>
      <c r="F435" s="73"/>
      <c r="G435" s="73"/>
      <c r="H435" s="73"/>
      <c r="I435" s="73"/>
      <c r="J435" s="73"/>
      <c r="K435" s="73"/>
      <c r="L435" s="73"/>
      <c r="M435" s="74"/>
      <c r="N435" s="71" t="str">
        <f t="shared" si="6"/>
        <v/>
      </c>
      <c r="O435" s="72"/>
      <c r="P435" s="72"/>
      <c r="Q435" s="72"/>
      <c r="R435" s="72"/>
      <c r="S435" s="72"/>
      <c r="T435" s="72"/>
      <c r="U435" s="72"/>
      <c r="V435" s="72"/>
    </row>
    <row r="436" spans="1:25" ht="27.75" customHeight="1">
      <c r="A436" s="87" t="str">
        <f>IF(ISBLANK(C436)," ",431-COUNTBLANK($C$6:C436))</f>
        <v xml:space="preserve"> </v>
      </c>
      <c r="B436" s="88"/>
      <c r="C436" s="88"/>
      <c r="D436" s="89"/>
      <c r="E436" s="89"/>
      <c r="F436" s="73"/>
      <c r="G436" s="73"/>
      <c r="H436" s="73"/>
      <c r="I436" s="73"/>
      <c r="J436" s="73"/>
      <c r="K436" s="73"/>
      <c r="L436" s="73"/>
      <c r="M436" s="74"/>
      <c r="N436" s="71" t="str">
        <f t="shared" si="6"/>
        <v/>
      </c>
      <c r="O436" s="72"/>
      <c r="P436" s="72"/>
      <c r="Q436" s="72"/>
      <c r="R436" s="72"/>
      <c r="S436" s="72"/>
      <c r="T436" s="72"/>
      <c r="U436" s="72"/>
      <c r="V436" s="72"/>
    </row>
    <row r="437" spans="1:25" ht="27.75" customHeight="1">
      <c r="A437" s="87" t="str">
        <f>IF(ISBLANK(C437)," ",432-COUNTBLANK($C$6:C437))</f>
        <v xml:space="preserve"> </v>
      </c>
      <c r="B437" s="88"/>
      <c r="C437" s="88"/>
      <c r="D437" s="89"/>
      <c r="E437" s="89"/>
      <c r="F437" s="73"/>
      <c r="G437" s="73"/>
      <c r="H437" s="73"/>
      <c r="I437" s="73"/>
      <c r="J437" s="73"/>
      <c r="K437" s="73"/>
      <c r="L437" s="73"/>
      <c r="M437" s="74"/>
      <c r="N437" s="71" t="str">
        <f t="shared" si="6"/>
        <v/>
      </c>
      <c r="O437" s="72"/>
      <c r="P437" s="72"/>
      <c r="Q437" s="72"/>
      <c r="R437" s="72"/>
      <c r="S437" s="72"/>
      <c r="T437" s="72"/>
      <c r="U437" s="72"/>
      <c r="V437" s="72"/>
    </row>
    <row r="438" spans="1:25" ht="27.75" customHeight="1">
      <c r="A438" s="87" t="str">
        <f>IF(ISBLANK(C438)," ",433-COUNTBLANK($C$6:C438))</f>
        <v xml:space="preserve"> </v>
      </c>
      <c r="B438" s="88"/>
      <c r="C438" s="88"/>
      <c r="D438" s="89"/>
      <c r="E438" s="89"/>
      <c r="F438" s="73"/>
      <c r="G438" s="73"/>
      <c r="H438" s="73"/>
      <c r="I438" s="73"/>
      <c r="J438" s="73"/>
      <c r="K438" s="73"/>
      <c r="L438" s="73"/>
      <c r="M438" s="74"/>
      <c r="N438" s="71" t="str">
        <f t="shared" si="6"/>
        <v/>
      </c>
      <c r="O438" s="72"/>
      <c r="P438" s="72"/>
      <c r="Q438" s="72"/>
      <c r="R438" s="72"/>
      <c r="S438" s="72"/>
      <c r="T438" s="72"/>
      <c r="U438" s="72"/>
      <c r="V438" s="72"/>
    </row>
    <row r="439" spans="1:25" ht="27.75" customHeight="1">
      <c r="A439" s="87" t="str">
        <f>IF(ISBLANK(C439)," ",434-COUNTBLANK($C$6:C439))</f>
        <v xml:space="preserve"> </v>
      </c>
      <c r="B439" s="88"/>
      <c r="C439" s="88"/>
      <c r="D439" s="89"/>
      <c r="E439" s="89"/>
      <c r="F439" s="73"/>
      <c r="G439" s="73"/>
      <c r="H439" s="73"/>
      <c r="I439" s="73"/>
      <c r="J439" s="73"/>
      <c r="K439" s="73"/>
      <c r="L439" s="73"/>
      <c r="M439" s="74"/>
      <c r="N439" s="71" t="str">
        <f t="shared" si="6"/>
        <v/>
      </c>
      <c r="O439" s="72"/>
      <c r="P439" s="72"/>
      <c r="Q439" s="72"/>
      <c r="R439" s="72"/>
      <c r="S439" s="72"/>
      <c r="T439" s="72"/>
      <c r="U439" s="72"/>
      <c r="V439" s="72"/>
    </row>
    <row r="440" spans="1:25" ht="27.75" customHeight="1">
      <c r="A440" s="87" t="str">
        <f>IF(ISBLANK(C440)," ",435-COUNTBLANK($C$6:C440))</f>
        <v xml:space="preserve"> </v>
      </c>
      <c r="B440" s="88"/>
      <c r="C440" s="88"/>
      <c r="D440" s="89"/>
      <c r="E440" s="89"/>
      <c r="F440" s="73"/>
      <c r="G440" s="73"/>
      <c r="H440" s="73"/>
      <c r="I440" s="73"/>
      <c r="J440" s="73"/>
      <c r="K440" s="73"/>
      <c r="L440" s="73"/>
      <c r="M440" s="74"/>
      <c r="N440" s="71" t="str">
        <f t="shared" si="6"/>
        <v/>
      </c>
      <c r="O440" s="72"/>
      <c r="P440" s="72"/>
      <c r="Q440" s="72"/>
      <c r="R440" s="72"/>
      <c r="S440" s="72"/>
      <c r="T440" s="72"/>
      <c r="U440" s="72"/>
      <c r="V440" s="72"/>
    </row>
    <row r="441" spans="1:25" ht="27.75" customHeight="1">
      <c r="A441" s="87" t="str">
        <f>IF(ISBLANK(C441)," ",436-COUNTBLANK($C$6:C441))</f>
        <v xml:space="preserve"> </v>
      </c>
      <c r="B441" s="88"/>
      <c r="C441" s="88"/>
      <c r="D441" s="89"/>
      <c r="E441" s="89"/>
      <c r="F441" s="73"/>
      <c r="G441" s="73"/>
      <c r="H441" s="73"/>
      <c r="I441" s="73"/>
      <c r="J441" s="73"/>
      <c r="K441" s="73"/>
      <c r="L441" s="73"/>
      <c r="M441" s="74"/>
      <c r="N441" s="71" t="str">
        <f t="shared" si="6"/>
        <v/>
      </c>
      <c r="O441" s="75"/>
      <c r="P441" s="72"/>
      <c r="Q441" s="72"/>
      <c r="R441" s="72"/>
      <c r="S441" s="72"/>
      <c r="T441" s="72"/>
      <c r="U441" s="72"/>
      <c r="V441" s="76"/>
    </row>
    <row r="442" spans="1:25" ht="27.75" customHeight="1">
      <c r="A442" s="87" t="str">
        <f>IF(ISBLANK(C442)," ",437-COUNTBLANK($C$6:C442))</f>
        <v xml:space="preserve"> </v>
      </c>
      <c r="B442" s="88"/>
      <c r="C442" s="88"/>
      <c r="D442" s="89"/>
      <c r="E442" s="89"/>
      <c r="F442" s="73"/>
      <c r="G442" s="73"/>
      <c r="H442" s="73"/>
      <c r="I442" s="73"/>
      <c r="J442" s="73"/>
      <c r="K442" s="73"/>
      <c r="L442" s="73"/>
      <c r="M442" s="74"/>
      <c r="N442" s="71" t="str">
        <f t="shared" si="6"/>
        <v/>
      </c>
      <c r="O442" s="75"/>
      <c r="P442" s="72"/>
      <c r="Q442" s="72"/>
      <c r="R442" s="72"/>
      <c r="S442" s="72"/>
      <c r="T442" s="72"/>
      <c r="U442" s="72"/>
      <c r="V442" s="76"/>
    </row>
    <row r="443" spans="1:25" ht="27.75" customHeight="1">
      <c r="A443" s="87" t="str">
        <f>IF(ISBLANK(C443)," ",438-COUNTBLANK($C$6:C443))</f>
        <v xml:space="preserve"> </v>
      </c>
      <c r="B443" s="88"/>
      <c r="C443" s="88"/>
      <c r="D443" s="89"/>
      <c r="E443" s="89"/>
      <c r="F443" s="73"/>
      <c r="G443" s="73"/>
      <c r="H443" s="73"/>
      <c r="I443" s="73"/>
      <c r="J443" s="73"/>
      <c r="K443" s="73"/>
      <c r="L443" s="73"/>
      <c r="M443" s="74"/>
      <c r="N443" s="71" t="str">
        <f t="shared" si="6"/>
        <v/>
      </c>
      <c r="O443" s="75"/>
      <c r="P443" s="72"/>
      <c r="Q443" s="72"/>
      <c r="R443" s="72"/>
      <c r="S443" s="72"/>
      <c r="T443" s="72"/>
      <c r="U443" s="72"/>
      <c r="V443" s="76"/>
    </row>
    <row r="444" spans="1:25" ht="27.75" customHeight="1">
      <c r="A444" s="87" t="str">
        <f>IF(ISBLANK(C444)," ",439-COUNTBLANK($C$6:C444))</f>
        <v xml:space="preserve"> </v>
      </c>
      <c r="B444" s="88"/>
      <c r="C444" s="88"/>
      <c r="D444" s="89"/>
      <c r="E444" s="89"/>
      <c r="F444" s="73"/>
      <c r="G444" s="73"/>
      <c r="H444" s="73"/>
      <c r="I444" s="73"/>
      <c r="J444" s="73"/>
      <c r="K444" s="73"/>
      <c r="L444" s="73"/>
      <c r="M444" s="74"/>
      <c r="N444" s="71" t="str">
        <f t="shared" si="6"/>
        <v/>
      </c>
      <c r="O444" s="75"/>
      <c r="P444" s="72"/>
      <c r="Q444" s="72"/>
      <c r="R444" s="72"/>
      <c r="S444" s="72"/>
      <c r="T444" s="72"/>
      <c r="U444" s="72"/>
      <c r="V444" s="76"/>
    </row>
    <row r="445" spans="1:25" ht="27.75" customHeight="1">
      <c r="A445" s="87" t="str">
        <f>IF(ISBLANK(C445)," ",440-COUNTBLANK($C$6:C445))</f>
        <v xml:space="preserve"> </v>
      </c>
      <c r="B445" s="88"/>
      <c r="C445" s="88"/>
      <c r="D445" s="89"/>
      <c r="E445" s="89"/>
      <c r="F445" s="73"/>
      <c r="G445" s="73"/>
      <c r="H445" s="73"/>
      <c r="I445" s="73"/>
      <c r="J445" s="73"/>
      <c r="K445" s="73"/>
      <c r="L445" s="73"/>
      <c r="M445" s="74"/>
      <c r="N445" s="71" t="str">
        <f t="shared" si="6"/>
        <v/>
      </c>
      <c r="O445" s="72"/>
      <c r="P445" s="72"/>
      <c r="Q445" s="72"/>
      <c r="R445" s="72"/>
      <c r="S445" s="72"/>
      <c r="T445" s="72"/>
      <c r="U445" s="72"/>
      <c r="V445" s="79"/>
      <c r="W445" s="72"/>
      <c r="X445" s="72"/>
      <c r="Y445" s="72"/>
    </row>
    <row r="446" spans="1:25" ht="27.75" customHeight="1">
      <c r="A446" s="80" t="s">
        <v>52</v>
      </c>
      <c r="B446" s="81"/>
      <c r="C446" s="96"/>
      <c r="D446" s="82"/>
      <c r="E446" s="82">
        <f>SUM(E426:E445)</f>
        <v>0</v>
      </c>
      <c r="F446" s="83"/>
      <c r="G446" s="83"/>
      <c r="H446" s="83"/>
      <c r="I446" s="83"/>
      <c r="J446" s="83"/>
      <c r="K446" s="83"/>
      <c r="L446" s="83"/>
      <c r="M446" s="84"/>
      <c r="N446" s="71" t="str">
        <f t="shared" si="6"/>
        <v/>
      </c>
      <c r="O446" s="75"/>
      <c r="P446" s="72"/>
      <c r="Q446" s="72"/>
      <c r="R446" s="72"/>
      <c r="S446" s="72"/>
      <c r="T446" s="72"/>
      <c r="U446" s="72"/>
      <c r="V446" s="79"/>
      <c r="W446" s="72"/>
      <c r="X446" s="72"/>
      <c r="Y446" s="72"/>
    </row>
    <row r="447" spans="1:25" ht="27.75" customHeight="1">
      <c r="A447" s="93" t="str">
        <f>IF(ISBLANK(C447)," ",442-COUNTBLANK($C$6:C447))</f>
        <v xml:space="preserve"> </v>
      </c>
      <c r="B447" s="94"/>
      <c r="C447" s="94"/>
      <c r="D447" s="95"/>
      <c r="E447" s="95"/>
      <c r="F447" s="85"/>
      <c r="G447" s="85"/>
      <c r="H447" s="85"/>
      <c r="I447" s="85"/>
      <c r="J447" s="85"/>
      <c r="K447" s="85"/>
      <c r="L447" s="85"/>
      <c r="M447" s="86"/>
      <c r="N447" s="71" t="str">
        <f t="shared" si="6"/>
        <v/>
      </c>
      <c r="O447" s="72"/>
      <c r="P447" s="72"/>
      <c r="Q447" s="72"/>
      <c r="R447" s="72"/>
      <c r="S447" s="72"/>
      <c r="T447" s="72"/>
      <c r="U447" s="72"/>
      <c r="V447" s="72"/>
    </row>
    <row r="448" spans="1:25" ht="27.75" customHeight="1">
      <c r="A448" s="87" t="str">
        <f>IF(ISBLANK(C448)," ",443-COUNTBLANK($C$6:C448))</f>
        <v xml:space="preserve"> </v>
      </c>
      <c r="B448" s="88"/>
      <c r="C448" s="88"/>
      <c r="D448" s="89"/>
      <c r="E448" s="89"/>
      <c r="F448" s="73"/>
      <c r="G448" s="73"/>
      <c r="H448" s="73"/>
      <c r="I448" s="73"/>
      <c r="J448" s="73"/>
      <c r="K448" s="73"/>
      <c r="L448" s="73"/>
      <c r="M448" s="74"/>
      <c r="N448" s="71" t="str">
        <f t="shared" si="6"/>
        <v/>
      </c>
      <c r="O448" s="72"/>
      <c r="P448" s="72"/>
      <c r="Q448" s="72"/>
      <c r="R448" s="72"/>
      <c r="S448" s="72"/>
      <c r="T448" s="72"/>
      <c r="U448" s="72"/>
      <c r="V448" s="72"/>
    </row>
    <row r="449" spans="1:22" ht="27.75" customHeight="1">
      <c r="A449" s="87" t="str">
        <f>IF(ISBLANK(C449)," ",444-COUNTBLANK($C$6:C449))</f>
        <v xml:space="preserve"> </v>
      </c>
      <c r="B449" s="88"/>
      <c r="C449" s="88"/>
      <c r="D449" s="89"/>
      <c r="E449" s="89"/>
      <c r="F449" s="73"/>
      <c r="G449" s="73"/>
      <c r="H449" s="73"/>
      <c r="I449" s="73"/>
      <c r="J449" s="73"/>
      <c r="K449" s="73"/>
      <c r="L449" s="73"/>
      <c r="M449" s="74"/>
      <c r="N449" s="71" t="str">
        <f t="shared" si="6"/>
        <v/>
      </c>
      <c r="O449" s="72"/>
      <c r="P449" s="72"/>
      <c r="Q449" s="72"/>
      <c r="R449" s="72"/>
      <c r="S449" s="72"/>
      <c r="T449" s="72"/>
      <c r="U449" s="72"/>
      <c r="V449" s="72"/>
    </row>
    <row r="450" spans="1:22" ht="27.75" customHeight="1">
      <c r="A450" s="87" t="str">
        <f>IF(ISBLANK(C450)," ",445-COUNTBLANK($C$6:C450))</f>
        <v xml:space="preserve"> </v>
      </c>
      <c r="B450" s="88"/>
      <c r="C450" s="88"/>
      <c r="D450" s="89"/>
      <c r="E450" s="89"/>
      <c r="F450" s="73"/>
      <c r="G450" s="73"/>
      <c r="H450" s="73"/>
      <c r="I450" s="73"/>
      <c r="J450" s="73"/>
      <c r="K450" s="73"/>
      <c r="L450" s="73"/>
      <c r="M450" s="74"/>
      <c r="N450" s="71" t="str">
        <f t="shared" si="6"/>
        <v/>
      </c>
      <c r="O450" s="72"/>
      <c r="P450" s="72"/>
      <c r="Q450" s="72"/>
      <c r="R450" s="72"/>
      <c r="S450" s="72"/>
      <c r="T450" s="72"/>
      <c r="U450" s="72"/>
      <c r="V450" s="72"/>
    </row>
    <row r="451" spans="1:22" ht="27.75" customHeight="1">
      <c r="A451" s="87" t="str">
        <f>IF(ISBLANK(C451)," ",446-COUNTBLANK($C$6:C451))</f>
        <v xml:space="preserve"> </v>
      </c>
      <c r="B451" s="88"/>
      <c r="C451" s="88"/>
      <c r="D451" s="89"/>
      <c r="E451" s="89"/>
      <c r="F451" s="73"/>
      <c r="G451" s="73"/>
      <c r="H451" s="73"/>
      <c r="I451" s="73"/>
      <c r="J451" s="73"/>
      <c r="K451" s="73"/>
      <c r="L451" s="73"/>
      <c r="M451" s="74"/>
      <c r="N451" s="71" t="str">
        <f t="shared" si="6"/>
        <v/>
      </c>
      <c r="O451" s="72"/>
      <c r="P451" s="72"/>
      <c r="Q451" s="72"/>
      <c r="R451" s="72"/>
      <c r="S451" s="72"/>
      <c r="T451" s="72"/>
      <c r="U451" s="72"/>
      <c r="V451" s="72"/>
    </row>
    <row r="452" spans="1:22" ht="27.75" customHeight="1">
      <c r="A452" s="87" t="str">
        <f>IF(ISBLANK(C452)," ",447-COUNTBLANK($C$6:C452))</f>
        <v xml:space="preserve"> </v>
      </c>
      <c r="B452" s="88"/>
      <c r="C452" s="88"/>
      <c r="D452" s="89"/>
      <c r="E452" s="89"/>
      <c r="F452" s="73"/>
      <c r="G452" s="73"/>
      <c r="H452" s="73"/>
      <c r="I452" s="73"/>
      <c r="J452" s="73"/>
      <c r="K452" s="73"/>
      <c r="L452" s="73"/>
      <c r="M452" s="74"/>
      <c r="N452" s="71" t="str">
        <f t="shared" si="6"/>
        <v/>
      </c>
      <c r="O452" s="72"/>
      <c r="P452" s="72"/>
      <c r="Q452" s="72"/>
      <c r="R452" s="72"/>
      <c r="S452" s="72"/>
      <c r="T452" s="72"/>
      <c r="U452" s="72"/>
      <c r="V452" s="72"/>
    </row>
    <row r="453" spans="1:22" ht="27.75" customHeight="1">
      <c r="A453" s="87" t="str">
        <f>IF(ISBLANK(C453)," ",448-COUNTBLANK($C$6:C453))</f>
        <v xml:space="preserve"> </v>
      </c>
      <c r="B453" s="88"/>
      <c r="C453" s="88"/>
      <c r="D453" s="89"/>
      <c r="E453" s="89"/>
      <c r="F453" s="73"/>
      <c r="G453" s="73"/>
      <c r="H453" s="73"/>
      <c r="I453" s="73"/>
      <c r="J453" s="73"/>
      <c r="K453" s="73"/>
      <c r="L453" s="73"/>
      <c r="M453" s="74"/>
      <c r="N453" s="71" t="str">
        <f t="shared" si="6"/>
        <v/>
      </c>
      <c r="O453" s="72"/>
      <c r="P453" s="72"/>
      <c r="Q453" s="72"/>
      <c r="R453" s="72"/>
      <c r="S453" s="72"/>
      <c r="T453" s="72"/>
      <c r="U453" s="72"/>
      <c r="V453" s="72"/>
    </row>
    <row r="454" spans="1:22" ht="27.75" customHeight="1">
      <c r="A454" s="87" t="str">
        <f>IF(ISBLANK(C454)," ",449-COUNTBLANK($C$6:C454))</f>
        <v xml:space="preserve"> </v>
      </c>
      <c r="B454" s="88"/>
      <c r="C454" s="88"/>
      <c r="D454" s="89"/>
      <c r="E454" s="89"/>
      <c r="F454" s="73"/>
      <c r="G454" s="73"/>
      <c r="H454" s="73"/>
      <c r="I454" s="73"/>
      <c r="J454" s="73"/>
      <c r="K454" s="73"/>
      <c r="L454" s="73"/>
      <c r="M454" s="74"/>
      <c r="N454" s="71" t="str">
        <f t="shared" ref="N454:N517" si="7">CONCATENATE(C454,H454)</f>
        <v/>
      </c>
      <c r="O454" s="72"/>
      <c r="P454" s="72"/>
      <c r="Q454" s="72"/>
      <c r="R454" s="72"/>
      <c r="S454" s="72"/>
      <c r="T454" s="72"/>
      <c r="U454" s="72"/>
      <c r="V454" s="72"/>
    </row>
    <row r="455" spans="1:22" ht="27.75" customHeight="1">
      <c r="A455" s="87" t="str">
        <f>IF(ISBLANK(C455)," ",450-COUNTBLANK($C$6:C455))</f>
        <v xml:space="preserve"> </v>
      </c>
      <c r="B455" s="88"/>
      <c r="C455" s="88"/>
      <c r="D455" s="89"/>
      <c r="E455" s="89"/>
      <c r="F455" s="73"/>
      <c r="G455" s="73"/>
      <c r="H455" s="73"/>
      <c r="I455" s="73"/>
      <c r="J455" s="73"/>
      <c r="K455" s="73"/>
      <c r="L455" s="73"/>
      <c r="M455" s="74"/>
      <c r="N455" s="71" t="str">
        <f t="shared" si="7"/>
        <v/>
      </c>
      <c r="O455" s="72"/>
      <c r="P455" s="72"/>
      <c r="Q455" s="72"/>
      <c r="R455" s="72"/>
      <c r="S455" s="72"/>
      <c r="T455" s="72"/>
      <c r="U455" s="72"/>
      <c r="V455" s="72"/>
    </row>
    <row r="456" spans="1:22" ht="27.75" customHeight="1">
      <c r="A456" s="87" t="str">
        <f>IF(ISBLANK(C456)," ",451-COUNTBLANK($C$6:C456))</f>
        <v xml:space="preserve"> </v>
      </c>
      <c r="B456" s="88"/>
      <c r="C456" s="88"/>
      <c r="D456" s="89"/>
      <c r="E456" s="89"/>
      <c r="F456" s="73"/>
      <c r="G456" s="73"/>
      <c r="H456" s="73"/>
      <c r="I456" s="73"/>
      <c r="J456" s="73"/>
      <c r="K456" s="73"/>
      <c r="L456" s="73"/>
      <c r="M456" s="74"/>
      <c r="N456" s="71" t="str">
        <f t="shared" si="7"/>
        <v/>
      </c>
      <c r="O456" s="72"/>
      <c r="P456" s="72"/>
      <c r="Q456" s="72"/>
      <c r="R456" s="72"/>
      <c r="S456" s="72"/>
      <c r="T456" s="72"/>
      <c r="U456" s="72"/>
      <c r="V456" s="72"/>
    </row>
    <row r="457" spans="1:22" ht="27.75" customHeight="1">
      <c r="A457" s="87" t="str">
        <f>IF(ISBLANK(C457)," ",452-COUNTBLANK($C$6:C457))</f>
        <v xml:space="preserve"> </v>
      </c>
      <c r="B457" s="88"/>
      <c r="C457" s="88"/>
      <c r="D457" s="89"/>
      <c r="E457" s="89"/>
      <c r="F457" s="73"/>
      <c r="G457" s="73"/>
      <c r="H457" s="73"/>
      <c r="I457" s="73"/>
      <c r="J457" s="73"/>
      <c r="K457" s="73"/>
      <c r="L457" s="73"/>
      <c r="M457" s="74"/>
      <c r="N457" s="71" t="str">
        <f t="shared" si="7"/>
        <v/>
      </c>
      <c r="O457" s="72"/>
      <c r="P457" s="72"/>
      <c r="Q457" s="72"/>
      <c r="R457" s="72"/>
      <c r="S457" s="72"/>
      <c r="T457" s="72"/>
      <c r="U457" s="72"/>
      <c r="V457" s="72"/>
    </row>
    <row r="458" spans="1:22" ht="27.75" customHeight="1">
      <c r="A458" s="87" t="str">
        <f>IF(ISBLANK(C458)," ",453-COUNTBLANK($C$6:C458))</f>
        <v xml:space="preserve"> </v>
      </c>
      <c r="B458" s="88"/>
      <c r="C458" s="88"/>
      <c r="D458" s="89"/>
      <c r="E458" s="89"/>
      <c r="F458" s="73"/>
      <c r="G458" s="73"/>
      <c r="H458" s="73"/>
      <c r="I458" s="73"/>
      <c r="J458" s="73"/>
      <c r="K458" s="73"/>
      <c r="L458" s="73"/>
      <c r="M458" s="74"/>
      <c r="N458" s="71" t="str">
        <f t="shared" si="7"/>
        <v/>
      </c>
      <c r="O458" s="72"/>
      <c r="P458" s="72"/>
      <c r="Q458" s="72"/>
      <c r="R458" s="72"/>
      <c r="S458" s="72"/>
      <c r="T458" s="72"/>
      <c r="U458" s="72"/>
      <c r="V458" s="72"/>
    </row>
    <row r="459" spans="1:22" ht="27.75" customHeight="1">
      <c r="A459" s="87" t="str">
        <f>IF(ISBLANK(C459)," ",454-COUNTBLANK($C$6:C459))</f>
        <v xml:space="preserve"> </v>
      </c>
      <c r="B459" s="88"/>
      <c r="C459" s="88"/>
      <c r="D459" s="89"/>
      <c r="E459" s="89"/>
      <c r="F459" s="73"/>
      <c r="G459" s="73"/>
      <c r="H459" s="73"/>
      <c r="I459" s="73"/>
      <c r="J459" s="73"/>
      <c r="K459" s="73"/>
      <c r="L459" s="73"/>
      <c r="M459" s="74"/>
      <c r="N459" s="71" t="str">
        <f t="shared" si="7"/>
        <v/>
      </c>
      <c r="O459" s="72"/>
      <c r="P459" s="72"/>
      <c r="Q459" s="72"/>
      <c r="R459" s="72"/>
      <c r="S459" s="72"/>
      <c r="T459" s="72"/>
      <c r="U459" s="72"/>
      <c r="V459" s="72"/>
    </row>
    <row r="460" spans="1:22" ht="27.75" customHeight="1">
      <c r="A460" s="87" t="str">
        <f>IF(ISBLANK(C460)," ",455-COUNTBLANK($C$6:C460))</f>
        <v xml:space="preserve"> </v>
      </c>
      <c r="B460" s="88"/>
      <c r="C460" s="88"/>
      <c r="D460" s="89"/>
      <c r="E460" s="89"/>
      <c r="F460" s="73"/>
      <c r="G460" s="73"/>
      <c r="H460" s="73"/>
      <c r="I460" s="73"/>
      <c r="J460" s="73"/>
      <c r="K460" s="73"/>
      <c r="L460" s="73"/>
      <c r="M460" s="74"/>
      <c r="N460" s="71" t="str">
        <f t="shared" si="7"/>
        <v/>
      </c>
      <c r="O460" s="72"/>
      <c r="P460" s="72"/>
      <c r="Q460" s="72"/>
      <c r="R460" s="72"/>
      <c r="S460" s="72"/>
      <c r="T460" s="72"/>
      <c r="U460" s="72"/>
      <c r="V460" s="72"/>
    </row>
    <row r="461" spans="1:22" ht="27.75" customHeight="1">
      <c r="A461" s="87" t="str">
        <f>IF(ISBLANK(C461)," ",456-COUNTBLANK($C$6:C461))</f>
        <v xml:space="preserve"> </v>
      </c>
      <c r="B461" s="88"/>
      <c r="C461" s="88"/>
      <c r="D461" s="89"/>
      <c r="E461" s="89"/>
      <c r="F461" s="73"/>
      <c r="G461" s="73"/>
      <c r="H461" s="73"/>
      <c r="I461" s="73"/>
      <c r="J461" s="73"/>
      <c r="K461" s="73"/>
      <c r="L461" s="73"/>
      <c r="M461" s="74"/>
      <c r="N461" s="71" t="str">
        <f t="shared" si="7"/>
        <v/>
      </c>
      <c r="O461" s="72"/>
      <c r="P461" s="72"/>
      <c r="Q461" s="72"/>
      <c r="R461" s="72"/>
      <c r="S461" s="72"/>
      <c r="T461" s="72"/>
      <c r="U461" s="72"/>
      <c r="V461" s="72"/>
    </row>
    <row r="462" spans="1:22" ht="27.75" customHeight="1">
      <c r="A462" s="87" t="str">
        <f>IF(ISBLANK(C462)," ",457-COUNTBLANK($C$6:C462))</f>
        <v xml:space="preserve"> </v>
      </c>
      <c r="B462" s="88"/>
      <c r="C462" s="88"/>
      <c r="D462" s="89"/>
      <c r="E462" s="89"/>
      <c r="F462" s="73"/>
      <c r="G462" s="73"/>
      <c r="H462" s="73"/>
      <c r="I462" s="73"/>
      <c r="J462" s="73"/>
      <c r="K462" s="73"/>
      <c r="L462" s="73"/>
      <c r="M462" s="74"/>
      <c r="N462" s="71" t="str">
        <f t="shared" si="7"/>
        <v/>
      </c>
      <c r="O462" s="75"/>
      <c r="P462" s="72"/>
      <c r="Q462" s="72"/>
      <c r="R462" s="72"/>
      <c r="S462" s="72"/>
      <c r="T462" s="72"/>
      <c r="U462" s="72"/>
      <c r="V462" s="76"/>
    </row>
    <row r="463" spans="1:22" ht="27.75" customHeight="1">
      <c r="A463" s="87" t="str">
        <f>IF(ISBLANK(C463)," ",458-COUNTBLANK($C$6:C463))</f>
        <v xml:space="preserve"> </v>
      </c>
      <c r="B463" s="88"/>
      <c r="C463" s="88"/>
      <c r="D463" s="89"/>
      <c r="E463" s="89"/>
      <c r="F463" s="73"/>
      <c r="G463" s="73"/>
      <c r="H463" s="73"/>
      <c r="I463" s="73"/>
      <c r="J463" s="73"/>
      <c r="K463" s="73"/>
      <c r="L463" s="73"/>
      <c r="M463" s="74"/>
      <c r="N463" s="71" t="str">
        <f t="shared" si="7"/>
        <v/>
      </c>
      <c r="O463" s="75"/>
      <c r="P463" s="72"/>
      <c r="Q463" s="72"/>
      <c r="R463" s="72"/>
      <c r="S463" s="72"/>
      <c r="T463" s="72"/>
      <c r="U463" s="72"/>
      <c r="V463" s="76"/>
    </row>
    <row r="464" spans="1:22" ht="27.75" customHeight="1">
      <c r="A464" s="87" t="str">
        <f>IF(ISBLANK(C464)," ",459-COUNTBLANK($C$6:C464))</f>
        <v xml:space="preserve"> </v>
      </c>
      <c r="B464" s="88"/>
      <c r="C464" s="88"/>
      <c r="D464" s="89"/>
      <c r="E464" s="89"/>
      <c r="F464" s="73"/>
      <c r="G464" s="73"/>
      <c r="H464" s="73"/>
      <c r="I464" s="73"/>
      <c r="J464" s="73"/>
      <c r="K464" s="73"/>
      <c r="L464" s="73"/>
      <c r="M464" s="74"/>
      <c r="N464" s="71" t="str">
        <f t="shared" si="7"/>
        <v/>
      </c>
      <c r="O464" s="75"/>
      <c r="P464" s="72"/>
      <c r="Q464" s="72"/>
      <c r="R464" s="72"/>
      <c r="S464" s="72"/>
      <c r="T464" s="72"/>
      <c r="U464" s="72"/>
      <c r="V464" s="76"/>
    </row>
    <row r="465" spans="1:25" ht="27.75" customHeight="1">
      <c r="A465" s="87" t="str">
        <f>IF(ISBLANK(C465)," ",460-COUNTBLANK($C$6:C465))</f>
        <v xml:space="preserve"> </v>
      </c>
      <c r="B465" s="88"/>
      <c r="C465" s="88"/>
      <c r="D465" s="89"/>
      <c r="E465" s="89"/>
      <c r="F465" s="73"/>
      <c r="G465" s="73"/>
      <c r="H465" s="73"/>
      <c r="I465" s="73"/>
      <c r="J465" s="73"/>
      <c r="K465" s="73"/>
      <c r="L465" s="73"/>
      <c r="M465" s="74"/>
      <c r="N465" s="71" t="str">
        <f t="shared" si="7"/>
        <v/>
      </c>
      <c r="O465" s="75"/>
      <c r="P465" s="72"/>
      <c r="Q465" s="72"/>
      <c r="R465" s="72"/>
      <c r="S465" s="72"/>
      <c r="T465" s="72"/>
      <c r="U465" s="72"/>
      <c r="V465" s="76"/>
    </row>
    <row r="466" spans="1:25" ht="27.75" customHeight="1">
      <c r="A466" s="87" t="str">
        <f>IF(ISBLANK(C466)," ",461-COUNTBLANK($C$6:C466))</f>
        <v xml:space="preserve"> </v>
      </c>
      <c r="B466" s="88"/>
      <c r="C466" s="88"/>
      <c r="D466" s="89"/>
      <c r="E466" s="89"/>
      <c r="F466" s="73"/>
      <c r="G466" s="73"/>
      <c r="H466" s="73"/>
      <c r="I466" s="73"/>
      <c r="J466" s="73"/>
      <c r="K466" s="73"/>
      <c r="L466" s="73"/>
      <c r="M466" s="74"/>
      <c r="N466" s="71" t="str">
        <f t="shared" si="7"/>
        <v/>
      </c>
      <c r="O466" s="72"/>
      <c r="P466" s="72"/>
      <c r="Q466" s="72"/>
      <c r="R466" s="72"/>
      <c r="S466" s="72"/>
      <c r="T466" s="72"/>
      <c r="U466" s="72"/>
      <c r="V466" s="79"/>
      <c r="W466" s="72"/>
      <c r="X466" s="72"/>
      <c r="Y466" s="72"/>
    </row>
    <row r="467" spans="1:25" ht="27.75" customHeight="1">
      <c r="A467" s="80" t="s">
        <v>52</v>
      </c>
      <c r="B467" s="81"/>
      <c r="C467" s="96"/>
      <c r="D467" s="82"/>
      <c r="E467" s="82">
        <f>SUM(E447:E466)</f>
        <v>0</v>
      </c>
      <c r="F467" s="83"/>
      <c r="G467" s="83"/>
      <c r="H467" s="83"/>
      <c r="I467" s="83"/>
      <c r="J467" s="83"/>
      <c r="K467" s="83"/>
      <c r="L467" s="83"/>
      <c r="M467" s="84"/>
      <c r="N467" s="71" t="str">
        <f t="shared" si="7"/>
        <v/>
      </c>
      <c r="O467" s="75"/>
      <c r="P467" s="72"/>
      <c r="Q467" s="72"/>
      <c r="R467" s="72"/>
      <c r="S467" s="72"/>
      <c r="T467" s="72"/>
      <c r="U467" s="72"/>
      <c r="V467" s="79"/>
      <c r="W467" s="72"/>
      <c r="X467" s="72"/>
      <c r="Y467" s="72"/>
    </row>
    <row r="468" spans="1:25" ht="27.75" customHeight="1">
      <c r="A468" s="93" t="str">
        <f>IF(ISBLANK(C468)," ",463-COUNTBLANK($C$6:C468))</f>
        <v xml:space="preserve"> </v>
      </c>
      <c r="B468" s="94"/>
      <c r="C468" s="94"/>
      <c r="D468" s="95"/>
      <c r="E468" s="95"/>
      <c r="F468" s="85"/>
      <c r="G468" s="85"/>
      <c r="H468" s="85"/>
      <c r="I468" s="85"/>
      <c r="J468" s="85"/>
      <c r="K468" s="85"/>
      <c r="L468" s="85"/>
      <c r="M468" s="86"/>
      <c r="N468" s="71" t="str">
        <f t="shared" si="7"/>
        <v/>
      </c>
      <c r="O468" s="72"/>
      <c r="P468" s="72"/>
      <c r="Q468" s="72"/>
      <c r="R468" s="72"/>
      <c r="S468" s="72"/>
      <c r="T468" s="72"/>
      <c r="U468" s="72"/>
      <c r="V468" s="72"/>
    </row>
    <row r="469" spans="1:25" ht="27.75" customHeight="1">
      <c r="A469" s="87" t="str">
        <f>IF(ISBLANK(C469)," ",464-COUNTBLANK($C$6:C469))</f>
        <v xml:space="preserve"> </v>
      </c>
      <c r="B469" s="88"/>
      <c r="C469" s="88"/>
      <c r="D469" s="89"/>
      <c r="E469" s="89"/>
      <c r="F469" s="73"/>
      <c r="G469" s="73"/>
      <c r="H469" s="73"/>
      <c r="I469" s="73"/>
      <c r="J469" s="73"/>
      <c r="K469" s="73"/>
      <c r="L469" s="73"/>
      <c r="M469" s="74"/>
      <c r="N469" s="71" t="str">
        <f t="shared" si="7"/>
        <v/>
      </c>
      <c r="O469" s="72"/>
      <c r="P469" s="72"/>
      <c r="Q469" s="72"/>
      <c r="R469" s="72"/>
      <c r="S469" s="72"/>
      <c r="T469" s="72"/>
      <c r="U469" s="72"/>
      <c r="V469" s="72"/>
    </row>
    <row r="470" spans="1:25" ht="27.75" customHeight="1">
      <c r="A470" s="87" t="str">
        <f>IF(ISBLANK(C470)," ",465-COUNTBLANK($C$6:C470))</f>
        <v xml:space="preserve"> </v>
      </c>
      <c r="B470" s="88"/>
      <c r="C470" s="88"/>
      <c r="D470" s="89"/>
      <c r="E470" s="89"/>
      <c r="F470" s="73"/>
      <c r="G470" s="73"/>
      <c r="H470" s="73"/>
      <c r="I470" s="73"/>
      <c r="J470" s="73"/>
      <c r="K470" s="73"/>
      <c r="L470" s="73"/>
      <c r="M470" s="74"/>
      <c r="N470" s="71" t="str">
        <f t="shared" si="7"/>
        <v/>
      </c>
      <c r="O470" s="72"/>
      <c r="P470" s="72"/>
      <c r="Q470" s="72"/>
      <c r="R470" s="72"/>
      <c r="S470" s="72"/>
      <c r="T470" s="72"/>
      <c r="U470" s="72"/>
      <c r="V470" s="72"/>
    </row>
    <row r="471" spans="1:25" ht="27.75" customHeight="1">
      <c r="A471" s="87" t="str">
        <f>IF(ISBLANK(C471)," ",466-COUNTBLANK($C$6:C471))</f>
        <v xml:space="preserve"> </v>
      </c>
      <c r="B471" s="88"/>
      <c r="C471" s="88"/>
      <c r="D471" s="89"/>
      <c r="E471" s="89"/>
      <c r="F471" s="73"/>
      <c r="G471" s="73"/>
      <c r="H471" s="73"/>
      <c r="I471" s="73"/>
      <c r="J471" s="73"/>
      <c r="K471" s="73"/>
      <c r="L471" s="73"/>
      <c r="M471" s="74"/>
      <c r="N471" s="71" t="str">
        <f t="shared" si="7"/>
        <v/>
      </c>
      <c r="O471" s="72"/>
      <c r="P471" s="72"/>
      <c r="Q471" s="72"/>
      <c r="R471" s="72"/>
      <c r="S471" s="72"/>
      <c r="T471" s="72"/>
      <c r="U471" s="72"/>
      <c r="V471" s="72"/>
    </row>
    <row r="472" spans="1:25" ht="27.75" customHeight="1">
      <c r="A472" s="87" t="str">
        <f>IF(ISBLANK(C472)," ",467-COUNTBLANK($C$6:C472))</f>
        <v xml:space="preserve"> </v>
      </c>
      <c r="B472" s="88"/>
      <c r="C472" s="88"/>
      <c r="D472" s="89"/>
      <c r="E472" s="89"/>
      <c r="F472" s="73"/>
      <c r="G472" s="73"/>
      <c r="H472" s="73"/>
      <c r="I472" s="73"/>
      <c r="J472" s="73"/>
      <c r="K472" s="73"/>
      <c r="L472" s="73"/>
      <c r="M472" s="74"/>
      <c r="N472" s="71" t="str">
        <f t="shared" si="7"/>
        <v/>
      </c>
      <c r="O472" s="72"/>
      <c r="P472" s="72"/>
      <c r="Q472" s="72"/>
      <c r="R472" s="72"/>
      <c r="S472" s="72"/>
      <c r="T472" s="72"/>
      <c r="U472" s="72"/>
      <c r="V472" s="72"/>
    </row>
    <row r="473" spans="1:25" ht="27.75" customHeight="1">
      <c r="A473" s="87" t="str">
        <f>IF(ISBLANK(C473)," ",468-COUNTBLANK($C$6:C473))</f>
        <v xml:space="preserve"> </v>
      </c>
      <c r="B473" s="88"/>
      <c r="C473" s="88"/>
      <c r="D473" s="89"/>
      <c r="E473" s="89"/>
      <c r="F473" s="73"/>
      <c r="G473" s="73"/>
      <c r="H473" s="73"/>
      <c r="I473" s="73"/>
      <c r="J473" s="73"/>
      <c r="K473" s="73"/>
      <c r="L473" s="73"/>
      <c r="M473" s="74"/>
      <c r="N473" s="71" t="str">
        <f t="shared" si="7"/>
        <v/>
      </c>
      <c r="O473" s="72"/>
      <c r="P473" s="72"/>
      <c r="Q473" s="72"/>
      <c r="R473" s="72"/>
      <c r="S473" s="72"/>
      <c r="T473" s="72"/>
      <c r="U473" s="72"/>
      <c r="V473" s="72"/>
    </row>
    <row r="474" spans="1:25" ht="27.75" customHeight="1">
      <c r="A474" s="87" t="str">
        <f>IF(ISBLANK(C474)," ",469-COUNTBLANK($C$6:C474))</f>
        <v xml:space="preserve"> </v>
      </c>
      <c r="B474" s="88"/>
      <c r="C474" s="88"/>
      <c r="D474" s="89"/>
      <c r="E474" s="89"/>
      <c r="F474" s="73"/>
      <c r="G474" s="73"/>
      <c r="H474" s="73"/>
      <c r="I474" s="73"/>
      <c r="J474" s="73"/>
      <c r="K474" s="73"/>
      <c r="L474" s="73"/>
      <c r="M474" s="74"/>
      <c r="N474" s="71" t="str">
        <f t="shared" si="7"/>
        <v/>
      </c>
      <c r="O474" s="72"/>
      <c r="P474" s="72"/>
      <c r="Q474" s="72"/>
      <c r="R474" s="72"/>
      <c r="S474" s="72"/>
      <c r="T474" s="72"/>
      <c r="U474" s="72"/>
      <c r="V474" s="72"/>
    </row>
    <row r="475" spans="1:25" ht="27.75" customHeight="1">
      <c r="A475" s="87" t="str">
        <f>IF(ISBLANK(C475)," ",470-COUNTBLANK($C$6:C475))</f>
        <v xml:space="preserve"> </v>
      </c>
      <c r="B475" s="88"/>
      <c r="C475" s="88"/>
      <c r="D475" s="89"/>
      <c r="E475" s="89"/>
      <c r="F475" s="73"/>
      <c r="G475" s="73"/>
      <c r="H475" s="73"/>
      <c r="I475" s="73"/>
      <c r="J475" s="73"/>
      <c r="K475" s="73"/>
      <c r="L475" s="73"/>
      <c r="M475" s="74"/>
      <c r="N475" s="71" t="str">
        <f t="shared" si="7"/>
        <v/>
      </c>
      <c r="O475" s="72"/>
      <c r="P475" s="72"/>
      <c r="Q475" s="72"/>
      <c r="R475" s="72"/>
      <c r="S475" s="72"/>
      <c r="T475" s="72"/>
      <c r="U475" s="72"/>
      <c r="V475" s="72"/>
    </row>
    <row r="476" spans="1:25" ht="27.75" customHeight="1">
      <c r="A476" s="87" t="str">
        <f>IF(ISBLANK(C476)," ",471-COUNTBLANK($C$6:C476))</f>
        <v xml:space="preserve"> </v>
      </c>
      <c r="B476" s="88"/>
      <c r="C476" s="88"/>
      <c r="D476" s="89"/>
      <c r="E476" s="89"/>
      <c r="F476" s="73"/>
      <c r="G476" s="73"/>
      <c r="H476" s="73"/>
      <c r="I476" s="73"/>
      <c r="J476" s="73"/>
      <c r="K476" s="73"/>
      <c r="L476" s="73"/>
      <c r="M476" s="74"/>
      <c r="N476" s="71" t="str">
        <f t="shared" si="7"/>
        <v/>
      </c>
      <c r="O476" s="72"/>
      <c r="P476" s="72"/>
      <c r="Q476" s="72"/>
      <c r="R476" s="72"/>
      <c r="S476" s="72"/>
      <c r="T476" s="72"/>
      <c r="U476" s="72"/>
      <c r="V476" s="72"/>
    </row>
    <row r="477" spans="1:25" ht="27.75" customHeight="1">
      <c r="A477" s="87" t="str">
        <f>IF(ISBLANK(C477)," ",472-COUNTBLANK($C$6:C477))</f>
        <v xml:space="preserve"> </v>
      </c>
      <c r="B477" s="88"/>
      <c r="C477" s="88"/>
      <c r="D477" s="89"/>
      <c r="E477" s="89"/>
      <c r="F477" s="73"/>
      <c r="G477" s="73"/>
      <c r="H477" s="73"/>
      <c r="I477" s="73"/>
      <c r="J477" s="73"/>
      <c r="K477" s="73"/>
      <c r="L477" s="73"/>
      <c r="M477" s="74"/>
      <c r="N477" s="71" t="str">
        <f t="shared" si="7"/>
        <v/>
      </c>
      <c r="O477" s="72"/>
      <c r="P477" s="72"/>
      <c r="Q477" s="72"/>
      <c r="R477" s="72"/>
      <c r="S477" s="72"/>
      <c r="T477" s="72"/>
      <c r="U477" s="72"/>
      <c r="V477" s="72"/>
    </row>
    <row r="478" spans="1:25" ht="27.75" customHeight="1">
      <c r="A478" s="87" t="str">
        <f>IF(ISBLANK(C478)," ",473-COUNTBLANK($C$6:C478))</f>
        <v xml:space="preserve"> </v>
      </c>
      <c r="B478" s="88"/>
      <c r="C478" s="88"/>
      <c r="D478" s="89"/>
      <c r="E478" s="89"/>
      <c r="F478" s="73"/>
      <c r="G478" s="73"/>
      <c r="H478" s="73"/>
      <c r="I478" s="73"/>
      <c r="J478" s="73"/>
      <c r="K478" s="73"/>
      <c r="L478" s="73"/>
      <c r="M478" s="74"/>
      <c r="N478" s="71" t="str">
        <f t="shared" si="7"/>
        <v/>
      </c>
      <c r="O478" s="72"/>
      <c r="P478" s="72"/>
      <c r="Q478" s="72"/>
      <c r="R478" s="72"/>
      <c r="S478" s="72"/>
      <c r="T478" s="72"/>
      <c r="U478" s="72"/>
      <c r="V478" s="72"/>
    </row>
    <row r="479" spans="1:25" ht="27.75" customHeight="1">
      <c r="A479" s="87" t="str">
        <f>IF(ISBLANK(C479)," ",474-COUNTBLANK($C$6:C479))</f>
        <v xml:space="preserve"> </v>
      </c>
      <c r="B479" s="88"/>
      <c r="C479" s="88"/>
      <c r="D479" s="89"/>
      <c r="E479" s="89"/>
      <c r="F479" s="73"/>
      <c r="G479" s="73"/>
      <c r="H479" s="73"/>
      <c r="I479" s="73"/>
      <c r="J479" s="73"/>
      <c r="K479" s="73"/>
      <c r="L479" s="73"/>
      <c r="M479" s="74"/>
      <c r="N479" s="71" t="str">
        <f t="shared" si="7"/>
        <v/>
      </c>
      <c r="O479" s="72"/>
      <c r="P479" s="72"/>
      <c r="Q479" s="72"/>
      <c r="R479" s="72"/>
      <c r="S479" s="72"/>
      <c r="T479" s="72"/>
      <c r="U479" s="72"/>
      <c r="V479" s="72"/>
    </row>
    <row r="480" spans="1:25" ht="27.75" customHeight="1">
      <c r="A480" s="87" t="str">
        <f>IF(ISBLANK(C480)," ",475-COUNTBLANK($C$6:C480))</f>
        <v xml:space="preserve"> </v>
      </c>
      <c r="B480" s="88"/>
      <c r="C480" s="88"/>
      <c r="D480" s="89"/>
      <c r="E480" s="89"/>
      <c r="F480" s="73"/>
      <c r="G480" s="73"/>
      <c r="H480" s="73"/>
      <c r="I480" s="73"/>
      <c r="J480" s="73"/>
      <c r="K480" s="73"/>
      <c r="L480" s="73"/>
      <c r="M480" s="74"/>
      <c r="N480" s="71" t="str">
        <f t="shared" si="7"/>
        <v/>
      </c>
      <c r="O480" s="72"/>
      <c r="P480" s="72"/>
      <c r="Q480" s="72"/>
      <c r="R480" s="72"/>
      <c r="S480" s="72"/>
      <c r="T480" s="72"/>
      <c r="U480" s="72"/>
      <c r="V480" s="72"/>
    </row>
    <row r="481" spans="1:25" ht="27.75" customHeight="1">
      <c r="A481" s="87" t="str">
        <f>IF(ISBLANK(C481)," ",476-COUNTBLANK($C$6:C481))</f>
        <v xml:space="preserve"> </v>
      </c>
      <c r="B481" s="88"/>
      <c r="C481" s="88"/>
      <c r="D481" s="89"/>
      <c r="E481" s="89"/>
      <c r="F481" s="73"/>
      <c r="G481" s="73"/>
      <c r="H481" s="73"/>
      <c r="I481" s="73"/>
      <c r="J481" s="73"/>
      <c r="K481" s="73"/>
      <c r="L481" s="73"/>
      <c r="M481" s="74"/>
      <c r="N481" s="71" t="str">
        <f t="shared" si="7"/>
        <v/>
      </c>
      <c r="O481" s="72"/>
      <c r="P481" s="72"/>
      <c r="Q481" s="72"/>
      <c r="R481" s="72"/>
      <c r="S481" s="72"/>
      <c r="T481" s="72"/>
      <c r="U481" s="72"/>
      <c r="V481" s="72"/>
    </row>
    <row r="482" spans="1:25" ht="27.75" customHeight="1">
      <c r="A482" s="87" t="str">
        <f>IF(ISBLANK(C482)," ",477-COUNTBLANK($C$6:C482))</f>
        <v xml:space="preserve"> </v>
      </c>
      <c r="B482" s="88"/>
      <c r="C482" s="88"/>
      <c r="D482" s="89"/>
      <c r="E482" s="89"/>
      <c r="F482" s="73"/>
      <c r="G482" s="73"/>
      <c r="H482" s="73"/>
      <c r="I482" s="73"/>
      <c r="J482" s="73"/>
      <c r="K482" s="73"/>
      <c r="L482" s="73"/>
      <c r="M482" s="74"/>
      <c r="N482" s="71" t="str">
        <f t="shared" si="7"/>
        <v/>
      </c>
      <c r="O482" s="72"/>
      <c r="P482" s="72"/>
      <c r="Q482" s="72"/>
      <c r="R482" s="72"/>
      <c r="S482" s="72"/>
      <c r="T482" s="72"/>
      <c r="U482" s="72"/>
      <c r="V482" s="72"/>
    </row>
    <row r="483" spans="1:25" ht="27.75" customHeight="1">
      <c r="A483" s="87" t="str">
        <f>IF(ISBLANK(C483)," ",478-COUNTBLANK($C$6:C483))</f>
        <v xml:space="preserve"> </v>
      </c>
      <c r="B483" s="88"/>
      <c r="C483" s="88"/>
      <c r="D483" s="89"/>
      <c r="E483" s="89"/>
      <c r="F483" s="73"/>
      <c r="G483" s="73"/>
      <c r="H483" s="73"/>
      <c r="I483" s="73"/>
      <c r="J483" s="73"/>
      <c r="K483" s="73"/>
      <c r="L483" s="73"/>
      <c r="M483" s="74"/>
      <c r="N483" s="71" t="str">
        <f t="shared" si="7"/>
        <v/>
      </c>
      <c r="O483" s="75"/>
      <c r="P483" s="72"/>
      <c r="Q483" s="72"/>
      <c r="R483" s="72"/>
      <c r="S483" s="72"/>
      <c r="T483" s="72"/>
      <c r="U483" s="72"/>
      <c r="V483" s="76"/>
    </row>
    <row r="484" spans="1:25" ht="27.75" customHeight="1">
      <c r="A484" s="87" t="str">
        <f>IF(ISBLANK(C484)," ",479-COUNTBLANK($C$6:C484))</f>
        <v xml:space="preserve"> </v>
      </c>
      <c r="B484" s="88"/>
      <c r="C484" s="88"/>
      <c r="D484" s="89"/>
      <c r="E484" s="89"/>
      <c r="F484" s="73"/>
      <c r="G484" s="73"/>
      <c r="H484" s="73"/>
      <c r="I484" s="73"/>
      <c r="J484" s="73"/>
      <c r="K484" s="73"/>
      <c r="L484" s="73"/>
      <c r="M484" s="74"/>
      <c r="N484" s="71" t="str">
        <f t="shared" si="7"/>
        <v/>
      </c>
      <c r="O484" s="75"/>
      <c r="P484" s="72"/>
      <c r="Q484" s="72"/>
      <c r="R484" s="72"/>
      <c r="S484" s="72"/>
      <c r="T484" s="72"/>
      <c r="U484" s="72"/>
      <c r="V484" s="76"/>
    </row>
    <row r="485" spans="1:25" ht="27.75" customHeight="1">
      <c r="A485" s="87" t="str">
        <f>IF(ISBLANK(C485)," ",480-COUNTBLANK($C$6:C485))</f>
        <v xml:space="preserve"> </v>
      </c>
      <c r="B485" s="88"/>
      <c r="C485" s="88"/>
      <c r="D485" s="89"/>
      <c r="E485" s="89"/>
      <c r="F485" s="73"/>
      <c r="G485" s="73"/>
      <c r="H485" s="73"/>
      <c r="I485" s="73"/>
      <c r="J485" s="73"/>
      <c r="K485" s="73"/>
      <c r="L485" s="73"/>
      <c r="M485" s="74"/>
      <c r="N485" s="71" t="str">
        <f t="shared" si="7"/>
        <v/>
      </c>
      <c r="O485" s="75"/>
      <c r="P485" s="72"/>
      <c r="Q485" s="72"/>
      <c r="R485" s="72"/>
      <c r="S485" s="72"/>
      <c r="T485" s="72"/>
      <c r="U485" s="72"/>
      <c r="V485" s="76"/>
    </row>
    <row r="486" spans="1:25" ht="27.75" customHeight="1">
      <c r="A486" s="87" t="str">
        <f>IF(ISBLANK(C486)," ",481-COUNTBLANK($C$6:C486))</f>
        <v xml:space="preserve"> </v>
      </c>
      <c r="B486" s="88"/>
      <c r="C486" s="88"/>
      <c r="D486" s="89"/>
      <c r="E486" s="89"/>
      <c r="F486" s="73"/>
      <c r="G486" s="73"/>
      <c r="H486" s="73"/>
      <c r="I486" s="73"/>
      <c r="J486" s="73"/>
      <c r="K486" s="73"/>
      <c r="L486" s="73"/>
      <c r="M486" s="74"/>
      <c r="N486" s="71" t="str">
        <f t="shared" si="7"/>
        <v/>
      </c>
      <c r="O486" s="75"/>
      <c r="P486" s="72"/>
      <c r="Q486" s="72"/>
      <c r="R486" s="72"/>
      <c r="S486" s="72"/>
      <c r="T486" s="72"/>
      <c r="U486" s="72"/>
      <c r="V486" s="76"/>
    </row>
    <row r="487" spans="1:25" ht="27.75" customHeight="1">
      <c r="A487" s="87" t="str">
        <f>IF(ISBLANK(C487)," ",482-COUNTBLANK($C$6:C487))</f>
        <v xml:space="preserve"> </v>
      </c>
      <c r="B487" s="88"/>
      <c r="C487" s="88"/>
      <c r="D487" s="89"/>
      <c r="E487" s="89"/>
      <c r="F487" s="73"/>
      <c r="G487" s="73"/>
      <c r="H487" s="73"/>
      <c r="I487" s="73"/>
      <c r="J487" s="73"/>
      <c r="K487" s="73"/>
      <c r="L487" s="73"/>
      <c r="M487" s="74"/>
      <c r="N487" s="71" t="str">
        <f t="shared" si="7"/>
        <v/>
      </c>
      <c r="O487" s="72"/>
      <c r="P487" s="72"/>
      <c r="Q487" s="72"/>
      <c r="R487" s="72"/>
      <c r="S487" s="72"/>
      <c r="T487" s="72"/>
      <c r="U487" s="72"/>
      <c r="V487" s="79"/>
      <c r="W487" s="72"/>
      <c r="X487" s="72"/>
      <c r="Y487" s="72"/>
    </row>
    <row r="488" spans="1:25" ht="27.75" customHeight="1">
      <c r="A488" s="80" t="s">
        <v>52</v>
      </c>
      <c r="B488" s="81"/>
      <c r="C488" s="96"/>
      <c r="D488" s="82"/>
      <c r="E488" s="82">
        <f>SUM(E468:E487)</f>
        <v>0</v>
      </c>
      <c r="F488" s="83"/>
      <c r="G488" s="83"/>
      <c r="H488" s="83"/>
      <c r="I488" s="83"/>
      <c r="J488" s="83"/>
      <c r="K488" s="83"/>
      <c r="L488" s="83"/>
      <c r="M488" s="84"/>
      <c r="N488" s="71" t="str">
        <f t="shared" si="7"/>
        <v/>
      </c>
      <c r="O488" s="75"/>
      <c r="P488" s="72"/>
      <c r="Q488" s="72"/>
      <c r="R488" s="72"/>
      <c r="S488" s="72"/>
      <c r="T488" s="72"/>
      <c r="U488" s="72"/>
      <c r="V488" s="79"/>
      <c r="W488" s="72"/>
      <c r="X488" s="72"/>
      <c r="Y488" s="72"/>
    </row>
    <row r="489" spans="1:25" ht="27.75" customHeight="1">
      <c r="A489" s="93" t="str">
        <f>IF(ISBLANK(C489)," ",484-COUNTBLANK($C$6:C489))</f>
        <v xml:space="preserve"> </v>
      </c>
      <c r="B489" s="94"/>
      <c r="C489" s="94"/>
      <c r="D489" s="95"/>
      <c r="E489" s="95"/>
      <c r="F489" s="85"/>
      <c r="G489" s="85"/>
      <c r="H489" s="85"/>
      <c r="I489" s="85"/>
      <c r="J489" s="85"/>
      <c r="K489" s="85"/>
      <c r="L489" s="85"/>
      <c r="M489" s="86"/>
      <c r="N489" s="71" t="str">
        <f t="shared" si="7"/>
        <v/>
      </c>
      <c r="O489" s="72"/>
      <c r="P489" s="72"/>
      <c r="Q489" s="72"/>
      <c r="R489" s="72"/>
      <c r="S489" s="72"/>
      <c r="T489" s="72"/>
      <c r="U489" s="72"/>
      <c r="V489" s="72"/>
    </row>
    <row r="490" spans="1:25" ht="27.75" customHeight="1">
      <c r="A490" s="87" t="str">
        <f>IF(ISBLANK(C490)," ",485-COUNTBLANK($C$6:C490))</f>
        <v xml:space="preserve"> </v>
      </c>
      <c r="B490" s="88"/>
      <c r="C490" s="88"/>
      <c r="D490" s="89"/>
      <c r="E490" s="89"/>
      <c r="F490" s="73"/>
      <c r="G490" s="73"/>
      <c r="H490" s="73"/>
      <c r="I490" s="73"/>
      <c r="J490" s="73"/>
      <c r="K490" s="73"/>
      <c r="L490" s="73"/>
      <c r="M490" s="74"/>
      <c r="N490" s="71" t="str">
        <f t="shared" si="7"/>
        <v/>
      </c>
      <c r="O490" s="72"/>
      <c r="P490" s="72"/>
      <c r="Q490" s="72"/>
      <c r="R490" s="72"/>
      <c r="S490" s="72"/>
      <c r="T490" s="72"/>
      <c r="U490" s="72"/>
      <c r="V490" s="72"/>
    </row>
    <row r="491" spans="1:25" ht="27.75" customHeight="1">
      <c r="A491" s="87" t="str">
        <f>IF(ISBLANK(C491)," ",486-COUNTBLANK($C$6:C491))</f>
        <v xml:space="preserve"> </v>
      </c>
      <c r="B491" s="88"/>
      <c r="C491" s="88"/>
      <c r="D491" s="89"/>
      <c r="E491" s="89"/>
      <c r="F491" s="73"/>
      <c r="G491" s="73"/>
      <c r="H491" s="73"/>
      <c r="I491" s="73"/>
      <c r="J491" s="73"/>
      <c r="K491" s="73"/>
      <c r="L491" s="73"/>
      <c r="M491" s="74"/>
      <c r="N491" s="71" t="str">
        <f t="shared" si="7"/>
        <v/>
      </c>
      <c r="O491" s="72"/>
      <c r="P491" s="72"/>
      <c r="Q491" s="72"/>
      <c r="R491" s="72"/>
      <c r="S491" s="72"/>
      <c r="T491" s="72"/>
      <c r="U491" s="72"/>
      <c r="V491" s="72"/>
    </row>
    <row r="492" spans="1:25" ht="27.75" customHeight="1">
      <c r="A492" s="87" t="str">
        <f>IF(ISBLANK(C492)," ",487-COUNTBLANK($C$6:C492))</f>
        <v xml:space="preserve"> </v>
      </c>
      <c r="B492" s="88"/>
      <c r="C492" s="88"/>
      <c r="D492" s="89"/>
      <c r="E492" s="89"/>
      <c r="F492" s="73"/>
      <c r="G492" s="73"/>
      <c r="H492" s="73"/>
      <c r="I492" s="73"/>
      <c r="J492" s="73"/>
      <c r="K492" s="73"/>
      <c r="L492" s="73"/>
      <c r="M492" s="74"/>
      <c r="N492" s="71" t="str">
        <f t="shared" si="7"/>
        <v/>
      </c>
      <c r="O492" s="72"/>
      <c r="P492" s="72"/>
      <c r="Q492" s="72"/>
      <c r="R492" s="72"/>
      <c r="S492" s="72"/>
      <c r="T492" s="72"/>
      <c r="U492" s="72"/>
      <c r="V492" s="72"/>
    </row>
    <row r="493" spans="1:25" ht="27.75" customHeight="1">
      <c r="A493" s="87" t="str">
        <f>IF(ISBLANK(C493)," ",488-COUNTBLANK($C$6:C493))</f>
        <v xml:space="preserve"> </v>
      </c>
      <c r="B493" s="88"/>
      <c r="C493" s="88"/>
      <c r="D493" s="89"/>
      <c r="E493" s="89"/>
      <c r="F493" s="73"/>
      <c r="G493" s="73"/>
      <c r="H493" s="73"/>
      <c r="I493" s="73"/>
      <c r="J493" s="73"/>
      <c r="K493" s="73"/>
      <c r="L493" s="73"/>
      <c r="M493" s="74"/>
      <c r="N493" s="71" t="str">
        <f t="shared" si="7"/>
        <v/>
      </c>
      <c r="O493" s="72"/>
      <c r="P493" s="72"/>
      <c r="Q493" s="72"/>
      <c r="R493" s="72"/>
      <c r="S493" s="72"/>
      <c r="T493" s="72"/>
      <c r="U493" s="72"/>
      <c r="V493" s="72"/>
    </row>
    <row r="494" spans="1:25" ht="27.75" customHeight="1">
      <c r="A494" s="87" t="str">
        <f>IF(ISBLANK(C494)," ",489-COUNTBLANK($C$6:C494))</f>
        <v xml:space="preserve"> </v>
      </c>
      <c r="B494" s="88"/>
      <c r="C494" s="88"/>
      <c r="D494" s="89"/>
      <c r="E494" s="89"/>
      <c r="F494" s="73"/>
      <c r="G494" s="73"/>
      <c r="H494" s="73"/>
      <c r="I494" s="73"/>
      <c r="J494" s="73"/>
      <c r="K494" s="73"/>
      <c r="L494" s="73"/>
      <c r="M494" s="74"/>
      <c r="N494" s="71" t="str">
        <f t="shared" si="7"/>
        <v/>
      </c>
      <c r="O494" s="72"/>
      <c r="P494" s="72"/>
      <c r="Q494" s="72"/>
      <c r="R494" s="72"/>
      <c r="S494" s="72"/>
      <c r="T494" s="72"/>
      <c r="U494" s="72"/>
      <c r="V494" s="72"/>
    </row>
    <row r="495" spans="1:25" ht="27.75" customHeight="1">
      <c r="A495" s="87" t="str">
        <f>IF(ISBLANK(C495)," ",490-COUNTBLANK($C$6:C495))</f>
        <v xml:space="preserve"> </v>
      </c>
      <c r="B495" s="88"/>
      <c r="C495" s="88"/>
      <c r="D495" s="89"/>
      <c r="E495" s="89"/>
      <c r="F495" s="73"/>
      <c r="G495" s="73"/>
      <c r="H495" s="73"/>
      <c r="I495" s="73"/>
      <c r="J495" s="73"/>
      <c r="K495" s="73"/>
      <c r="L495" s="73"/>
      <c r="M495" s="74"/>
      <c r="N495" s="71" t="str">
        <f t="shared" si="7"/>
        <v/>
      </c>
      <c r="O495" s="72"/>
      <c r="P495" s="72"/>
      <c r="Q495" s="72"/>
      <c r="R495" s="72"/>
      <c r="S495" s="72"/>
      <c r="T495" s="72"/>
      <c r="U495" s="72"/>
      <c r="V495" s="72"/>
    </row>
    <row r="496" spans="1:25" ht="27.75" customHeight="1">
      <c r="A496" s="87" t="str">
        <f>IF(ISBLANK(C496)," ",491-COUNTBLANK($C$6:C496))</f>
        <v xml:space="preserve"> </v>
      </c>
      <c r="B496" s="88"/>
      <c r="C496" s="88"/>
      <c r="D496" s="89"/>
      <c r="E496" s="89"/>
      <c r="F496" s="73"/>
      <c r="G496" s="73"/>
      <c r="H496" s="73"/>
      <c r="I496" s="73"/>
      <c r="J496" s="73"/>
      <c r="K496" s="73"/>
      <c r="L496" s="73"/>
      <c r="M496" s="74"/>
      <c r="N496" s="71" t="str">
        <f t="shared" si="7"/>
        <v/>
      </c>
      <c r="O496" s="72"/>
      <c r="P496" s="72"/>
      <c r="Q496" s="72"/>
      <c r="R496" s="72"/>
      <c r="S496" s="72"/>
      <c r="T496" s="72"/>
      <c r="U496" s="72"/>
      <c r="V496" s="72"/>
    </row>
    <row r="497" spans="1:25" ht="27.75" customHeight="1">
      <c r="A497" s="87" t="str">
        <f>IF(ISBLANK(C497)," ",492-COUNTBLANK($C$6:C497))</f>
        <v xml:space="preserve"> </v>
      </c>
      <c r="B497" s="88"/>
      <c r="C497" s="88"/>
      <c r="D497" s="89"/>
      <c r="E497" s="89"/>
      <c r="F497" s="73"/>
      <c r="G497" s="73"/>
      <c r="H497" s="73"/>
      <c r="I497" s="73"/>
      <c r="J497" s="73"/>
      <c r="K497" s="73"/>
      <c r="L497" s="73"/>
      <c r="M497" s="74"/>
      <c r="N497" s="71" t="str">
        <f t="shared" si="7"/>
        <v/>
      </c>
      <c r="O497" s="72"/>
      <c r="P497" s="72"/>
      <c r="Q497" s="72"/>
      <c r="R497" s="72"/>
      <c r="S497" s="72"/>
      <c r="T497" s="72"/>
      <c r="U497" s="72"/>
      <c r="V497" s="72"/>
    </row>
    <row r="498" spans="1:25" ht="27.75" customHeight="1">
      <c r="A498" s="87" t="str">
        <f>IF(ISBLANK(C498)," ",493-COUNTBLANK($C$6:C498))</f>
        <v xml:space="preserve"> </v>
      </c>
      <c r="B498" s="88"/>
      <c r="C498" s="88"/>
      <c r="D498" s="89"/>
      <c r="E498" s="89"/>
      <c r="F498" s="73"/>
      <c r="G498" s="73"/>
      <c r="H498" s="73"/>
      <c r="I498" s="73"/>
      <c r="J498" s="73"/>
      <c r="K498" s="73"/>
      <c r="L498" s="73"/>
      <c r="M498" s="74"/>
      <c r="N498" s="71" t="str">
        <f t="shared" si="7"/>
        <v/>
      </c>
      <c r="O498" s="72"/>
      <c r="P498" s="72"/>
      <c r="Q498" s="72"/>
      <c r="R498" s="72"/>
      <c r="S498" s="72"/>
      <c r="T498" s="72"/>
      <c r="U498" s="72"/>
      <c r="V498" s="72"/>
    </row>
    <row r="499" spans="1:25" ht="27.75" customHeight="1">
      <c r="A499" s="87" t="str">
        <f>IF(ISBLANK(C499)," ",494-COUNTBLANK($C$6:C499))</f>
        <v xml:space="preserve"> </v>
      </c>
      <c r="B499" s="88"/>
      <c r="C499" s="88"/>
      <c r="D499" s="89"/>
      <c r="E499" s="89"/>
      <c r="F499" s="73"/>
      <c r="G499" s="73"/>
      <c r="H499" s="73"/>
      <c r="I499" s="73"/>
      <c r="J499" s="73"/>
      <c r="K499" s="73"/>
      <c r="L499" s="73"/>
      <c r="M499" s="74"/>
      <c r="N499" s="71" t="str">
        <f t="shared" si="7"/>
        <v/>
      </c>
      <c r="O499" s="72"/>
      <c r="P499" s="72"/>
      <c r="Q499" s="72"/>
      <c r="R499" s="72"/>
      <c r="S499" s="72"/>
      <c r="T499" s="72"/>
      <c r="U499" s="72"/>
      <c r="V499" s="72"/>
    </row>
    <row r="500" spans="1:25" ht="27.75" customHeight="1">
      <c r="A500" s="87" t="str">
        <f>IF(ISBLANK(C500)," ",495-COUNTBLANK($C$6:C500))</f>
        <v xml:space="preserve"> </v>
      </c>
      <c r="B500" s="88"/>
      <c r="C500" s="88"/>
      <c r="D500" s="89"/>
      <c r="E500" s="89"/>
      <c r="F500" s="73"/>
      <c r="G500" s="73"/>
      <c r="H500" s="73"/>
      <c r="I500" s="73"/>
      <c r="J500" s="73"/>
      <c r="K500" s="73"/>
      <c r="L500" s="73"/>
      <c r="M500" s="74"/>
      <c r="N500" s="71" t="str">
        <f t="shared" si="7"/>
        <v/>
      </c>
      <c r="O500" s="72"/>
      <c r="P500" s="72"/>
      <c r="Q500" s="72"/>
      <c r="R500" s="72"/>
      <c r="S500" s="72"/>
      <c r="T500" s="72"/>
      <c r="U500" s="72"/>
      <c r="V500" s="72"/>
    </row>
    <row r="501" spans="1:25" ht="27.75" customHeight="1">
      <c r="A501" s="87" t="str">
        <f>IF(ISBLANK(C501)," ",496-COUNTBLANK($C$6:C501))</f>
        <v xml:space="preserve"> </v>
      </c>
      <c r="B501" s="88"/>
      <c r="C501" s="88"/>
      <c r="D501" s="89"/>
      <c r="E501" s="89"/>
      <c r="F501" s="73"/>
      <c r="G501" s="73"/>
      <c r="H501" s="73"/>
      <c r="I501" s="73"/>
      <c r="J501" s="73"/>
      <c r="K501" s="73"/>
      <c r="L501" s="73"/>
      <c r="M501" s="74"/>
      <c r="N501" s="71" t="str">
        <f t="shared" si="7"/>
        <v/>
      </c>
      <c r="O501" s="72"/>
      <c r="P501" s="72"/>
      <c r="Q501" s="72"/>
      <c r="R501" s="72"/>
      <c r="S501" s="72"/>
      <c r="T501" s="72"/>
      <c r="U501" s="72"/>
      <c r="V501" s="72"/>
    </row>
    <row r="502" spans="1:25" ht="27.75" customHeight="1">
      <c r="A502" s="87" t="str">
        <f>IF(ISBLANK(C502)," ",497-COUNTBLANK($C$6:C502))</f>
        <v xml:space="preserve"> </v>
      </c>
      <c r="B502" s="88"/>
      <c r="C502" s="88"/>
      <c r="D502" s="89"/>
      <c r="E502" s="89"/>
      <c r="F502" s="73"/>
      <c r="G502" s="73"/>
      <c r="H502" s="73"/>
      <c r="I502" s="73"/>
      <c r="J502" s="73"/>
      <c r="K502" s="73"/>
      <c r="L502" s="73"/>
      <c r="M502" s="74"/>
      <c r="N502" s="71" t="str">
        <f t="shared" si="7"/>
        <v/>
      </c>
      <c r="O502" s="72"/>
      <c r="P502" s="72"/>
      <c r="Q502" s="72"/>
      <c r="R502" s="72"/>
      <c r="S502" s="72"/>
      <c r="T502" s="72"/>
      <c r="U502" s="72"/>
      <c r="V502" s="72"/>
    </row>
    <row r="503" spans="1:25" ht="27.75" customHeight="1">
      <c r="A503" s="87" t="str">
        <f>IF(ISBLANK(C503)," ",498-COUNTBLANK($C$6:C503))</f>
        <v xml:space="preserve"> </v>
      </c>
      <c r="B503" s="88"/>
      <c r="C503" s="88"/>
      <c r="D503" s="89"/>
      <c r="E503" s="89"/>
      <c r="F503" s="73"/>
      <c r="G503" s="73"/>
      <c r="H503" s="73"/>
      <c r="I503" s="73"/>
      <c r="J503" s="73"/>
      <c r="K503" s="73"/>
      <c r="L503" s="73"/>
      <c r="M503" s="74"/>
      <c r="N503" s="71" t="str">
        <f t="shared" si="7"/>
        <v/>
      </c>
      <c r="O503" s="72"/>
      <c r="P503" s="72"/>
      <c r="Q503" s="72"/>
      <c r="R503" s="72"/>
      <c r="S503" s="72"/>
      <c r="T503" s="72"/>
      <c r="U503" s="72"/>
      <c r="V503" s="72"/>
    </row>
    <row r="504" spans="1:25" ht="27.75" customHeight="1">
      <c r="A504" s="87" t="str">
        <f>IF(ISBLANK(C504)," ",499-COUNTBLANK($C$6:C504))</f>
        <v xml:space="preserve"> </v>
      </c>
      <c r="B504" s="88"/>
      <c r="C504" s="88"/>
      <c r="D504" s="89"/>
      <c r="E504" s="89"/>
      <c r="F504" s="73"/>
      <c r="G504" s="73"/>
      <c r="H504" s="73"/>
      <c r="I504" s="73"/>
      <c r="J504" s="73"/>
      <c r="K504" s="73"/>
      <c r="L504" s="73"/>
      <c r="M504" s="74"/>
      <c r="N504" s="71" t="str">
        <f t="shared" si="7"/>
        <v/>
      </c>
      <c r="O504" s="75"/>
      <c r="P504" s="72"/>
      <c r="Q504" s="72"/>
      <c r="R504" s="72"/>
      <c r="S504" s="72"/>
      <c r="T504" s="72"/>
      <c r="U504" s="72"/>
      <c r="V504" s="76"/>
    </row>
    <row r="505" spans="1:25" ht="27.75" customHeight="1">
      <c r="A505" s="87" t="str">
        <f>IF(ISBLANK(C505)," ",500-COUNTBLANK($C$6:C505))</f>
        <v xml:space="preserve"> </v>
      </c>
      <c r="B505" s="88"/>
      <c r="C505" s="88"/>
      <c r="D505" s="89"/>
      <c r="E505" s="89"/>
      <c r="F505" s="73"/>
      <c r="G505" s="73"/>
      <c r="H505" s="73"/>
      <c r="I505" s="73"/>
      <c r="J505" s="73"/>
      <c r="K505" s="73"/>
      <c r="L505" s="73"/>
      <c r="M505" s="74"/>
      <c r="N505" s="71" t="str">
        <f t="shared" si="7"/>
        <v/>
      </c>
      <c r="O505" s="75"/>
      <c r="P505" s="72"/>
      <c r="Q505" s="72"/>
      <c r="R505" s="72"/>
      <c r="S505" s="72"/>
      <c r="T505" s="72"/>
      <c r="U505" s="72"/>
      <c r="V505" s="76"/>
    </row>
    <row r="506" spans="1:25" ht="27.75" customHeight="1">
      <c r="A506" s="87" t="str">
        <f>IF(ISBLANK(C506)," ",501-COUNTBLANK($C$6:C506))</f>
        <v xml:space="preserve"> </v>
      </c>
      <c r="B506" s="88"/>
      <c r="C506" s="88"/>
      <c r="D506" s="89"/>
      <c r="E506" s="89"/>
      <c r="F506" s="73"/>
      <c r="G506" s="73"/>
      <c r="H506" s="73"/>
      <c r="I506" s="73"/>
      <c r="J506" s="73"/>
      <c r="K506" s="73"/>
      <c r="L506" s="73"/>
      <c r="M506" s="74"/>
      <c r="N506" s="71" t="str">
        <f t="shared" si="7"/>
        <v/>
      </c>
      <c r="O506" s="75"/>
      <c r="P506" s="72"/>
      <c r="Q506" s="72"/>
      <c r="R506" s="72"/>
      <c r="S506" s="72"/>
      <c r="T506" s="72"/>
      <c r="U506" s="72"/>
      <c r="V506" s="76"/>
    </row>
    <row r="507" spans="1:25" ht="27.75" customHeight="1">
      <c r="A507" s="87" t="str">
        <f>IF(ISBLANK(C507)," ",502-COUNTBLANK($C$6:C507))</f>
        <v xml:space="preserve"> </v>
      </c>
      <c r="B507" s="88"/>
      <c r="C507" s="88"/>
      <c r="D507" s="89"/>
      <c r="E507" s="89"/>
      <c r="F507" s="73"/>
      <c r="G507" s="73"/>
      <c r="H507" s="73"/>
      <c r="I507" s="73"/>
      <c r="J507" s="73"/>
      <c r="K507" s="73"/>
      <c r="L507" s="73"/>
      <c r="M507" s="74"/>
      <c r="N507" s="71" t="str">
        <f t="shared" si="7"/>
        <v/>
      </c>
      <c r="O507" s="75"/>
      <c r="P507" s="72"/>
      <c r="Q507" s="72"/>
      <c r="R507" s="72"/>
      <c r="S507" s="72"/>
      <c r="T507" s="72"/>
      <c r="U507" s="72"/>
      <c r="V507" s="76"/>
    </row>
    <row r="508" spans="1:25" ht="27.75" customHeight="1">
      <c r="A508" s="87" t="str">
        <f>IF(ISBLANK(C508)," ",503-COUNTBLANK($C$6:C508))</f>
        <v xml:space="preserve"> </v>
      </c>
      <c r="B508" s="88"/>
      <c r="C508" s="88"/>
      <c r="D508" s="89"/>
      <c r="E508" s="89"/>
      <c r="F508" s="73"/>
      <c r="G508" s="73"/>
      <c r="H508" s="73"/>
      <c r="I508" s="73"/>
      <c r="J508" s="73"/>
      <c r="K508" s="73"/>
      <c r="L508" s="73"/>
      <c r="M508" s="74"/>
      <c r="N508" s="71" t="str">
        <f t="shared" si="7"/>
        <v/>
      </c>
      <c r="O508" s="72"/>
      <c r="P508" s="72"/>
      <c r="Q508" s="72"/>
      <c r="R508" s="72"/>
      <c r="S508" s="72"/>
      <c r="T508" s="72"/>
      <c r="U508" s="72"/>
      <c r="V508" s="79"/>
      <c r="W508" s="72"/>
      <c r="X508" s="72"/>
      <c r="Y508" s="72"/>
    </row>
    <row r="509" spans="1:25" ht="27.75" customHeight="1">
      <c r="A509" s="80" t="s">
        <v>52</v>
      </c>
      <c r="B509" s="81"/>
      <c r="C509" s="96"/>
      <c r="D509" s="82"/>
      <c r="E509" s="82">
        <f>SUM(E489:E508)</f>
        <v>0</v>
      </c>
      <c r="F509" s="83"/>
      <c r="G509" s="83"/>
      <c r="H509" s="83"/>
      <c r="I509" s="83"/>
      <c r="J509" s="83"/>
      <c r="K509" s="83"/>
      <c r="L509" s="83"/>
      <c r="M509" s="84"/>
      <c r="N509" s="71" t="str">
        <f t="shared" si="7"/>
        <v/>
      </c>
      <c r="O509" s="75"/>
      <c r="P509" s="72"/>
      <c r="Q509" s="72"/>
      <c r="R509" s="72"/>
      <c r="S509" s="72"/>
      <c r="T509" s="72"/>
      <c r="U509" s="72"/>
      <c r="V509" s="79"/>
      <c r="W509" s="72"/>
      <c r="X509" s="72"/>
      <c r="Y509" s="72"/>
    </row>
    <row r="510" spans="1:25" ht="27.75" customHeight="1">
      <c r="A510" s="93" t="str">
        <f>IF(ISBLANK(C510)," ",505-COUNTBLANK($C$6:C510))</f>
        <v xml:space="preserve"> </v>
      </c>
      <c r="B510" s="94"/>
      <c r="C510" s="94"/>
      <c r="D510" s="95"/>
      <c r="E510" s="95"/>
      <c r="F510" s="85"/>
      <c r="G510" s="85"/>
      <c r="H510" s="85"/>
      <c r="I510" s="85"/>
      <c r="J510" s="85"/>
      <c r="K510" s="85"/>
      <c r="L510" s="85"/>
      <c r="M510" s="86"/>
      <c r="N510" s="71" t="str">
        <f t="shared" si="7"/>
        <v/>
      </c>
      <c r="O510" s="72"/>
      <c r="P510" s="72"/>
      <c r="Q510" s="72"/>
      <c r="R510" s="72"/>
      <c r="S510" s="72"/>
      <c r="T510" s="72"/>
      <c r="U510" s="72"/>
      <c r="V510" s="72"/>
    </row>
    <row r="511" spans="1:25" ht="27.75" customHeight="1">
      <c r="A511" s="87" t="str">
        <f>IF(ISBLANK(C511)," ",506-COUNTBLANK($C$6:C511))</f>
        <v xml:space="preserve"> </v>
      </c>
      <c r="B511" s="88"/>
      <c r="C511" s="88"/>
      <c r="D511" s="89"/>
      <c r="E511" s="89"/>
      <c r="F511" s="73"/>
      <c r="G511" s="73"/>
      <c r="H511" s="73"/>
      <c r="I511" s="73"/>
      <c r="J511" s="73"/>
      <c r="K511" s="73"/>
      <c r="L511" s="73"/>
      <c r="M511" s="74"/>
      <c r="N511" s="71" t="str">
        <f t="shared" si="7"/>
        <v/>
      </c>
      <c r="O511" s="72"/>
      <c r="P511" s="72"/>
      <c r="Q511" s="72"/>
      <c r="R511" s="72"/>
      <c r="S511" s="72"/>
      <c r="T511" s="72"/>
      <c r="U511" s="72"/>
      <c r="V511" s="72"/>
    </row>
    <row r="512" spans="1:25" ht="27.75" customHeight="1">
      <c r="A512" s="87" t="str">
        <f>IF(ISBLANK(C512)," ",507-COUNTBLANK($C$6:C512))</f>
        <v xml:space="preserve"> </v>
      </c>
      <c r="B512" s="88"/>
      <c r="C512" s="88"/>
      <c r="D512" s="89"/>
      <c r="E512" s="89"/>
      <c r="F512" s="73"/>
      <c r="G512" s="73"/>
      <c r="H512" s="73"/>
      <c r="I512" s="73"/>
      <c r="J512" s="73"/>
      <c r="K512" s="73"/>
      <c r="L512" s="73"/>
      <c r="M512" s="74"/>
      <c r="N512" s="71" t="str">
        <f t="shared" si="7"/>
        <v/>
      </c>
      <c r="O512" s="72"/>
      <c r="P512" s="72"/>
      <c r="Q512" s="72"/>
      <c r="R512" s="72"/>
      <c r="S512" s="72"/>
      <c r="T512" s="72"/>
      <c r="U512" s="72"/>
      <c r="V512" s="72"/>
    </row>
    <row r="513" spans="1:22" ht="27.75" customHeight="1">
      <c r="A513" s="87" t="str">
        <f>IF(ISBLANK(C513)," ",508-COUNTBLANK($C$6:C513))</f>
        <v xml:space="preserve"> </v>
      </c>
      <c r="B513" s="88"/>
      <c r="C513" s="88"/>
      <c r="D513" s="89"/>
      <c r="E513" s="89"/>
      <c r="F513" s="73"/>
      <c r="G513" s="73"/>
      <c r="H513" s="73"/>
      <c r="I513" s="73"/>
      <c r="J513" s="73"/>
      <c r="K513" s="73"/>
      <c r="L513" s="73"/>
      <c r="M513" s="74"/>
      <c r="N513" s="71" t="str">
        <f t="shared" si="7"/>
        <v/>
      </c>
      <c r="O513" s="72"/>
      <c r="P513" s="72"/>
      <c r="Q513" s="72"/>
      <c r="R513" s="72"/>
      <c r="S513" s="72"/>
      <c r="T513" s="72"/>
      <c r="U513" s="72"/>
      <c r="V513" s="72"/>
    </row>
    <row r="514" spans="1:22" ht="27.75" customHeight="1">
      <c r="A514" s="87" t="str">
        <f>IF(ISBLANK(C514)," ",509-COUNTBLANK($C$6:C514))</f>
        <v xml:space="preserve"> </v>
      </c>
      <c r="B514" s="88"/>
      <c r="C514" s="88"/>
      <c r="D514" s="89"/>
      <c r="E514" s="89"/>
      <c r="F514" s="73"/>
      <c r="G514" s="73"/>
      <c r="H514" s="73"/>
      <c r="I514" s="73"/>
      <c r="J514" s="73"/>
      <c r="K514" s="73"/>
      <c r="L514" s="73"/>
      <c r="M514" s="74"/>
      <c r="N514" s="71" t="str">
        <f t="shared" si="7"/>
        <v/>
      </c>
      <c r="O514" s="72"/>
      <c r="P514" s="72"/>
      <c r="Q514" s="72"/>
      <c r="R514" s="72"/>
      <c r="S514" s="72"/>
      <c r="T514" s="72"/>
      <c r="U514" s="72"/>
      <c r="V514" s="72"/>
    </row>
    <row r="515" spans="1:22" ht="27.75" customHeight="1">
      <c r="A515" s="87" t="str">
        <f>IF(ISBLANK(C515)," ",510-COUNTBLANK($C$6:C515))</f>
        <v xml:space="preserve"> </v>
      </c>
      <c r="B515" s="88"/>
      <c r="C515" s="88"/>
      <c r="D515" s="89"/>
      <c r="E515" s="89"/>
      <c r="F515" s="73"/>
      <c r="G515" s="73"/>
      <c r="H515" s="73"/>
      <c r="I515" s="73"/>
      <c r="J515" s="73"/>
      <c r="K515" s="73"/>
      <c r="L515" s="73"/>
      <c r="M515" s="74"/>
      <c r="N515" s="71" t="str">
        <f t="shared" si="7"/>
        <v/>
      </c>
      <c r="O515" s="72"/>
      <c r="P515" s="72"/>
      <c r="Q515" s="72"/>
      <c r="R515" s="72"/>
      <c r="S515" s="72"/>
      <c r="T515" s="72"/>
      <c r="U515" s="72"/>
      <c r="V515" s="72"/>
    </row>
    <row r="516" spans="1:22" ht="27.75" customHeight="1">
      <c r="A516" s="87" t="str">
        <f>IF(ISBLANK(C516)," ",511-COUNTBLANK($C$6:C516))</f>
        <v xml:space="preserve"> </v>
      </c>
      <c r="B516" s="88"/>
      <c r="C516" s="88"/>
      <c r="D516" s="89"/>
      <c r="E516" s="89"/>
      <c r="F516" s="73"/>
      <c r="G516" s="73"/>
      <c r="H516" s="73"/>
      <c r="I516" s="73"/>
      <c r="J516" s="73"/>
      <c r="K516" s="73"/>
      <c r="L516" s="73"/>
      <c r="M516" s="74"/>
      <c r="N516" s="71" t="str">
        <f t="shared" si="7"/>
        <v/>
      </c>
      <c r="O516" s="72"/>
      <c r="P516" s="72"/>
      <c r="Q516" s="72"/>
      <c r="R516" s="72"/>
      <c r="S516" s="72"/>
      <c r="T516" s="72"/>
      <c r="U516" s="72"/>
      <c r="V516" s="72"/>
    </row>
    <row r="517" spans="1:22" ht="27.75" customHeight="1">
      <c r="A517" s="87" t="str">
        <f>IF(ISBLANK(C517)," ",512-COUNTBLANK($C$6:C517))</f>
        <v xml:space="preserve"> </v>
      </c>
      <c r="B517" s="88"/>
      <c r="C517" s="88"/>
      <c r="D517" s="89"/>
      <c r="E517" s="89"/>
      <c r="F517" s="73"/>
      <c r="G517" s="73"/>
      <c r="H517" s="73"/>
      <c r="I517" s="73"/>
      <c r="J517" s="73"/>
      <c r="K517" s="73"/>
      <c r="L517" s="73"/>
      <c r="M517" s="74"/>
      <c r="N517" s="71" t="str">
        <f t="shared" si="7"/>
        <v/>
      </c>
      <c r="O517" s="72"/>
      <c r="P517" s="72"/>
      <c r="Q517" s="72"/>
      <c r="R517" s="72"/>
      <c r="S517" s="72"/>
      <c r="T517" s="72"/>
      <c r="U517" s="72"/>
      <c r="V517" s="72"/>
    </row>
    <row r="518" spans="1:22" ht="27.75" customHeight="1">
      <c r="A518" s="87" t="str">
        <f>IF(ISBLANK(C518)," ",513-COUNTBLANK($C$6:C518))</f>
        <v xml:space="preserve"> </v>
      </c>
      <c r="B518" s="88"/>
      <c r="C518" s="88"/>
      <c r="D518" s="89"/>
      <c r="E518" s="89"/>
      <c r="F518" s="73"/>
      <c r="G518" s="73"/>
      <c r="H518" s="73"/>
      <c r="I518" s="73"/>
      <c r="J518" s="73"/>
      <c r="K518" s="73"/>
      <c r="L518" s="73"/>
      <c r="M518" s="74"/>
      <c r="N518" s="71" t="str">
        <f t="shared" ref="N518:N530" si="8">CONCATENATE(C518,H518)</f>
        <v/>
      </c>
      <c r="O518" s="72"/>
      <c r="P518" s="72"/>
      <c r="Q518" s="72"/>
      <c r="R518" s="72"/>
      <c r="S518" s="72"/>
      <c r="T518" s="72"/>
      <c r="U518" s="72"/>
      <c r="V518" s="72"/>
    </row>
    <row r="519" spans="1:22" ht="27.75" customHeight="1">
      <c r="A519" s="87" t="str">
        <f>IF(ISBLANK(C519)," ",514-COUNTBLANK($C$6:C519))</f>
        <v xml:space="preserve"> </v>
      </c>
      <c r="B519" s="88"/>
      <c r="C519" s="88"/>
      <c r="D519" s="89"/>
      <c r="E519" s="89"/>
      <c r="F519" s="73"/>
      <c r="G519" s="73"/>
      <c r="H519" s="73"/>
      <c r="I519" s="73"/>
      <c r="J519" s="73"/>
      <c r="K519" s="73"/>
      <c r="L519" s="73"/>
      <c r="M519" s="74"/>
      <c r="N519" s="71" t="str">
        <f t="shared" si="8"/>
        <v/>
      </c>
      <c r="O519" s="72"/>
      <c r="P519" s="72"/>
      <c r="Q519" s="72"/>
      <c r="R519" s="72"/>
      <c r="S519" s="72"/>
      <c r="T519" s="72"/>
      <c r="U519" s="72"/>
      <c r="V519" s="72"/>
    </row>
    <row r="520" spans="1:22" ht="27.75" customHeight="1">
      <c r="A520" s="87" t="str">
        <f>IF(ISBLANK(C520)," ",515-COUNTBLANK($C$6:C520))</f>
        <v xml:space="preserve"> </v>
      </c>
      <c r="B520" s="88"/>
      <c r="C520" s="88"/>
      <c r="D520" s="89"/>
      <c r="E520" s="89"/>
      <c r="F520" s="73"/>
      <c r="G520" s="73"/>
      <c r="H520" s="73"/>
      <c r="I520" s="73"/>
      <c r="J520" s="73"/>
      <c r="K520" s="73"/>
      <c r="L520" s="73"/>
      <c r="M520" s="74"/>
      <c r="N520" s="71" t="str">
        <f t="shared" si="8"/>
        <v/>
      </c>
      <c r="O520" s="72"/>
      <c r="P520" s="72"/>
      <c r="Q520" s="72"/>
      <c r="R520" s="72"/>
      <c r="S520" s="72"/>
      <c r="T520" s="72"/>
      <c r="U520" s="72"/>
      <c r="V520" s="72"/>
    </row>
    <row r="521" spans="1:22" ht="27.75" customHeight="1">
      <c r="A521" s="87" t="str">
        <f>IF(ISBLANK(C521)," ",516-COUNTBLANK($C$6:C521))</f>
        <v xml:space="preserve"> </v>
      </c>
      <c r="B521" s="88"/>
      <c r="C521" s="88"/>
      <c r="D521" s="89"/>
      <c r="E521" s="89"/>
      <c r="F521" s="73"/>
      <c r="G521" s="73"/>
      <c r="H521" s="73"/>
      <c r="I521" s="73"/>
      <c r="J521" s="73"/>
      <c r="K521" s="73"/>
      <c r="L521" s="73"/>
      <c r="M521" s="74"/>
      <c r="N521" s="71" t="str">
        <f t="shared" si="8"/>
        <v/>
      </c>
      <c r="O521" s="72"/>
      <c r="P521" s="72"/>
      <c r="Q521" s="72"/>
      <c r="R521" s="72"/>
      <c r="S521" s="72"/>
      <c r="T521" s="72"/>
      <c r="U521" s="72"/>
      <c r="V521" s="72"/>
    </row>
    <row r="522" spans="1:22" ht="27.75" customHeight="1">
      <c r="A522" s="87" t="str">
        <f>IF(ISBLANK(C522)," ",517-COUNTBLANK($C$6:C522))</f>
        <v xml:space="preserve"> </v>
      </c>
      <c r="B522" s="88"/>
      <c r="C522" s="88"/>
      <c r="D522" s="89"/>
      <c r="E522" s="89"/>
      <c r="F522" s="73"/>
      <c r="G522" s="73"/>
      <c r="H522" s="73"/>
      <c r="I522" s="73"/>
      <c r="J522" s="73"/>
      <c r="K522" s="73"/>
      <c r="L522" s="73"/>
      <c r="M522" s="74"/>
      <c r="N522" s="71" t="str">
        <f t="shared" si="8"/>
        <v/>
      </c>
      <c r="O522" s="72"/>
      <c r="P522" s="72"/>
      <c r="Q522" s="72"/>
      <c r="R522" s="72"/>
      <c r="S522" s="72"/>
      <c r="T522" s="72"/>
      <c r="U522" s="72"/>
      <c r="V522" s="72"/>
    </row>
    <row r="523" spans="1:22" ht="27.75" customHeight="1">
      <c r="A523" s="87" t="str">
        <f>IF(ISBLANK(C523)," ",518-COUNTBLANK($C$6:C523))</f>
        <v xml:space="preserve"> </v>
      </c>
      <c r="B523" s="88"/>
      <c r="C523" s="88"/>
      <c r="D523" s="89"/>
      <c r="E523" s="89"/>
      <c r="F523" s="73"/>
      <c r="G523" s="73"/>
      <c r="H523" s="73"/>
      <c r="I523" s="73"/>
      <c r="J523" s="73"/>
      <c r="K523" s="73"/>
      <c r="L523" s="73"/>
      <c r="M523" s="74"/>
      <c r="N523" s="71" t="str">
        <f t="shared" si="8"/>
        <v/>
      </c>
      <c r="O523" s="72"/>
      <c r="P523" s="72"/>
      <c r="Q523" s="72"/>
      <c r="R523" s="72"/>
      <c r="S523" s="72"/>
      <c r="T523" s="72"/>
      <c r="U523" s="72"/>
      <c r="V523" s="72"/>
    </row>
    <row r="524" spans="1:22" ht="27.75" customHeight="1">
      <c r="A524" s="87" t="str">
        <f>IF(ISBLANK(C524)," ",519-COUNTBLANK($C$6:C524))</f>
        <v xml:space="preserve"> </v>
      </c>
      <c r="B524" s="88"/>
      <c r="C524" s="88"/>
      <c r="D524" s="89"/>
      <c r="E524" s="89"/>
      <c r="F524" s="73"/>
      <c r="G524" s="73"/>
      <c r="H524" s="73"/>
      <c r="I524" s="73"/>
      <c r="J524" s="73"/>
      <c r="K524" s="73"/>
      <c r="L524" s="73"/>
      <c r="M524" s="74"/>
      <c r="N524" s="71" t="str">
        <f t="shared" si="8"/>
        <v/>
      </c>
      <c r="O524" s="72"/>
      <c r="P524" s="72"/>
      <c r="Q524" s="72"/>
      <c r="R524" s="72"/>
      <c r="S524" s="72"/>
      <c r="T524" s="72"/>
      <c r="U524" s="72"/>
      <c r="V524" s="72"/>
    </row>
    <row r="525" spans="1:22" ht="27.75" customHeight="1">
      <c r="A525" s="87" t="str">
        <f>IF(ISBLANK(C525)," ",520-COUNTBLANK($C$6:C525))</f>
        <v xml:space="preserve"> </v>
      </c>
      <c r="B525" s="88"/>
      <c r="C525" s="88"/>
      <c r="D525" s="89"/>
      <c r="E525" s="89"/>
      <c r="F525" s="73"/>
      <c r="G525" s="73"/>
      <c r="H525" s="73"/>
      <c r="I525" s="73"/>
      <c r="J525" s="73"/>
      <c r="K525" s="73"/>
      <c r="L525" s="73"/>
      <c r="M525" s="74"/>
      <c r="N525" s="71" t="str">
        <f t="shared" si="8"/>
        <v/>
      </c>
      <c r="O525" s="75"/>
      <c r="P525" s="72"/>
      <c r="Q525" s="72"/>
      <c r="R525" s="72"/>
      <c r="S525" s="72"/>
      <c r="T525" s="72"/>
      <c r="U525" s="72"/>
      <c r="V525" s="76"/>
    </row>
    <row r="526" spans="1:22" ht="27.75" customHeight="1">
      <c r="A526" s="87" t="str">
        <f>IF(ISBLANK(C526)," ",521-COUNTBLANK($C$6:C526))</f>
        <v xml:space="preserve"> </v>
      </c>
      <c r="B526" s="88"/>
      <c r="C526" s="88"/>
      <c r="D526" s="89"/>
      <c r="E526" s="89"/>
      <c r="F526" s="73"/>
      <c r="G526" s="73"/>
      <c r="H526" s="73"/>
      <c r="I526" s="73"/>
      <c r="J526" s="73"/>
      <c r="K526" s="73"/>
      <c r="L526" s="73"/>
      <c r="M526" s="74"/>
      <c r="N526" s="71" t="str">
        <f t="shared" si="8"/>
        <v/>
      </c>
      <c r="O526" s="75"/>
      <c r="P526" s="72"/>
      <c r="Q526" s="72"/>
      <c r="R526" s="72"/>
      <c r="S526" s="72"/>
      <c r="T526" s="72"/>
      <c r="U526" s="72"/>
      <c r="V526" s="76"/>
    </row>
    <row r="527" spans="1:22" ht="27.75" customHeight="1">
      <c r="A527" s="87" t="str">
        <f>IF(ISBLANK(C527)," ",522-COUNTBLANK($C$6:C527))</f>
        <v xml:space="preserve"> </v>
      </c>
      <c r="B527" s="88"/>
      <c r="C527" s="88"/>
      <c r="D527" s="89"/>
      <c r="E527" s="89"/>
      <c r="F527" s="73"/>
      <c r="G527" s="73"/>
      <c r="H527" s="73"/>
      <c r="I527" s="73"/>
      <c r="J527" s="73"/>
      <c r="K527" s="73"/>
      <c r="L527" s="73"/>
      <c r="M527" s="74"/>
      <c r="N527" s="71" t="str">
        <f t="shared" si="8"/>
        <v/>
      </c>
      <c r="O527" s="75"/>
      <c r="P527" s="72"/>
      <c r="Q527" s="72"/>
      <c r="R527" s="72"/>
      <c r="S527" s="72"/>
      <c r="T527" s="72"/>
      <c r="U527" s="72"/>
      <c r="V527" s="76"/>
    </row>
    <row r="528" spans="1:22" ht="27.75" customHeight="1">
      <c r="A528" s="87" t="str">
        <f>IF(ISBLANK(C528)," ",523-COUNTBLANK($C$6:C528))</f>
        <v xml:space="preserve"> </v>
      </c>
      <c r="B528" s="88"/>
      <c r="C528" s="88"/>
      <c r="D528" s="89"/>
      <c r="E528" s="89"/>
      <c r="F528" s="73"/>
      <c r="G528" s="73"/>
      <c r="H528" s="73"/>
      <c r="I528" s="73"/>
      <c r="J528" s="73"/>
      <c r="K528" s="73"/>
      <c r="L528" s="73"/>
      <c r="M528" s="74"/>
      <c r="N528" s="71" t="str">
        <f t="shared" si="8"/>
        <v/>
      </c>
      <c r="O528" s="75"/>
      <c r="P528" s="72"/>
      <c r="Q528" s="72"/>
      <c r="R528" s="72"/>
      <c r="S528" s="72"/>
      <c r="T528" s="72"/>
      <c r="U528" s="72"/>
      <c r="V528" s="76"/>
    </row>
    <row r="529" spans="1:25" ht="27.75" customHeight="1">
      <c r="A529" s="87" t="str">
        <f>IF(ISBLANK(C529)," ",524-COUNTBLANK($C$6:C529))</f>
        <v xml:space="preserve"> </v>
      </c>
      <c r="B529" s="88"/>
      <c r="C529" s="88"/>
      <c r="D529" s="89"/>
      <c r="E529" s="89"/>
      <c r="F529" s="73"/>
      <c r="G529" s="73"/>
      <c r="H529" s="73"/>
      <c r="I529" s="73"/>
      <c r="J529" s="73"/>
      <c r="K529" s="73"/>
      <c r="L529" s="73"/>
      <c r="M529" s="74"/>
      <c r="N529" s="71" t="str">
        <f t="shared" si="8"/>
        <v/>
      </c>
      <c r="O529" s="72"/>
      <c r="P529" s="72"/>
      <c r="Q529" s="72"/>
      <c r="R529" s="72"/>
      <c r="S529" s="72"/>
      <c r="T529" s="72"/>
      <c r="U529" s="72"/>
      <c r="V529" s="79"/>
      <c r="W529" s="72"/>
      <c r="X529" s="72"/>
      <c r="Y529" s="72"/>
    </row>
    <row r="530" spans="1:25" ht="27.75" customHeight="1">
      <c r="A530" s="80" t="s">
        <v>52</v>
      </c>
      <c r="B530" s="81"/>
      <c r="C530" s="96"/>
      <c r="D530" s="82"/>
      <c r="E530" s="82">
        <f>SUM(E510:E529)</f>
        <v>0</v>
      </c>
      <c r="F530" s="83"/>
      <c r="G530" s="83"/>
      <c r="H530" s="83"/>
      <c r="I530" s="83"/>
      <c r="J530" s="83"/>
      <c r="K530" s="83"/>
      <c r="L530" s="83"/>
      <c r="M530" s="84"/>
      <c r="N530" s="71" t="str">
        <f t="shared" si="8"/>
        <v/>
      </c>
      <c r="O530" s="75"/>
      <c r="P530" s="72"/>
      <c r="Q530" s="72"/>
      <c r="R530" s="72"/>
      <c r="S530" s="72"/>
      <c r="T530" s="72"/>
      <c r="U530" s="72"/>
      <c r="V530" s="79"/>
      <c r="W530" s="72"/>
      <c r="X530" s="72"/>
      <c r="Y530" s="72"/>
    </row>
    <row r="531" spans="1:25">
      <c r="O531" s="99"/>
      <c r="P531" s="99"/>
      <c r="Q531" s="99"/>
      <c r="R531" s="99"/>
      <c r="S531" s="99"/>
      <c r="T531" s="99"/>
      <c r="U531" s="99"/>
      <c r="V531" s="99"/>
    </row>
    <row r="532" spans="1:25">
      <c r="O532" s="99"/>
      <c r="P532" s="99"/>
      <c r="Q532" s="99"/>
      <c r="R532" s="99"/>
      <c r="S532" s="99"/>
      <c r="T532" s="99"/>
      <c r="U532" s="99"/>
      <c r="V532" s="99"/>
    </row>
  </sheetData>
  <mergeCells count="4">
    <mergeCell ref="B4:B5"/>
    <mergeCell ref="C4:C5"/>
    <mergeCell ref="H4:I4"/>
    <mergeCell ref="M4:M5"/>
  </mergeCells>
  <phoneticPr fontId="5" type="noConversion"/>
  <printOptions horizontalCentered="1" verticalCentered="1"/>
  <pageMargins left="0.19685039370078741" right="0.19685039370078741" top="1.1811023622047245" bottom="0.59055118110236227" header="0.59055118110236227" footer="0.19685039370078741"/>
  <pageSetup paperSize="9" scale="81" orientation="portrait" horizontalDpi="4294967292" r:id="rId1"/>
  <headerFooter alignWithMargins="0"/>
  <rowBreaks count="3" manualBreakCount="3">
    <brk id="26" max="16383" man="1"/>
    <brk id="47" max="16383" man="1"/>
    <brk id="6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2"/>
  <sheetViews>
    <sheetView showGridLines="0" showZeros="0" view="pageBreakPreview" zoomScaleNormal="55" workbookViewId="0">
      <selection activeCell="A26" sqref="A26:IV26"/>
    </sheetView>
  </sheetViews>
  <sheetFormatPr defaultRowHeight="11.25"/>
  <cols>
    <col min="1" max="1" width="4.33203125" style="51" customWidth="1"/>
    <col min="2" max="2" width="6.33203125" style="97" customWidth="1"/>
    <col min="3" max="3" width="3.77734375" style="51" customWidth="1"/>
    <col min="4" max="4" width="6.77734375" style="51" customWidth="1"/>
    <col min="5" max="5" width="6.77734375" style="98" customWidth="1"/>
    <col min="6" max="6" width="4.109375" style="51" customWidth="1"/>
    <col min="7" max="7" width="4.77734375" style="51" customWidth="1"/>
    <col min="8" max="8" width="7.33203125" style="51" customWidth="1"/>
    <col min="9" max="9" width="11.77734375" style="51" customWidth="1"/>
    <col min="10" max="10" width="6.77734375" style="51" customWidth="1"/>
    <col min="11" max="11" width="11.77734375" style="51" customWidth="1"/>
    <col min="12" max="12" width="6.77734375" style="51" customWidth="1"/>
    <col min="13" max="13" width="3.77734375" style="51" customWidth="1"/>
    <col min="14" max="14" width="20.77734375" style="99" hidden="1" customWidth="1"/>
    <col min="15" max="21" width="9.77734375" style="51" customWidth="1"/>
    <col min="22" max="22" width="10.77734375" style="51" customWidth="1"/>
    <col min="23" max="16384" width="8.88671875" style="51"/>
  </cols>
  <sheetData>
    <row r="1" spans="1:22" ht="30" customHeight="1">
      <c r="A1" s="45" t="s">
        <v>58</v>
      </c>
      <c r="B1" s="46"/>
      <c r="C1" s="47"/>
      <c r="D1" s="47"/>
      <c r="E1" s="48"/>
      <c r="F1" s="47"/>
      <c r="G1" s="47"/>
      <c r="H1" s="47"/>
      <c r="I1" s="47"/>
      <c r="J1" s="47"/>
      <c r="K1" s="47"/>
      <c r="L1" s="47"/>
      <c r="M1" s="47"/>
      <c r="N1" s="49"/>
      <c r="O1" s="50"/>
      <c r="P1" s="50"/>
      <c r="Q1" s="50"/>
      <c r="R1" s="50"/>
      <c r="S1" s="50"/>
      <c r="T1" s="50"/>
      <c r="U1" s="50"/>
      <c r="V1" s="50"/>
    </row>
    <row r="2" spans="1:22" ht="19.899999999999999" customHeight="1">
      <c r="A2" s="50"/>
      <c r="B2" s="52"/>
      <c r="C2" s="50"/>
      <c r="D2" s="50"/>
      <c r="E2" s="53"/>
      <c r="F2" s="50"/>
      <c r="G2" s="50"/>
      <c r="H2" s="50"/>
      <c r="I2" s="50"/>
      <c r="J2" s="54"/>
      <c r="K2" s="55">
        <v>3</v>
      </c>
      <c r="L2" s="47"/>
      <c r="M2" s="47"/>
      <c r="N2" s="56"/>
      <c r="O2" s="50"/>
      <c r="P2" s="50"/>
      <c r="Q2" s="50"/>
      <c r="R2" s="50"/>
      <c r="S2" s="50"/>
      <c r="T2" s="50"/>
      <c r="U2" s="50"/>
      <c r="V2" s="50"/>
    </row>
    <row r="3" spans="1:22" ht="10.15" customHeight="1">
      <c r="A3" s="50"/>
      <c r="B3" s="52"/>
      <c r="C3" s="50"/>
      <c r="D3" s="50"/>
      <c r="E3" s="53"/>
      <c r="F3" s="50"/>
      <c r="G3" s="50"/>
      <c r="H3" s="50"/>
      <c r="I3" s="50"/>
      <c r="J3" s="50"/>
      <c r="K3" s="50"/>
      <c r="L3" s="50"/>
      <c r="M3" s="50"/>
      <c r="N3" s="57"/>
      <c r="O3" s="50"/>
      <c r="P3" s="50"/>
      <c r="Q3" s="50"/>
      <c r="R3" s="50"/>
      <c r="S3" s="50"/>
      <c r="T3" s="50"/>
      <c r="U3" s="50"/>
      <c r="V3" s="50"/>
    </row>
    <row r="4" spans="1:22" ht="30" customHeight="1">
      <c r="A4" s="107" t="s">
        <v>39</v>
      </c>
      <c r="B4" s="519" t="s">
        <v>40</v>
      </c>
      <c r="C4" s="501" t="s">
        <v>41</v>
      </c>
      <c r="D4" s="108" t="s">
        <v>42</v>
      </c>
      <c r="E4" s="109" t="s">
        <v>43</v>
      </c>
      <c r="F4" s="110" t="s">
        <v>44</v>
      </c>
      <c r="G4" s="58"/>
      <c r="H4" s="499" t="s">
        <v>45</v>
      </c>
      <c r="I4" s="500"/>
      <c r="J4" s="59" t="s">
        <v>46</v>
      </c>
      <c r="K4" s="58"/>
      <c r="L4" s="60"/>
      <c r="M4" s="503" t="s">
        <v>31</v>
      </c>
      <c r="N4" s="56"/>
      <c r="O4" s="50"/>
      <c r="P4" s="61"/>
      <c r="Q4" s="61"/>
      <c r="R4" s="61"/>
      <c r="S4" s="61"/>
      <c r="T4" s="61"/>
      <c r="U4" s="61"/>
      <c r="V4" s="61"/>
    </row>
    <row r="5" spans="1:22" ht="30" customHeight="1">
      <c r="A5" s="62" t="s">
        <v>47</v>
      </c>
      <c r="B5" s="520"/>
      <c r="C5" s="502"/>
      <c r="D5" s="63" t="s">
        <v>59</v>
      </c>
      <c r="E5" s="63" t="s">
        <v>59</v>
      </c>
      <c r="F5" s="64" t="s">
        <v>41</v>
      </c>
      <c r="G5" s="65" t="s">
        <v>48</v>
      </c>
      <c r="H5" s="65" t="s">
        <v>49</v>
      </c>
      <c r="I5" s="64" t="s">
        <v>50</v>
      </c>
      <c r="J5" s="65" t="s">
        <v>49</v>
      </c>
      <c r="K5" s="65" t="s">
        <v>50</v>
      </c>
      <c r="L5" s="66" t="s">
        <v>51</v>
      </c>
      <c r="M5" s="504"/>
      <c r="N5" s="67"/>
      <c r="O5" s="61"/>
      <c r="P5" s="68"/>
      <c r="Q5" s="68"/>
      <c r="R5" s="68"/>
      <c r="S5" s="68"/>
      <c r="T5" s="68"/>
      <c r="U5" s="68"/>
      <c r="V5" s="50"/>
    </row>
    <row r="6" spans="1:22" ht="27.75" customHeight="1">
      <c r="A6" s="147"/>
      <c r="B6" s="148"/>
      <c r="C6" s="149"/>
      <c r="D6" s="150"/>
      <c r="E6" s="150"/>
      <c r="F6" s="151"/>
      <c r="G6" s="151"/>
      <c r="H6" s="152"/>
      <c r="I6" s="153"/>
      <c r="J6" s="69"/>
      <c r="K6" s="69"/>
      <c r="L6" s="69"/>
      <c r="M6" s="70"/>
      <c r="N6" s="71" t="str">
        <f t="shared" ref="N6:N69" si="0">CONCATENATE(C6,H6)</f>
        <v/>
      </c>
      <c r="O6" s="72"/>
      <c r="P6" s="72"/>
      <c r="Q6" s="72"/>
      <c r="R6" s="72"/>
      <c r="S6" s="72"/>
      <c r="T6" s="72"/>
      <c r="U6" s="72"/>
      <c r="V6" s="72"/>
    </row>
    <row r="7" spans="1:22" ht="27.75" customHeight="1">
      <c r="A7" s="154"/>
      <c r="B7" s="155"/>
      <c r="C7" s="156"/>
      <c r="D7" s="157"/>
      <c r="E7" s="157"/>
      <c r="F7" s="158"/>
      <c r="G7" s="158"/>
      <c r="H7" s="159"/>
      <c r="I7" s="160"/>
      <c r="J7" s="73"/>
      <c r="K7" s="73"/>
      <c r="L7" s="73"/>
      <c r="M7" s="74"/>
      <c r="N7" s="71" t="str">
        <f t="shared" si="0"/>
        <v/>
      </c>
      <c r="O7" s="72"/>
      <c r="P7" s="72"/>
      <c r="Q7" s="72"/>
      <c r="R7" s="72"/>
      <c r="S7" s="72"/>
      <c r="T7" s="72"/>
      <c r="U7" s="72"/>
      <c r="V7" s="72"/>
    </row>
    <row r="8" spans="1:22" ht="27.75" customHeight="1">
      <c r="A8" s="154"/>
      <c r="B8" s="155"/>
      <c r="C8" s="156"/>
      <c r="D8" s="157"/>
      <c r="E8" s="157"/>
      <c r="F8" s="158"/>
      <c r="G8" s="158"/>
      <c r="H8" s="159"/>
      <c r="I8" s="160"/>
      <c r="J8" s="73"/>
      <c r="K8" s="73"/>
      <c r="L8" s="73"/>
      <c r="M8" s="74"/>
      <c r="N8" s="71" t="str">
        <f t="shared" si="0"/>
        <v/>
      </c>
      <c r="O8" s="72"/>
      <c r="P8" s="72"/>
      <c r="Q8" s="72"/>
      <c r="R8" s="72"/>
      <c r="S8" s="72"/>
      <c r="T8" s="72"/>
      <c r="U8" s="72"/>
      <c r="V8" s="72"/>
    </row>
    <row r="9" spans="1:22" ht="27.75" customHeight="1">
      <c r="A9" s="154"/>
      <c r="B9" s="155"/>
      <c r="C9" s="156"/>
      <c r="D9" s="157"/>
      <c r="E9" s="157"/>
      <c r="F9" s="158"/>
      <c r="G9" s="158"/>
      <c r="H9" s="159"/>
      <c r="I9" s="160"/>
      <c r="J9" s="73"/>
      <c r="K9" s="73"/>
      <c r="L9" s="73"/>
      <c r="M9" s="74"/>
      <c r="N9" s="71" t="str">
        <f t="shared" si="0"/>
        <v/>
      </c>
      <c r="O9" s="72"/>
      <c r="P9" s="72"/>
      <c r="Q9" s="72"/>
      <c r="R9" s="72"/>
      <c r="S9" s="72"/>
      <c r="T9" s="72"/>
      <c r="U9" s="72"/>
      <c r="V9" s="72"/>
    </row>
    <row r="10" spans="1:22" ht="27.75" customHeight="1">
      <c r="A10" s="154"/>
      <c r="B10" s="155"/>
      <c r="C10" s="156"/>
      <c r="D10" s="157"/>
      <c r="E10" s="157"/>
      <c r="F10" s="158"/>
      <c r="G10" s="158"/>
      <c r="H10" s="159"/>
      <c r="I10" s="160"/>
      <c r="J10" s="73"/>
      <c r="K10" s="73"/>
      <c r="L10" s="73"/>
      <c r="M10" s="74"/>
      <c r="N10" s="71" t="str">
        <f t="shared" si="0"/>
        <v/>
      </c>
      <c r="O10" s="72"/>
      <c r="P10" s="72"/>
      <c r="Q10" s="72"/>
      <c r="R10" s="72"/>
      <c r="S10" s="72"/>
      <c r="T10" s="72"/>
      <c r="U10" s="72"/>
      <c r="V10" s="72"/>
    </row>
    <row r="11" spans="1:22" ht="27.75" customHeight="1">
      <c r="A11" s="154"/>
      <c r="B11" s="155"/>
      <c r="C11" s="156"/>
      <c r="D11" s="157"/>
      <c r="E11" s="157"/>
      <c r="F11" s="158"/>
      <c r="G11" s="158"/>
      <c r="H11" s="159"/>
      <c r="I11" s="160"/>
      <c r="J11" s="73"/>
      <c r="K11" s="73"/>
      <c r="L11" s="73"/>
      <c r="M11" s="74"/>
      <c r="N11" s="71" t="str">
        <f t="shared" si="0"/>
        <v/>
      </c>
      <c r="O11" s="72"/>
      <c r="P11" s="72"/>
      <c r="Q11" s="72"/>
      <c r="R11" s="72"/>
      <c r="S11" s="72"/>
      <c r="T11" s="72"/>
      <c r="U11" s="72"/>
      <c r="V11" s="72"/>
    </row>
    <row r="12" spans="1:22" ht="27.75" customHeight="1">
      <c r="A12" s="154"/>
      <c r="B12" s="155"/>
      <c r="C12" s="156"/>
      <c r="D12" s="157"/>
      <c r="E12" s="157"/>
      <c r="F12" s="158"/>
      <c r="G12" s="161"/>
      <c r="H12" s="159"/>
      <c r="I12" s="160"/>
      <c r="J12" s="73"/>
      <c r="K12" s="73"/>
      <c r="L12" s="73"/>
      <c r="M12" s="74"/>
      <c r="N12" s="71" t="str">
        <f t="shared" si="0"/>
        <v/>
      </c>
      <c r="O12" s="72"/>
      <c r="P12" s="72"/>
      <c r="Q12" s="72"/>
      <c r="R12" s="72"/>
      <c r="S12" s="72"/>
      <c r="T12" s="72"/>
      <c r="U12" s="72"/>
      <c r="V12" s="72"/>
    </row>
    <row r="13" spans="1:22" ht="27.75" customHeight="1">
      <c r="A13" s="154"/>
      <c r="B13" s="155"/>
      <c r="C13" s="156"/>
      <c r="D13" s="157"/>
      <c r="E13" s="157"/>
      <c r="F13" s="158"/>
      <c r="G13" s="158"/>
      <c r="H13" s="159"/>
      <c r="I13" s="160"/>
      <c r="J13" s="73"/>
      <c r="K13" s="73"/>
      <c r="L13" s="73"/>
      <c r="M13" s="74"/>
      <c r="N13" s="71" t="str">
        <f t="shared" si="0"/>
        <v/>
      </c>
      <c r="O13" s="72"/>
      <c r="P13" s="72"/>
      <c r="Q13" s="72"/>
      <c r="R13" s="72"/>
      <c r="S13" s="72"/>
      <c r="T13" s="72"/>
      <c r="U13" s="72"/>
      <c r="V13" s="72"/>
    </row>
    <row r="14" spans="1:22" ht="27.75" customHeight="1">
      <c r="A14" s="154"/>
      <c r="B14" s="155"/>
      <c r="C14" s="156"/>
      <c r="D14" s="157"/>
      <c r="E14" s="157"/>
      <c r="F14" s="158"/>
      <c r="G14" s="158"/>
      <c r="H14" s="159"/>
      <c r="I14" s="160"/>
      <c r="J14" s="73"/>
      <c r="K14" s="73"/>
      <c r="L14" s="73"/>
      <c r="M14" s="74"/>
      <c r="N14" s="71" t="str">
        <f t="shared" si="0"/>
        <v/>
      </c>
      <c r="O14" s="72"/>
      <c r="P14" s="72"/>
      <c r="Q14" s="72"/>
      <c r="R14" s="72"/>
      <c r="S14" s="72"/>
      <c r="T14" s="72"/>
      <c r="U14" s="72"/>
      <c r="V14" s="72"/>
    </row>
    <row r="15" spans="1:22" ht="27.75" customHeight="1">
      <c r="A15" s="154"/>
      <c r="B15" s="155"/>
      <c r="C15" s="156"/>
      <c r="D15" s="157"/>
      <c r="E15" s="157"/>
      <c r="F15" s="158"/>
      <c r="G15" s="158"/>
      <c r="H15" s="159"/>
      <c r="I15" s="160"/>
      <c r="J15" s="73"/>
      <c r="K15" s="73"/>
      <c r="L15" s="73"/>
      <c r="M15" s="74"/>
      <c r="N15" s="71" t="str">
        <f t="shared" si="0"/>
        <v/>
      </c>
      <c r="O15" s="72"/>
      <c r="P15" s="72"/>
      <c r="Q15" s="72"/>
      <c r="R15" s="72"/>
      <c r="S15" s="72"/>
      <c r="T15" s="72"/>
      <c r="U15" s="72"/>
      <c r="V15" s="72"/>
    </row>
    <row r="16" spans="1:22" ht="27.75" customHeight="1">
      <c r="A16" s="154"/>
      <c r="B16" s="155"/>
      <c r="C16" s="156"/>
      <c r="D16" s="157"/>
      <c r="E16" s="157"/>
      <c r="F16" s="158"/>
      <c r="G16" s="158"/>
      <c r="H16" s="159"/>
      <c r="I16" s="160"/>
      <c r="J16" s="73"/>
      <c r="K16" s="73"/>
      <c r="L16" s="73"/>
      <c r="M16" s="74"/>
      <c r="N16" s="71" t="str">
        <f t="shared" si="0"/>
        <v/>
      </c>
      <c r="O16" s="72"/>
      <c r="P16" s="72"/>
      <c r="Q16" s="72"/>
      <c r="R16" s="72"/>
      <c r="S16" s="72"/>
      <c r="T16" s="72"/>
      <c r="U16" s="72"/>
      <c r="V16" s="72"/>
    </row>
    <row r="17" spans="1:25" ht="27.75" customHeight="1">
      <c r="A17" s="154"/>
      <c r="B17" s="155"/>
      <c r="C17" s="156"/>
      <c r="D17" s="157"/>
      <c r="E17" s="157"/>
      <c r="F17" s="158"/>
      <c r="G17" s="158"/>
      <c r="H17" s="159"/>
      <c r="I17" s="160"/>
      <c r="J17" s="73"/>
      <c r="K17" s="73"/>
      <c r="L17" s="73"/>
      <c r="M17" s="74"/>
      <c r="N17" s="71" t="str">
        <f t="shared" si="0"/>
        <v/>
      </c>
      <c r="O17" s="72"/>
      <c r="P17" s="72"/>
      <c r="Q17" s="72"/>
      <c r="R17" s="72"/>
      <c r="S17" s="72"/>
      <c r="T17" s="72"/>
      <c r="U17" s="72"/>
      <c r="V17" s="72"/>
    </row>
    <row r="18" spans="1:25" ht="27.75" customHeight="1">
      <c r="A18" s="154"/>
      <c r="B18" s="155"/>
      <c r="C18" s="156"/>
      <c r="D18" s="157"/>
      <c r="E18" s="157"/>
      <c r="F18" s="158"/>
      <c r="G18" s="158"/>
      <c r="H18" s="159"/>
      <c r="I18" s="160"/>
      <c r="J18" s="73"/>
      <c r="K18" s="73"/>
      <c r="L18" s="73"/>
      <c r="M18" s="74"/>
      <c r="N18" s="71" t="str">
        <f t="shared" si="0"/>
        <v/>
      </c>
      <c r="O18" s="72"/>
      <c r="P18" s="72"/>
      <c r="Q18" s="72"/>
      <c r="R18" s="72"/>
      <c r="S18" s="72"/>
      <c r="T18" s="72"/>
      <c r="U18" s="72"/>
      <c r="V18" s="72"/>
    </row>
    <row r="19" spans="1:25" ht="27.75" customHeight="1">
      <c r="A19" s="154"/>
      <c r="B19" s="155"/>
      <c r="C19" s="156"/>
      <c r="D19" s="157"/>
      <c r="E19" s="157"/>
      <c r="F19" s="158"/>
      <c r="G19" s="158"/>
      <c r="H19" s="159"/>
      <c r="I19" s="160"/>
      <c r="J19" s="73"/>
      <c r="K19" s="73"/>
      <c r="L19" s="73"/>
      <c r="M19" s="74"/>
      <c r="N19" s="71" t="str">
        <f t="shared" si="0"/>
        <v/>
      </c>
      <c r="O19" s="72"/>
      <c r="P19" s="72"/>
      <c r="Q19" s="72"/>
      <c r="R19" s="72"/>
      <c r="S19" s="72"/>
      <c r="T19" s="72"/>
      <c r="U19" s="72"/>
      <c r="V19" s="72"/>
    </row>
    <row r="20" spans="1:25" ht="27.75" customHeight="1">
      <c r="A20" s="154"/>
      <c r="B20" s="155"/>
      <c r="C20" s="156"/>
      <c r="D20" s="157"/>
      <c r="E20" s="157"/>
      <c r="F20" s="158"/>
      <c r="G20" s="158"/>
      <c r="H20" s="159"/>
      <c r="I20" s="160"/>
      <c r="J20" s="73"/>
      <c r="K20" s="73"/>
      <c r="L20" s="73"/>
      <c r="M20" s="74"/>
      <c r="N20" s="71" t="str">
        <f t="shared" si="0"/>
        <v/>
      </c>
      <c r="O20" s="72"/>
      <c r="P20" s="72"/>
      <c r="Q20" s="72"/>
      <c r="R20" s="72"/>
      <c r="S20" s="72"/>
      <c r="T20" s="72"/>
      <c r="U20" s="72"/>
      <c r="V20" s="72"/>
    </row>
    <row r="21" spans="1:25" ht="27.75" customHeight="1">
      <c r="A21" s="154"/>
      <c r="B21" s="155"/>
      <c r="C21" s="156"/>
      <c r="D21" s="157"/>
      <c r="E21" s="157"/>
      <c r="F21" s="158"/>
      <c r="G21" s="158"/>
      <c r="H21" s="159"/>
      <c r="I21" s="160"/>
      <c r="J21" s="73"/>
      <c r="K21" s="73"/>
      <c r="L21" s="73"/>
      <c r="M21" s="74"/>
      <c r="N21" s="71" t="str">
        <f t="shared" si="0"/>
        <v/>
      </c>
      <c r="O21" s="75"/>
      <c r="P21" s="72"/>
      <c r="Q21" s="72"/>
      <c r="R21" s="72"/>
      <c r="S21" s="72"/>
      <c r="T21" s="72"/>
      <c r="U21" s="72"/>
      <c r="V21" s="76"/>
    </row>
    <row r="22" spans="1:25" ht="27.75" customHeight="1">
      <c r="A22" s="154"/>
      <c r="B22" s="155"/>
      <c r="C22" s="156"/>
      <c r="D22" s="157"/>
      <c r="E22" s="157"/>
      <c r="F22" s="158"/>
      <c r="G22" s="161"/>
      <c r="H22" s="159"/>
      <c r="I22" s="160"/>
      <c r="J22" s="73"/>
      <c r="K22" s="73"/>
      <c r="L22" s="73"/>
      <c r="M22" s="74"/>
      <c r="N22" s="71" t="str">
        <f t="shared" si="0"/>
        <v/>
      </c>
      <c r="O22" s="75"/>
      <c r="P22" s="72"/>
      <c r="Q22" s="72"/>
      <c r="R22" s="72"/>
      <c r="S22" s="72"/>
      <c r="T22" s="72"/>
      <c r="U22" s="72"/>
      <c r="V22" s="76"/>
    </row>
    <row r="23" spans="1:25" ht="27.75" customHeight="1">
      <c r="A23" s="154"/>
      <c r="B23" s="155"/>
      <c r="C23" s="156"/>
      <c r="D23" s="157"/>
      <c r="E23" s="157"/>
      <c r="F23" s="158"/>
      <c r="G23" s="158"/>
      <c r="H23" s="159"/>
      <c r="I23" s="160"/>
      <c r="J23" s="73"/>
      <c r="K23" s="73"/>
      <c r="L23" s="73"/>
      <c r="M23" s="74"/>
      <c r="N23" s="71" t="str">
        <f t="shared" si="0"/>
        <v/>
      </c>
      <c r="O23" s="75"/>
      <c r="P23" s="72"/>
      <c r="Q23" s="72"/>
      <c r="R23" s="72"/>
      <c r="S23" s="72"/>
      <c r="T23" s="72"/>
      <c r="U23" s="72"/>
      <c r="V23" s="76"/>
    </row>
    <row r="24" spans="1:25" ht="27.75" customHeight="1">
      <c r="A24" s="154"/>
      <c r="B24" s="155"/>
      <c r="C24" s="156"/>
      <c r="D24" s="157"/>
      <c r="E24" s="157"/>
      <c r="F24" s="158"/>
      <c r="G24" s="158"/>
      <c r="H24" s="159"/>
      <c r="I24" s="159"/>
      <c r="J24" s="73"/>
      <c r="K24" s="73"/>
      <c r="L24" s="73"/>
      <c r="M24" s="74"/>
      <c r="N24" s="71" t="str">
        <f t="shared" si="0"/>
        <v/>
      </c>
      <c r="O24" s="75"/>
      <c r="P24" s="72"/>
      <c r="Q24" s="72"/>
      <c r="R24" s="72"/>
      <c r="S24" s="72"/>
      <c r="T24" s="72"/>
      <c r="U24" s="72"/>
      <c r="V24" s="76"/>
    </row>
    <row r="25" spans="1:25" ht="27.75" customHeight="1">
      <c r="A25" s="162"/>
      <c r="B25" s="163"/>
      <c r="C25" s="164"/>
      <c r="D25" s="165"/>
      <c r="E25" s="165"/>
      <c r="F25" s="166"/>
      <c r="G25" s="166"/>
      <c r="H25" s="167"/>
      <c r="I25" s="168"/>
      <c r="J25" s="77"/>
      <c r="K25" s="77"/>
      <c r="L25" s="77"/>
      <c r="M25" s="78"/>
      <c r="N25" s="71" t="str">
        <f t="shared" si="0"/>
        <v/>
      </c>
      <c r="O25" s="72"/>
      <c r="P25" s="72"/>
      <c r="Q25" s="72"/>
      <c r="R25" s="72"/>
      <c r="S25" s="72"/>
      <c r="T25" s="72"/>
      <c r="U25" s="72"/>
      <c r="V25" s="79"/>
      <c r="W25" s="72"/>
      <c r="X25" s="72"/>
      <c r="Y25" s="72"/>
    </row>
    <row r="26" spans="1:25" ht="27.75" customHeight="1">
      <c r="A26" s="80" t="s">
        <v>52</v>
      </c>
      <c r="B26" s="81"/>
      <c r="C26" s="96"/>
      <c r="D26" s="82"/>
      <c r="E26" s="82">
        <f>SUM(E6:E25)</f>
        <v>0</v>
      </c>
      <c r="F26" s="83"/>
      <c r="G26" s="83"/>
      <c r="H26" s="83"/>
      <c r="I26" s="83"/>
      <c r="J26" s="83"/>
      <c r="K26" s="83"/>
      <c r="L26" s="83"/>
      <c r="M26" s="84"/>
      <c r="N26" s="71" t="str">
        <f t="shared" si="0"/>
        <v/>
      </c>
      <c r="O26" s="75"/>
      <c r="P26" s="72"/>
      <c r="Q26" s="72"/>
      <c r="R26" s="72"/>
      <c r="S26" s="72"/>
      <c r="T26" s="72"/>
      <c r="U26" s="72"/>
      <c r="V26" s="79"/>
      <c r="W26" s="72"/>
      <c r="X26" s="72"/>
      <c r="Y26" s="72"/>
    </row>
    <row r="27" spans="1:25" ht="27.75" customHeight="1">
      <c r="A27" s="169"/>
      <c r="B27" s="170"/>
      <c r="C27" s="171"/>
      <c r="D27" s="172"/>
      <c r="E27" s="172"/>
      <c r="F27" s="173"/>
      <c r="G27" s="173"/>
      <c r="H27" s="174"/>
      <c r="I27" s="175"/>
      <c r="J27" s="85"/>
      <c r="K27" s="85"/>
      <c r="L27" s="85"/>
      <c r="M27" s="86"/>
      <c r="N27" s="71" t="str">
        <f t="shared" si="0"/>
        <v/>
      </c>
      <c r="O27" s="72"/>
      <c r="P27" s="72"/>
      <c r="Q27" s="72"/>
      <c r="R27" s="72"/>
      <c r="S27" s="72"/>
      <c r="T27" s="72"/>
      <c r="U27" s="72"/>
      <c r="V27" s="72"/>
    </row>
    <row r="28" spans="1:25" ht="27.75" customHeight="1">
      <c r="A28" s="154"/>
      <c r="B28" s="155"/>
      <c r="C28" s="156"/>
      <c r="D28" s="157"/>
      <c r="E28" s="157"/>
      <c r="F28" s="158"/>
      <c r="G28" s="158"/>
      <c r="H28" s="159"/>
      <c r="I28" s="160"/>
      <c r="J28" s="73"/>
      <c r="K28" s="73"/>
      <c r="L28" s="73"/>
      <c r="M28" s="74"/>
      <c r="N28" s="71" t="str">
        <f t="shared" si="0"/>
        <v/>
      </c>
      <c r="O28" s="72"/>
      <c r="P28" s="72"/>
      <c r="Q28" s="72"/>
      <c r="R28" s="72"/>
      <c r="S28" s="72"/>
      <c r="T28" s="72"/>
      <c r="U28" s="72"/>
      <c r="V28" s="72"/>
    </row>
    <row r="29" spans="1:25" ht="27.75" customHeight="1">
      <c r="A29" s="154"/>
      <c r="B29" s="155"/>
      <c r="C29" s="156"/>
      <c r="D29" s="157"/>
      <c r="E29" s="157"/>
      <c r="F29" s="158"/>
      <c r="G29" s="158"/>
      <c r="H29" s="159"/>
      <c r="I29" s="160"/>
      <c r="J29" s="73"/>
      <c r="K29" s="73"/>
      <c r="L29" s="73"/>
      <c r="M29" s="74"/>
      <c r="N29" s="71" t="str">
        <f t="shared" si="0"/>
        <v/>
      </c>
      <c r="O29" s="72"/>
      <c r="P29" s="72"/>
      <c r="Q29" s="72"/>
      <c r="R29" s="72"/>
      <c r="S29" s="72"/>
      <c r="T29" s="72"/>
      <c r="U29" s="72"/>
      <c r="V29" s="72"/>
    </row>
    <row r="30" spans="1:25" ht="27.75" customHeight="1">
      <c r="A30" s="154"/>
      <c r="B30" s="155"/>
      <c r="C30" s="156"/>
      <c r="D30" s="157"/>
      <c r="E30" s="157"/>
      <c r="F30" s="158"/>
      <c r="G30" s="158"/>
      <c r="H30" s="159"/>
      <c r="I30" s="160"/>
      <c r="J30" s="73"/>
      <c r="K30" s="73"/>
      <c r="L30" s="73"/>
      <c r="M30" s="74"/>
      <c r="N30" s="71" t="str">
        <f t="shared" si="0"/>
        <v/>
      </c>
      <c r="O30" s="72"/>
      <c r="P30" s="72"/>
      <c r="Q30" s="72"/>
      <c r="R30" s="72"/>
      <c r="S30" s="72"/>
      <c r="T30" s="72"/>
      <c r="U30" s="72"/>
      <c r="V30" s="72"/>
    </row>
    <row r="31" spans="1:25" ht="27.75" customHeight="1">
      <c r="A31" s="154"/>
      <c r="B31" s="155"/>
      <c r="C31" s="156"/>
      <c r="D31" s="157"/>
      <c r="E31" s="157"/>
      <c r="F31" s="158"/>
      <c r="G31" s="158"/>
      <c r="H31" s="159"/>
      <c r="I31" s="160"/>
      <c r="J31" s="73"/>
      <c r="K31" s="73"/>
      <c r="L31" s="73"/>
      <c r="M31" s="74"/>
      <c r="N31" s="71" t="str">
        <f t="shared" si="0"/>
        <v/>
      </c>
      <c r="O31" s="72"/>
      <c r="P31" s="72"/>
      <c r="Q31" s="72"/>
      <c r="R31" s="72"/>
      <c r="S31" s="72"/>
      <c r="T31" s="72"/>
      <c r="U31" s="72"/>
      <c r="V31" s="72"/>
    </row>
    <row r="32" spans="1:25" ht="27.75" customHeight="1">
      <c r="A32" s="87" t="str">
        <f>IF(ISBLANK(C32)," ",27-COUNTBLANK($C$6:C32))</f>
        <v xml:space="preserve"> </v>
      </c>
      <c r="B32" s="88"/>
      <c r="C32" s="88"/>
      <c r="D32" s="89"/>
      <c r="E32" s="89"/>
      <c r="F32" s="73"/>
      <c r="G32" s="73"/>
      <c r="H32" s="73"/>
      <c r="I32" s="73"/>
      <c r="J32" s="73"/>
      <c r="K32" s="73"/>
      <c r="L32" s="73"/>
      <c r="M32" s="74"/>
      <c r="N32" s="71" t="str">
        <f t="shared" si="0"/>
        <v/>
      </c>
      <c r="O32" s="72"/>
      <c r="P32" s="72"/>
      <c r="Q32" s="72"/>
      <c r="R32" s="72"/>
      <c r="S32" s="72"/>
      <c r="T32" s="72"/>
      <c r="U32" s="72"/>
      <c r="V32" s="72"/>
    </row>
    <row r="33" spans="1:25" ht="27.75" customHeight="1">
      <c r="A33" s="87" t="str">
        <f>IF(ISBLANK(C33)," ",28-COUNTBLANK($C$6:C33))</f>
        <v xml:space="preserve"> </v>
      </c>
      <c r="B33" s="88"/>
      <c r="C33" s="88"/>
      <c r="D33" s="89"/>
      <c r="E33" s="89"/>
      <c r="F33" s="73"/>
      <c r="G33" s="73"/>
      <c r="H33" s="73"/>
      <c r="I33" s="73"/>
      <c r="J33" s="73"/>
      <c r="K33" s="73"/>
      <c r="L33" s="73"/>
      <c r="M33" s="74"/>
      <c r="N33" s="71" t="str">
        <f t="shared" si="0"/>
        <v/>
      </c>
      <c r="O33" s="72"/>
      <c r="P33" s="72"/>
      <c r="Q33" s="72"/>
      <c r="R33" s="72"/>
      <c r="S33" s="72"/>
      <c r="T33" s="72"/>
      <c r="U33" s="72"/>
      <c r="V33" s="72"/>
    </row>
    <row r="34" spans="1:25" ht="27.75" customHeight="1">
      <c r="A34" s="87" t="str">
        <f>IF(ISBLANK(C34)," ",29-COUNTBLANK($C$6:C34))</f>
        <v xml:space="preserve"> </v>
      </c>
      <c r="B34" s="88"/>
      <c r="C34" s="88"/>
      <c r="D34" s="89"/>
      <c r="E34" s="89"/>
      <c r="F34" s="73"/>
      <c r="G34" s="73"/>
      <c r="H34" s="73"/>
      <c r="I34" s="73"/>
      <c r="J34" s="73"/>
      <c r="K34" s="73"/>
      <c r="L34" s="73"/>
      <c r="M34" s="74"/>
      <c r="N34" s="71" t="str">
        <f t="shared" si="0"/>
        <v/>
      </c>
      <c r="O34" s="72"/>
      <c r="P34" s="72"/>
      <c r="Q34" s="72"/>
      <c r="R34" s="72"/>
      <c r="S34" s="72"/>
      <c r="T34" s="72"/>
      <c r="U34" s="72"/>
      <c r="V34" s="72"/>
    </row>
    <row r="35" spans="1:25" ht="27.75" customHeight="1">
      <c r="A35" s="87" t="str">
        <f>IF(ISBLANK(C35)," ",30-COUNTBLANK($C$6:C35))</f>
        <v xml:space="preserve"> </v>
      </c>
      <c r="B35" s="88"/>
      <c r="C35" s="88"/>
      <c r="D35" s="89"/>
      <c r="E35" s="89"/>
      <c r="F35" s="73"/>
      <c r="G35" s="73"/>
      <c r="H35" s="73"/>
      <c r="I35" s="73"/>
      <c r="J35" s="73"/>
      <c r="K35" s="73"/>
      <c r="L35" s="73"/>
      <c r="M35" s="74"/>
      <c r="N35" s="71" t="str">
        <f t="shared" si="0"/>
        <v/>
      </c>
      <c r="O35" s="72"/>
      <c r="P35" s="72"/>
      <c r="Q35" s="72"/>
      <c r="R35" s="72"/>
      <c r="S35" s="72"/>
      <c r="T35" s="72"/>
      <c r="U35" s="72"/>
      <c r="V35" s="72"/>
    </row>
    <row r="36" spans="1:25" ht="27.75" customHeight="1">
      <c r="A36" s="87" t="str">
        <f>IF(ISBLANK(C36)," ",31-COUNTBLANK($C$6:C36))</f>
        <v xml:space="preserve"> </v>
      </c>
      <c r="B36" s="88"/>
      <c r="C36" s="88"/>
      <c r="D36" s="89"/>
      <c r="E36" s="89"/>
      <c r="F36" s="73"/>
      <c r="G36" s="73"/>
      <c r="H36" s="73"/>
      <c r="I36" s="73"/>
      <c r="J36" s="73"/>
      <c r="K36" s="73"/>
      <c r="L36" s="73"/>
      <c r="M36" s="74"/>
      <c r="N36" s="71" t="str">
        <f t="shared" si="0"/>
        <v/>
      </c>
      <c r="O36" s="72"/>
      <c r="P36" s="72"/>
      <c r="Q36" s="72"/>
      <c r="R36" s="72"/>
      <c r="S36" s="72"/>
      <c r="T36" s="72"/>
      <c r="U36" s="72"/>
      <c r="V36" s="72"/>
    </row>
    <row r="37" spans="1:25" ht="27.75" customHeight="1">
      <c r="A37" s="87" t="str">
        <f>IF(ISBLANK(C37)," ",32-COUNTBLANK($C$6:C37))</f>
        <v xml:space="preserve"> </v>
      </c>
      <c r="B37" s="88"/>
      <c r="C37" s="88"/>
      <c r="D37" s="89"/>
      <c r="E37" s="89"/>
      <c r="F37" s="73"/>
      <c r="G37" s="73"/>
      <c r="H37" s="73"/>
      <c r="I37" s="73"/>
      <c r="J37" s="73"/>
      <c r="K37" s="73"/>
      <c r="L37" s="73"/>
      <c r="M37" s="74"/>
      <c r="N37" s="71" t="str">
        <f t="shared" si="0"/>
        <v/>
      </c>
      <c r="O37" s="72"/>
      <c r="P37" s="72"/>
      <c r="Q37" s="72"/>
      <c r="R37" s="72"/>
      <c r="S37" s="72"/>
      <c r="T37" s="72"/>
      <c r="U37" s="72"/>
      <c r="V37" s="72"/>
    </row>
    <row r="38" spans="1:25" ht="27.75" customHeight="1">
      <c r="A38" s="87" t="str">
        <f>IF(ISBLANK(C38)," ",33-COUNTBLANK($C$6:C38))</f>
        <v xml:space="preserve"> </v>
      </c>
      <c r="B38" s="88"/>
      <c r="C38" s="88"/>
      <c r="D38" s="89"/>
      <c r="E38" s="89"/>
      <c r="F38" s="73"/>
      <c r="G38" s="73"/>
      <c r="H38" s="73"/>
      <c r="I38" s="73"/>
      <c r="J38" s="73"/>
      <c r="K38" s="73"/>
      <c r="L38" s="73"/>
      <c r="M38" s="74"/>
      <c r="N38" s="71" t="str">
        <f t="shared" si="0"/>
        <v/>
      </c>
      <c r="O38" s="72"/>
      <c r="P38" s="72"/>
      <c r="Q38" s="72"/>
      <c r="R38" s="72"/>
      <c r="S38" s="72"/>
      <c r="T38" s="72"/>
      <c r="U38" s="72"/>
      <c r="V38" s="72"/>
    </row>
    <row r="39" spans="1:25" ht="27.75" customHeight="1">
      <c r="A39" s="87" t="str">
        <f>IF(ISBLANK(C39)," ",34-COUNTBLANK($C$6:C39))</f>
        <v xml:space="preserve"> </v>
      </c>
      <c r="B39" s="88"/>
      <c r="C39" s="88"/>
      <c r="D39" s="89"/>
      <c r="E39" s="89"/>
      <c r="F39" s="73"/>
      <c r="G39" s="73"/>
      <c r="H39" s="73"/>
      <c r="I39" s="73"/>
      <c r="J39" s="73"/>
      <c r="K39" s="73"/>
      <c r="L39" s="73"/>
      <c r="M39" s="74"/>
      <c r="N39" s="71" t="str">
        <f t="shared" si="0"/>
        <v/>
      </c>
      <c r="O39" s="72"/>
      <c r="P39" s="72"/>
      <c r="Q39" s="72"/>
      <c r="R39" s="72"/>
      <c r="S39" s="72"/>
      <c r="T39" s="72"/>
      <c r="U39" s="72"/>
      <c r="V39" s="72"/>
    </row>
    <row r="40" spans="1:25" ht="27.75" customHeight="1">
      <c r="A40" s="87" t="str">
        <f>IF(ISBLANK(C40)," ",35-COUNTBLANK($C$6:C40))</f>
        <v xml:space="preserve"> </v>
      </c>
      <c r="B40" s="88"/>
      <c r="C40" s="88"/>
      <c r="D40" s="89"/>
      <c r="E40" s="89"/>
      <c r="F40" s="73"/>
      <c r="G40" s="73"/>
      <c r="H40" s="73"/>
      <c r="I40" s="73"/>
      <c r="J40" s="73"/>
      <c r="K40" s="73"/>
      <c r="L40" s="73"/>
      <c r="M40" s="74"/>
      <c r="N40" s="71" t="str">
        <f t="shared" si="0"/>
        <v/>
      </c>
      <c r="O40" s="72"/>
      <c r="P40" s="72"/>
      <c r="Q40" s="72"/>
      <c r="R40" s="72"/>
      <c r="S40" s="72"/>
      <c r="T40" s="72"/>
      <c r="U40" s="72"/>
      <c r="V40" s="72"/>
    </row>
    <row r="41" spans="1:25" ht="27.75" customHeight="1">
      <c r="A41" s="87" t="str">
        <f>IF(ISBLANK(C41)," ",36-COUNTBLANK($C$6:C41))</f>
        <v xml:space="preserve"> </v>
      </c>
      <c r="B41" s="88"/>
      <c r="C41" s="88"/>
      <c r="D41" s="89"/>
      <c r="E41" s="89"/>
      <c r="F41" s="73"/>
      <c r="G41" s="73"/>
      <c r="H41" s="73"/>
      <c r="I41" s="73"/>
      <c r="J41" s="73"/>
      <c r="K41" s="73"/>
      <c r="L41" s="73"/>
      <c r="M41" s="74"/>
      <c r="N41" s="71" t="str">
        <f t="shared" si="0"/>
        <v/>
      </c>
      <c r="O41" s="72"/>
      <c r="P41" s="72"/>
      <c r="Q41" s="72"/>
      <c r="R41" s="72"/>
      <c r="S41" s="72"/>
      <c r="T41" s="72"/>
      <c r="U41" s="72"/>
      <c r="V41" s="72"/>
    </row>
    <row r="42" spans="1:25" ht="27.75" customHeight="1">
      <c r="A42" s="87" t="str">
        <f>IF(ISBLANK(C42)," ",37-COUNTBLANK($C$6:C42))</f>
        <v xml:space="preserve"> </v>
      </c>
      <c r="B42" s="88"/>
      <c r="C42" s="88"/>
      <c r="D42" s="89"/>
      <c r="E42" s="89"/>
      <c r="F42" s="73"/>
      <c r="G42" s="73"/>
      <c r="H42" s="73"/>
      <c r="I42" s="73"/>
      <c r="J42" s="73"/>
      <c r="K42" s="73"/>
      <c r="L42" s="73"/>
      <c r="M42" s="74"/>
      <c r="N42" s="71" t="str">
        <f t="shared" si="0"/>
        <v/>
      </c>
      <c r="O42" s="75"/>
      <c r="P42" s="72"/>
      <c r="Q42" s="72"/>
      <c r="R42" s="72"/>
      <c r="S42" s="72"/>
      <c r="T42" s="72"/>
      <c r="U42" s="72"/>
      <c r="V42" s="76"/>
    </row>
    <row r="43" spans="1:25" ht="27.75" customHeight="1">
      <c r="A43" s="87" t="str">
        <f>IF(ISBLANK(C43)," ",38-COUNTBLANK($C$6:C43))</f>
        <v xml:space="preserve"> </v>
      </c>
      <c r="B43" s="88"/>
      <c r="C43" s="88"/>
      <c r="D43" s="89"/>
      <c r="E43" s="89"/>
      <c r="F43" s="73"/>
      <c r="G43" s="73"/>
      <c r="H43" s="73"/>
      <c r="I43" s="73"/>
      <c r="J43" s="73"/>
      <c r="K43" s="73"/>
      <c r="L43" s="73"/>
      <c r="M43" s="74"/>
      <c r="N43" s="71" t="str">
        <f t="shared" si="0"/>
        <v/>
      </c>
      <c r="O43" s="75"/>
      <c r="P43" s="72"/>
      <c r="Q43" s="72"/>
      <c r="R43" s="72"/>
      <c r="S43" s="72"/>
      <c r="T43" s="72"/>
      <c r="U43" s="72"/>
      <c r="V43" s="76"/>
    </row>
    <row r="44" spans="1:25" ht="27.75" customHeight="1">
      <c r="A44" s="87" t="str">
        <f>IF(ISBLANK(C44)," ",39-COUNTBLANK($C$6:C44))</f>
        <v xml:space="preserve"> </v>
      </c>
      <c r="B44" s="88"/>
      <c r="C44" s="88"/>
      <c r="D44" s="89"/>
      <c r="E44" s="89"/>
      <c r="F44" s="73"/>
      <c r="G44" s="73"/>
      <c r="H44" s="73"/>
      <c r="I44" s="73"/>
      <c r="J44" s="73"/>
      <c r="K44" s="73"/>
      <c r="L44" s="73"/>
      <c r="M44" s="74"/>
      <c r="N44" s="71" t="str">
        <f t="shared" si="0"/>
        <v/>
      </c>
      <c r="O44" s="75"/>
      <c r="P44" s="72"/>
      <c r="Q44" s="72"/>
      <c r="R44" s="72"/>
      <c r="S44" s="72"/>
      <c r="T44" s="72"/>
      <c r="U44" s="72"/>
      <c r="V44" s="76"/>
    </row>
    <row r="45" spans="1:25" ht="27.75" customHeight="1">
      <c r="A45" s="87" t="str">
        <f>IF(ISBLANK(C45)," ",40-COUNTBLANK($C$6:C45))</f>
        <v xml:space="preserve"> </v>
      </c>
      <c r="B45" s="88"/>
      <c r="C45" s="88"/>
      <c r="D45" s="89"/>
      <c r="E45" s="89"/>
      <c r="F45" s="73"/>
      <c r="G45" s="73"/>
      <c r="H45" s="73"/>
      <c r="I45" s="73"/>
      <c r="J45" s="73"/>
      <c r="K45" s="73"/>
      <c r="L45" s="73"/>
      <c r="M45" s="74"/>
      <c r="N45" s="71" t="str">
        <f t="shared" si="0"/>
        <v/>
      </c>
      <c r="O45" s="75"/>
      <c r="P45" s="72"/>
      <c r="Q45" s="72"/>
      <c r="R45" s="72"/>
      <c r="S45" s="72"/>
      <c r="T45" s="72"/>
      <c r="U45" s="72"/>
      <c r="V45" s="76"/>
    </row>
    <row r="46" spans="1:25" ht="27.75" customHeight="1">
      <c r="A46" s="90" t="str">
        <f>IF(ISBLANK(C46)," ",41-COUNTBLANK($C$6:C46))</f>
        <v xml:space="preserve"> </v>
      </c>
      <c r="B46" s="91"/>
      <c r="C46" s="91"/>
      <c r="D46" s="92"/>
      <c r="E46" s="92"/>
      <c r="F46" s="77"/>
      <c r="G46" s="77"/>
      <c r="H46" s="77"/>
      <c r="I46" s="77"/>
      <c r="J46" s="77"/>
      <c r="K46" s="77"/>
      <c r="L46" s="77"/>
      <c r="M46" s="78"/>
      <c r="N46" s="71" t="str">
        <f t="shared" si="0"/>
        <v/>
      </c>
      <c r="O46" s="72"/>
      <c r="P46" s="72"/>
      <c r="Q46" s="72"/>
      <c r="R46" s="72"/>
      <c r="S46" s="72"/>
      <c r="T46" s="72"/>
      <c r="U46" s="72"/>
      <c r="V46" s="79"/>
      <c r="W46" s="72"/>
      <c r="X46" s="72"/>
      <c r="Y46" s="72"/>
    </row>
    <row r="47" spans="1:25" ht="27.75" customHeight="1">
      <c r="A47" s="80" t="s">
        <v>52</v>
      </c>
      <c r="B47" s="81"/>
      <c r="C47" s="96"/>
      <c r="D47" s="82"/>
      <c r="E47" s="82">
        <f>SUM(E27:E46)</f>
        <v>0</v>
      </c>
      <c r="F47" s="83"/>
      <c r="G47" s="83"/>
      <c r="H47" s="83"/>
      <c r="I47" s="83"/>
      <c r="J47" s="83"/>
      <c r="K47" s="83"/>
      <c r="L47" s="83"/>
      <c r="M47" s="84"/>
      <c r="N47" s="71" t="str">
        <f t="shared" si="0"/>
        <v/>
      </c>
      <c r="O47" s="75"/>
      <c r="P47" s="72"/>
      <c r="Q47" s="72"/>
      <c r="R47" s="72"/>
      <c r="S47" s="72"/>
      <c r="T47" s="72"/>
      <c r="U47" s="72"/>
      <c r="V47" s="79"/>
      <c r="W47" s="72"/>
      <c r="X47" s="72"/>
      <c r="Y47" s="72"/>
    </row>
    <row r="48" spans="1:25" ht="27.75" customHeight="1">
      <c r="A48" s="93" t="str">
        <f>IF(ISBLANK(C48)," ",43-COUNTBLANK($C$6:C48))</f>
        <v xml:space="preserve"> </v>
      </c>
      <c r="B48" s="94"/>
      <c r="C48" s="94"/>
      <c r="D48" s="95"/>
      <c r="E48" s="95"/>
      <c r="F48" s="85"/>
      <c r="G48" s="85"/>
      <c r="H48" s="85"/>
      <c r="I48" s="85"/>
      <c r="J48" s="85"/>
      <c r="K48" s="85"/>
      <c r="L48" s="85"/>
      <c r="M48" s="86"/>
      <c r="N48" s="71" t="str">
        <f t="shared" si="0"/>
        <v/>
      </c>
      <c r="O48" s="72"/>
      <c r="P48" s="72"/>
      <c r="Q48" s="72"/>
      <c r="R48" s="72"/>
      <c r="S48" s="72"/>
      <c r="T48" s="72"/>
      <c r="U48" s="72"/>
      <c r="V48" s="72"/>
    </row>
    <row r="49" spans="1:22" ht="27.75" customHeight="1">
      <c r="A49" s="87" t="str">
        <f>IF(ISBLANK(C49)," ",44-COUNTBLANK($C$6:C49))</f>
        <v xml:space="preserve"> </v>
      </c>
      <c r="B49" s="88"/>
      <c r="C49" s="88"/>
      <c r="D49" s="89"/>
      <c r="E49" s="89"/>
      <c r="F49" s="73"/>
      <c r="G49" s="73"/>
      <c r="H49" s="73"/>
      <c r="I49" s="73"/>
      <c r="J49" s="73"/>
      <c r="K49" s="73"/>
      <c r="L49" s="73"/>
      <c r="M49" s="74"/>
      <c r="N49" s="71" t="str">
        <f t="shared" si="0"/>
        <v/>
      </c>
      <c r="O49" s="72"/>
      <c r="P49" s="72"/>
      <c r="Q49" s="72"/>
      <c r="R49" s="72"/>
      <c r="S49" s="72"/>
      <c r="T49" s="72"/>
      <c r="U49" s="72"/>
      <c r="V49" s="72"/>
    </row>
    <row r="50" spans="1:22" ht="27.75" customHeight="1">
      <c r="A50" s="87" t="str">
        <f>IF(ISBLANK(C50)," ",45-COUNTBLANK($C$6:C50))</f>
        <v xml:space="preserve"> </v>
      </c>
      <c r="B50" s="88"/>
      <c r="C50" s="88"/>
      <c r="D50" s="89"/>
      <c r="E50" s="89"/>
      <c r="F50" s="73"/>
      <c r="G50" s="73"/>
      <c r="H50" s="73"/>
      <c r="I50" s="73"/>
      <c r="J50" s="73"/>
      <c r="K50" s="73"/>
      <c r="L50" s="73"/>
      <c r="M50" s="74"/>
      <c r="N50" s="71" t="str">
        <f t="shared" si="0"/>
        <v/>
      </c>
      <c r="O50" s="72"/>
      <c r="P50" s="72"/>
      <c r="Q50" s="72"/>
      <c r="R50" s="72"/>
      <c r="S50" s="72"/>
      <c r="T50" s="72"/>
      <c r="U50" s="72"/>
      <c r="V50" s="72"/>
    </row>
    <row r="51" spans="1:22" ht="27.75" customHeight="1">
      <c r="A51" s="87" t="str">
        <f>IF(ISBLANK(C51)," ",46-COUNTBLANK($C$6:C51))</f>
        <v xml:space="preserve"> </v>
      </c>
      <c r="B51" s="88"/>
      <c r="C51" s="88"/>
      <c r="D51" s="89"/>
      <c r="E51" s="89"/>
      <c r="F51" s="73"/>
      <c r="G51" s="73"/>
      <c r="H51" s="73"/>
      <c r="I51" s="73"/>
      <c r="J51" s="73"/>
      <c r="K51" s="73"/>
      <c r="L51" s="73"/>
      <c r="M51" s="74"/>
      <c r="N51" s="71" t="str">
        <f t="shared" si="0"/>
        <v/>
      </c>
      <c r="O51" s="72"/>
      <c r="P51" s="72"/>
      <c r="Q51" s="72"/>
      <c r="R51" s="72"/>
      <c r="S51" s="72"/>
      <c r="T51" s="72"/>
      <c r="U51" s="72"/>
      <c r="V51" s="72"/>
    </row>
    <row r="52" spans="1:22" ht="27.75" customHeight="1">
      <c r="A52" s="87" t="str">
        <f>IF(ISBLANK(C52)," ",47-COUNTBLANK($C$6:C52))</f>
        <v xml:space="preserve"> </v>
      </c>
      <c r="B52" s="88"/>
      <c r="C52" s="88"/>
      <c r="D52" s="89"/>
      <c r="E52" s="89"/>
      <c r="F52" s="73"/>
      <c r="G52" s="73"/>
      <c r="H52" s="73"/>
      <c r="I52" s="73"/>
      <c r="J52" s="73"/>
      <c r="K52" s="73"/>
      <c r="L52" s="73"/>
      <c r="M52" s="74"/>
      <c r="N52" s="71" t="str">
        <f t="shared" si="0"/>
        <v/>
      </c>
      <c r="O52" s="72"/>
      <c r="P52" s="72"/>
      <c r="Q52" s="72"/>
      <c r="R52" s="72"/>
      <c r="S52" s="72"/>
      <c r="T52" s="72"/>
      <c r="U52" s="72"/>
      <c r="V52" s="72"/>
    </row>
    <row r="53" spans="1:22" ht="27.75" customHeight="1">
      <c r="A53" s="87" t="str">
        <f>IF(ISBLANK(C53)," ",48-COUNTBLANK($C$6:C53))</f>
        <v xml:space="preserve"> </v>
      </c>
      <c r="B53" s="88"/>
      <c r="C53" s="88"/>
      <c r="D53" s="89"/>
      <c r="E53" s="89"/>
      <c r="F53" s="73"/>
      <c r="G53" s="73"/>
      <c r="H53" s="73"/>
      <c r="I53" s="73"/>
      <c r="J53" s="73"/>
      <c r="K53" s="73"/>
      <c r="L53" s="73"/>
      <c r="M53" s="74"/>
      <c r="N53" s="71" t="str">
        <f t="shared" si="0"/>
        <v/>
      </c>
      <c r="O53" s="72"/>
      <c r="P53" s="72"/>
      <c r="Q53" s="72"/>
      <c r="R53" s="72"/>
      <c r="S53" s="72"/>
      <c r="T53" s="72"/>
      <c r="U53" s="72"/>
      <c r="V53" s="72"/>
    </row>
    <row r="54" spans="1:22" ht="27.75" customHeight="1">
      <c r="A54" s="87" t="str">
        <f>IF(ISBLANK(C54)," ",49-COUNTBLANK($C$6:C54))</f>
        <v xml:space="preserve"> </v>
      </c>
      <c r="B54" s="88"/>
      <c r="C54" s="88"/>
      <c r="D54" s="89"/>
      <c r="E54" s="89"/>
      <c r="F54" s="73"/>
      <c r="G54" s="73"/>
      <c r="H54" s="73"/>
      <c r="I54" s="73"/>
      <c r="J54" s="73"/>
      <c r="K54" s="73"/>
      <c r="L54" s="73"/>
      <c r="M54" s="74"/>
      <c r="N54" s="71" t="str">
        <f t="shared" si="0"/>
        <v/>
      </c>
      <c r="O54" s="72"/>
      <c r="P54" s="72"/>
      <c r="Q54" s="72"/>
      <c r="R54" s="72"/>
      <c r="S54" s="72"/>
      <c r="T54" s="72"/>
      <c r="U54" s="72"/>
      <c r="V54" s="72"/>
    </row>
    <row r="55" spans="1:22" ht="27.75" customHeight="1">
      <c r="A55" s="87" t="str">
        <f>IF(ISBLANK(C55)," ",50-COUNTBLANK($C$6:C55))</f>
        <v xml:space="preserve"> </v>
      </c>
      <c r="B55" s="88"/>
      <c r="C55" s="88"/>
      <c r="D55" s="89"/>
      <c r="E55" s="89"/>
      <c r="F55" s="73"/>
      <c r="G55" s="73"/>
      <c r="H55" s="73"/>
      <c r="I55" s="73"/>
      <c r="J55" s="73"/>
      <c r="K55" s="73"/>
      <c r="L55" s="73"/>
      <c r="M55" s="74"/>
      <c r="N55" s="71" t="str">
        <f t="shared" si="0"/>
        <v/>
      </c>
      <c r="O55" s="72"/>
      <c r="P55" s="72"/>
      <c r="Q55" s="72"/>
      <c r="R55" s="72"/>
      <c r="S55" s="72"/>
      <c r="T55" s="72"/>
      <c r="U55" s="72"/>
      <c r="V55" s="72"/>
    </row>
    <row r="56" spans="1:22" ht="27.75" customHeight="1">
      <c r="A56" s="87" t="str">
        <f>IF(ISBLANK(C56)," ",51-COUNTBLANK($C$6:C56))</f>
        <v xml:space="preserve"> </v>
      </c>
      <c r="B56" s="88"/>
      <c r="C56" s="88"/>
      <c r="D56" s="89"/>
      <c r="E56" s="89"/>
      <c r="F56" s="73"/>
      <c r="G56" s="73"/>
      <c r="H56" s="73"/>
      <c r="I56" s="73"/>
      <c r="J56" s="73"/>
      <c r="K56" s="73"/>
      <c r="L56" s="73"/>
      <c r="M56" s="74"/>
      <c r="N56" s="71" t="str">
        <f t="shared" si="0"/>
        <v/>
      </c>
      <c r="O56" s="72"/>
      <c r="P56" s="72"/>
      <c r="Q56" s="72"/>
      <c r="R56" s="72"/>
      <c r="S56" s="72"/>
      <c r="T56" s="72"/>
      <c r="U56" s="72"/>
      <c r="V56" s="72"/>
    </row>
    <row r="57" spans="1:22" ht="27.75" customHeight="1">
      <c r="A57" s="87" t="str">
        <f>IF(ISBLANK(C57)," ",52-COUNTBLANK($C$6:C57))</f>
        <v xml:space="preserve"> </v>
      </c>
      <c r="B57" s="88"/>
      <c r="C57" s="88"/>
      <c r="D57" s="89"/>
      <c r="E57" s="89"/>
      <c r="F57" s="73"/>
      <c r="G57" s="73"/>
      <c r="H57" s="73"/>
      <c r="I57" s="73"/>
      <c r="J57" s="73"/>
      <c r="K57" s="73"/>
      <c r="L57" s="73"/>
      <c r="M57" s="74"/>
      <c r="N57" s="71" t="str">
        <f t="shared" si="0"/>
        <v/>
      </c>
      <c r="O57" s="72"/>
      <c r="P57" s="72"/>
      <c r="Q57" s="72"/>
      <c r="R57" s="72"/>
      <c r="S57" s="72"/>
      <c r="T57" s="72"/>
      <c r="U57" s="72"/>
      <c r="V57" s="72"/>
    </row>
    <row r="58" spans="1:22" ht="27.75" customHeight="1">
      <c r="A58" s="87" t="str">
        <f>IF(ISBLANK(C58)," ",53-COUNTBLANK($C$6:C58))</f>
        <v xml:space="preserve"> </v>
      </c>
      <c r="B58" s="88"/>
      <c r="C58" s="88"/>
      <c r="D58" s="89"/>
      <c r="E58" s="89"/>
      <c r="F58" s="73"/>
      <c r="G58" s="73"/>
      <c r="H58" s="73"/>
      <c r="I58" s="73"/>
      <c r="J58" s="73"/>
      <c r="K58" s="73"/>
      <c r="L58" s="73"/>
      <c r="M58" s="74"/>
      <c r="N58" s="71" t="str">
        <f t="shared" si="0"/>
        <v/>
      </c>
      <c r="O58" s="72"/>
      <c r="P58" s="72"/>
      <c r="Q58" s="72"/>
      <c r="R58" s="72"/>
      <c r="S58" s="72"/>
      <c r="T58" s="72"/>
      <c r="U58" s="72"/>
      <c r="V58" s="72"/>
    </row>
    <row r="59" spans="1:22" ht="27.75" customHeight="1">
      <c r="A59" s="87" t="str">
        <f>IF(ISBLANK(C59)," ",54-COUNTBLANK($C$6:C59))</f>
        <v xml:space="preserve"> </v>
      </c>
      <c r="B59" s="88"/>
      <c r="C59" s="88"/>
      <c r="D59" s="89"/>
      <c r="E59" s="89"/>
      <c r="F59" s="73"/>
      <c r="G59" s="73"/>
      <c r="H59" s="73"/>
      <c r="I59" s="73"/>
      <c r="J59" s="73"/>
      <c r="K59" s="73"/>
      <c r="L59" s="73"/>
      <c r="M59" s="74"/>
      <c r="N59" s="71" t="str">
        <f t="shared" si="0"/>
        <v/>
      </c>
      <c r="O59" s="72"/>
      <c r="P59" s="72"/>
      <c r="Q59" s="72"/>
      <c r="R59" s="72"/>
      <c r="S59" s="72"/>
      <c r="T59" s="72"/>
      <c r="U59" s="72"/>
      <c r="V59" s="72"/>
    </row>
    <row r="60" spans="1:22" ht="27.75" customHeight="1">
      <c r="A60" s="87" t="str">
        <f>IF(ISBLANK(C60)," ",55-COUNTBLANK($C$6:C60))</f>
        <v xml:space="preserve"> </v>
      </c>
      <c r="B60" s="88"/>
      <c r="C60" s="88"/>
      <c r="D60" s="89"/>
      <c r="E60" s="89"/>
      <c r="F60" s="73"/>
      <c r="G60" s="73"/>
      <c r="H60" s="73"/>
      <c r="I60" s="73"/>
      <c r="J60" s="73"/>
      <c r="K60" s="73"/>
      <c r="L60" s="73"/>
      <c r="M60" s="74"/>
      <c r="N60" s="71" t="str">
        <f t="shared" si="0"/>
        <v/>
      </c>
      <c r="O60" s="72"/>
      <c r="P60" s="72"/>
      <c r="Q60" s="72"/>
      <c r="R60" s="72"/>
      <c r="S60" s="72"/>
      <c r="T60" s="72"/>
      <c r="U60" s="72"/>
      <c r="V60" s="72"/>
    </row>
    <row r="61" spans="1:22" ht="27.75" customHeight="1">
      <c r="A61" s="87" t="str">
        <f>IF(ISBLANK(C61)," ",56-COUNTBLANK($C$6:C61))</f>
        <v xml:space="preserve"> </v>
      </c>
      <c r="B61" s="88"/>
      <c r="C61" s="88"/>
      <c r="D61" s="89"/>
      <c r="E61" s="89"/>
      <c r="F61" s="73"/>
      <c r="G61" s="73"/>
      <c r="H61" s="73"/>
      <c r="I61" s="73"/>
      <c r="J61" s="73"/>
      <c r="K61" s="73"/>
      <c r="L61" s="73"/>
      <c r="M61" s="74"/>
      <c r="N61" s="71" t="str">
        <f t="shared" si="0"/>
        <v/>
      </c>
      <c r="O61" s="72"/>
      <c r="P61" s="72"/>
      <c r="Q61" s="72"/>
      <c r="R61" s="72"/>
      <c r="S61" s="72"/>
      <c r="T61" s="72"/>
      <c r="U61" s="72"/>
      <c r="V61" s="72"/>
    </row>
    <row r="62" spans="1:22" ht="27.75" customHeight="1">
      <c r="A62" s="87" t="str">
        <f>IF(ISBLANK(C62)," ",57-COUNTBLANK($C$6:C62))</f>
        <v xml:space="preserve"> </v>
      </c>
      <c r="B62" s="88"/>
      <c r="C62" s="88"/>
      <c r="D62" s="89"/>
      <c r="E62" s="89"/>
      <c r="F62" s="73"/>
      <c r="G62" s="73"/>
      <c r="H62" s="73"/>
      <c r="I62" s="73"/>
      <c r="J62" s="73"/>
      <c r="K62" s="73"/>
      <c r="L62" s="73"/>
      <c r="M62" s="74"/>
      <c r="N62" s="71" t="str">
        <f t="shared" si="0"/>
        <v/>
      </c>
      <c r="O62" s="72"/>
      <c r="P62" s="72"/>
      <c r="Q62" s="72"/>
      <c r="R62" s="72"/>
      <c r="S62" s="72"/>
      <c r="T62" s="72"/>
      <c r="U62" s="72"/>
      <c r="V62" s="72"/>
    </row>
    <row r="63" spans="1:22" ht="27.75" customHeight="1">
      <c r="A63" s="87" t="str">
        <f>IF(ISBLANK(C63)," ",58-COUNTBLANK($C$6:C63))</f>
        <v xml:space="preserve"> </v>
      </c>
      <c r="B63" s="88"/>
      <c r="C63" s="88"/>
      <c r="D63" s="89"/>
      <c r="E63" s="89"/>
      <c r="F63" s="73"/>
      <c r="G63" s="73"/>
      <c r="H63" s="73"/>
      <c r="I63" s="73"/>
      <c r="J63" s="73"/>
      <c r="K63" s="73"/>
      <c r="L63" s="73"/>
      <c r="M63" s="74"/>
      <c r="N63" s="71" t="str">
        <f t="shared" si="0"/>
        <v/>
      </c>
      <c r="O63" s="75"/>
      <c r="P63" s="72"/>
      <c r="Q63" s="72"/>
      <c r="R63" s="72"/>
      <c r="S63" s="72"/>
      <c r="T63" s="72"/>
      <c r="U63" s="72"/>
      <c r="V63" s="76"/>
    </row>
    <row r="64" spans="1:22" ht="27.75" customHeight="1">
      <c r="A64" s="87" t="str">
        <f>IF(ISBLANK(C64)," ",59-COUNTBLANK($C$6:C64))</f>
        <v xml:space="preserve"> </v>
      </c>
      <c r="B64" s="88"/>
      <c r="C64" s="88"/>
      <c r="D64" s="89"/>
      <c r="E64" s="89"/>
      <c r="F64" s="73"/>
      <c r="G64" s="73"/>
      <c r="H64" s="73"/>
      <c r="I64" s="73"/>
      <c r="J64" s="73"/>
      <c r="K64" s="73"/>
      <c r="L64" s="73"/>
      <c r="M64" s="74"/>
      <c r="N64" s="71" t="str">
        <f t="shared" si="0"/>
        <v/>
      </c>
      <c r="O64" s="75"/>
      <c r="P64" s="72"/>
      <c r="Q64" s="72"/>
      <c r="R64" s="72"/>
      <c r="S64" s="72"/>
      <c r="T64" s="72"/>
      <c r="U64" s="72"/>
      <c r="V64" s="76"/>
    </row>
    <row r="65" spans="1:25" ht="27.75" customHeight="1">
      <c r="A65" s="87" t="str">
        <f>IF(ISBLANK(C65)," ",60-COUNTBLANK($C$6:C65))</f>
        <v xml:space="preserve"> </v>
      </c>
      <c r="B65" s="88"/>
      <c r="C65" s="88"/>
      <c r="D65" s="89"/>
      <c r="E65" s="89"/>
      <c r="F65" s="73"/>
      <c r="G65" s="73"/>
      <c r="H65" s="73"/>
      <c r="I65" s="73"/>
      <c r="J65" s="73"/>
      <c r="K65" s="73"/>
      <c r="L65" s="73"/>
      <c r="M65" s="74"/>
      <c r="N65" s="71" t="str">
        <f t="shared" si="0"/>
        <v/>
      </c>
      <c r="O65" s="75"/>
      <c r="P65" s="72"/>
      <c r="Q65" s="72"/>
      <c r="R65" s="72"/>
      <c r="S65" s="72"/>
      <c r="T65" s="72"/>
      <c r="U65" s="72"/>
      <c r="V65" s="76"/>
    </row>
    <row r="66" spans="1:25" ht="27.75" customHeight="1">
      <c r="A66" s="87" t="str">
        <f>IF(ISBLANK(C66)," ",61-COUNTBLANK($C$6:C66))</f>
        <v xml:space="preserve"> </v>
      </c>
      <c r="B66" s="88"/>
      <c r="C66" s="88"/>
      <c r="D66" s="89"/>
      <c r="E66" s="89"/>
      <c r="F66" s="73"/>
      <c r="G66" s="73"/>
      <c r="H66" s="73"/>
      <c r="I66" s="73"/>
      <c r="J66" s="73"/>
      <c r="K66" s="73"/>
      <c r="L66" s="73"/>
      <c r="M66" s="74"/>
      <c r="N66" s="71" t="str">
        <f t="shared" si="0"/>
        <v/>
      </c>
      <c r="O66" s="75"/>
      <c r="P66" s="72"/>
      <c r="Q66" s="72"/>
      <c r="R66" s="72"/>
      <c r="S66" s="72"/>
      <c r="T66" s="72"/>
      <c r="U66" s="72"/>
      <c r="V66" s="76"/>
    </row>
    <row r="67" spans="1:25" ht="27.75" customHeight="1">
      <c r="A67" s="87" t="str">
        <f>IF(ISBLANK(C67)," ",62-COUNTBLANK($C$6:C67))</f>
        <v xml:space="preserve"> </v>
      </c>
      <c r="B67" s="88"/>
      <c r="C67" s="88"/>
      <c r="D67" s="89"/>
      <c r="E67" s="89"/>
      <c r="F67" s="73"/>
      <c r="G67" s="73"/>
      <c r="H67" s="73"/>
      <c r="I67" s="73"/>
      <c r="J67" s="73"/>
      <c r="K67" s="73"/>
      <c r="L67" s="73"/>
      <c r="M67" s="74"/>
      <c r="N67" s="71" t="str">
        <f t="shared" si="0"/>
        <v/>
      </c>
      <c r="O67" s="72"/>
      <c r="P67" s="72"/>
      <c r="Q67" s="72"/>
      <c r="R67" s="72"/>
      <c r="S67" s="72"/>
      <c r="T67" s="72"/>
      <c r="U67" s="72"/>
      <c r="V67" s="79"/>
      <c r="W67" s="72"/>
      <c r="X67" s="72"/>
      <c r="Y67" s="72"/>
    </row>
    <row r="68" spans="1:25" ht="27.75" customHeight="1">
      <c r="A68" s="80" t="s">
        <v>52</v>
      </c>
      <c r="B68" s="81"/>
      <c r="C68" s="96"/>
      <c r="D68" s="82"/>
      <c r="E68" s="82">
        <f>SUM(E48:E67)</f>
        <v>0</v>
      </c>
      <c r="F68" s="83"/>
      <c r="G68" s="83"/>
      <c r="H68" s="83"/>
      <c r="I68" s="83"/>
      <c r="J68" s="83"/>
      <c r="K68" s="83"/>
      <c r="L68" s="83"/>
      <c r="M68" s="84"/>
      <c r="N68" s="71" t="str">
        <f t="shared" si="0"/>
        <v/>
      </c>
      <c r="O68" s="75"/>
      <c r="P68" s="72"/>
      <c r="Q68" s="72"/>
      <c r="R68" s="72"/>
      <c r="S68" s="72"/>
      <c r="T68" s="72"/>
      <c r="U68" s="72"/>
      <c r="V68" s="79"/>
      <c r="W68" s="72"/>
      <c r="X68" s="72"/>
      <c r="Y68" s="72"/>
    </row>
    <row r="69" spans="1:25" ht="27.75" customHeight="1">
      <c r="A69" s="93" t="str">
        <f>IF(ISBLANK(C69)," ",64-COUNTBLANK($C$6:C69))</f>
        <v xml:space="preserve"> </v>
      </c>
      <c r="B69" s="94"/>
      <c r="C69" s="94"/>
      <c r="D69" s="95"/>
      <c r="E69" s="95"/>
      <c r="F69" s="85"/>
      <c r="G69" s="85"/>
      <c r="H69" s="85"/>
      <c r="I69" s="85"/>
      <c r="J69" s="85"/>
      <c r="K69" s="85"/>
      <c r="L69" s="85"/>
      <c r="M69" s="86"/>
      <c r="N69" s="71" t="str">
        <f t="shared" si="0"/>
        <v/>
      </c>
      <c r="O69" s="72"/>
      <c r="P69" s="72"/>
      <c r="Q69" s="72"/>
      <c r="R69" s="72"/>
      <c r="S69" s="72"/>
      <c r="T69" s="72"/>
      <c r="U69" s="72"/>
      <c r="V69" s="72"/>
    </row>
    <row r="70" spans="1:25" ht="27.75" customHeight="1">
      <c r="A70" s="87" t="str">
        <f>IF(ISBLANK(C70)," ",65-COUNTBLANK($C$6:C70))</f>
        <v xml:space="preserve"> </v>
      </c>
      <c r="B70" s="88"/>
      <c r="C70" s="88"/>
      <c r="D70" s="89"/>
      <c r="E70" s="89"/>
      <c r="F70" s="73"/>
      <c r="G70" s="73"/>
      <c r="H70" s="73"/>
      <c r="I70" s="73"/>
      <c r="J70" s="73"/>
      <c r="K70" s="73"/>
      <c r="L70" s="73"/>
      <c r="M70" s="74"/>
      <c r="N70" s="71" t="str">
        <f t="shared" ref="N70:N133" si="1">CONCATENATE(C70,H70)</f>
        <v/>
      </c>
      <c r="O70" s="72"/>
      <c r="P70" s="72"/>
      <c r="Q70" s="72"/>
      <c r="R70" s="72"/>
      <c r="S70" s="72"/>
      <c r="T70" s="72"/>
      <c r="U70" s="72"/>
      <c r="V70" s="72"/>
    </row>
    <row r="71" spans="1:25" ht="27.75" customHeight="1">
      <c r="A71" s="87" t="str">
        <f>IF(ISBLANK(C71)," ",66-COUNTBLANK($C$6:C71))</f>
        <v xml:space="preserve"> </v>
      </c>
      <c r="B71" s="88"/>
      <c r="C71" s="88"/>
      <c r="D71" s="89"/>
      <c r="E71" s="89"/>
      <c r="F71" s="73"/>
      <c r="G71" s="73"/>
      <c r="H71" s="73"/>
      <c r="I71" s="73"/>
      <c r="J71" s="73"/>
      <c r="K71" s="73"/>
      <c r="L71" s="73"/>
      <c r="M71" s="74"/>
      <c r="N71" s="71" t="str">
        <f t="shared" si="1"/>
        <v/>
      </c>
      <c r="O71" s="72"/>
      <c r="P71" s="72"/>
      <c r="Q71" s="72"/>
      <c r="R71" s="72"/>
      <c r="S71" s="72"/>
      <c r="T71" s="72"/>
      <c r="U71" s="72"/>
      <c r="V71" s="72"/>
    </row>
    <row r="72" spans="1:25" ht="27.75" customHeight="1">
      <c r="A72" s="87" t="str">
        <f>IF(ISBLANK(C72)," ",67-COUNTBLANK($C$6:C72))</f>
        <v xml:space="preserve"> </v>
      </c>
      <c r="B72" s="88"/>
      <c r="C72" s="88"/>
      <c r="D72" s="89"/>
      <c r="E72" s="89"/>
      <c r="F72" s="73"/>
      <c r="G72" s="73"/>
      <c r="H72" s="73"/>
      <c r="I72" s="73"/>
      <c r="J72" s="73"/>
      <c r="K72" s="73"/>
      <c r="L72" s="73"/>
      <c r="M72" s="74"/>
      <c r="N72" s="71" t="str">
        <f t="shared" si="1"/>
        <v/>
      </c>
      <c r="O72" s="72"/>
      <c r="P72" s="72"/>
      <c r="Q72" s="72"/>
      <c r="R72" s="72"/>
      <c r="S72" s="72"/>
      <c r="T72" s="72"/>
      <c r="U72" s="72"/>
      <c r="V72" s="72"/>
    </row>
    <row r="73" spans="1:25" ht="27.75" customHeight="1">
      <c r="A73" s="87" t="str">
        <f>IF(ISBLANK(C73)," ",68-COUNTBLANK($C$6:C73))</f>
        <v xml:space="preserve"> </v>
      </c>
      <c r="B73" s="88"/>
      <c r="C73" s="88"/>
      <c r="D73" s="89"/>
      <c r="E73" s="89"/>
      <c r="F73" s="73"/>
      <c r="G73" s="73"/>
      <c r="H73" s="73"/>
      <c r="I73" s="73"/>
      <c r="J73" s="73"/>
      <c r="K73" s="73"/>
      <c r="L73" s="73"/>
      <c r="M73" s="74"/>
      <c r="N73" s="71" t="str">
        <f t="shared" si="1"/>
        <v/>
      </c>
      <c r="O73" s="72"/>
      <c r="P73" s="72"/>
      <c r="Q73" s="72"/>
      <c r="R73" s="72"/>
      <c r="S73" s="72"/>
      <c r="T73" s="72"/>
      <c r="U73" s="72"/>
      <c r="V73" s="72"/>
    </row>
    <row r="74" spans="1:25" ht="27.75" customHeight="1">
      <c r="A74" s="87" t="str">
        <f>IF(ISBLANK(C74)," ",69-COUNTBLANK($C$6:C74))</f>
        <v xml:space="preserve"> </v>
      </c>
      <c r="B74" s="88"/>
      <c r="C74" s="88"/>
      <c r="D74" s="89"/>
      <c r="E74" s="89"/>
      <c r="F74" s="73"/>
      <c r="G74" s="73"/>
      <c r="H74" s="73"/>
      <c r="I74" s="73"/>
      <c r="J74" s="73"/>
      <c r="K74" s="73"/>
      <c r="L74" s="73"/>
      <c r="M74" s="74"/>
      <c r="N74" s="71" t="str">
        <f t="shared" si="1"/>
        <v/>
      </c>
      <c r="O74" s="72"/>
      <c r="P74" s="72"/>
      <c r="Q74" s="72"/>
      <c r="R74" s="72"/>
      <c r="S74" s="72"/>
      <c r="T74" s="72"/>
      <c r="U74" s="72"/>
      <c r="V74" s="72"/>
    </row>
    <row r="75" spans="1:25" ht="27.75" customHeight="1">
      <c r="A75" s="87" t="str">
        <f>IF(ISBLANK(C75)," ",70-COUNTBLANK($C$6:C75))</f>
        <v xml:space="preserve"> </v>
      </c>
      <c r="B75" s="88"/>
      <c r="C75" s="88"/>
      <c r="D75" s="89"/>
      <c r="E75" s="89"/>
      <c r="F75" s="73"/>
      <c r="G75" s="73"/>
      <c r="H75" s="73"/>
      <c r="I75" s="73"/>
      <c r="J75" s="73"/>
      <c r="K75" s="73"/>
      <c r="L75" s="73"/>
      <c r="M75" s="74"/>
      <c r="N75" s="71" t="str">
        <f t="shared" si="1"/>
        <v/>
      </c>
      <c r="O75" s="72"/>
      <c r="P75" s="72"/>
      <c r="Q75" s="72"/>
      <c r="R75" s="72"/>
      <c r="S75" s="72"/>
      <c r="T75" s="72"/>
      <c r="U75" s="72"/>
      <c r="V75" s="72"/>
    </row>
    <row r="76" spans="1:25" ht="27.75" customHeight="1">
      <c r="A76" s="87" t="str">
        <f>IF(ISBLANK(C76)," ",71-COUNTBLANK($C$6:C76))</f>
        <v xml:space="preserve"> </v>
      </c>
      <c r="B76" s="88"/>
      <c r="C76" s="88"/>
      <c r="D76" s="89"/>
      <c r="E76" s="89"/>
      <c r="F76" s="73"/>
      <c r="G76" s="73"/>
      <c r="H76" s="73"/>
      <c r="I76" s="73"/>
      <c r="J76" s="73"/>
      <c r="K76" s="73"/>
      <c r="L76" s="73"/>
      <c r="M76" s="74"/>
      <c r="N76" s="71" t="str">
        <f t="shared" si="1"/>
        <v/>
      </c>
      <c r="O76" s="72"/>
      <c r="P76" s="72"/>
      <c r="Q76" s="72"/>
      <c r="R76" s="72"/>
      <c r="S76" s="72"/>
      <c r="T76" s="72"/>
      <c r="U76" s="72"/>
      <c r="V76" s="72"/>
    </row>
    <row r="77" spans="1:25" ht="27.75" customHeight="1">
      <c r="A77" s="87" t="str">
        <f>IF(ISBLANK(C77)," ",72-COUNTBLANK($C$6:C77))</f>
        <v xml:space="preserve"> </v>
      </c>
      <c r="B77" s="88"/>
      <c r="C77" s="88"/>
      <c r="D77" s="89"/>
      <c r="E77" s="89"/>
      <c r="F77" s="73"/>
      <c r="G77" s="73"/>
      <c r="H77" s="73"/>
      <c r="I77" s="73"/>
      <c r="J77" s="73"/>
      <c r="K77" s="73"/>
      <c r="L77" s="73"/>
      <c r="M77" s="74"/>
      <c r="N77" s="71" t="str">
        <f t="shared" si="1"/>
        <v/>
      </c>
      <c r="O77" s="72"/>
      <c r="P77" s="72"/>
      <c r="Q77" s="72"/>
      <c r="R77" s="72"/>
      <c r="S77" s="72"/>
      <c r="T77" s="72"/>
      <c r="U77" s="72"/>
      <c r="V77" s="72"/>
    </row>
    <row r="78" spans="1:25" ht="27.75" customHeight="1">
      <c r="A78" s="87" t="str">
        <f>IF(ISBLANK(C78)," ",73-COUNTBLANK($C$6:C78))</f>
        <v xml:space="preserve"> </v>
      </c>
      <c r="B78" s="88"/>
      <c r="C78" s="88"/>
      <c r="D78" s="89"/>
      <c r="E78" s="89"/>
      <c r="F78" s="73"/>
      <c r="G78" s="73"/>
      <c r="H78" s="73"/>
      <c r="I78" s="73"/>
      <c r="J78" s="73"/>
      <c r="K78" s="73"/>
      <c r="L78" s="73"/>
      <c r="M78" s="74"/>
      <c r="N78" s="71" t="str">
        <f t="shared" si="1"/>
        <v/>
      </c>
      <c r="O78" s="72"/>
      <c r="P78" s="72"/>
      <c r="Q78" s="72"/>
      <c r="R78" s="72"/>
      <c r="S78" s="72"/>
      <c r="T78" s="72"/>
      <c r="U78" s="72"/>
      <c r="V78" s="72"/>
    </row>
    <row r="79" spans="1:25" ht="27.75" customHeight="1">
      <c r="A79" s="87" t="str">
        <f>IF(ISBLANK(C79)," ",74-COUNTBLANK($C$6:C79))</f>
        <v xml:space="preserve"> </v>
      </c>
      <c r="B79" s="88"/>
      <c r="C79" s="88"/>
      <c r="D79" s="89"/>
      <c r="E79" s="89"/>
      <c r="F79" s="73"/>
      <c r="G79" s="73"/>
      <c r="H79" s="73"/>
      <c r="I79" s="73"/>
      <c r="J79" s="73"/>
      <c r="K79" s="73"/>
      <c r="L79" s="73"/>
      <c r="M79" s="74"/>
      <c r="N79" s="71" t="str">
        <f t="shared" si="1"/>
        <v/>
      </c>
      <c r="O79" s="72"/>
      <c r="P79" s="72"/>
      <c r="Q79" s="72"/>
      <c r="R79" s="72"/>
      <c r="S79" s="72"/>
      <c r="T79" s="72"/>
      <c r="U79" s="72"/>
      <c r="V79" s="72"/>
    </row>
    <row r="80" spans="1:25" ht="27.75" customHeight="1">
      <c r="A80" s="87" t="str">
        <f>IF(ISBLANK(C80)," ",75-COUNTBLANK($C$6:C80))</f>
        <v xml:space="preserve"> </v>
      </c>
      <c r="B80" s="88"/>
      <c r="C80" s="88"/>
      <c r="D80" s="89"/>
      <c r="E80" s="89"/>
      <c r="F80" s="73"/>
      <c r="G80" s="73"/>
      <c r="H80" s="73"/>
      <c r="I80" s="73"/>
      <c r="J80" s="73"/>
      <c r="K80" s="73"/>
      <c r="L80" s="73"/>
      <c r="M80" s="74"/>
      <c r="N80" s="71" t="str">
        <f t="shared" si="1"/>
        <v/>
      </c>
      <c r="O80" s="72"/>
      <c r="P80" s="72"/>
      <c r="Q80" s="72"/>
      <c r="R80" s="72"/>
      <c r="S80" s="72"/>
      <c r="T80" s="72"/>
      <c r="U80" s="72"/>
      <c r="V80" s="72"/>
    </row>
    <row r="81" spans="1:25" ht="27.75" customHeight="1">
      <c r="A81" s="87" t="str">
        <f>IF(ISBLANK(C81)," ",76-COUNTBLANK($C$6:C81))</f>
        <v xml:space="preserve"> </v>
      </c>
      <c r="B81" s="88"/>
      <c r="C81" s="88"/>
      <c r="D81" s="89"/>
      <c r="E81" s="89"/>
      <c r="F81" s="73"/>
      <c r="G81" s="73"/>
      <c r="H81" s="73"/>
      <c r="I81" s="73"/>
      <c r="J81" s="73"/>
      <c r="K81" s="73"/>
      <c r="L81" s="73"/>
      <c r="M81" s="74"/>
      <c r="N81" s="71" t="str">
        <f t="shared" si="1"/>
        <v/>
      </c>
      <c r="O81" s="72"/>
      <c r="P81" s="72"/>
      <c r="Q81" s="72"/>
      <c r="R81" s="72"/>
      <c r="S81" s="72"/>
      <c r="T81" s="72"/>
      <c r="U81" s="72"/>
      <c r="V81" s="72"/>
    </row>
    <row r="82" spans="1:25" ht="27.75" customHeight="1">
      <c r="A82" s="87" t="str">
        <f>IF(ISBLANK(C82)," ",77-COUNTBLANK($C$6:C82))</f>
        <v xml:space="preserve"> </v>
      </c>
      <c r="B82" s="88"/>
      <c r="C82" s="88"/>
      <c r="D82" s="89"/>
      <c r="E82" s="89"/>
      <c r="F82" s="73"/>
      <c r="G82" s="73"/>
      <c r="H82" s="73"/>
      <c r="I82" s="73"/>
      <c r="J82" s="73"/>
      <c r="K82" s="73"/>
      <c r="L82" s="73"/>
      <c r="M82" s="74"/>
      <c r="N82" s="71" t="str">
        <f t="shared" si="1"/>
        <v/>
      </c>
      <c r="O82" s="72"/>
      <c r="P82" s="72"/>
      <c r="Q82" s="72"/>
      <c r="R82" s="72"/>
      <c r="S82" s="72"/>
      <c r="T82" s="72"/>
      <c r="U82" s="72"/>
      <c r="V82" s="72"/>
    </row>
    <row r="83" spans="1:25" ht="27.75" customHeight="1">
      <c r="A83" s="87" t="str">
        <f>IF(ISBLANK(C83)," ",78-COUNTBLANK($C$6:C83))</f>
        <v xml:space="preserve"> </v>
      </c>
      <c r="B83" s="88"/>
      <c r="C83" s="88"/>
      <c r="D83" s="89"/>
      <c r="E83" s="89"/>
      <c r="F83" s="73"/>
      <c r="G83" s="73"/>
      <c r="H83" s="73"/>
      <c r="I83" s="73"/>
      <c r="J83" s="73"/>
      <c r="K83" s="73"/>
      <c r="L83" s="73"/>
      <c r="M83" s="74"/>
      <c r="N83" s="71" t="str">
        <f t="shared" si="1"/>
        <v/>
      </c>
      <c r="O83" s="72"/>
      <c r="P83" s="72"/>
      <c r="Q83" s="72"/>
      <c r="R83" s="72"/>
      <c r="S83" s="72"/>
      <c r="T83" s="72"/>
      <c r="U83" s="72"/>
      <c r="V83" s="72"/>
    </row>
    <row r="84" spans="1:25" ht="27.75" customHeight="1">
      <c r="A84" s="87" t="str">
        <f>IF(ISBLANK(C84)," ",79-COUNTBLANK($C$6:C84))</f>
        <v xml:space="preserve"> </v>
      </c>
      <c r="B84" s="88"/>
      <c r="C84" s="88"/>
      <c r="D84" s="89"/>
      <c r="E84" s="89"/>
      <c r="F84" s="73"/>
      <c r="G84" s="73"/>
      <c r="H84" s="73"/>
      <c r="I84" s="73"/>
      <c r="J84" s="73"/>
      <c r="K84" s="73"/>
      <c r="L84" s="73"/>
      <c r="M84" s="74"/>
      <c r="N84" s="71" t="str">
        <f t="shared" si="1"/>
        <v/>
      </c>
      <c r="O84" s="75"/>
      <c r="P84" s="72"/>
      <c r="Q84" s="72"/>
      <c r="R84" s="72"/>
      <c r="S84" s="72"/>
      <c r="T84" s="72"/>
      <c r="U84" s="72"/>
      <c r="V84" s="76"/>
    </row>
    <row r="85" spans="1:25" ht="27.75" customHeight="1">
      <c r="A85" s="87" t="str">
        <f>IF(ISBLANK(C85)," ",80-COUNTBLANK($C$6:C85))</f>
        <v xml:space="preserve"> </v>
      </c>
      <c r="B85" s="88"/>
      <c r="C85" s="88"/>
      <c r="D85" s="89"/>
      <c r="E85" s="89"/>
      <c r="F85" s="73"/>
      <c r="G85" s="73"/>
      <c r="H85" s="73"/>
      <c r="I85" s="73"/>
      <c r="J85" s="73"/>
      <c r="K85" s="73"/>
      <c r="L85" s="73"/>
      <c r="M85" s="74"/>
      <c r="N85" s="71" t="str">
        <f t="shared" si="1"/>
        <v/>
      </c>
      <c r="O85" s="75"/>
      <c r="P85" s="72"/>
      <c r="Q85" s="72"/>
      <c r="R85" s="72"/>
      <c r="S85" s="72"/>
      <c r="T85" s="72"/>
      <c r="U85" s="72"/>
      <c r="V85" s="76"/>
    </row>
    <row r="86" spans="1:25" ht="27.75" customHeight="1">
      <c r="A86" s="87" t="str">
        <f>IF(ISBLANK(C86)," ",81-COUNTBLANK($C$6:C86))</f>
        <v xml:space="preserve"> </v>
      </c>
      <c r="B86" s="88"/>
      <c r="C86" s="88"/>
      <c r="D86" s="89"/>
      <c r="E86" s="89"/>
      <c r="F86" s="73"/>
      <c r="G86" s="73"/>
      <c r="H86" s="73"/>
      <c r="I86" s="73"/>
      <c r="J86" s="73"/>
      <c r="K86" s="73"/>
      <c r="L86" s="73"/>
      <c r="M86" s="74"/>
      <c r="N86" s="71" t="str">
        <f t="shared" si="1"/>
        <v/>
      </c>
      <c r="O86" s="75"/>
      <c r="P86" s="72"/>
      <c r="Q86" s="72"/>
      <c r="R86" s="72"/>
      <c r="S86" s="72"/>
      <c r="T86" s="72"/>
      <c r="U86" s="72"/>
      <c r="V86" s="76"/>
    </row>
    <row r="87" spans="1:25" ht="27.75" customHeight="1">
      <c r="A87" s="87" t="str">
        <f>IF(ISBLANK(C87)," ",82-COUNTBLANK($C$6:C87))</f>
        <v xml:space="preserve"> </v>
      </c>
      <c r="B87" s="88"/>
      <c r="C87" s="88"/>
      <c r="D87" s="89"/>
      <c r="E87" s="89"/>
      <c r="F87" s="73"/>
      <c r="G87" s="73"/>
      <c r="H87" s="73"/>
      <c r="I87" s="73"/>
      <c r="J87" s="73"/>
      <c r="K87" s="73"/>
      <c r="L87" s="73"/>
      <c r="M87" s="74"/>
      <c r="N87" s="71" t="str">
        <f t="shared" si="1"/>
        <v/>
      </c>
      <c r="O87" s="75"/>
      <c r="P87" s="72"/>
      <c r="Q87" s="72"/>
      <c r="R87" s="72"/>
      <c r="S87" s="72"/>
      <c r="T87" s="72"/>
      <c r="U87" s="72"/>
      <c r="V87" s="76"/>
    </row>
    <row r="88" spans="1:25" ht="27.75" customHeight="1">
      <c r="A88" s="87" t="str">
        <f>IF(ISBLANK(C88)," ",83-COUNTBLANK($C$6:C88))</f>
        <v xml:space="preserve"> </v>
      </c>
      <c r="B88" s="88"/>
      <c r="C88" s="88"/>
      <c r="D88" s="89"/>
      <c r="E88" s="89"/>
      <c r="F88" s="73"/>
      <c r="G88" s="73"/>
      <c r="H88" s="73"/>
      <c r="I88" s="73"/>
      <c r="J88" s="73"/>
      <c r="K88" s="73"/>
      <c r="L88" s="73"/>
      <c r="M88" s="74"/>
      <c r="N88" s="71" t="str">
        <f t="shared" si="1"/>
        <v/>
      </c>
      <c r="O88" s="72"/>
      <c r="P88" s="72"/>
      <c r="Q88" s="72"/>
      <c r="R88" s="72"/>
      <c r="S88" s="72"/>
      <c r="T88" s="72"/>
      <c r="U88" s="72"/>
      <c r="V88" s="79"/>
      <c r="W88" s="72"/>
      <c r="X88" s="72"/>
      <c r="Y88" s="72"/>
    </row>
    <row r="89" spans="1:25" ht="27.75" customHeight="1">
      <c r="A89" s="80" t="s">
        <v>52</v>
      </c>
      <c r="B89" s="81"/>
      <c r="C89" s="96"/>
      <c r="D89" s="82"/>
      <c r="E89" s="82">
        <f>SUM(E69:E88)</f>
        <v>0</v>
      </c>
      <c r="F89" s="83"/>
      <c r="G89" s="83"/>
      <c r="H89" s="83"/>
      <c r="I89" s="83"/>
      <c r="J89" s="83"/>
      <c r="K89" s="83"/>
      <c r="L89" s="83"/>
      <c r="M89" s="84"/>
      <c r="N89" s="71" t="str">
        <f t="shared" si="1"/>
        <v/>
      </c>
      <c r="O89" s="75"/>
      <c r="P89" s="72"/>
      <c r="Q89" s="72"/>
      <c r="R89" s="72"/>
      <c r="S89" s="72"/>
      <c r="T89" s="72"/>
      <c r="U89" s="72"/>
      <c r="V89" s="79"/>
      <c r="W89" s="72"/>
      <c r="X89" s="72"/>
      <c r="Y89" s="72"/>
    </row>
    <row r="90" spans="1:25" ht="27.75" customHeight="1">
      <c r="A90" s="93" t="str">
        <f>IF(ISBLANK(C90)," ",85-COUNTBLANK($C$6:C90))</f>
        <v xml:space="preserve"> </v>
      </c>
      <c r="B90" s="94"/>
      <c r="C90" s="94"/>
      <c r="D90" s="95"/>
      <c r="E90" s="95"/>
      <c r="F90" s="85"/>
      <c r="G90" s="85"/>
      <c r="H90" s="85"/>
      <c r="I90" s="85"/>
      <c r="J90" s="85"/>
      <c r="K90" s="85"/>
      <c r="L90" s="85"/>
      <c r="M90" s="86"/>
      <c r="N90" s="71" t="str">
        <f t="shared" si="1"/>
        <v/>
      </c>
      <c r="O90" s="72"/>
      <c r="P90" s="72"/>
      <c r="Q90" s="72"/>
      <c r="R90" s="72"/>
      <c r="S90" s="72"/>
      <c r="T90" s="72"/>
      <c r="U90" s="72"/>
      <c r="V90" s="72"/>
    </row>
    <row r="91" spans="1:25" ht="27.75" customHeight="1">
      <c r="A91" s="87" t="str">
        <f>IF(ISBLANK(C91)," ",86-COUNTBLANK($C$6:C91))</f>
        <v xml:space="preserve"> </v>
      </c>
      <c r="B91" s="88"/>
      <c r="C91" s="88"/>
      <c r="D91" s="89"/>
      <c r="E91" s="89"/>
      <c r="F91" s="73"/>
      <c r="G91" s="73"/>
      <c r="H91" s="73"/>
      <c r="I91" s="73"/>
      <c r="J91" s="73"/>
      <c r="K91" s="73"/>
      <c r="L91" s="73"/>
      <c r="M91" s="74"/>
      <c r="N91" s="71" t="str">
        <f t="shared" si="1"/>
        <v/>
      </c>
      <c r="O91" s="72"/>
      <c r="P91" s="72"/>
      <c r="Q91" s="72"/>
      <c r="R91" s="72"/>
      <c r="S91" s="72"/>
      <c r="T91" s="72"/>
      <c r="U91" s="72"/>
      <c r="V91" s="72"/>
    </row>
    <row r="92" spans="1:25" ht="27.75" customHeight="1">
      <c r="A92" s="87" t="str">
        <f>IF(ISBLANK(C92)," ",87-COUNTBLANK($C$6:C92))</f>
        <v xml:space="preserve"> </v>
      </c>
      <c r="B92" s="88"/>
      <c r="C92" s="88"/>
      <c r="D92" s="89"/>
      <c r="E92" s="89"/>
      <c r="F92" s="73"/>
      <c r="G92" s="73"/>
      <c r="H92" s="73"/>
      <c r="I92" s="73"/>
      <c r="J92" s="73"/>
      <c r="K92" s="73"/>
      <c r="L92" s="73"/>
      <c r="M92" s="74"/>
      <c r="N92" s="71" t="str">
        <f t="shared" si="1"/>
        <v/>
      </c>
      <c r="O92" s="72"/>
      <c r="P92" s="72"/>
      <c r="Q92" s="72"/>
      <c r="R92" s="72"/>
      <c r="S92" s="72"/>
      <c r="T92" s="72"/>
      <c r="U92" s="72"/>
      <c r="V92" s="72"/>
    </row>
    <row r="93" spans="1:25" ht="27.75" customHeight="1">
      <c r="A93" s="87" t="str">
        <f>IF(ISBLANK(C93)," ",88-COUNTBLANK($C$6:C93))</f>
        <v xml:space="preserve"> </v>
      </c>
      <c r="B93" s="88"/>
      <c r="C93" s="88"/>
      <c r="D93" s="89"/>
      <c r="E93" s="89"/>
      <c r="F93" s="73"/>
      <c r="G93" s="73"/>
      <c r="H93" s="73"/>
      <c r="I93" s="73"/>
      <c r="J93" s="73"/>
      <c r="K93" s="73"/>
      <c r="L93" s="73"/>
      <c r="M93" s="74"/>
      <c r="N93" s="71" t="str">
        <f t="shared" si="1"/>
        <v/>
      </c>
      <c r="O93" s="72"/>
      <c r="P93" s="72"/>
      <c r="Q93" s="72"/>
      <c r="R93" s="72"/>
      <c r="S93" s="72"/>
      <c r="T93" s="72"/>
      <c r="U93" s="72"/>
      <c r="V93" s="72"/>
    </row>
    <row r="94" spans="1:25" ht="27.75" customHeight="1">
      <c r="A94" s="87" t="str">
        <f>IF(ISBLANK(C94)," ",89-COUNTBLANK($C$6:C94))</f>
        <v xml:space="preserve"> </v>
      </c>
      <c r="B94" s="88"/>
      <c r="C94" s="88"/>
      <c r="D94" s="89"/>
      <c r="E94" s="89"/>
      <c r="F94" s="73"/>
      <c r="G94" s="73"/>
      <c r="H94" s="73"/>
      <c r="I94" s="73"/>
      <c r="J94" s="73"/>
      <c r="K94" s="73"/>
      <c r="L94" s="73"/>
      <c r="M94" s="74"/>
      <c r="N94" s="71" t="str">
        <f t="shared" si="1"/>
        <v/>
      </c>
      <c r="O94" s="72"/>
      <c r="P94" s="72"/>
      <c r="Q94" s="72"/>
      <c r="R94" s="72"/>
      <c r="S94" s="72"/>
      <c r="T94" s="72"/>
      <c r="U94" s="72"/>
      <c r="V94" s="72"/>
    </row>
    <row r="95" spans="1:25" ht="27.75" customHeight="1">
      <c r="A95" s="87" t="str">
        <f>IF(ISBLANK(C95)," ",90-COUNTBLANK($C$6:C95))</f>
        <v xml:space="preserve"> </v>
      </c>
      <c r="B95" s="88"/>
      <c r="C95" s="88"/>
      <c r="D95" s="89"/>
      <c r="E95" s="89"/>
      <c r="F95" s="73"/>
      <c r="G95" s="73"/>
      <c r="H95" s="73"/>
      <c r="I95" s="73"/>
      <c r="J95" s="73"/>
      <c r="K95" s="73"/>
      <c r="L95" s="73"/>
      <c r="M95" s="74"/>
      <c r="N95" s="71" t="str">
        <f t="shared" si="1"/>
        <v/>
      </c>
      <c r="O95" s="72"/>
      <c r="P95" s="72"/>
      <c r="Q95" s="72"/>
      <c r="R95" s="72"/>
      <c r="S95" s="72"/>
      <c r="T95" s="72"/>
      <c r="U95" s="72"/>
      <c r="V95" s="72"/>
    </row>
    <row r="96" spans="1:25" ht="27.75" customHeight="1">
      <c r="A96" s="87" t="str">
        <f>IF(ISBLANK(C96)," ",91-COUNTBLANK($C$6:C96))</f>
        <v xml:space="preserve"> </v>
      </c>
      <c r="B96" s="88"/>
      <c r="C96" s="88"/>
      <c r="D96" s="89"/>
      <c r="E96" s="89"/>
      <c r="F96" s="73"/>
      <c r="G96" s="73"/>
      <c r="H96" s="73"/>
      <c r="I96" s="73"/>
      <c r="J96" s="73"/>
      <c r="K96" s="73"/>
      <c r="L96" s="73"/>
      <c r="M96" s="74"/>
      <c r="N96" s="71" t="str">
        <f t="shared" si="1"/>
        <v/>
      </c>
      <c r="O96" s="72"/>
      <c r="P96" s="72"/>
      <c r="Q96" s="72"/>
      <c r="R96" s="72"/>
      <c r="S96" s="72"/>
      <c r="T96" s="72"/>
      <c r="U96" s="72"/>
      <c r="V96" s="72"/>
    </row>
    <row r="97" spans="1:25" ht="27.75" customHeight="1">
      <c r="A97" s="87" t="str">
        <f>IF(ISBLANK(C97)," ",92-COUNTBLANK($C$6:C97))</f>
        <v xml:space="preserve"> </v>
      </c>
      <c r="B97" s="88"/>
      <c r="C97" s="88"/>
      <c r="D97" s="89"/>
      <c r="E97" s="89"/>
      <c r="F97" s="73"/>
      <c r="G97" s="73"/>
      <c r="H97" s="73"/>
      <c r="I97" s="73"/>
      <c r="J97" s="73"/>
      <c r="K97" s="73"/>
      <c r="L97" s="73"/>
      <c r="M97" s="74"/>
      <c r="N97" s="71" t="str">
        <f t="shared" si="1"/>
        <v/>
      </c>
      <c r="O97" s="72"/>
      <c r="P97" s="72"/>
      <c r="Q97" s="72"/>
      <c r="R97" s="72"/>
      <c r="S97" s="72"/>
      <c r="T97" s="72"/>
      <c r="U97" s="72"/>
      <c r="V97" s="72"/>
    </row>
    <row r="98" spans="1:25" ht="27.75" customHeight="1">
      <c r="A98" s="87" t="str">
        <f>IF(ISBLANK(C98)," ",93-COUNTBLANK($C$6:C98))</f>
        <v xml:space="preserve"> </v>
      </c>
      <c r="B98" s="88"/>
      <c r="C98" s="88"/>
      <c r="D98" s="89"/>
      <c r="E98" s="89"/>
      <c r="F98" s="73"/>
      <c r="G98" s="73"/>
      <c r="H98" s="73"/>
      <c r="I98" s="73"/>
      <c r="J98" s="73"/>
      <c r="K98" s="73"/>
      <c r="L98" s="73"/>
      <c r="M98" s="74"/>
      <c r="N98" s="71" t="str">
        <f t="shared" si="1"/>
        <v/>
      </c>
      <c r="O98" s="72"/>
      <c r="P98" s="72"/>
      <c r="Q98" s="72"/>
      <c r="R98" s="72"/>
      <c r="S98" s="72"/>
      <c r="T98" s="72"/>
      <c r="U98" s="72"/>
      <c r="V98" s="72"/>
    </row>
    <row r="99" spans="1:25" ht="27.75" customHeight="1">
      <c r="A99" s="87" t="str">
        <f>IF(ISBLANK(C99)," ",94-COUNTBLANK($C$6:C99))</f>
        <v xml:space="preserve"> </v>
      </c>
      <c r="B99" s="88"/>
      <c r="C99" s="88"/>
      <c r="D99" s="89"/>
      <c r="E99" s="89"/>
      <c r="F99" s="73"/>
      <c r="G99" s="73"/>
      <c r="H99" s="73"/>
      <c r="I99" s="73"/>
      <c r="J99" s="73"/>
      <c r="K99" s="73"/>
      <c r="L99" s="73"/>
      <c r="M99" s="74"/>
      <c r="N99" s="71" t="str">
        <f t="shared" si="1"/>
        <v/>
      </c>
      <c r="O99" s="72"/>
      <c r="P99" s="72"/>
      <c r="Q99" s="72"/>
      <c r="R99" s="72"/>
      <c r="S99" s="72"/>
      <c r="T99" s="72"/>
      <c r="U99" s="72"/>
      <c r="V99" s="72"/>
    </row>
    <row r="100" spans="1:25" ht="27.75" customHeight="1">
      <c r="A100" s="87" t="str">
        <f>IF(ISBLANK(C100)," ",95-COUNTBLANK($C$6:C100))</f>
        <v xml:space="preserve"> </v>
      </c>
      <c r="B100" s="88"/>
      <c r="C100" s="88"/>
      <c r="D100" s="89"/>
      <c r="E100" s="89"/>
      <c r="F100" s="73"/>
      <c r="G100" s="73"/>
      <c r="H100" s="73"/>
      <c r="I100" s="73"/>
      <c r="J100" s="73"/>
      <c r="K100" s="73"/>
      <c r="L100" s="73"/>
      <c r="M100" s="74"/>
      <c r="N100" s="71" t="str">
        <f t="shared" si="1"/>
        <v/>
      </c>
      <c r="O100" s="72"/>
      <c r="P100" s="72"/>
      <c r="Q100" s="72"/>
      <c r="R100" s="72"/>
      <c r="S100" s="72"/>
      <c r="T100" s="72"/>
      <c r="U100" s="72"/>
      <c r="V100" s="72"/>
    </row>
    <row r="101" spans="1:25" ht="27.75" customHeight="1">
      <c r="A101" s="87" t="str">
        <f>IF(ISBLANK(C101)," ",96-COUNTBLANK($C$6:C101))</f>
        <v xml:space="preserve"> </v>
      </c>
      <c r="B101" s="88"/>
      <c r="C101" s="88"/>
      <c r="D101" s="89"/>
      <c r="E101" s="89"/>
      <c r="F101" s="73"/>
      <c r="G101" s="73"/>
      <c r="H101" s="73"/>
      <c r="I101" s="73"/>
      <c r="J101" s="73"/>
      <c r="K101" s="73"/>
      <c r="L101" s="73"/>
      <c r="M101" s="74"/>
      <c r="N101" s="71" t="str">
        <f t="shared" si="1"/>
        <v/>
      </c>
      <c r="O101" s="72"/>
      <c r="P101" s="72"/>
      <c r="Q101" s="72"/>
      <c r="R101" s="72"/>
      <c r="S101" s="72"/>
      <c r="T101" s="72"/>
      <c r="U101" s="72"/>
      <c r="V101" s="72"/>
    </row>
    <row r="102" spans="1:25" ht="27.75" customHeight="1">
      <c r="A102" s="87" t="str">
        <f>IF(ISBLANK(C102)," ",97-COUNTBLANK($C$6:C102))</f>
        <v xml:space="preserve"> </v>
      </c>
      <c r="B102" s="88"/>
      <c r="C102" s="88"/>
      <c r="D102" s="89"/>
      <c r="E102" s="89"/>
      <c r="F102" s="73"/>
      <c r="G102" s="73"/>
      <c r="H102" s="73"/>
      <c r="I102" s="73"/>
      <c r="J102" s="73"/>
      <c r="K102" s="73"/>
      <c r="L102" s="73"/>
      <c r="M102" s="74"/>
      <c r="N102" s="71" t="str">
        <f t="shared" si="1"/>
        <v/>
      </c>
      <c r="O102" s="72"/>
      <c r="P102" s="72"/>
      <c r="Q102" s="72"/>
      <c r="R102" s="72"/>
      <c r="S102" s="72"/>
      <c r="T102" s="72"/>
      <c r="U102" s="72"/>
      <c r="V102" s="72"/>
    </row>
    <row r="103" spans="1:25" ht="27.75" customHeight="1">
      <c r="A103" s="87" t="str">
        <f>IF(ISBLANK(C103)," ",98-COUNTBLANK($C$6:C103))</f>
        <v xml:space="preserve"> </v>
      </c>
      <c r="B103" s="88"/>
      <c r="C103" s="88"/>
      <c r="D103" s="89"/>
      <c r="E103" s="89"/>
      <c r="F103" s="73"/>
      <c r="G103" s="73"/>
      <c r="H103" s="73"/>
      <c r="I103" s="73"/>
      <c r="J103" s="73"/>
      <c r="K103" s="73"/>
      <c r="L103" s="73"/>
      <c r="M103" s="74"/>
      <c r="N103" s="71" t="str">
        <f t="shared" si="1"/>
        <v/>
      </c>
      <c r="O103" s="72"/>
      <c r="P103" s="72"/>
      <c r="Q103" s="72"/>
      <c r="R103" s="72"/>
      <c r="S103" s="72"/>
      <c r="T103" s="72"/>
      <c r="U103" s="72"/>
      <c r="V103" s="72"/>
    </row>
    <row r="104" spans="1:25" ht="27.75" customHeight="1">
      <c r="A104" s="87" t="str">
        <f>IF(ISBLANK(C104)," ",99-COUNTBLANK($C$6:C104))</f>
        <v xml:space="preserve"> </v>
      </c>
      <c r="B104" s="88"/>
      <c r="C104" s="88"/>
      <c r="D104" s="89"/>
      <c r="E104" s="89"/>
      <c r="F104" s="73"/>
      <c r="G104" s="73"/>
      <c r="H104" s="73"/>
      <c r="I104" s="73"/>
      <c r="J104" s="73"/>
      <c r="K104" s="73"/>
      <c r="L104" s="73"/>
      <c r="M104" s="74"/>
      <c r="N104" s="71" t="str">
        <f t="shared" si="1"/>
        <v/>
      </c>
      <c r="O104" s="72"/>
      <c r="P104" s="72"/>
      <c r="Q104" s="72"/>
      <c r="R104" s="72"/>
      <c r="S104" s="72"/>
      <c r="T104" s="72"/>
      <c r="U104" s="72"/>
      <c r="V104" s="72"/>
    </row>
    <row r="105" spans="1:25" ht="27.75" customHeight="1">
      <c r="A105" s="87" t="str">
        <f>IF(ISBLANK(C105)," ",100-COUNTBLANK($C$6:C105))</f>
        <v xml:space="preserve"> </v>
      </c>
      <c r="B105" s="88"/>
      <c r="C105" s="88"/>
      <c r="D105" s="89"/>
      <c r="E105" s="89"/>
      <c r="F105" s="73"/>
      <c r="G105" s="73"/>
      <c r="H105" s="73"/>
      <c r="I105" s="73"/>
      <c r="J105" s="73"/>
      <c r="K105" s="73"/>
      <c r="L105" s="73"/>
      <c r="M105" s="74"/>
      <c r="N105" s="71" t="str">
        <f t="shared" si="1"/>
        <v/>
      </c>
      <c r="O105" s="75"/>
      <c r="P105" s="72"/>
      <c r="Q105" s="72"/>
      <c r="R105" s="72"/>
      <c r="S105" s="72"/>
      <c r="T105" s="72"/>
      <c r="U105" s="72"/>
      <c r="V105" s="76"/>
    </row>
    <row r="106" spans="1:25" ht="27.75" customHeight="1">
      <c r="A106" s="87" t="str">
        <f>IF(ISBLANK(C106)," ",101-COUNTBLANK($C$6:C106))</f>
        <v xml:space="preserve"> </v>
      </c>
      <c r="B106" s="88"/>
      <c r="C106" s="88"/>
      <c r="D106" s="89"/>
      <c r="E106" s="89"/>
      <c r="F106" s="73"/>
      <c r="G106" s="73"/>
      <c r="H106" s="73"/>
      <c r="I106" s="73"/>
      <c r="J106" s="73"/>
      <c r="K106" s="73"/>
      <c r="L106" s="73"/>
      <c r="M106" s="74"/>
      <c r="N106" s="71" t="str">
        <f t="shared" si="1"/>
        <v/>
      </c>
      <c r="O106" s="75"/>
      <c r="P106" s="72"/>
      <c r="Q106" s="72"/>
      <c r="R106" s="72"/>
      <c r="S106" s="72"/>
      <c r="T106" s="72"/>
      <c r="U106" s="72"/>
      <c r="V106" s="76"/>
    </row>
    <row r="107" spans="1:25" ht="27.75" customHeight="1">
      <c r="A107" s="87" t="str">
        <f>IF(ISBLANK(C107)," ",102-COUNTBLANK($C$6:C107))</f>
        <v xml:space="preserve"> </v>
      </c>
      <c r="B107" s="88"/>
      <c r="C107" s="88"/>
      <c r="D107" s="89"/>
      <c r="E107" s="89"/>
      <c r="F107" s="73"/>
      <c r="G107" s="73"/>
      <c r="H107" s="73"/>
      <c r="I107" s="73"/>
      <c r="J107" s="73"/>
      <c r="K107" s="73"/>
      <c r="L107" s="73"/>
      <c r="M107" s="74"/>
      <c r="N107" s="71" t="str">
        <f t="shared" si="1"/>
        <v/>
      </c>
      <c r="O107" s="75"/>
      <c r="P107" s="72"/>
      <c r="Q107" s="72"/>
      <c r="R107" s="72"/>
      <c r="S107" s="72"/>
      <c r="T107" s="72"/>
      <c r="U107" s="72"/>
      <c r="V107" s="76"/>
    </row>
    <row r="108" spans="1:25" ht="27.75" customHeight="1">
      <c r="A108" s="87" t="str">
        <f>IF(ISBLANK(C108)," ",103-COUNTBLANK($C$6:C108))</f>
        <v xml:space="preserve"> </v>
      </c>
      <c r="B108" s="88"/>
      <c r="C108" s="88"/>
      <c r="D108" s="89"/>
      <c r="E108" s="89"/>
      <c r="F108" s="73"/>
      <c r="G108" s="73"/>
      <c r="H108" s="73"/>
      <c r="I108" s="73"/>
      <c r="J108" s="73"/>
      <c r="K108" s="73"/>
      <c r="L108" s="73"/>
      <c r="M108" s="74"/>
      <c r="N108" s="71" t="str">
        <f t="shared" si="1"/>
        <v/>
      </c>
      <c r="O108" s="75"/>
      <c r="P108" s="72"/>
      <c r="Q108" s="72"/>
      <c r="R108" s="72"/>
      <c r="S108" s="72"/>
      <c r="T108" s="72"/>
      <c r="U108" s="72"/>
      <c r="V108" s="76"/>
    </row>
    <row r="109" spans="1:25" ht="27.75" customHeight="1">
      <c r="A109" s="87" t="str">
        <f>IF(ISBLANK(C109)," ",104-COUNTBLANK($C$6:C109))</f>
        <v xml:space="preserve"> </v>
      </c>
      <c r="B109" s="88"/>
      <c r="C109" s="88"/>
      <c r="D109" s="89"/>
      <c r="E109" s="89"/>
      <c r="F109" s="73"/>
      <c r="G109" s="73"/>
      <c r="H109" s="73"/>
      <c r="I109" s="73"/>
      <c r="J109" s="73"/>
      <c r="K109" s="73"/>
      <c r="L109" s="73"/>
      <c r="M109" s="74"/>
      <c r="N109" s="71" t="str">
        <f t="shared" si="1"/>
        <v/>
      </c>
      <c r="O109" s="72"/>
      <c r="P109" s="72"/>
      <c r="Q109" s="72"/>
      <c r="R109" s="72"/>
      <c r="S109" s="72"/>
      <c r="T109" s="72"/>
      <c r="U109" s="72"/>
      <c r="V109" s="79"/>
      <c r="W109" s="72"/>
      <c r="X109" s="72"/>
      <c r="Y109" s="72"/>
    </row>
    <row r="110" spans="1:25" ht="27.75" customHeight="1">
      <c r="A110" s="80" t="s">
        <v>52</v>
      </c>
      <c r="B110" s="81"/>
      <c r="C110" s="96"/>
      <c r="D110" s="82"/>
      <c r="E110" s="82">
        <f>SUM(E90:E109)</f>
        <v>0</v>
      </c>
      <c r="F110" s="83"/>
      <c r="G110" s="83"/>
      <c r="H110" s="83"/>
      <c r="I110" s="83"/>
      <c r="J110" s="83"/>
      <c r="K110" s="83"/>
      <c r="L110" s="83"/>
      <c r="M110" s="84"/>
      <c r="N110" s="71" t="str">
        <f t="shared" si="1"/>
        <v/>
      </c>
      <c r="O110" s="75"/>
      <c r="P110" s="72"/>
      <c r="Q110" s="72"/>
      <c r="R110" s="72"/>
      <c r="S110" s="72"/>
      <c r="T110" s="72"/>
      <c r="U110" s="72"/>
      <c r="V110" s="79"/>
      <c r="W110" s="72"/>
      <c r="X110" s="72"/>
      <c r="Y110" s="72"/>
    </row>
    <row r="111" spans="1:25" ht="27.75" customHeight="1">
      <c r="A111" s="93" t="str">
        <f>IF(ISBLANK(C111)," ",106-COUNTBLANK($C$6:C111))</f>
        <v xml:space="preserve"> </v>
      </c>
      <c r="B111" s="94"/>
      <c r="C111" s="94"/>
      <c r="D111" s="95"/>
      <c r="E111" s="95"/>
      <c r="F111" s="85"/>
      <c r="G111" s="85"/>
      <c r="H111" s="85"/>
      <c r="I111" s="85"/>
      <c r="J111" s="85"/>
      <c r="K111" s="85"/>
      <c r="L111" s="85"/>
      <c r="M111" s="86"/>
      <c r="N111" s="71" t="str">
        <f t="shared" si="1"/>
        <v/>
      </c>
      <c r="O111" s="72"/>
      <c r="P111" s="72"/>
      <c r="Q111" s="72"/>
      <c r="R111" s="72"/>
      <c r="S111" s="72"/>
      <c r="T111" s="72"/>
      <c r="U111" s="72"/>
      <c r="V111" s="72"/>
    </row>
    <row r="112" spans="1:25" ht="27.75" customHeight="1">
      <c r="A112" s="87" t="str">
        <f>IF(ISBLANK(C112)," ",107-COUNTBLANK($C$6:C112))</f>
        <v xml:space="preserve"> </v>
      </c>
      <c r="B112" s="88"/>
      <c r="C112" s="88"/>
      <c r="D112" s="89"/>
      <c r="E112" s="89"/>
      <c r="F112" s="73"/>
      <c r="G112" s="73"/>
      <c r="H112" s="73"/>
      <c r="I112" s="73"/>
      <c r="J112" s="73"/>
      <c r="K112" s="73"/>
      <c r="L112" s="73"/>
      <c r="M112" s="74"/>
      <c r="N112" s="71" t="str">
        <f t="shared" si="1"/>
        <v/>
      </c>
      <c r="O112" s="72"/>
      <c r="P112" s="72"/>
      <c r="Q112" s="72"/>
      <c r="R112" s="72"/>
      <c r="S112" s="72"/>
      <c r="T112" s="72"/>
      <c r="U112" s="72"/>
      <c r="V112" s="72"/>
    </row>
    <row r="113" spans="1:22" ht="27.75" customHeight="1">
      <c r="A113" s="87" t="str">
        <f>IF(ISBLANK(C113)," ",108-COUNTBLANK($C$6:C113))</f>
        <v xml:space="preserve"> </v>
      </c>
      <c r="B113" s="88"/>
      <c r="C113" s="88"/>
      <c r="D113" s="89"/>
      <c r="E113" s="89"/>
      <c r="F113" s="73"/>
      <c r="G113" s="73"/>
      <c r="H113" s="73"/>
      <c r="I113" s="73"/>
      <c r="J113" s="73"/>
      <c r="K113" s="73"/>
      <c r="L113" s="73"/>
      <c r="M113" s="74"/>
      <c r="N113" s="71" t="str">
        <f t="shared" si="1"/>
        <v/>
      </c>
      <c r="O113" s="72"/>
      <c r="P113" s="72"/>
      <c r="Q113" s="72"/>
      <c r="R113" s="72"/>
      <c r="S113" s="72"/>
      <c r="T113" s="72"/>
      <c r="U113" s="72"/>
      <c r="V113" s="72"/>
    </row>
    <row r="114" spans="1:22" ht="27.75" customHeight="1">
      <c r="A114" s="87" t="str">
        <f>IF(ISBLANK(C114)," ",109-COUNTBLANK($C$6:C114))</f>
        <v xml:space="preserve"> </v>
      </c>
      <c r="B114" s="88"/>
      <c r="C114" s="88"/>
      <c r="D114" s="89"/>
      <c r="E114" s="89"/>
      <c r="F114" s="73"/>
      <c r="G114" s="73"/>
      <c r="H114" s="73"/>
      <c r="I114" s="73"/>
      <c r="J114" s="73"/>
      <c r="K114" s="73"/>
      <c r="L114" s="73"/>
      <c r="M114" s="74"/>
      <c r="N114" s="71" t="str">
        <f t="shared" si="1"/>
        <v/>
      </c>
      <c r="O114" s="72"/>
      <c r="P114" s="72"/>
      <c r="Q114" s="72"/>
      <c r="R114" s="72"/>
      <c r="S114" s="72"/>
      <c r="T114" s="72"/>
      <c r="U114" s="72"/>
      <c r="V114" s="72"/>
    </row>
    <row r="115" spans="1:22" ht="27.75" customHeight="1">
      <c r="A115" s="87" t="str">
        <f>IF(ISBLANK(C115)," ",110-COUNTBLANK($C$6:C115))</f>
        <v xml:space="preserve"> </v>
      </c>
      <c r="B115" s="88"/>
      <c r="C115" s="88"/>
      <c r="D115" s="89"/>
      <c r="E115" s="89"/>
      <c r="F115" s="73"/>
      <c r="G115" s="73"/>
      <c r="H115" s="73"/>
      <c r="I115" s="73"/>
      <c r="J115" s="73"/>
      <c r="K115" s="73"/>
      <c r="L115" s="73"/>
      <c r="M115" s="74"/>
      <c r="N115" s="71" t="str">
        <f t="shared" si="1"/>
        <v/>
      </c>
      <c r="O115" s="72"/>
      <c r="P115" s="72"/>
      <c r="Q115" s="72"/>
      <c r="R115" s="72"/>
      <c r="S115" s="72"/>
      <c r="T115" s="72"/>
      <c r="U115" s="72"/>
      <c r="V115" s="72"/>
    </row>
    <row r="116" spans="1:22" ht="27.75" customHeight="1">
      <c r="A116" s="87" t="str">
        <f>IF(ISBLANK(C116)," ",111-COUNTBLANK($C$6:C116))</f>
        <v xml:space="preserve"> </v>
      </c>
      <c r="B116" s="88"/>
      <c r="C116" s="88"/>
      <c r="D116" s="89"/>
      <c r="E116" s="89"/>
      <c r="F116" s="73"/>
      <c r="G116" s="73"/>
      <c r="H116" s="73"/>
      <c r="I116" s="73"/>
      <c r="J116" s="73"/>
      <c r="K116" s="73"/>
      <c r="L116" s="73"/>
      <c r="M116" s="74"/>
      <c r="N116" s="71" t="str">
        <f t="shared" si="1"/>
        <v/>
      </c>
      <c r="O116" s="72"/>
      <c r="P116" s="72"/>
      <c r="Q116" s="72"/>
      <c r="R116" s="72"/>
      <c r="S116" s="72"/>
      <c r="T116" s="72"/>
      <c r="U116" s="72"/>
      <c r="V116" s="72"/>
    </row>
    <row r="117" spans="1:22" ht="27.75" customHeight="1">
      <c r="A117" s="87" t="str">
        <f>IF(ISBLANK(C117)," ",112-COUNTBLANK($C$6:C117))</f>
        <v xml:space="preserve"> </v>
      </c>
      <c r="B117" s="88"/>
      <c r="C117" s="88"/>
      <c r="D117" s="89"/>
      <c r="E117" s="89"/>
      <c r="F117" s="73"/>
      <c r="G117" s="73"/>
      <c r="H117" s="73"/>
      <c r="I117" s="73"/>
      <c r="J117" s="73"/>
      <c r="K117" s="73"/>
      <c r="L117" s="73"/>
      <c r="M117" s="74"/>
      <c r="N117" s="71" t="str">
        <f t="shared" si="1"/>
        <v/>
      </c>
      <c r="O117" s="72"/>
      <c r="P117" s="72"/>
      <c r="Q117" s="72"/>
      <c r="R117" s="72"/>
      <c r="S117" s="72"/>
      <c r="T117" s="72"/>
      <c r="U117" s="72"/>
      <c r="V117" s="72"/>
    </row>
    <row r="118" spans="1:22" ht="27.75" customHeight="1">
      <c r="A118" s="87" t="str">
        <f>IF(ISBLANK(C118)," ",113-COUNTBLANK($C$6:C118))</f>
        <v xml:space="preserve"> </v>
      </c>
      <c r="B118" s="88"/>
      <c r="C118" s="88"/>
      <c r="D118" s="89"/>
      <c r="E118" s="89"/>
      <c r="F118" s="73"/>
      <c r="G118" s="73"/>
      <c r="H118" s="73"/>
      <c r="I118" s="73"/>
      <c r="J118" s="73"/>
      <c r="K118" s="73"/>
      <c r="L118" s="73"/>
      <c r="M118" s="74"/>
      <c r="N118" s="71" t="str">
        <f t="shared" si="1"/>
        <v/>
      </c>
      <c r="O118" s="72"/>
      <c r="P118" s="72"/>
      <c r="Q118" s="72"/>
      <c r="R118" s="72"/>
      <c r="S118" s="72"/>
      <c r="T118" s="72"/>
      <c r="U118" s="72"/>
      <c r="V118" s="72"/>
    </row>
    <row r="119" spans="1:22" ht="27.75" customHeight="1">
      <c r="A119" s="87" t="str">
        <f>IF(ISBLANK(C119)," ",114-COUNTBLANK($C$6:C119))</f>
        <v xml:space="preserve"> </v>
      </c>
      <c r="B119" s="88"/>
      <c r="C119" s="88"/>
      <c r="D119" s="89"/>
      <c r="E119" s="89"/>
      <c r="F119" s="73"/>
      <c r="G119" s="73"/>
      <c r="H119" s="73"/>
      <c r="I119" s="73"/>
      <c r="J119" s="73"/>
      <c r="K119" s="73"/>
      <c r="L119" s="73"/>
      <c r="M119" s="74"/>
      <c r="N119" s="71" t="str">
        <f t="shared" si="1"/>
        <v/>
      </c>
      <c r="O119" s="72"/>
      <c r="P119" s="72"/>
      <c r="Q119" s="72"/>
      <c r="R119" s="72"/>
      <c r="S119" s="72"/>
      <c r="T119" s="72"/>
      <c r="U119" s="72"/>
      <c r="V119" s="72"/>
    </row>
    <row r="120" spans="1:22" ht="27.75" customHeight="1">
      <c r="A120" s="87" t="str">
        <f>IF(ISBLANK(C120)," ",115-COUNTBLANK($C$6:C120))</f>
        <v xml:space="preserve"> </v>
      </c>
      <c r="B120" s="88"/>
      <c r="C120" s="88"/>
      <c r="D120" s="89"/>
      <c r="E120" s="89"/>
      <c r="F120" s="73"/>
      <c r="G120" s="73"/>
      <c r="H120" s="73"/>
      <c r="I120" s="73"/>
      <c r="J120" s="73"/>
      <c r="K120" s="73"/>
      <c r="L120" s="73"/>
      <c r="M120" s="74"/>
      <c r="N120" s="71" t="str">
        <f t="shared" si="1"/>
        <v/>
      </c>
      <c r="O120" s="72"/>
      <c r="P120" s="72"/>
      <c r="Q120" s="72"/>
      <c r="R120" s="72"/>
      <c r="S120" s="72"/>
      <c r="T120" s="72"/>
      <c r="U120" s="72"/>
      <c r="V120" s="72"/>
    </row>
    <row r="121" spans="1:22" ht="27.75" customHeight="1">
      <c r="A121" s="87" t="str">
        <f>IF(ISBLANK(C121)," ",116-COUNTBLANK($C$6:C121))</f>
        <v xml:space="preserve"> </v>
      </c>
      <c r="B121" s="88"/>
      <c r="C121" s="88"/>
      <c r="D121" s="89"/>
      <c r="E121" s="89"/>
      <c r="F121" s="73"/>
      <c r="G121" s="73"/>
      <c r="H121" s="73"/>
      <c r="I121" s="73"/>
      <c r="J121" s="73"/>
      <c r="K121" s="73"/>
      <c r="L121" s="73"/>
      <c r="M121" s="74"/>
      <c r="N121" s="71" t="str">
        <f t="shared" si="1"/>
        <v/>
      </c>
      <c r="O121" s="72"/>
      <c r="P121" s="72"/>
      <c r="Q121" s="72"/>
      <c r="R121" s="72"/>
      <c r="S121" s="72"/>
      <c r="T121" s="72"/>
      <c r="U121" s="72"/>
      <c r="V121" s="72"/>
    </row>
    <row r="122" spans="1:22" ht="27.75" customHeight="1">
      <c r="A122" s="87" t="str">
        <f>IF(ISBLANK(C122)," ",117-COUNTBLANK($C$6:C122))</f>
        <v xml:space="preserve"> </v>
      </c>
      <c r="B122" s="88"/>
      <c r="C122" s="88"/>
      <c r="D122" s="89"/>
      <c r="E122" s="89"/>
      <c r="F122" s="73"/>
      <c r="G122" s="73"/>
      <c r="H122" s="73"/>
      <c r="I122" s="73"/>
      <c r="J122" s="73"/>
      <c r="K122" s="73"/>
      <c r="L122" s="73"/>
      <c r="M122" s="74"/>
      <c r="N122" s="71" t="str">
        <f t="shared" si="1"/>
        <v/>
      </c>
      <c r="O122" s="72"/>
      <c r="P122" s="72"/>
      <c r="Q122" s="72"/>
      <c r="R122" s="72"/>
      <c r="S122" s="72"/>
      <c r="T122" s="72"/>
      <c r="U122" s="72"/>
      <c r="V122" s="72"/>
    </row>
    <row r="123" spans="1:22" ht="27.75" customHeight="1">
      <c r="A123" s="87" t="str">
        <f>IF(ISBLANK(C123)," ",118-COUNTBLANK($C$6:C123))</f>
        <v xml:space="preserve"> </v>
      </c>
      <c r="B123" s="88"/>
      <c r="C123" s="88"/>
      <c r="D123" s="89"/>
      <c r="E123" s="89"/>
      <c r="F123" s="73"/>
      <c r="G123" s="73"/>
      <c r="H123" s="73"/>
      <c r="I123" s="73"/>
      <c r="J123" s="73"/>
      <c r="K123" s="73"/>
      <c r="L123" s="73"/>
      <c r="M123" s="74"/>
      <c r="N123" s="71" t="str">
        <f t="shared" si="1"/>
        <v/>
      </c>
      <c r="O123" s="72"/>
      <c r="P123" s="72"/>
      <c r="Q123" s="72"/>
      <c r="R123" s="72"/>
      <c r="S123" s="72"/>
      <c r="T123" s="72"/>
      <c r="U123" s="72"/>
      <c r="V123" s="72"/>
    </row>
    <row r="124" spans="1:22" ht="27.75" customHeight="1">
      <c r="A124" s="87" t="str">
        <f>IF(ISBLANK(C124)," ",119-COUNTBLANK($C$6:C124))</f>
        <v xml:space="preserve"> </v>
      </c>
      <c r="B124" s="88"/>
      <c r="C124" s="88"/>
      <c r="D124" s="89"/>
      <c r="E124" s="89"/>
      <c r="F124" s="73"/>
      <c r="G124" s="73"/>
      <c r="H124" s="73"/>
      <c r="I124" s="73"/>
      <c r="J124" s="73"/>
      <c r="K124" s="73"/>
      <c r="L124" s="73"/>
      <c r="M124" s="74"/>
      <c r="N124" s="71" t="str">
        <f t="shared" si="1"/>
        <v/>
      </c>
      <c r="O124" s="72"/>
      <c r="P124" s="72"/>
      <c r="Q124" s="72"/>
      <c r="R124" s="72"/>
      <c r="S124" s="72"/>
      <c r="T124" s="72"/>
      <c r="U124" s="72"/>
      <c r="V124" s="72"/>
    </row>
    <row r="125" spans="1:22" ht="27.75" customHeight="1">
      <c r="A125" s="87" t="str">
        <f>IF(ISBLANK(C125)," ",120-COUNTBLANK($C$6:C125))</f>
        <v xml:space="preserve"> </v>
      </c>
      <c r="B125" s="88"/>
      <c r="C125" s="88"/>
      <c r="D125" s="89"/>
      <c r="E125" s="89"/>
      <c r="F125" s="73"/>
      <c r="G125" s="73"/>
      <c r="H125" s="73"/>
      <c r="I125" s="73"/>
      <c r="J125" s="73"/>
      <c r="K125" s="73"/>
      <c r="L125" s="73"/>
      <c r="M125" s="74"/>
      <c r="N125" s="71" t="str">
        <f t="shared" si="1"/>
        <v/>
      </c>
      <c r="O125" s="72"/>
      <c r="P125" s="72"/>
      <c r="Q125" s="72"/>
      <c r="R125" s="72"/>
      <c r="S125" s="72"/>
      <c r="T125" s="72"/>
      <c r="U125" s="72"/>
      <c r="V125" s="72"/>
    </row>
    <row r="126" spans="1:22" ht="27.75" customHeight="1">
      <c r="A126" s="87" t="str">
        <f>IF(ISBLANK(C126)," ",121-COUNTBLANK($C$6:C126))</f>
        <v xml:space="preserve"> </v>
      </c>
      <c r="B126" s="88"/>
      <c r="C126" s="88"/>
      <c r="D126" s="89"/>
      <c r="E126" s="89"/>
      <c r="F126" s="73"/>
      <c r="G126" s="73"/>
      <c r="H126" s="73"/>
      <c r="I126" s="73"/>
      <c r="J126" s="73"/>
      <c r="K126" s="73"/>
      <c r="L126" s="73"/>
      <c r="M126" s="74"/>
      <c r="N126" s="71" t="str">
        <f t="shared" si="1"/>
        <v/>
      </c>
      <c r="O126" s="75"/>
      <c r="P126" s="72"/>
      <c r="Q126" s="72"/>
      <c r="R126" s="72"/>
      <c r="S126" s="72"/>
      <c r="T126" s="72"/>
      <c r="U126" s="72"/>
      <c r="V126" s="76"/>
    </row>
    <row r="127" spans="1:22" ht="27.75" customHeight="1">
      <c r="A127" s="87" t="str">
        <f>IF(ISBLANK(C127)," ",122-COUNTBLANK($C$6:C127))</f>
        <v xml:space="preserve"> </v>
      </c>
      <c r="B127" s="88"/>
      <c r="C127" s="88"/>
      <c r="D127" s="89"/>
      <c r="E127" s="89"/>
      <c r="F127" s="73"/>
      <c r="G127" s="73"/>
      <c r="H127" s="73"/>
      <c r="I127" s="73"/>
      <c r="J127" s="73"/>
      <c r="K127" s="73"/>
      <c r="L127" s="73"/>
      <c r="M127" s="74"/>
      <c r="N127" s="71" t="str">
        <f t="shared" si="1"/>
        <v/>
      </c>
      <c r="O127" s="75"/>
      <c r="P127" s="72"/>
      <c r="Q127" s="72"/>
      <c r="R127" s="72"/>
      <c r="S127" s="72"/>
      <c r="T127" s="72"/>
      <c r="U127" s="72"/>
      <c r="V127" s="76"/>
    </row>
    <row r="128" spans="1:22" ht="27.75" customHeight="1">
      <c r="A128" s="87" t="str">
        <f>IF(ISBLANK(C128)," ",123-COUNTBLANK($C$6:C128))</f>
        <v xml:space="preserve"> </v>
      </c>
      <c r="B128" s="88"/>
      <c r="C128" s="88"/>
      <c r="D128" s="89"/>
      <c r="E128" s="89"/>
      <c r="F128" s="73"/>
      <c r="G128" s="73"/>
      <c r="H128" s="73"/>
      <c r="I128" s="73"/>
      <c r="J128" s="73"/>
      <c r="K128" s="73"/>
      <c r="L128" s="73"/>
      <c r="M128" s="74"/>
      <c r="N128" s="71" t="str">
        <f t="shared" si="1"/>
        <v/>
      </c>
      <c r="O128" s="75"/>
      <c r="P128" s="72"/>
      <c r="Q128" s="72"/>
      <c r="R128" s="72"/>
      <c r="S128" s="72"/>
      <c r="T128" s="72"/>
      <c r="U128" s="72"/>
      <c r="V128" s="76"/>
    </row>
    <row r="129" spans="1:25" ht="27.75" customHeight="1">
      <c r="A129" s="87" t="str">
        <f>IF(ISBLANK(C129)," ",124-COUNTBLANK($C$6:C129))</f>
        <v xml:space="preserve"> </v>
      </c>
      <c r="B129" s="88"/>
      <c r="C129" s="88"/>
      <c r="D129" s="89"/>
      <c r="E129" s="89"/>
      <c r="F129" s="73"/>
      <c r="G129" s="73"/>
      <c r="H129" s="73"/>
      <c r="I129" s="73"/>
      <c r="J129" s="73"/>
      <c r="K129" s="73"/>
      <c r="L129" s="73"/>
      <c r="M129" s="74"/>
      <c r="N129" s="71" t="str">
        <f t="shared" si="1"/>
        <v/>
      </c>
      <c r="O129" s="75"/>
      <c r="P129" s="72"/>
      <c r="Q129" s="72"/>
      <c r="R129" s="72"/>
      <c r="S129" s="72"/>
      <c r="T129" s="72"/>
      <c r="U129" s="72"/>
      <c r="V129" s="76"/>
    </row>
    <row r="130" spans="1:25" ht="27.75" customHeight="1">
      <c r="A130" s="87" t="str">
        <f>IF(ISBLANK(C130)," ",125-COUNTBLANK($C$6:C130))</f>
        <v xml:space="preserve"> </v>
      </c>
      <c r="B130" s="88"/>
      <c r="C130" s="88"/>
      <c r="D130" s="89"/>
      <c r="E130" s="89"/>
      <c r="F130" s="73"/>
      <c r="G130" s="73"/>
      <c r="H130" s="73"/>
      <c r="I130" s="73"/>
      <c r="J130" s="73"/>
      <c r="K130" s="73"/>
      <c r="L130" s="73"/>
      <c r="M130" s="74"/>
      <c r="N130" s="71" t="str">
        <f t="shared" si="1"/>
        <v/>
      </c>
      <c r="O130" s="72"/>
      <c r="P130" s="72"/>
      <c r="Q130" s="72"/>
      <c r="R130" s="72"/>
      <c r="S130" s="72"/>
      <c r="T130" s="72"/>
      <c r="U130" s="72"/>
      <c r="V130" s="79"/>
      <c r="W130" s="72"/>
      <c r="X130" s="72"/>
      <c r="Y130" s="72"/>
    </row>
    <row r="131" spans="1:25" ht="27.75" customHeight="1">
      <c r="A131" s="80" t="s">
        <v>52</v>
      </c>
      <c r="B131" s="81"/>
      <c r="C131" s="96"/>
      <c r="D131" s="82"/>
      <c r="E131" s="82">
        <f>SUM(E111:E130)</f>
        <v>0</v>
      </c>
      <c r="F131" s="83"/>
      <c r="G131" s="83"/>
      <c r="H131" s="83"/>
      <c r="I131" s="83"/>
      <c r="J131" s="83"/>
      <c r="K131" s="83"/>
      <c r="L131" s="83"/>
      <c r="M131" s="84"/>
      <c r="N131" s="71" t="str">
        <f t="shared" si="1"/>
        <v/>
      </c>
      <c r="O131" s="75"/>
      <c r="P131" s="72"/>
      <c r="Q131" s="72"/>
      <c r="R131" s="72"/>
      <c r="S131" s="72"/>
      <c r="T131" s="72"/>
      <c r="U131" s="72"/>
      <c r="V131" s="79"/>
      <c r="W131" s="72"/>
      <c r="X131" s="72"/>
      <c r="Y131" s="72"/>
    </row>
    <row r="132" spans="1:25" ht="27.75" customHeight="1">
      <c r="A132" s="93" t="str">
        <f>IF(ISBLANK(C132)," ",127-COUNTBLANK($C$6:C132))</f>
        <v xml:space="preserve"> </v>
      </c>
      <c r="B132" s="94"/>
      <c r="C132" s="94"/>
      <c r="D132" s="95"/>
      <c r="E132" s="95"/>
      <c r="F132" s="85"/>
      <c r="G132" s="85"/>
      <c r="H132" s="85"/>
      <c r="I132" s="85"/>
      <c r="J132" s="85"/>
      <c r="K132" s="85"/>
      <c r="L132" s="85"/>
      <c r="M132" s="86"/>
      <c r="N132" s="71" t="str">
        <f t="shared" si="1"/>
        <v/>
      </c>
      <c r="O132" s="72"/>
      <c r="P132" s="72"/>
      <c r="Q132" s="72"/>
      <c r="R132" s="72"/>
      <c r="S132" s="72"/>
      <c r="T132" s="72"/>
      <c r="U132" s="72"/>
      <c r="V132" s="72"/>
    </row>
    <row r="133" spans="1:25" ht="27.75" customHeight="1">
      <c r="A133" s="87" t="str">
        <f>IF(ISBLANK(C133)," ",128-COUNTBLANK($C$6:C133))</f>
        <v xml:space="preserve"> </v>
      </c>
      <c r="B133" s="88"/>
      <c r="C133" s="88"/>
      <c r="D133" s="89"/>
      <c r="E133" s="89"/>
      <c r="F133" s="73"/>
      <c r="G133" s="73"/>
      <c r="H133" s="73"/>
      <c r="I133" s="73"/>
      <c r="J133" s="73"/>
      <c r="K133" s="73"/>
      <c r="L133" s="73"/>
      <c r="M133" s="74"/>
      <c r="N133" s="71" t="str">
        <f t="shared" si="1"/>
        <v/>
      </c>
      <c r="O133" s="72"/>
      <c r="P133" s="72"/>
      <c r="Q133" s="72"/>
      <c r="R133" s="72"/>
      <c r="S133" s="72"/>
      <c r="T133" s="72"/>
      <c r="U133" s="72"/>
      <c r="V133" s="72"/>
    </row>
    <row r="134" spans="1:25" ht="27.75" customHeight="1">
      <c r="A134" s="87" t="str">
        <f>IF(ISBLANK(C134)," ",129-COUNTBLANK($C$6:C134))</f>
        <v xml:space="preserve"> </v>
      </c>
      <c r="B134" s="88"/>
      <c r="C134" s="88"/>
      <c r="D134" s="89"/>
      <c r="E134" s="89"/>
      <c r="F134" s="73"/>
      <c r="G134" s="73"/>
      <c r="H134" s="73"/>
      <c r="I134" s="73"/>
      <c r="J134" s="73"/>
      <c r="K134" s="73"/>
      <c r="L134" s="73"/>
      <c r="M134" s="74"/>
      <c r="N134" s="71" t="str">
        <f t="shared" ref="N134:N197" si="2">CONCATENATE(C134,H134)</f>
        <v/>
      </c>
      <c r="O134" s="72"/>
      <c r="P134" s="72"/>
      <c r="Q134" s="72"/>
      <c r="R134" s="72"/>
      <c r="S134" s="72"/>
      <c r="T134" s="72"/>
      <c r="U134" s="72"/>
      <c r="V134" s="72"/>
    </row>
    <row r="135" spans="1:25" ht="27.75" customHeight="1">
      <c r="A135" s="87" t="str">
        <f>IF(ISBLANK(C135)," ",130-COUNTBLANK($C$6:C135))</f>
        <v xml:space="preserve"> </v>
      </c>
      <c r="B135" s="88"/>
      <c r="C135" s="88"/>
      <c r="D135" s="89"/>
      <c r="E135" s="89"/>
      <c r="F135" s="73"/>
      <c r="G135" s="73"/>
      <c r="H135" s="73"/>
      <c r="I135" s="73"/>
      <c r="J135" s="73"/>
      <c r="K135" s="73"/>
      <c r="L135" s="73"/>
      <c r="M135" s="74"/>
      <c r="N135" s="71" t="str">
        <f t="shared" si="2"/>
        <v/>
      </c>
      <c r="O135" s="72"/>
      <c r="P135" s="72"/>
      <c r="Q135" s="72"/>
      <c r="R135" s="72"/>
      <c r="S135" s="72"/>
      <c r="T135" s="72"/>
      <c r="U135" s="72"/>
      <c r="V135" s="72"/>
    </row>
    <row r="136" spans="1:25" ht="27.75" customHeight="1">
      <c r="A136" s="87" t="str">
        <f>IF(ISBLANK(C136)," ",131-COUNTBLANK($C$6:C136))</f>
        <v xml:space="preserve"> </v>
      </c>
      <c r="B136" s="88"/>
      <c r="C136" s="88"/>
      <c r="D136" s="89"/>
      <c r="E136" s="89"/>
      <c r="F136" s="73"/>
      <c r="G136" s="73"/>
      <c r="H136" s="73"/>
      <c r="I136" s="73"/>
      <c r="J136" s="73"/>
      <c r="K136" s="73"/>
      <c r="L136" s="73"/>
      <c r="M136" s="74"/>
      <c r="N136" s="71" t="str">
        <f t="shared" si="2"/>
        <v/>
      </c>
      <c r="O136" s="72"/>
      <c r="P136" s="72"/>
      <c r="Q136" s="72"/>
      <c r="R136" s="72"/>
      <c r="S136" s="72"/>
      <c r="T136" s="72"/>
      <c r="U136" s="72"/>
      <c r="V136" s="72"/>
    </row>
    <row r="137" spans="1:25" ht="27.75" customHeight="1">
      <c r="A137" s="87" t="str">
        <f>IF(ISBLANK(C137)," ",132-COUNTBLANK($C$6:C137))</f>
        <v xml:space="preserve"> </v>
      </c>
      <c r="B137" s="88"/>
      <c r="C137" s="88"/>
      <c r="D137" s="89"/>
      <c r="E137" s="89"/>
      <c r="F137" s="73"/>
      <c r="G137" s="73"/>
      <c r="H137" s="73"/>
      <c r="I137" s="73"/>
      <c r="J137" s="73"/>
      <c r="K137" s="73"/>
      <c r="L137" s="73"/>
      <c r="M137" s="74"/>
      <c r="N137" s="71" t="str">
        <f t="shared" si="2"/>
        <v/>
      </c>
      <c r="O137" s="72"/>
      <c r="P137" s="72"/>
      <c r="Q137" s="72"/>
      <c r="R137" s="72"/>
      <c r="S137" s="72"/>
      <c r="T137" s="72"/>
      <c r="U137" s="72"/>
      <c r="V137" s="72"/>
    </row>
    <row r="138" spans="1:25" ht="27.75" customHeight="1">
      <c r="A138" s="87" t="str">
        <f>IF(ISBLANK(C138)," ",133-COUNTBLANK($C$6:C138))</f>
        <v xml:space="preserve"> </v>
      </c>
      <c r="B138" s="88"/>
      <c r="C138" s="88"/>
      <c r="D138" s="89"/>
      <c r="E138" s="89"/>
      <c r="F138" s="73"/>
      <c r="G138" s="73"/>
      <c r="H138" s="73"/>
      <c r="I138" s="73"/>
      <c r="J138" s="73"/>
      <c r="K138" s="73"/>
      <c r="L138" s="73"/>
      <c r="M138" s="74"/>
      <c r="N138" s="71" t="str">
        <f t="shared" si="2"/>
        <v/>
      </c>
      <c r="O138" s="72"/>
      <c r="P138" s="72"/>
      <c r="Q138" s="72"/>
      <c r="R138" s="72"/>
      <c r="S138" s="72"/>
      <c r="T138" s="72"/>
      <c r="U138" s="72"/>
      <c r="V138" s="72"/>
    </row>
    <row r="139" spans="1:25" ht="27.75" customHeight="1">
      <c r="A139" s="87" t="str">
        <f>IF(ISBLANK(C139)," ",134-COUNTBLANK($C$6:C139))</f>
        <v xml:space="preserve"> </v>
      </c>
      <c r="B139" s="88"/>
      <c r="C139" s="88"/>
      <c r="D139" s="89"/>
      <c r="E139" s="89"/>
      <c r="F139" s="73"/>
      <c r="G139" s="73"/>
      <c r="H139" s="73"/>
      <c r="I139" s="73"/>
      <c r="J139" s="73"/>
      <c r="K139" s="73"/>
      <c r="L139" s="73"/>
      <c r="M139" s="74"/>
      <c r="N139" s="71" t="str">
        <f t="shared" si="2"/>
        <v/>
      </c>
      <c r="O139" s="72"/>
      <c r="P139" s="72"/>
      <c r="Q139" s="72"/>
      <c r="R139" s="72"/>
      <c r="S139" s="72"/>
      <c r="T139" s="72"/>
      <c r="U139" s="72"/>
      <c r="V139" s="72"/>
    </row>
    <row r="140" spans="1:25" ht="27.75" customHeight="1">
      <c r="A140" s="87" t="str">
        <f>IF(ISBLANK(C140)," ",135-COUNTBLANK($C$6:C140))</f>
        <v xml:space="preserve"> </v>
      </c>
      <c r="B140" s="88"/>
      <c r="C140" s="88"/>
      <c r="D140" s="89"/>
      <c r="E140" s="89"/>
      <c r="F140" s="73"/>
      <c r="G140" s="73"/>
      <c r="H140" s="73"/>
      <c r="I140" s="73"/>
      <c r="J140" s="73"/>
      <c r="K140" s="73"/>
      <c r="L140" s="73"/>
      <c r="M140" s="74"/>
      <c r="N140" s="71" t="str">
        <f t="shared" si="2"/>
        <v/>
      </c>
      <c r="O140" s="72"/>
      <c r="P140" s="72"/>
      <c r="Q140" s="72"/>
      <c r="R140" s="72"/>
      <c r="S140" s="72"/>
      <c r="T140" s="72"/>
      <c r="U140" s="72"/>
      <c r="V140" s="72"/>
    </row>
    <row r="141" spans="1:25" ht="27.75" customHeight="1">
      <c r="A141" s="87" t="str">
        <f>IF(ISBLANK(C141)," ",136-COUNTBLANK($C$6:C141))</f>
        <v xml:space="preserve"> </v>
      </c>
      <c r="B141" s="88"/>
      <c r="C141" s="88"/>
      <c r="D141" s="89"/>
      <c r="E141" s="89"/>
      <c r="F141" s="73"/>
      <c r="G141" s="73"/>
      <c r="H141" s="73"/>
      <c r="I141" s="73"/>
      <c r="J141" s="73"/>
      <c r="K141" s="73"/>
      <c r="L141" s="73"/>
      <c r="M141" s="74"/>
      <c r="N141" s="71" t="str">
        <f t="shared" si="2"/>
        <v/>
      </c>
      <c r="O141" s="72"/>
      <c r="P141" s="72"/>
      <c r="Q141" s="72"/>
      <c r="R141" s="72"/>
      <c r="S141" s="72"/>
      <c r="T141" s="72"/>
      <c r="U141" s="72"/>
      <c r="V141" s="72"/>
    </row>
    <row r="142" spans="1:25" ht="27.75" customHeight="1">
      <c r="A142" s="87" t="str">
        <f>IF(ISBLANK(C142)," ",137-COUNTBLANK($C$6:C142))</f>
        <v xml:space="preserve"> </v>
      </c>
      <c r="B142" s="88"/>
      <c r="C142" s="88"/>
      <c r="D142" s="89"/>
      <c r="E142" s="89"/>
      <c r="F142" s="73"/>
      <c r="G142" s="73"/>
      <c r="H142" s="73"/>
      <c r="I142" s="73"/>
      <c r="J142" s="73"/>
      <c r="K142" s="73"/>
      <c r="L142" s="73"/>
      <c r="M142" s="74"/>
      <c r="N142" s="71" t="str">
        <f t="shared" si="2"/>
        <v/>
      </c>
      <c r="O142" s="72"/>
      <c r="P142" s="72"/>
      <c r="Q142" s="72"/>
      <c r="R142" s="72"/>
      <c r="S142" s="72"/>
      <c r="T142" s="72"/>
      <c r="U142" s="72"/>
      <c r="V142" s="72"/>
    </row>
    <row r="143" spans="1:25" ht="27.75" customHeight="1">
      <c r="A143" s="87" t="str">
        <f>IF(ISBLANK(C143)," ",138-COUNTBLANK($C$6:C143))</f>
        <v xml:space="preserve"> </v>
      </c>
      <c r="B143" s="88"/>
      <c r="C143" s="88"/>
      <c r="D143" s="89"/>
      <c r="E143" s="89"/>
      <c r="F143" s="73"/>
      <c r="G143" s="73"/>
      <c r="H143" s="73"/>
      <c r="I143" s="73"/>
      <c r="J143" s="73"/>
      <c r="K143" s="73"/>
      <c r="L143" s="73"/>
      <c r="M143" s="74"/>
      <c r="N143" s="71" t="str">
        <f t="shared" si="2"/>
        <v/>
      </c>
      <c r="O143" s="72"/>
      <c r="P143" s="72"/>
      <c r="Q143" s="72"/>
      <c r="R143" s="72"/>
      <c r="S143" s="72"/>
      <c r="T143" s="72"/>
      <c r="U143" s="72"/>
      <c r="V143" s="72"/>
    </row>
    <row r="144" spans="1:25" ht="27.75" customHeight="1">
      <c r="A144" s="87" t="str">
        <f>IF(ISBLANK(C144)," ",139-COUNTBLANK($C$6:C144))</f>
        <v xml:space="preserve"> </v>
      </c>
      <c r="B144" s="88"/>
      <c r="C144" s="88"/>
      <c r="D144" s="89"/>
      <c r="E144" s="89"/>
      <c r="F144" s="73"/>
      <c r="G144" s="73"/>
      <c r="H144" s="73"/>
      <c r="I144" s="73"/>
      <c r="J144" s="73"/>
      <c r="K144" s="73"/>
      <c r="L144" s="73"/>
      <c r="M144" s="74"/>
      <c r="N144" s="71" t="str">
        <f t="shared" si="2"/>
        <v/>
      </c>
      <c r="O144" s="72"/>
      <c r="P144" s="72"/>
      <c r="Q144" s="72"/>
      <c r="R144" s="72"/>
      <c r="S144" s="72"/>
      <c r="T144" s="72"/>
      <c r="U144" s="72"/>
      <c r="V144" s="72"/>
    </row>
    <row r="145" spans="1:25" ht="27.75" customHeight="1">
      <c r="A145" s="87" t="str">
        <f>IF(ISBLANK(C145)," ",140-COUNTBLANK($C$6:C145))</f>
        <v xml:space="preserve"> </v>
      </c>
      <c r="B145" s="88"/>
      <c r="C145" s="88"/>
      <c r="D145" s="89"/>
      <c r="E145" s="89"/>
      <c r="F145" s="73"/>
      <c r="G145" s="73"/>
      <c r="H145" s="73"/>
      <c r="I145" s="73"/>
      <c r="J145" s="73"/>
      <c r="K145" s="73"/>
      <c r="L145" s="73"/>
      <c r="M145" s="74"/>
      <c r="N145" s="71" t="str">
        <f t="shared" si="2"/>
        <v/>
      </c>
      <c r="O145" s="72"/>
      <c r="P145" s="72"/>
      <c r="Q145" s="72"/>
      <c r="R145" s="72"/>
      <c r="S145" s="72"/>
      <c r="T145" s="72"/>
      <c r="U145" s="72"/>
      <c r="V145" s="72"/>
    </row>
    <row r="146" spans="1:25" ht="27.75" customHeight="1">
      <c r="A146" s="87" t="str">
        <f>IF(ISBLANK(C146)," ",141-COUNTBLANK($C$6:C146))</f>
        <v xml:space="preserve"> </v>
      </c>
      <c r="B146" s="88"/>
      <c r="C146" s="88"/>
      <c r="D146" s="89"/>
      <c r="E146" s="89"/>
      <c r="F146" s="73"/>
      <c r="G146" s="73"/>
      <c r="H146" s="73"/>
      <c r="I146" s="73"/>
      <c r="J146" s="73"/>
      <c r="K146" s="73"/>
      <c r="L146" s="73"/>
      <c r="M146" s="74"/>
      <c r="N146" s="71" t="str">
        <f t="shared" si="2"/>
        <v/>
      </c>
      <c r="O146" s="72"/>
      <c r="P146" s="72"/>
      <c r="Q146" s="72"/>
      <c r="R146" s="72"/>
      <c r="S146" s="72"/>
      <c r="T146" s="72"/>
      <c r="U146" s="72"/>
      <c r="V146" s="72"/>
    </row>
    <row r="147" spans="1:25" ht="27.75" customHeight="1">
      <c r="A147" s="87" t="str">
        <f>IF(ISBLANK(C147)," ",142-COUNTBLANK($C$6:C147))</f>
        <v xml:space="preserve"> </v>
      </c>
      <c r="B147" s="88"/>
      <c r="C147" s="88"/>
      <c r="D147" s="89"/>
      <c r="E147" s="89"/>
      <c r="F147" s="73"/>
      <c r="G147" s="73"/>
      <c r="H147" s="73"/>
      <c r="I147" s="73"/>
      <c r="J147" s="73"/>
      <c r="K147" s="73"/>
      <c r="L147" s="73"/>
      <c r="M147" s="74"/>
      <c r="N147" s="71" t="str">
        <f t="shared" si="2"/>
        <v/>
      </c>
      <c r="O147" s="75"/>
      <c r="P147" s="72"/>
      <c r="Q147" s="72"/>
      <c r="R147" s="72"/>
      <c r="S147" s="72"/>
      <c r="T147" s="72"/>
      <c r="U147" s="72"/>
      <c r="V147" s="76"/>
    </row>
    <row r="148" spans="1:25" ht="27.75" customHeight="1">
      <c r="A148" s="87" t="str">
        <f>IF(ISBLANK(C148)," ",143-COUNTBLANK($C$6:C148))</f>
        <v xml:space="preserve"> </v>
      </c>
      <c r="B148" s="88"/>
      <c r="C148" s="88"/>
      <c r="D148" s="89"/>
      <c r="E148" s="89"/>
      <c r="F148" s="73"/>
      <c r="G148" s="73"/>
      <c r="H148" s="73"/>
      <c r="I148" s="73"/>
      <c r="J148" s="73"/>
      <c r="K148" s="73"/>
      <c r="L148" s="73"/>
      <c r="M148" s="74"/>
      <c r="N148" s="71" t="str">
        <f t="shared" si="2"/>
        <v/>
      </c>
      <c r="O148" s="75"/>
      <c r="P148" s="72"/>
      <c r="Q148" s="72"/>
      <c r="R148" s="72"/>
      <c r="S148" s="72"/>
      <c r="T148" s="72"/>
      <c r="U148" s="72"/>
      <c r="V148" s="76"/>
    </row>
    <row r="149" spans="1:25" ht="27.75" customHeight="1">
      <c r="A149" s="87" t="str">
        <f>IF(ISBLANK(C149)," ",144-COUNTBLANK($C$6:C149))</f>
        <v xml:space="preserve"> </v>
      </c>
      <c r="B149" s="88"/>
      <c r="C149" s="88"/>
      <c r="D149" s="89"/>
      <c r="E149" s="89"/>
      <c r="F149" s="73"/>
      <c r="G149" s="73"/>
      <c r="H149" s="73"/>
      <c r="I149" s="73"/>
      <c r="J149" s="73"/>
      <c r="K149" s="73"/>
      <c r="L149" s="73"/>
      <c r="M149" s="74"/>
      <c r="N149" s="71" t="str">
        <f t="shared" si="2"/>
        <v/>
      </c>
      <c r="O149" s="75"/>
      <c r="P149" s="72"/>
      <c r="Q149" s="72"/>
      <c r="R149" s="72"/>
      <c r="S149" s="72"/>
      <c r="T149" s="72"/>
      <c r="U149" s="72"/>
      <c r="V149" s="76"/>
    </row>
    <row r="150" spans="1:25" ht="27.75" customHeight="1">
      <c r="A150" s="87" t="str">
        <f>IF(ISBLANK(C150)," ",145-COUNTBLANK($C$6:C150))</f>
        <v xml:space="preserve"> </v>
      </c>
      <c r="B150" s="88"/>
      <c r="C150" s="88"/>
      <c r="D150" s="89"/>
      <c r="E150" s="89"/>
      <c r="F150" s="73"/>
      <c r="G150" s="73"/>
      <c r="H150" s="73"/>
      <c r="I150" s="73"/>
      <c r="J150" s="73"/>
      <c r="K150" s="73"/>
      <c r="L150" s="73"/>
      <c r="M150" s="74"/>
      <c r="N150" s="71" t="str">
        <f t="shared" si="2"/>
        <v/>
      </c>
      <c r="O150" s="75"/>
      <c r="P150" s="72"/>
      <c r="Q150" s="72"/>
      <c r="R150" s="72"/>
      <c r="S150" s="72"/>
      <c r="T150" s="72"/>
      <c r="U150" s="72"/>
      <c r="V150" s="76"/>
    </row>
    <row r="151" spans="1:25" ht="27.75" customHeight="1">
      <c r="A151" s="87" t="str">
        <f>IF(ISBLANK(C151)," ",146-COUNTBLANK($C$6:C151))</f>
        <v xml:space="preserve"> </v>
      </c>
      <c r="B151" s="88"/>
      <c r="C151" s="88"/>
      <c r="D151" s="89"/>
      <c r="E151" s="89"/>
      <c r="F151" s="73"/>
      <c r="G151" s="73"/>
      <c r="H151" s="73"/>
      <c r="I151" s="73"/>
      <c r="J151" s="73"/>
      <c r="K151" s="73"/>
      <c r="L151" s="73"/>
      <c r="M151" s="74"/>
      <c r="N151" s="71" t="str">
        <f t="shared" si="2"/>
        <v/>
      </c>
      <c r="O151" s="72"/>
      <c r="P151" s="72"/>
      <c r="Q151" s="72"/>
      <c r="R151" s="72"/>
      <c r="S151" s="72"/>
      <c r="T151" s="72"/>
      <c r="U151" s="72"/>
      <c r="V151" s="79"/>
      <c r="W151" s="72"/>
      <c r="X151" s="72"/>
      <c r="Y151" s="72"/>
    </row>
    <row r="152" spans="1:25" ht="27.75" customHeight="1">
      <c r="A152" s="80" t="s">
        <v>52</v>
      </c>
      <c r="B152" s="81"/>
      <c r="C152" s="96"/>
      <c r="D152" s="82"/>
      <c r="E152" s="82">
        <f>SUM(E132:E151)</f>
        <v>0</v>
      </c>
      <c r="F152" s="83"/>
      <c r="G152" s="83"/>
      <c r="H152" s="83"/>
      <c r="I152" s="83"/>
      <c r="J152" s="83"/>
      <c r="K152" s="83"/>
      <c r="L152" s="83"/>
      <c r="M152" s="84"/>
      <c r="N152" s="71" t="str">
        <f t="shared" si="2"/>
        <v/>
      </c>
      <c r="O152" s="75"/>
      <c r="P152" s="72"/>
      <c r="Q152" s="72"/>
      <c r="R152" s="72"/>
      <c r="S152" s="72"/>
      <c r="T152" s="72"/>
      <c r="U152" s="72"/>
      <c r="V152" s="79"/>
      <c r="W152" s="72"/>
      <c r="X152" s="72"/>
      <c r="Y152" s="72"/>
    </row>
    <row r="153" spans="1:25" ht="27.75" customHeight="1">
      <c r="A153" s="93" t="str">
        <f>IF(ISBLANK(C153)," ",148-COUNTBLANK($C$6:C153))</f>
        <v xml:space="preserve"> </v>
      </c>
      <c r="B153" s="94"/>
      <c r="C153" s="94"/>
      <c r="D153" s="95"/>
      <c r="E153" s="95"/>
      <c r="F153" s="85"/>
      <c r="G153" s="85"/>
      <c r="H153" s="85"/>
      <c r="I153" s="85"/>
      <c r="J153" s="85"/>
      <c r="K153" s="85"/>
      <c r="L153" s="85"/>
      <c r="M153" s="86"/>
      <c r="N153" s="71" t="str">
        <f t="shared" si="2"/>
        <v/>
      </c>
      <c r="O153" s="72"/>
      <c r="P153" s="72"/>
      <c r="Q153" s="72"/>
      <c r="R153" s="72"/>
      <c r="S153" s="72"/>
      <c r="T153" s="72"/>
      <c r="U153" s="72"/>
      <c r="V153" s="72"/>
    </row>
    <row r="154" spans="1:25" ht="27.75" customHeight="1">
      <c r="A154" s="87" t="str">
        <f>IF(ISBLANK(C154)," ",149-COUNTBLANK($C$6:C154))</f>
        <v xml:space="preserve"> </v>
      </c>
      <c r="B154" s="88"/>
      <c r="C154" s="88"/>
      <c r="D154" s="89"/>
      <c r="E154" s="89"/>
      <c r="F154" s="73"/>
      <c r="G154" s="73"/>
      <c r="H154" s="73"/>
      <c r="I154" s="73"/>
      <c r="J154" s="73"/>
      <c r="K154" s="73"/>
      <c r="L154" s="73"/>
      <c r="M154" s="74"/>
      <c r="N154" s="71" t="str">
        <f t="shared" si="2"/>
        <v/>
      </c>
      <c r="O154" s="72"/>
      <c r="P154" s="72"/>
      <c r="Q154" s="72"/>
      <c r="R154" s="72"/>
      <c r="S154" s="72"/>
      <c r="T154" s="72"/>
      <c r="U154" s="72"/>
      <c r="V154" s="72"/>
    </row>
    <row r="155" spans="1:25" ht="27.75" customHeight="1">
      <c r="A155" s="87" t="str">
        <f>IF(ISBLANK(C155)," ",150-COUNTBLANK($C$6:C155))</f>
        <v xml:space="preserve"> </v>
      </c>
      <c r="B155" s="88"/>
      <c r="C155" s="88"/>
      <c r="D155" s="89"/>
      <c r="E155" s="89"/>
      <c r="F155" s="73"/>
      <c r="G155" s="73"/>
      <c r="H155" s="73"/>
      <c r="I155" s="73"/>
      <c r="J155" s="73"/>
      <c r="K155" s="73"/>
      <c r="L155" s="73"/>
      <c r="M155" s="74"/>
      <c r="N155" s="71" t="str">
        <f t="shared" si="2"/>
        <v/>
      </c>
      <c r="O155" s="72"/>
      <c r="P155" s="72"/>
      <c r="Q155" s="72"/>
      <c r="R155" s="72"/>
      <c r="S155" s="72"/>
      <c r="T155" s="72"/>
      <c r="U155" s="72"/>
      <c r="V155" s="72"/>
    </row>
    <row r="156" spans="1:25" ht="27.75" customHeight="1">
      <c r="A156" s="87" t="str">
        <f>IF(ISBLANK(C156)," ",151-COUNTBLANK($C$6:C156))</f>
        <v xml:space="preserve"> </v>
      </c>
      <c r="B156" s="88"/>
      <c r="C156" s="88"/>
      <c r="D156" s="89"/>
      <c r="E156" s="89"/>
      <c r="F156" s="73"/>
      <c r="G156" s="73"/>
      <c r="H156" s="73"/>
      <c r="I156" s="73"/>
      <c r="J156" s="73"/>
      <c r="K156" s="73"/>
      <c r="L156" s="73"/>
      <c r="M156" s="74"/>
      <c r="N156" s="71" t="str">
        <f t="shared" si="2"/>
        <v/>
      </c>
      <c r="O156" s="72"/>
      <c r="P156" s="72"/>
      <c r="Q156" s="72"/>
      <c r="R156" s="72"/>
      <c r="S156" s="72"/>
      <c r="T156" s="72"/>
      <c r="U156" s="72"/>
      <c r="V156" s="72"/>
    </row>
    <row r="157" spans="1:25" ht="27.75" customHeight="1">
      <c r="A157" s="87" t="str">
        <f>IF(ISBLANK(C157)," ",152-COUNTBLANK($C$6:C157))</f>
        <v xml:space="preserve"> </v>
      </c>
      <c r="B157" s="88"/>
      <c r="C157" s="88"/>
      <c r="D157" s="89"/>
      <c r="E157" s="89"/>
      <c r="F157" s="73"/>
      <c r="G157" s="73"/>
      <c r="H157" s="73"/>
      <c r="I157" s="73"/>
      <c r="J157" s="73"/>
      <c r="K157" s="73"/>
      <c r="L157" s="73"/>
      <c r="M157" s="74"/>
      <c r="N157" s="71" t="str">
        <f t="shared" si="2"/>
        <v/>
      </c>
      <c r="O157" s="72"/>
      <c r="P157" s="72"/>
      <c r="Q157" s="72"/>
      <c r="R157" s="72"/>
      <c r="S157" s="72"/>
      <c r="T157" s="72"/>
      <c r="U157" s="72"/>
      <c r="V157" s="72"/>
    </row>
    <row r="158" spans="1:25" ht="27.75" customHeight="1">
      <c r="A158" s="87" t="str">
        <f>IF(ISBLANK(C158)," ",153-COUNTBLANK($C$6:C158))</f>
        <v xml:space="preserve"> </v>
      </c>
      <c r="B158" s="88"/>
      <c r="C158" s="88"/>
      <c r="D158" s="89"/>
      <c r="E158" s="89"/>
      <c r="F158" s="73"/>
      <c r="G158" s="73"/>
      <c r="H158" s="73"/>
      <c r="I158" s="73"/>
      <c r="J158" s="73"/>
      <c r="K158" s="73"/>
      <c r="L158" s="73"/>
      <c r="M158" s="74"/>
      <c r="N158" s="71" t="str">
        <f t="shared" si="2"/>
        <v/>
      </c>
      <c r="O158" s="72"/>
      <c r="P158" s="72"/>
      <c r="Q158" s="72"/>
      <c r="R158" s="72"/>
      <c r="S158" s="72"/>
      <c r="T158" s="72"/>
      <c r="U158" s="72"/>
      <c r="V158" s="72"/>
    </row>
    <row r="159" spans="1:25" ht="27.75" customHeight="1">
      <c r="A159" s="87" t="str">
        <f>IF(ISBLANK(C159)," ",154-COUNTBLANK($C$6:C159))</f>
        <v xml:space="preserve"> </v>
      </c>
      <c r="B159" s="88"/>
      <c r="C159" s="88"/>
      <c r="D159" s="89"/>
      <c r="E159" s="89"/>
      <c r="F159" s="73"/>
      <c r="G159" s="73"/>
      <c r="H159" s="73"/>
      <c r="I159" s="73"/>
      <c r="J159" s="73"/>
      <c r="K159" s="73"/>
      <c r="L159" s="73"/>
      <c r="M159" s="74"/>
      <c r="N159" s="71" t="str">
        <f t="shared" si="2"/>
        <v/>
      </c>
      <c r="O159" s="72"/>
      <c r="P159" s="72"/>
      <c r="Q159" s="72"/>
      <c r="R159" s="72"/>
      <c r="S159" s="72"/>
      <c r="T159" s="72"/>
      <c r="U159" s="72"/>
      <c r="V159" s="72"/>
    </row>
    <row r="160" spans="1:25" ht="27.75" customHeight="1">
      <c r="A160" s="87" t="str">
        <f>IF(ISBLANK(C160)," ",155-COUNTBLANK($C$6:C160))</f>
        <v xml:space="preserve"> </v>
      </c>
      <c r="B160" s="88"/>
      <c r="C160" s="88"/>
      <c r="D160" s="89"/>
      <c r="E160" s="89"/>
      <c r="F160" s="73"/>
      <c r="G160" s="73"/>
      <c r="H160" s="73"/>
      <c r="I160" s="73"/>
      <c r="J160" s="73"/>
      <c r="K160" s="73"/>
      <c r="L160" s="73"/>
      <c r="M160" s="74"/>
      <c r="N160" s="71" t="str">
        <f t="shared" si="2"/>
        <v/>
      </c>
      <c r="O160" s="72"/>
      <c r="P160" s="72"/>
      <c r="Q160" s="72"/>
      <c r="R160" s="72"/>
      <c r="S160" s="72"/>
      <c r="T160" s="72"/>
      <c r="U160" s="72"/>
      <c r="V160" s="72"/>
    </row>
    <row r="161" spans="1:25" ht="27.75" customHeight="1">
      <c r="A161" s="87" t="str">
        <f>IF(ISBLANK(C161)," ",156-COUNTBLANK($C$6:C161))</f>
        <v xml:space="preserve"> </v>
      </c>
      <c r="B161" s="88"/>
      <c r="C161" s="88"/>
      <c r="D161" s="89"/>
      <c r="E161" s="89"/>
      <c r="F161" s="73"/>
      <c r="G161" s="73"/>
      <c r="H161" s="73"/>
      <c r="I161" s="73"/>
      <c r="J161" s="73"/>
      <c r="K161" s="73"/>
      <c r="L161" s="73"/>
      <c r="M161" s="74"/>
      <c r="N161" s="71" t="str">
        <f t="shared" si="2"/>
        <v/>
      </c>
      <c r="O161" s="72"/>
      <c r="P161" s="72"/>
      <c r="Q161" s="72"/>
      <c r="R161" s="72"/>
      <c r="S161" s="72"/>
      <c r="T161" s="72"/>
      <c r="U161" s="72"/>
      <c r="V161" s="72"/>
    </row>
    <row r="162" spans="1:25" ht="27.75" customHeight="1">
      <c r="A162" s="87" t="str">
        <f>IF(ISBLANK(C162)," ",157-COUNTBLANK($C$6:C162))</f>
        <v xml:space="preserve"> </v>
      </c>
      <c r="B162" s="88"/>
      <c r="C162" s="88"/>
      <c r="D162" s="89"/>
      <c r="E162" s="89"/>
      <c r="F162" s="73"/>
      <c r="G162" s="73"/>
      <c r="H162" s="73"/>
      <c r="I162" s="73"/>
      <c r="J162" s="73"/>
      <c r="K162" s="73"/>
      <c r="L162" s="73"/>
      <c r="M162" s="74"/>
      <c r="N162" s="71" t="str">
        <f t="shared" si="2"/>
        <v/>
      </c>
      <c r="O162" s="72"/>
      <c r="P162" s="72"/>
      <c r="Q162" s="72"/>
      <c r="R162" s="72"/>
      <c r="S162" s="72"/>
      <c r="T162" s="72"/>
      <c r="U162" s="72"/>
      <c r="V162" s="72"/>
    </row>
    <row r="163" spans="1:25" ht="27.75" customHeight="1">
      <c r="A163" s="87" t="str">
        <f>IF(ISBLANK(C163)," ",158-COUNTBLANK($C$6:C163))</f>
        <v xml:space="preserve"> </v>
      </c>
      <c r="B163" s="88"/>
      <c r="C163" s="88"/>
      <c r="D163" s="89"/>
      <c r="E163" s="89"/>
      <c r="F163" s="73"/>
      <c r="G163" s="73"/>
      <c r="H163" s="73"/>
      <c r="I163" s="73"/>
      <c r="J163" s="73"/>
      <c r="K163" s="73"/>
      <c r="L163" s="73"/>
      <c r="M163" s="74"/>
      <c r="N163" s="71" t="str">
        <f t="shared" si="2"/>
        <v/>
      </c>
      <c r="O163" s="72"/>
      <c r="P163" s="72"/>
      <c r="Q163" s="72"/>
      <c r="R163" s="72"/>
      <c r="S163" s="72"/>
      <c r="T163" s="72"/>
      <c r="U163" s="72"/>
      <c r="V163" s="72"/>
    </row>
    <row r="164" spans="1:25" ht="27.75" customHeight="1">
      <c r="A164" s="87" t="str">
        <f>IF(ISBLANK(C164)," ",159-COUNTBLANK($C$6:C164))</f>
        <v xml:space="preserve"> </v>
      </c>
      <c r="B164" s="88"/>
      <c r="C164" s="88"/>
      <c r="D164" s="89"/>
      <c r="E164" s="89"/>
      <c r="F164" s="73"/>
      <c r="G164" s="73"/>
      <c r="H164" s="73"/>
      <c r="I164" s="73"/>
      <c r="J164" s="73"/>
      <c r="K164" s="73"/>
      <c r="L164" s="73"/>
      <c r="M164" s="74"/>
      <c r="N164" s="71" t="str">
        <f t="shared" si="2"/>
        <v/>
      </c>
      <c r="O164" s="72"/>
      <c r="P164" s="72"/>
      <c r="Q164" s="72"/>
      <c r="R164" s="72"/>
      <c r="S164" s="72"/>
      <c r="T164" s="72"/>
      <c r="U164" s="72"/>
      <c r="V164" s="72"/>
    </row>
    <row r="165" spans="1:25" ht="27.75" customHeight="1">
      <c r="A165" s="87" t="str">
        <f>IF(ISBLANK(C165)," ",160-COUNTBLANK($C$6:C165))</f>
        <v xml:space="preserve"> </v>
      </c>
      <c r="B165" s="88"/>
      <c r="C165" s="88"/>
      <c r="D165" s="89"/>
      <c r="E165" s="89"/>
      <c r="F165" s="73"/>
      <c r="G165" s="73"/>
      <c r="H165" s="73"/>
      <c r="I165" s="73"/>
      <c r="J165" s="73"/>
      <c r="K165" s="73"/>
      <c r="L165" s="73"/>
      <c r="M165" s="74"/>
      <c r="N165" s="71" t="str">
        <f t="shared" si="2"/>
        <v/>
      </c>
      <c r="O165" s="72"/>
      <c r="P165" s="72"/>
      <c r="Q165" s="72"/>
      <c r="R165" s="72"/>
      <c r="S165" s="72"/>
      <c r="T165" s="72"/>
      <c r="U165" s="72"/>
      <c r="V165" s="72"/>
    </row>
    <row r="166" spans="1:25" ht="27.75" customHeight="1">
      <c r="A166" s="87" t="str">
        <f>IF(ISBLANK(C166)," ",161-COUNTBLANK($C$6:C166))</f>
        <v xml:space="preserve"> </v>
      </c>
      <c r="B166" s="88"/>
      <c r="C166" s="88"/>
      <c r="D166" s="89"/>
      <c r="E166" s="89"/>
      <c r="F166" s="73"/>
      <c r="G166" s="73"/>
      <c r="H166" s="73"/>
      <c r="I166" s="73"/>
      <c r="J166" s="73"/>
      <c r="K166" s="73"/>
      <c r="L166" s="73"/>
      <c r="M166" s="74"/>
      <c r="N166" s="71" t="str">
        <f t="shared" si="2"/>
        <v/>
      </c>
      <c r="O166" s="72"/>
      <c r="P166" s="72"/>
      <c r="Q166" s="72"/>
      <c r="R166" s="72"/>
      <c r="S166" s="72"/>
      <c r="T166" s="72"/>
      <c r="U166" s="72"/>
      <c r="V166" s="72"/>
    </row>
    <row r="167" spans="1:25" ht="27.75" customHeight="1">
      <c r="A167" s="87" t="str">
        <f>IF(ISBLANK(C167)," ",162-COUNTBLANK($C$6:C167))</f>
        <v xml:space="preserve"> </v>
      </c>
      <c r="B167" s="88"/>
      <c r="C167" s="88"/>
      <c r="D167" s="89"/>
      <c r="E167" s="89"/>
      <c r="F167" s="73"/>
      <c r="G167" s="73"/>
      <c r="H167" s="73"/>
      <c r="I167" s="73"/>
      <c r="J167" s="73"/>
      <c r="K167" s="73"/>
      <c r="L167" s="73"/>
      <c r="M167" s="74"/>
      <c r="N167" s="71" t="str">
        <f t="shared" si="2"/>
        <v/>
      </c>
      <c r="O167" s="72"/>
      <c r="P167" s="72"/>
      <c r="Q167" s="72"/>
      <c r="R167" s="72"/>
      <c r="S167" s="72"/>
      <c r="T167" s="72"/>
      <c r="U167" s="72"/>
      <c r="V167" s="72"/>
    </row>
    <row r="168" spans="1:25" ht="27.75" customHeight="1">
      <c r="A168" s="87" t="str">
        <f>IF(ISBLANK(C168)," ",163-COUNTBLANK($C$6:C168))</f>
        <v xml:space="preserve"> </v>
      </c>
      <c r="B168" s="88"/>
      <c r="C168" s="88"/>
      <c r="D168" s="89"/>
      <c r="E168" s="89"/>
      <c r="F168" s="73"/>
      <c r="G168" s="73"/>
      <c r="H168" s="73"/>
      <c r="I168" s="73"/>
      <c r="J168" s="73"/>
      <c r="K168" s="73"/>
      <c r="L168" s="73"/>
      <c r="M168" s="74"/>
      <c r="N168" s="71" t="str">
        <f t="shared" si="2"/>
        <v/>
      </c>
      <c r="O168" s="75"/>
      <c r="P168" s="72"/>
      <c r="Q168" s="72"/>
      <c r="R168" s="72"/>
      <c r="S168" s="72"/>
      <c r="T168" s="72"/>
      <c r="U168" s="72"/>
      <c r="V168" s="76"/>
    </row>
    <row r="169" spans="1:25" ht="27.75" customHeight="1">
      <c r="A169" s="87" t="str">
        <f>IF(ISBLANK(C169)," ",164-COUNTBLANK($C$6:C169))</f>
        <v xml:space="preserve"> </v>
      </c>
      <c r="B169" s="88"/>
      <c r="C169" s="88"/>
      <c r="D169" s="89"/>
      <c r="E169" s="89"/>
      <c r="F169" s="73"/>
      <c r="G169" s="73"/>
      <c r="H169" s="73"/>
      <c r="I169" s="73"/>
      <c r="J169" s="73"/>
      <c r="K169" s="73"/>
      <c r="L169" s="73"/>
      <c r="M169" s="74"/>
      <c r="N169" s="71" t="str">
        <f t="shared" si="2"/>
        <v/>
      </c>
      <c r="O169" s="75"/>
      <c r="P169" s="72"/>
      <c r="Q169" s="72"/>
      <c r="R169" s="72"/>
      <c r="S169" s="72"/>
      <c r="T169" s="72"/>
      <c r="U169" s="72"/>
      <c r="V169" s="76"/>
    </row>
    <row r="170" spans="1:25" ht="27.75" customHeight="1">
      <c r="A170" s="87" t="str">
        <f>IF(ISBLANK(C170)," ",165-COUNTBLANK($C$6:C170))</f>
        <v xml:space="preserve"> </v>
      </c>
      <c r="B170" s="88"/>
      <c r="C170" s="88"/>
      <c r="D170" s="89"/>
      <c r="E170" s="89"/>
      <c r="F170" s="73"/>
      <c r="G170" s="73"/>
      <c r="H170" s="73"/>
      <c r="I170" s="73"/>
      <c r="J170" s="73"/>
      <c r="K170" s="73"/>
      <c r="L170" s="73"/>
      <c r="M170" s="74"/>
      <c r="N170" s="71" t="str">
        <f t="shared" si="2"/>
        <v/>
      </c>
      <c r="O170" s="75"/>
      <c r="P170" s="72"/>
      <c r="Q170" s="72"/>
      <c r="R170" s="72"/>
      <c r="S170" s="72"/>
      <c r="T170" s="72"/>
      <c r="U170" s="72"/>
      <c r="V170" s="76"/>
    </row>
    <row r="171" spans="1:25" ht="27.75" customHeight="1">
      <c r="A171" s="87" t="str">
        <f>IF(ISBLANK(C171)," ",166-COUNTBLANK($C$6:C171))</f>
        <v xml:space="preserve"> </v>
      </c>
      <c r="B171" s="88"/>
      <c r="C171" s="88"/>
      <c r="D171" s="89"/>
      <c r="E171" s="89"/>
      <c r="F171" s="73"/>
      <c r="G171" s="73"/>
      <c r="H171" s="73"/>
      <c r="I171" s="73"/>
      <c r="J171" s="73"/>
      <c r="K171" s="73"/>
      <c r="L171" s="73"/>
      <c r="M171" s="74"/>
      <c r="N171" s="71" t="str">
        <f t="shared" si="2"/>
        <v/>
      </c>
      <c r="O171" s="75"/>
      <c r="P171" s="72"/>
      <c r="Q171" s="72"/>
      <c r="R171" s="72"/>
      <c r="S171" s="72"/>
      <c r="T171" s="72"/>
      <c r="U171" s="72"/>
      <c r="V171" s="76"/>
    </row>
    <row r="172" spans="1:25" ht="27.75" customHeight="1">
      <c r="A172" s="87" t="str">
        <f>IF(ISBLANK(C172)," ",167-COUNTBLANK($C$6:C172))</f>
        <v xml:space="preserve"> </v>
      </c>
      <c r="B172" s="88"/>
      <c r="C172" s="88"/>
      <c r="D172" s="89"/>
      <c r="E172" s="89"/>
      <c r="F172" s="73"/>
      <c r="G172" s="73"/>
      <c r="H172" s="73"/>
      <c r="I172" s="73"/>
      <c r="J172" s="73"/>
      <c r="K172" s="73"/>
      <c r="L172" s="73"/>
      <c r="M172" s="74"/>
      <c r="N172" s="71" t="str">
        <f t="shared" si="2"/>
        <v/>
      </c>
      <c r="O172" s="72"/>
      <c r="P172" s="72"/>
      <c r="Q172" s="72"/>
      <c r="R172" s="72"/>
      <c r="S172" s="72"/>
      <c r="T172" s="72"/>
      <c r="U172" s="72"/>
      <c r="V172" s="79"/>
      <c r="W172" s="72"/>
      <c r="X172" s="72"/>
      <c r="Y172" s="72"/>
    </row>
    <row r="173" spans="1:25" ht="27.75" customHeight="1">
      <c r="A173" s="80" t="s">
        <v>52</v>
      </c>
      <c r="B173" s="81"/>
      <c r="C173" s="96"/>
      <c r="D173" s="82"/>
      <c r="E173" s="82">
        <f>SUM(E153:E172)</f>
        <v>0</v>
      </c>
      <c r="F173" s="83"/>
      <c r="G173" s="83"/>
      <c r="H173" s="83"/>
      <c r="I173" s="83"/>
      <c r="J173" s="83"/>
      <c r="K173" s="83"/>
      <c r="L173" s="83"/>
      <c r="M173" s="84"/>
      <c r="N173" s="71" t="str">
        <f t="shared" si="2"/>
        <v/>
      </c>
      <c r="O173" s="75"/>
      <c r="P173" s="72"/>
      <c r="Q173" s="72"/>
      <c r="R173" s="72"/>
      <c r="S173" s="72"/>
      <c r="T173" s="72"/>
      <c r="U173" s="72"/>
      <c r="V173" s="79"/>
      <c r="W173" s="72"/>
      <c r="X173" s="72"/>
      <c r="Y173" s="72"/>
    </row>
    <row r="174" spans="1:25" ht="27.75" customHeight="1">
      <c r="A174" s="93" t="str">
        <f>IF(ISBLANK(C174)," ",169-COUNTBLANK($C$6:C174))</f>
        <v xml:space="preserve"> </v>
      </c>
      <c r="B174" s="94"/>
      <c r="C174" s="94"/>
      <c r="D174" s="95"/>
      <c r="E174" s="95"/>
      <c r="F174" s="85"/>
      <c r="G174" s="85"/>
      <c r="H174" s="85"/>
      <c r="I174" s="85"/>
      <c r="J174" s="85"/>
      <c r="K174" s="85"/>
      <c r="L174" s="85"/>
      <c r="M174" s="86"/>
      <c r="N174" s="71" t="str">
        <f t="shared" si="2"/>
        <v/>
      </c>
      <c r="O174" s="72"/>
      <c r="P174" s="72"/>
      <c r="Q174" s="72"/>
      <c r="R174" s="72"/>
      <c r="S174" s="72"/>
      <c r="T174" s="72"/>
      <c r="U174" s="72"/>
      <c r="V174" s="72"/>
    </row>
    <row r="175" spans="1:25" ht="27.75" customHeight="1">
      <c r="A175" s="87" t="str">
        <f>IF(ISBLANK(C175)," ",170-COUNTBLANK($C$6:C175))</f>
        <v xml:space="preserve"> </v>
      </c>
      <c r="B175" s="88"/>
      <c r="C175" s="88"/>
      <c r="D175" s="89"/>
      <c r="E175" s="89"/>
      <c r="F175" s="73"/>
      <c r="G175" s="73"/>
      <c r="H175" s="73"/>
      <c r="I175" s="73"/>
      <c r="J175" s="73"/>
      <c r="K175" s="73"/>
      <c r="L175" s="73"/>
      <c r="M175" s="74"/>
      <c r="N175" s="71" t="str">
        <f t="shared" si="2"/>
        <v/>
      </c>
      <c r="O175" s="72"/>
      <c r="P175" s="72"/>
      <c r="Q175" s="72"/>
      <c r="R175" s="72"/>
      <c r="S175" s="72"/>
      <c r="T175" s="72"/>
      <c r="U175" s="72"/>
      <c r="V175" s="72"/>
    </row>
    <row r="176" spans="1:25" ht="27.75" customHeight="1">
      <c r="A176" s="87" t="str">
        <f>IF(ISBLANK(C176)," ",171-COUNTBLANK($C$6:C176))</f>
        <v xml:space="preserve"> </v>
      </c>
      <c r="B176" s="88"/>
      <c r="C176" s="88"/>
      <c r="D176" s="89"/>
      <c r="E176" s="89"/>
      <c r="F176" s="73"/>
      <c r="G176" s="73"/>
      <c r="H176" s="73"/>
      <c r="I176" s="73"/>
      <c r="J176" s="73"/>
      <c r="K176" s="73"/>
      <c r="L176" s="73"/>
      <c r="M176" s="74"/>
      <c r="N176" s="71" t="str">
        <f t="shared" si="2"/>
        <v/>
      </c>
      <c r="O176" s="72"/>
      <c r="P176" s="72"/>
      <c r="Q176" s="72"/>
      <c r="R176" s="72"/>
      <c r="S176" s="72"/>
      <c r="T176" s="72"/>
      <c r="U176" s="72"/>
      <c r="V176" s="72"/>
    </row>
    <row r="177" spans="1:22" ht="27.75" customHeight="1">
      <c r="A177" s="87" t="str">
        <f>IF(ISBLANK(C177)," ",172-COUNTBLANK($C$6:C177))</f>
        <v xml:space="preserve"> </v>
      </c>
      <c r="B177" s="88"/>
      <c r="C177" s="88"/>
      <c r="D177" s="89"/>
      <c r="E177" s="89"/>
      <c r="F177" s="73"/>
      <c r="G177" s="73"/>
      <c r="H177" s="73"/>
      <c r="I177" s="73"/>
      <c r="J177" s="73"/>
      <c r="K177" s="73"/>
      <c r="L177" s="73"/>
      <c r="M177" s="74"/>
      <c r="N177" s="71" t="str">
        <f t="shared" si="2"/>
        <v/>
      </c>
      <c r="O177" s="72"/>
      <c r="P177" s="72"/>
      <c r="Q177" s="72"/>
      <c r="R177" s="72"/>
      <c r="S177" s="72"/>
      <c r="T177" s="72"/>
      <c r="U177" s="72"/>
      <c r="V177" s="72"/>
    </row>
    <row r="178" spans="1:22" ht="27.75" customHeight="1">
      <c r="A178" s="87" t="str">
        <f>IF(ISBLANK(C178)," ",173-COUNTBLANK($C$6:C178))</f>
        <v xml:space="preserve"> </v>
      </c>
      <c r="B178" s="88"/>
      <c r="C178" s="88"/>
      <c r="D178" s="89"/>
      <c r="E178" s="89"/>
      <c r="F178" s="73"/>
      <c r="G178" s="73"/>
      <c r="H178" s="73"/>
      <c r="I178" s="73"/>
      <c r="J178" s="73"/>
      <c r="K178" s="73"/>
      <c r="L178" s="73"/>
      <c r="M178" s="74"/>
      <c r="N178" s="71" t="str">
        <f t="shared" si="2"/>
        <v/>
      </c>
      <c r="O178" s="72"/>
      <c r="P178" s="72"/>
      <c r="Q178" s="72"/>
      <c r="R178" s="72"/>
      <c r="S178" s="72"/>
      <c r="T178" s="72"/>
      <c r="U178" s="72"/>
      <c r="V178" s="72"/>
    </row>
    <row r="179" spans="1:22" ht="27.75" customHeight="1">
      <c r="A179" s="87" t="str">
        <f>IF(ISBLANK(C179)," ",174-COUNTBLANK($C$6:C179))</f>
        <v xml:space="preserve"> </v>
      </c>
      <c r="B179" s="88"/>
      <c r="C179" s="88"/>
      <c r="D179" s="89"/>
      <c r="E179" s="89"/>
      <c r="F179" s="73"/>
      <c r="G179" s="73"/>
      <c r="H179" s="73"/>
      <c r="I179" s="73"/>
      <c r="J179" s="73"/>
      <c r="K179" s="73"/>
      <c r="L179" s="73"/>
      <c r="M179" s="74"/>
      <c r="N179" s="71" t="str">
        <f t="shared" si="2"/>
        <v/>
      </c>
      <c r="O179" s="72"/>
      <c r="P179" s="72"/>
      <c r="Q179" s="72"/>
      <c r="R179" s="72"/>
      <c r="S179" s="72"/>
      <c r="T179" s="72"/>
      <c r="U179" s="72"/>
      <c r="V179" s="72"/>
    </row>
    <row r="180" spans="1:22" ht="27.75" customHeight="1">
      <c r="A180" s="87" t="str">
        <f>IF(ISBLANK(C180)," ",175-COUNTBLANK($C$6:C180))</f>
        <v xml:space="preserve"> </v>
      </c>
      <c r="B180" s="88"/>
      <c r="C180" s="88"/>
      <c r="D180" s="89"/>
      <c r="E180" s="89"/>
      <c r="F180" s="73"/>
      <c r="G180" s="73"/>
      <c r="H180" s="73"/>
      <c r="I180" s="73"/>
      <c r="J180" s="73"/>
      <c r="K180" s="73"/>
      <c r="L180" s="73"/>
      <c r="M180" s="74"/>
      <c r="N180" s="71" t="str">
        <f t="shared" si="2"/>
        <v/>
      </c>
      <c r="O180" s="72"/>
      <c r="P180" s="72"/>
      <c r="Q180" s="72"/>
      <c r="R180" s="72"/>
      <c r="S180" s="72"/>
      <c r="T180" s="72"/>
      <c r="U180" s="72"/>
      <c r="V180" s="72"/>
    </row>
    <row r="181" spans="1:22" ht="27.75" customHeight="1">
      <c r="A181" s="87" t="str">
        <f>IF(ISBLANK(C181)," ",176-COUNTBLANK($C$6:C181))</f>
        <v xml:space="preserve"> </v>
      </c>
      <c r="B181" s="88"/>
      <c r="C181" s="88"/>
      <c r="D181" s="89"/>
      <c r="E181" s="89"/>
      <c r="F181" s="73"/>
      <c r="G181" s="73"/>
      <c r="H181" s="73"/>
      <c r="I181" s="73"/>
      <c r="J181" s="73"/>
      <c r="K181" s="73"/>
      <c r="L181" s="73"/>
      <c r="M181" s="74"/>
      <c r="N181" s="71" t="str">
        <f t="shared" si="2"/>
        <v/>
      </c>
      <c r="O181" s="72"/>
      <c r="P181" s="72"/>
      <c r="Q181" s="72"/>
      <c r="R181" s="72"/>
      <c r="S181" s="72"/>
      <c r="T181" s="72"/>
      <c r="U181" s="72"/>
      <c r="V181" s="72"/>
    </row>
    <row r="182" spans="1:22" ht="27.75" customHeight="1">
      <c r="A182" s="87" t="str">
        <f>IF(ISBLANK(C182)," ",177-COUNTBLANK($C$6:C182))</f>
        <v xml:space="preserve"> </v>
      </c>
      <c r="B182" s="88"/>
      <c r="C182" s="88"/>
      <c r="D182" s="89"/>
      <c r="E182" s="89"/>
      <c r="F182" s="73"/>
      <c r="G182" s="73"/>
      <c r="H182" s="73"/>
      <c r="I182" s="73"/>
      <c r="J182" s="73"/>
      <c r="K182" s="73"/>
      <c r="L182" s="73"/>
      <c r="M182" s="74"/>
      <c r="N182" s="71" t="str">
        <f t="shared" si="2"/>
        <v/>
      </c>
      <c r="O182" s="72"/>
      <c r="P182" s="72"/>
      <c r="Q182" s="72"/>
      <c r="R182" s="72"/>
      <c r="S182" s="72"/>
      <c r="T182" s="72"/>
      <c r="U182" s="72"/>
      <c r="V182" s="72"/>
    </row>
    <row r="183" spans="1:22" ht="27.75" customHeight="1">
      <c r="A183" s="87" t="str">
        <f>IF(ISBLANK(C183)," ",178-COUNTBLANK($C$6:C183))</f>
        <v xml:space="preserve"> </v>
      </c>
      <c r="B183" s="88"/>
      <c r="C183" s="88"/>
      <c r="D183" s="89"/>
      <c r="E183" s="89"/>
      <c r="F183" s="73"/>
      <c r="G183" s="73"/>
      <c r="H183" s="73"/>
      <c r="I183" s="73"/>
      <c r="J183" s="73"/>
      <c r="K183" s="73"/>
      <c r="L183" s="73"/>
      <c r="M183" s="74"/>
      <c r="N183" s="71" t="str">
        <f t="shared" si="2"/>
        <v/>
      </c>
      <c r="O183" s="72"/>
      <c r="P183" s="72"/>
      <c r="Q183" s="72"/>
      <c r="R183" s="72"/>
      <c r="S183" s="72"/>
      <c r="T183" s="72"/>
      <c r="U183" s="72"/>
      <c r="V183" s="72"/>
    </row>
    <row r="184" spans="1:22" ht="27.75" customHeight="1">
      <c r="A184" s="87" t="str">
        <f>IF(ISBLANK(C184)," ",179-COUNTBLANK($C$6:C184))</f>
        <v xml:space="preserve"> </v>
      </c>
      <c r="B184" s="88"/>
      <c r="C184" s="88"/>
      <c r="D184" s="89"/>
      <c r="E184" s="89"/>
      <c r="F184" s="73"/>
      <c r="G184" s="73"/>
      <c r="H184" s="73"/>
      <c r="I184" s="73"/>
      <c r="J184" s="73"/>
      <c r="K184" s="73"/>
      <c r="L184" s="73"/>
      <c r="M184" s="74"/>
      <c r="N184" s="71" t="str">
        <f t="shared" si="2"/>
        <v/>
      </c>
      <c r="O184" s="72"/>
      <c r="P184" s="72"/>
      <c r="Q184" s="72"/>
      <c r="R184" s="72"/>
      <c r="S184" s="72"/>
      <c r="T184" s="72"/>
      <c r="U184" s="72"/>
      <c r="V184" s="72"/>
    </row>
    <row r="185" spans="1:22" ht="27.75" customHeight="1">
      <c r="A185" s="87" t="str">
        <f>IF(ISBLANK(C185)," ",180-COUNTBLANK($C$6:C185))</f>
        <v xml:space="preserve"> </v>
      </c>
      <c r="B185" s="88"/>
      <c r="C185" s="88"/>
      <c r="D185" s="89"/>
      <c r="E185" s="89"/>
      <c r="F185" s="73"/>
      <c r="G185" s="73"/>
      <c r="H185" s="73"/>
      <c r="I185" s="73"/>
      <c r="J185" s="73"/>
      <c r="K185" s="73"/>
      <c r="L185" s="73"/>
      <c r="M185" s="74"/>
      <c r="N185" s="71" t="str">
        <f t="shared" si="2"/>
        <v/>
      </c>
      <c r="O185" s="72"/>
      <c r="P185" s="72"/>
      <c r="Q185" s="72"/>
      <c r="R185" s="72"/>
      <c r="S185" s="72"/>
      <c r="T185" s="72"/>
      <c r="U185" s="72"/>
      <c r="V185" s="72"/>
    </row>
    <row r="186" spans="1:22" ht="27.75" customHeight="1">
      <c r="A186" s="87" t="str">
        <f>IF(ISBLANK(C186)," ",181-COUNTBLANK($C$6:C186))</f>
        <v xml:space="preserve"> </v>
      </c>
      <c r="B186" s="88"/>
      <c r="C186" s="88"/>
      <c r="D186" s="89"/>
      <c r="E186" s="89"/>
      <c r="F186" s="73"/>
      <c r="G186" s="73"/>
      <c r="H186" s="73"/>
      <c r="I186" s="73"/>
      <c r="J186" s="73"/>
      <c r="K186" s="73"/>
      <c r="L186" s="73"/>
      <c r="M186" s="74"/>
      <c r="N186" s="71" t="str">
        <f t="shared" si="2"/>
        <v/>
      </c>
      <c r="O186" s="72"/>
      <c r="P186" s="72"/>
      <c r="Q186" s="72"/>
      <c r="R186" s="72"/>
      <c r="S186" s="72"/>
      <c r="T186" s="72"/>
      <c r="U186" s="72"/>
      <c r="V186" s="72"/>
    </row>
    <row r="187" spans="1:22" ht="27.75" customHeight="1">
      <c r="A187" s="87" t="str">
        <f>IF(ISBLANK(C187)," ",182-COUNTBLANK($C$6:C187))</f>
        <v xml:space="preserve"> </v>
      </c>
      <c r="B187" s="88"/>
      <c r="C187" s="88"/>
      <c r="D187" s="89"/>
      <c r="E187" s="89"/>
      <c r="F187" s="73"/>
      <c r="G187" s="73"/>
      <c r="H187" s="73"/>
      <c r="I187" s="73"/>
      <c r="J187" s="73"/>
      <c r="K187" s="73"/>
      <c r="L187" s="73"/>
      <c r="M187" s="74"/>
      <c r="N187" s="71" t="str">
        <f t="shared" si="2"/>
        <v/>
      </c>
      <c r="O187" s="72"/>
      <c r="P187" s="72"/>
      <c r="Q187" s="72"/>
      <c r="R187" s="72"/>
      <c r="S187" s="72"/>
      <c r="T187" s="72"/>
      <c r="U187" s="72"/>
      <c r="V187" s="72"/>
    </row>
    <row r="188" spans="1:22" ht="27.75" customHeight="1">
      <c r="A188" s="87" t="str">
        <f>IF(ISBLANK(C188)," ",183-COUNTBLANK($C$6:C188))</f>
        <v xml:space="preserve"> </v>
      </c>
      <c r="B188" s="88"/>
      <c r="C188" s="88"/>
      <c r="D188" s="89"/>
      <c r="E188" s="89"/>
      <c r="F188" s="73"/>
      <c r="G188" s="73"/>
      <c r="H188" s="73"/>
      <c r="I188" s="73"/>
      <c r="J188" s="73"/>
      <c r="K188" s="73"/>
      <c r="L188" s="73"/>
      <c r="M188" s="74"/>
      <c r="N188" s="71" t="str">
        <f t="shared" si="2"/>
        <v/>
      </c>
      <c r="O188" s="72"/>
      <c r="P188" s="72"/>
      <c r="Q188" s="72"/>
      <c r="R188" s="72"/>
      <c r="S188" s="72"/>
      <c r="T188" s="72"/>
      <c r="U188" s="72"/>
      <c r="V188" s="72"/>
    </row>
    <row r="189" spans="1:22" ht="27.75" customHeight="1">
      <c r="A189" s="87" t="str">
        <f>IF(ISBLANK(C189)," ",184-COUNTBLANK($C$6:C189))</f>
        <v xml:space="preserve"> </v>
      </c>
      <c r="B189" s="88"/>
      <c r="C189" s="88"/>
      <c r="D189" s="89"/>
      <c r="E189" s="89"/>
      <c r="F189" s="73"/>
      <c r="G189" s="73"/>
      <c r="H189" s="73"/>
      <c r="I189" s="73"/>
      <c r="J189" s="73"/>
      <c r="K189" s="73"/>
      <c r="L189" s="73"/>
      <c r="M189" s="74"/>
      <c r="N189" s="71" t="str">
        <f t="shared" si="2"/>
        <v/>
      </c>
      <c r="O189" s="75"/>
      <c r="P189" s="72"/>
      <c r="Q189" s="72"/>
      <c r="R189" s="72"/>
      <c r="S189" s="72"/>
      <c r="T189" s="72"/>
      <c r="U189" s="72"/>
      <c r="V189" s="76"/>
    </row>
    <row r="190" spans="1:22" ht="27.75" customHeight="1">
      <c r="A190" s="87" t="str">
        <f>IF(ISBLANK(C190)," ",185-COUNTBLANK($C$6:C190))</f>
        <v xml:space="preserve"> </v>
      </c>
      <c r="B190" s="88"/>
      <c r="C190" s="88"/>
      <c r="D190" s="89"/>
      <c r="E190" s="89"/>
      <c r="F190" s="73"/>
      <c r="G190" s="73"/>
      <c r="H190" s="73"/>
      <c r="I190" s="73"/>
      <c r="J190" s="73"/>
      <c r="K190" s="73"/>
      <c r="L190" s="73"/>
      <c r="M190" s="74"/>
      <c r="N190" s="71" t="str">
        <f t="shared" si="2"/>
        <v/>
      </c>
      <c r="O190" s="75"/>
      <c r="P190" s="72"/>
      <c r="Q190" s="72"/>
      <c r="R190" s="72"/>
      <c r="S190" s="72"/>
      <c r="T190" s="72"/>
      <c r="U190" s="72"/>
      <c r="V190" s="76"/>
    </row>
    <row r="191" spans="1:22" ht="27.75" customHeight="1">
      <c r="A191" s="87" t="str">
        <f>IF(ISBLANK(C191)," ",186-COUNTBLANK($C$6:C191))</f>
        <v xml:space="preserve"> </v>
      </c>
      <c r="B191" s="88"/>
      <c r="C191" s="88"/>
      <c r="D191" s="89"/>
      <c r="E191" s="89"/>
      <c r="F191" s="73"/>
      <c r="G191" s="73"/>
      <c r="H191" s="73"/>
      <c r="I191" s="73"/>
      <c r="J191" s="73"/>
      <c r="K191" s="73"/>
      <c r="L191" s="73"/>
      <c r="M191" s="74"/>
      <c r="N191" s="71" t="str">
        <f t="shared" si="2"/>
        <v/>
      </c>
      <c r="O191" s="75"/>
      <c r="P191" s="72"/>
      <c r="Q191" s="72"/>
      <c r="R191" s="72"/>
      <c r="S191" s="72"/>
      <c r="T191" s="72"/>
      <c r="U191" s="72"/>
      <c r="V191" s="76"/>
    </row>
    <row r="192" spans="1:22" ht="27.75" customHeight="1">
      <c r="A192" s="87" t="str">
        <f>IF(ISBLANK(C192)," ",187-COUNTBLANK($C$6:C192))</f>
        <v xml:space="preserve"> </v>
      </c>
      <c r="B192" s="88"/>
      <c r="C192" s="88"/>
      <c r="D192" s="89"/>
      <c r="E192" s="89"/>
      <c r="F192" s="73"/>
      <c r="G192" s="73"/>
      <c r="H192" s="73"/>
      <c r="I192" s="73"/>
      <c r="J192" s="73"/>
      <c r="K192" s="73"/>
      <c r="L192" s="73"/>
      <c r="M192" s="74"/>
      <c r="N192" s="71" t="str">
        <f t="shared" si="2"/>
        <v/>
      </c>
      <c r="O192" s="75"/>
      <c r="P192" s="72"/>
      <c r="Q192" s="72"/>
      <c r="R192" s="72"/>
      <c r="S192" s="72"/>
      <c r="T192" s="72"/>
      <c r="U192" s="72"/>
      <c r="V192" s="76"/>
    </row>
    <row r="193" spans="1:25" ht="27.75" customHeight="1">
      <c r="A193" s="87" t="str">
        <f>IF(ISBLANK(C193)," ",188-COUNTBLANK($C$6:C193))</f>
        <v xml:space="preserve"> </v>
      </c>
      <c r="B193" s="88"/>
      <c r="C193" s="88"/>
      <c r="D193" s="89"/>
      <c r="E193" s="89"/>
      <c r="F193" s="73"/>
      <c r="G193" s="73"/>
      <c r="H193" s="73"/>
      <c r="I193" s="73"/>
      <c r="J193" s="73"/>
      <c r="K193" s="73"/>
      <c r="L193" s="73"/>
      <c r="M193" s="74"/>
      <c r="N193" s="71" t="str">
        <f t="shared" si="2"/>
        <v/>
      </c>
      <c r="O193" s="72"/>
      <c r="P193" s="72"/>
      <c r="Q193" s="72"/>
      <c r="R193" s="72"/>
      <c r="S193" s="72"/>
      <c r="T193" s="72"/>
      <c r="U193" s="72"/>
      <c r="V193" s="79"/>
      <c r="W193" s="72"/>
      <c r="X193" s="72"/>
      <c r="Y193" s="72"/>
    </row>
    <row r="194" spans="1:25" ht="27.75" customHeight="1">
      <c r="A194" s="80" t="s">
        <v>52</v>
      </c>
      <c r="B194" s="81"/>
      <c r="C194" s="96"/>
      <c r="D194" s="82"/>
      <c r="E194" s="82">
        <f>SUM(E174:E193)</f>
        <v>0</v>
      </c>
      <c r="F194" s="83"/>
      <c r="G194" s="83"/>
      <c r="H194" s="83"/>
      <c r="I194" s="83"/>
      <c r="J194" s="83"/>
      <c r="K194" s="83"/>
      <c r="L194" s="83"/>
      <c r="M194" s="84"/>
      <c r="N194" s="71" t="str">
        <f t="shared" si="2"/>
        <v/>
      </c>
      <c r="O194" s="75"/>
      <c r="P194" s="72"/>
      <c r="Q194" s="72"/>
      <c r="R194" s="72"/>
      <c r="S194" s="72"/>
      <c r="T194" s="72"/>
      <c r="U194" s="72"/>
      <c r="V194" s="79"/>
      <c r="W194" s="72"/>
      <c r="X194" s="72"/>
      <c r="Y194" s="72"/>
    </row>
    <row r="195" spans="1:25" ht="27.75" customHeight="1">
      <c r="A195" s="93" t="str">
        <f>IF(ISBLANK(C195)," ",190-COUNTBLANK($C$6:C195))</f>
        <v xml:space="preserve"> </v>
      </c>
      <c r="B195" s="94"/>
      <c r="C195" s="94"/>
      <c r="D195" s="95"/>
      <c r="E195" s="95"/>
      <c r="F195" s="85"/>
      <c r="G195" s="85"/>
      <c r="H195" s="85"/>
      <c r="I195" s="85"/>
      <c r="J195" s="85"/>
      <c r="K195" s="85"/>
      <c r="L195" s="85"/>
      <c r="M195" s="86"/>
      <c r="N195" s="71" t="str">
        <f t="shared" si="2"/>
        <v/>
      </c>
      <c r="O195" s="72"/>
      <c r="P195" s="72"/>
      <c r="Q195" s="72"/>
      <c r="R195" s="72"/>
      <c r="S195" s="72"/>
      <c r="T195" s="72"/>
      <c r="U195" s="72"/>
      <c r="V195" s="72"/>
    </row>
    <row r="196" spans="1:25" ht="27.75" customHeight="1">
      <c r="A196" s="87" t="str">
        <f>IF(ISBLANK(C196)," ",191-COUNTBLANK($C$6:C196))</f>
        <v xml:space="preserve"> </v>
      </c>
      <c r="B196" s="88"/>
      <c r="C196" s="88"/>
      <c r="D196" s="89"/>
      <c r="E196" s="89"/>
      <c r="F196" s="73"/>
      <c r="G196" s="73"/>
      <c r="H196" s="73"/>
      <c r="I196" s="73"/>
      <c r="J196" s="73"/>
      <c r="K196" s="73"/>
      <c r="L196" s="73"/>
      <c r="M196" s="74"/>
      <c r="N196" s="71" t="str">
        <f t="shared" si="2"/>
        <v/>
      </c>
      <c r="O196" s="72"/>
      <c r="P196" s="72"/>
      <c r="Q196" s="72"/>
      <c r="R196" s="72"/>
      <c r="S196" s="72"/>
      <c r="T196" s="72"/>
      <c r="U196" s="72"/>
      <c r="V196" s="72"/>
    </row>
    <row r="197" spans="1:25" ht="27.75" customHeight="1">
      <c r="A197" s="87" t="str">
        <f>IF(ISBLANK(C197)," ",192-COUNTBLANK($C$6:C197))</f>
        <v xml:space="preserve"> </v>
      </c>
      <c r="B197" s="88"/>
      <c r="C197" s="88"/>
      <c r="D197" s="89"/>
      <c r="E197" s="89"/>
      <c r="F197" s="73"/>
      <c r="G197" s="73"/>
      <c r="H197" s="73"/>
      <c r="I197" s="73"/>
      <c r="J197" s="73"/>
      <c r="K197" s="73"/>
      <c r="L197" s="73"/>
      <c r="M197" s="74"/>
      <c r="N197" s="71" t="str">
        <f t="shared" si="2"/>
        <v/>
      </c>
      <c r="O197" s="72"/>
      <c r="P197" s="72"/>
      <c r="Q197" s="72"/>
      <c r="R197" s="72"/>
      <c r="S197" s="72"/>
      <c r="T197" s="72"/>
      <c r="U197" s="72"/>
      <c r="V197" s="72"/>
    </row>
    <row r="198" spans="1:25" ht="27.75" customHeight="1">
      <c r="A198" s="87" t="str">
        <f>IF(ISBLANK(C198)," ",193-COUNTBLANK($C$6:C198))</f>
        <v xml:space="preserve"> </v>
      </c>
      <c r="B198" s="88"/>
      <c r="C198" s="88"/>
      <c r="D198" s="89"/>
      <c r="E198" s="89"/>
      <c r="F198" s="73"/>
      <c r="G198" s="73"/>
      <c r="H198" s="73"/>
      <c r="I198" s="73"/>
      <c r="J198" s="73"/>
      <c r="K198" s="73"/>
      <c r="L198" s="73"/>
      <c r="M198" s="74"/>
      <c r="N198" s="71" t="str">
        <f t="shared" ref="N198:N261" si="3">CONCATENATE(C198,H198)</f>
        <v/>
      </c>
      <c r="O198" s="72"/>
      <c r="P198" s="72"/>
      <c r="Q198" s="72"/>
      <c r="R198" s="72"/>
      <c r="S198" s="72"/>
      <c r="T198" s="72"/>
      <c r="U198" s="72"/>
      <c r="V198" s="72"/>
    </row>
    <row r="199" spans="1:25" ht="27.75" customHeight="1">
      <c r="A199" s="87" t="str">
        <f>IF(ISBLANK(C199)," ",194-COUNTBLANK($C$6:C199))</f>
        <v xml:space="preserve"> </v>
      </c>
      <c r="B199" s="88"/>
      <c r="C199" s="88"/>
      <c r="D199" s="89"/>
      <c r="E199" s="89"/>
      <c r="F199" s="73"/>
      <c r="G199" s="73"/>
      <c r="H199" s="73"/>
      <c r="I199" s="73"/>
      <c r="J199" s="73"/>
      <c r="K199" s="73"/>
      <c r="L199" s="73"/>
      <c r="M199" s="74"/>
      <c r="N199" s="71" t="str">
        <f t="shared" si="3"/>
        <v/>
      </c>
      <c r="O199" s="72"/>
      <c r="P199" s="72"/>
      <c r="Q199" s="72"/>
      <c r="R199" s="72"/>
      <c r="S199" s="72"/>
      <c r="T199" s="72"/>
      <c r="U199" s="72"/>
      <c r="V199" s="72"/>
    </row>
    <row r="200" spans="1:25" ht="27.75" customHeight="1">
      <c r="A200" s="87" t="str">
        <f>IF(ISBLANK(C200)," ",195-COUNTBLANK($C$6:C200))</f>
        <v xml:space="preserve"> </v>
      </c>
      <c r="B200" s="88"/>
      <c r="C200" s="88"/>
      <c r="D200" s="89"/>
      <c r="E200" s="89"/>
      <c r="F200" s="73"/>
      <c r="G200" s="73"/>
      <c r="H200" s="73"/>
      <c r="I200" s="73"/>
      <c r="J200" s="73"/>
      <c r="K200" s="73"/>
      <c r="L200" s="73"/>
      <c r="M200" s="74"/>
      <c r="N200" s="71" t="str">
        <f t="shared" si="3"/>
        <v/>
      </c>
      <c r="O200" s="72"/>
      <c r="P200" s="72"/>
      <c r="Q200" s="72"/>
      <c r="R200" s="72"/>
      <c r="S200" s="72"/>
      <c r="T200" s="72"/>
      <c r="U200" s="72"/>
      <c r="V200" s="72"/>
    </row>
    <row r="201" spans="1:25" ht="27.75" customHeight="1">
      <c r="A201" s="87" t="str">
        <f>IF(ISBLANK(C201)," ",196-COUNTBLANK($C$6:C201))</f>
        <v xml:space="preserve"> </v>
      </c>
      <c r="B201" s="88"/>
      <c r="C201" s="88"/>
      <c r="D201" s="89"/>
      <c r="E201" s="89"/>
      <c r="F201" s="73"/>
      <c r="G201" s="73"/>
      <c r="H201" s="73"/>
      <c r="I201" s="73"/>
      <c r="J201" s="73"/>
      <c r="K201" s="73"/>
      <c r="L201" s="73"/>
      <c r="M201" s="74"/>
      <c r="N201" s="71" t="str">
        <f t="shared" si="3"/>
        <v/>
      </c>
      <c r="O201" s="72"/>
      <c r="P201" s="72"/>
      <c r="Q201" s="72"/>
      <c r="R201" s="72"/>
      <c r="S201" s="72"/>
      <c r="T201" s="72"/>
      <c r="U201" s="72"/>
      <c r="V201" s="72"/>
    </row>
    <row r="202" spans="1:25" ht="27.75" customHeight="1">
      <c r="A202" s="87" t="str">
        <f>IF(ISBLANK(C202)," ",197-COUNTBLANK($C$6:C202))</f>
        <v xml:space="preserve"> </v>
      </c>
      <c r="B202" s="88"/>
      <c r="C202" s="88"/>
      <c r="D202" s="89"/>
      <c r="E202" s="89"/>
      <c r="F202" s="73"/>
      <c r="G202" s="73"/>
      <c r="H202" s="73"/>
      <c r="I202" s="73"/>
      <c r="J202" s="73"/>
      <c r="K202" s="73"/>
      <c r="L202" s="73"/>
      <c r="M202" s="74"/>
      <c r="N202" s="71" t="str">
        <f t="shared" si="3"/>
        <v/>
      </c>
      <c r="O202" s="72"/>
      <c r="P202" s="72"/>
      <c r="Q202" s="72"/>
      <c r="R202" s="72"/>
      <c r="S202" s="72"/>
      <c r="T202" s="72"/>
      <c r="U202" s="72"/>
      <c r="V202" s="72"/>
    </row>
    <row r="203" spans="1:25" ht="27.75" customHeight="1">
      <c r="A203" s="87" t="str">
        <f>IF(ISBLANK(C203)," ",198-COUNTBLANK($C$6:C203))</f>
        <v xml:space="preserve"> </v>
      </c>
      <c r="B203" s="88"/>
      <c r="C203" s="88"/>
      <c r="D203" s="89"/>
      <c r="E203" s="89"/>
      <c r="F203" s="73"/>
      <c r="G203" s="73"/>
      <c r="H203" s="73"/>
      <c r="I203" s="73"/>
      <c r="J203" s="73"/>
      <c r="K203" s="73"/>
      <c r="L203" s="73"/>
      <c r="M203" s="74"/>
      <c r="N203" s="71" t="str">
        <f t="shared" si="3"/>
        <v/>
      </c>
      <c r="O203" s="72"/>
      <c r="P203" s="72"/>
      <c r="Q203" s="72"/>
      <c r="R203" s="72"/>
      <c r="S203" s="72"/>
      <c r="T203" s="72"/>
      <c r="U203" s="72"/>
      <c r="V203" s="72"/>
    </row>
    <row r="204" spans="1:25" ht="27.75" customHeight="1">
      <c r="A204" s="87" t="str">
        <f>IF(ISBLANK(C204)," ",199-COUNTBLANK($C$6:C204))</f>
        <v xml:space="preserve"> </v>
      </c>
      <c r="B204" s="88"/>
      <c r="C204" s="88"/>
      <c r="D204" s="89"/>
      <c r="E204" s="89"/>
      <c r="F204" s="73"/>
      <c r="G204" s="73"/>
      <c r="H204" s="73"/>
      <c r="I204" s="73"/>
      <c r="J204" s="73"/>
      <c r="K204" s="73"/>
      <c r="L204" s="73"/>
      <c r="M204" s="74"/>
      <c r="N204" s="71" t="str">
        <f t="shared" si="3"/>
        <v/>
      </c>
      <c r="O204" s="72"/>
      <c r="P204" s="72"/>
      <c r="Q204" s="72"/>
      <c r="R204" s="72"/>
      <c r="S204" s="72"/>
      <c r="T204" s="72"/>
      <c r="U204" s="72"/>
      <c r="V204" s="72"/>
    </row>
    <row r="205" spans="1:25" ht="27.75" customHeight="1">
      <c r="A205" s="87" t="str">
        <f>IF(ISBLANK(C205)," ",200-COUNTBLANK($C$6:C205))</f>
        <v xml:space="preserve"> </v>
      </c>
      <c r="B205" s="88"/>
      <c r="C205" s="88"/>
      <c r="D205" s="89"/>
      <c r="E205" s="89"/>
      <c r="F205" s="73"/>
      <c r="G205" s="73"/>
      <c r="H205" s="73"/>
      <c r="I205" s="73"/>
      <c r="J205" s="73"/>
      <c r="K205" s="73"/>
      <c r="L205" s="73"/>
      <c r="M205" s="74"/>
      <c r="N205" s="71" t="str">
        <f t="shared" si="3"/>
        <v/>
      </c>
      <c r="O205" s="72"/>
      <c r="P205" s="72"/>
      <c r="Q205" s="72"/>
      <c r="R205" s="72"/>
      <c r="S205" s="72"/>
      <c r="T205" s="72"/>
      <c r="U205" s="72"/>
      <c r="V205" s="72"/>
    </row>
    <row r="206" spans="1:25" ht="27.75" customHeight="1">
      <c r="A206" s="87" t="str">
        <f>IF(ISBLANK(C206)," ",201-COUNTBLANK($C$6:C206))</f>
        <v xml:space="preserve"> </v>
      </c>
      <c r="B206" s="88"/>
      <c r="C206" s="88"/>
      <c r="D206" s="89"/>
      <c r="E206" s="89"/>
      <c r="F206" s="73"/>
      <c r="G206" s="73"/>
      <c r="H206" s="73"/>
      <c r="I206" s="73"/>
      <c r="J206" s="73"/>
      <c r="K206" s="73"/>
      <c r="L206" s="73"/>
      <c r="M206" s="74"/>
      <c r="N206" s="71" t="str">
        <f t="shared" si="3"/>
        <v/>
      </c>
      <c r="O206" s="72"/>
      <c r="P206" s="72"/>
      <c r="Q206" s="72"/>
      <c r="R206" s="72"/>
      <c r="S206" s="72"/>
      <c r="T206" s="72"/>
      <c r="U206" s="72"/>
      <c r="V206" s="72"/>
    </row>
    <row r="207" spans="1:25" ht="27.75" customHeight="1">
      <c r="A207" s="87" t="str">
        <f>IF(ISBLANK(C207)," ",202-COUNTBLANK($C$6:C207))</f>
        <v xml:space="preserve"> </v>
      </c>
      <c r="B207" s="88"/>
      <c r="C207" s="88"/>
      <c r="D207" s="89"/>
      <c r="E207" s="89"/>
      <c r="F207" s="73"/>
      <c r="G207" s="73"/>
      <c r="H207" s="73"/>
      <c r="I207" s="73"/>
      <c r="J207" s="73"/>
      <c r="K207" s="73"/>
      <c r="L207" s="73"/>
      <c r="M207" s="74"/>
      <c r="N207" s="71" t="str">
        <f t="shared" si="3"/>
        <v/>
      </c>
      <c r="O207" s="72"/>
      <c r="P207" s="72"/>
      <c r="Q207" s="72"/>
      <c r="R207" s="72"/>
      <c r="S207" s="72"/>
      <c r="T207" s="72"/>
      <c r="U207" s="72"/>
      <c r="V207" s="72"/>
    </row>
    <row r="208" spans="1:25" ht="27.75" customHeight="1">
      <c r="A208" s="87" t="str">
        <f>IF(ISBLANK(C208)," ",203-COUNTBLANK($C$6:C208))</f>
        <v xml:space="preserve"> </v>
      </c>
      <c r="B208" s="88"/>
      <c r="C208" s="88"/>
      <c r="D208" s="89"/>
      <c r="E208" s="89"/>
      <c r="F208" s="73"/>
      <c r="G208" s="73"/>
      <c r="H208" s="73"/>
      <c r="I208" s="73"/>
      <c r="J208" s="73"/>
      <c r="K208" s="73"/>
      <c r="L208" s="73"/>
      <c r="M208" s="74"/>
      <c r="N208" s="71" t="str">
        <f t="shared" si="3"/>
        <v/>
      </c>
      <c r="O208" s="72"/>
      <c r="P208" s="72"/>
      <c r="Q208" s="72"/>
      <c r="R208" s="72"/>
      <c r="S208" s="72"/>
      <c r="T208" s="72"/>
      <c r="U208" s="72"/>
      <c r="V208" s="72"/>
    </row>
    <row r="209" spans="1:25" ht="27.75" customHeight="1">
      <c r="A209" s="87" t="str">
        <f>IF(ISBLANK(C209)," ",204-COUNTBLANK($C$6:C209))</f>
        <v xml:space="preserve"> </v>
      </c>
      <c r="B209" s="88"/>
      <c r="C209" s="88"/>
      <c r="D209" s="89"/>
      <c r="E209" s="89"/>
      <c r="F209" s="73"/>
      <c r="G209" s="73"/>
      <c r="H209" s="73"/>
      <c r="I209" s="73"/>
      <c r="J209" s="73"/>
      <c r="K209" s="73"/>
      <c r="L209" s="73"/>
      <c r="M209" s="74"/>
      <c r="N209" s="71" t="str">
        <f t="shared" si="3"/>
        <v/>
      </c>
      <c r="O209" s="72"/>
      <c r="P209" s="72"/>
      <c r="Q209" s="72"/>
      <c r="R209" s="72"/>
      <c r="S209" s="72"/>
      <c r="T209" s="72"/>
      <c r="U209" s="72"/>
      <c r="V209" s="72"/>
    </row>
    <row r="210" spans="1:25" ht="27.75" customHeight="1">
      <c r="A210" s="87" t="str">
        <f>IF(ISBLANK(C210)," ",205-COUNTBLANK($C$6:C210))</f>
        <v xml:space="preserve"> </v>
      </c>
      <c r="B210" s="88"/>
      <c r="C210" s="88"/>
      <c r="D210" s="89"/>
      <c r="E210" s="89"/>
      <c r="F210" s="73"/>
      <c r="G210" s="73"/>
      <c r="H210" s="73"/>
      <c r="I210" s="73"/>
      <c r="J210" s="73"/>
      <c r="K210" s="73"/>
      <c r="L210" s="73"/>
      <c r="M210" s="74"/>
      <c r="N210" s="71" t="str">
        <f t="shared" si="3"/>
        <v/>
      </c>
      <c r="O210" s="75"/>
      <c r="P210" s="72"/>
      <c r="Q210" s="72"/>
      <c r="R210" s="72"/>
      <c r="S210" s="72"/>
      <c r="T210" s="72"/>
      <c r="U210" s="72"/>
      <c r="V210" s="76"/>
    </row>
    <row r="211" spans="1:25" ht="27.75" customHeight="1">
      <c r="A211" s="87" t="str">
        <f>IF(ISBLANK(C211)," ",206-COUNTBLANK($C$6:C211))</f>
        <v xml:space="preserve"> </v>
      </c>
      <c r="B211" s="88"/>
      <c r="C211" s="88"/>
      <c r="D211" s="89"/>
      <c r="E211" s="89"/>
      <c r="F211" s="73"/>
      <c r="G211" s="73"/>
      <c r="H211" s="73"/>
      <c r="I211" s="73"/>
      <c r="J211" s="73"/>
      <c r="K211" s="73"/>
      <c r="L211" s="73"/>
      <c r="M211" s="74"/>
      <c r="N211" s="71" t="str">
        <f t="shared" si="3"/>
        <v/>
      </c>
      <c r="O211" s="75"/>
      <c r="P211" s="72"/>
      <c r="Q211" s="72"/>
      <c r="R211" s="72"/>
      <c r="S211" s="72"/>
      <c r="T211" s="72"/>
      <c r="U211" s="72"/>
      <c r="V211" s="76"/>
    </row>
    <row r="212" spans="1:25" ht="27.75" customHeight="1">
      <c r="A212" s="87" t="str">
        <f>IF(ISBLANK(C212)," ",207-COUNTBLANK($C$6:C212))</f>
        <v xml:space="preserve"> </v>
      </c>
      <c r="B212" s="88"/>
      <c r="C212" s="88"/>
      <c r="D212" s="89"/>
      <c r="E212" s="89"/>
      <c r="F212" s="73"/>
      <c r="G212" s="73"/>
      <c r="H212" s="73"/>
      <c r="I212" s="73"/>
      <c r="J212" s="73"/>
      <c r="K212" s="73"/>
      <c r="L212" s="73"/>
      <c r="M212" s="74"/>
      <c r="N212" s="71" t="str">
        <f t="shared" si="3"/>
        <v/>
      </c>
      <c r="O212" s="75"/>
      <c r="P212" s="72"/>
      <c r="Q212" s="72"/>
      <c r="R212" s="72"/>
      <c r="S212" s="72"/>
      <c r="T212" s="72"/>
      <c r="U212" s="72"/>
      <c r="V212" s="76"/>
    </row>
    <row r="213" spans="1:25" ht="27.75" customHeight="1">
      <c r="A213" s="87" t="str">
        <f>IF(ISBLANK(C213)," ",208-COUNTBLANK($C$6:C213))</f>
        <v xml:space="preserve"> </v>
      </c>
      <c r="B213" s="88"/>
      <c r="C213" s="88"/>
      <c r="D213" s="89"/>
      <c r="E213" s="89"/>
      <c r="F213" s="73"/>
      <c r="G213" s="73"/>
      <c r="H213" s="73"/>
      <c r="I213" s="73"/>
      <c r="J213" s="73"/>
      <c r="K213" s="73"/>
      <c r="L213" s="73"/>
      <c r="M213" s="74"/>
      <c r="N213" s="71" t="str">
        <f t="shared" si="3"/>
        <v/>
      </c>
      <c r="O213" s="75"/>
      <c r="P213" s="72"/>
      <c r="Q213" s="72"/>
      <c r="R213" s="72"/>
      <c r="S213" s="72"/>
      <c r="T213" s="72"/>
      <c r="U213" s="72"/>
      <c r="V213" s="76"/>
    </row>
    <row r="214" spans="1:25" ht="27.75" customHeight="1">
      <c r="A214" s="87" t="str">
        <f>IF(ISBLANK(C214)," ",209-COUNTBLANK($C$6:C214))</f>
        <v xml:space="preserve"> </v>
      </c>
      <c r="B214" s="88"/>
      <c r="C214" s="88"/>
      <c r="D214" s="89"/>
      <c r="E214" s="89"/>
      <c r="F214" s="73"/>
      <c r="G214" s="73"/>
      <c r="H214" s="73"/>
      <c r="I214" s="73"/>
      <c r="J214" s="73"/>
      <c r="K214" s="73"/>
      <c r="L214" s="73"/>
      <c r="M214" s="74"/>
      <c r="N214" s="71" t="str">
        <f t="shared" si="3"/>
        <v/>
      </c>
      <c r="O214" s="72"/>
      <c r="P214" s="72"/>
      <c r="Q214" s="72"/>
      <c r="R214" s="72"/>
      <c r="S214" s="72"/>
      <c r="T214" s="72"/>
      <c r="U214" s="72"/>
      <c r="V214" s="79"/>
      <c r="W214" s="72"/>
      <c r="X214" s="72"/>
      <c r="Y214" s="72"/>
    </row>
    <row r="215" spans="1:25" ht="27.75" customHeight="1">
      <c r="A215" s="80" t="s">
        <v>52</v>
      </c>
      <c r="B215" s="81"/>
      <c r="C215" s="96"/>
      <c r="D215" s="82"/>
      <c r="E215" s="82">
        <f>SUM(E195:E214)</f>
        <v>0</v>
      </c>
      <c r="F215" s="83"/>
      <c r="G215" s="83"/>
      <c r="H215" s="83"/>
      <c r="I215" s="83"/>
      <c r="J215" s="83"/>
      <c r="K215" s="83"/>
      <c r="L215" s="83"/>
      <c r="M215" s="84"/>
      <c r="N215" s="71" t="str">
        <f t="shared" si="3"/>
        <v/>
      </c>
      <c r="O215" s="75"/>
      <c r="P215" s="72"/>
      <c r="Q215" s="72"/>
      <c r="R215" s="72"/>
      <c r="S215" s="72"/>
      <c r="T215" s="72"/>
      <c r="U215" s="72"/>
      <c r="V215" s="79"/>
      <c r="W215" s="72"/>
      <c r="X215" s="72"/>
      <c r="Y215" s="72"/>
    </row>
    <row r="216" spans="1:25" ht="27.75" customHeight="1">
      <c r="A216" s="93" t="str">
        <f>IF(ISBLANK(C216)," ",211-COUNTBLANK($C$6:C216))</f>
        <v xml:space="preserve"> </v>
      </c>
      <c r="B216" s="94"/>
      <c r="C216" s="94"/>
      <c r="D216" s="95"/>
      <c r="E216" s="95"/>
      <c r="F216" s="85"/>
      <c r="G216" s="85"/>
      <c r="H216" s="85"/>
      <c r="I216" s="85"/>
      <c r="J216" s="85"/>
      <c r="K216" s="85"/>
      <c r="L216" s="85"/>
      <c r="M216" s="86"/>
      <c r="N216" s="71" t="str">
        <f t="shared" si="3"/>
        <v/>
      </c>
      <c r="O216" s="72"/>
      <c r="P216" s="72"/>
      <c r="Q216" s="72"/>
      <c r="R216" s="72"/>
      <c r="S216" s="72"/>
      <c r="T216" s="72"/>
      <c r="U216" s="72"/>
      <c r="V216" s="72"/>
    </row>
    <row r="217" spans="1:25" ht="27.75" customHeight="1">
      <c r="A217" s="87" t="str">
        <f>IF(ISBLANK(C217)," ",212-COUNTBLANK($C$6:C217))</f>
        <v xml:space="preserve"> </v>
      </c>
      <c r="B217" s="88"/>
      <c r="C217" s="88"/>
      <c r="D217" s="89"/>
      <c r="E217" s="89"/>
      <c r="F217" s="73"/>
      <c r="G217" s="73"/>
      <c r="H217" s="73"/>
      <c r="I217" s="73"/>
      <c r="J217" s="73"/>
      <c r="K217" s="73"/>
      <c r="L217" s="73"/>
      <c r="M217" s="74"/>
      <c r="N217" s="71" t="str">
        <f t="shared" si="3"/>
        <v/>
      </c>
      <c r="O217" s="72"/>
      <c r="P217" s="72"/>
      <c r="Q217" s="72"/>
      <c r="R217" s="72"/>
      <c r="S217" s="72"/>
      <c r="T217" s="72"/>
      <c r="U217" s="72"/>
      <c r="V217" s="72"/>
    </row>
    <row r="218" spans="1:25" ht="27.75" customHeight="1">
      <c r="A218" s="87" t="str">
        <f>IF(ISBLANK(C218)," ",213-COUNTBLANK($C$6:C218))</f>
        <v xml:space="preserve"> </v>
      </c>
      <c r="B218" s="88"/>
      <c r="C218" s="88"/>
      <c r="D218" s="89"/>
      <c r="E218" s="89"/>
      <c r="F218" s="73"/>
      <c r="G218" s="73"/>
      <c r="H218" s="73"/>
      <c r="I218" s="73"/>
      <c r="J218" s="73"/>
      <c r="K218" s="73"/>
      <c r="L218" s="73"/>
      <c r="M218" s="74"/>
      <c r="N218" s="71" t="str">
        <f t="shared" si="3"/>
        <v/>
      </c>
      <c r="O218" s="72"/>
      <c r="P218" s="72"/>
      <c r="Q218" s="72"/>
      <c r="R218" s="72"/>
      <c r="S218" s="72"/>
      <c r="T218" s="72"/>
      <c r="U218" s="72"/>
      <c r="V218" s="72"/>
    </row>
    <row r="219" spans="1:25" ht="27.75" customHeight="1">
      <c r="A219" s="87" t="str">
        <f>IF(ISBLANK(C219)," ",214-COUNTBLANK($C$6:C219))</f>
        <v xml:space="preserve"> </v>
      </c>
      <c r="B219" s="88"/>
      <c r="C219" s="88"/>
      <c r="D219" s="89"/>
      <c r="E219" s="89"/>
      <c r="F219" s="73"/>
      <c r="G219" s="73"/>
      <c r="H219" s="73"/>
      <c r="I219" s="73"/>
      <c r="J219" s="73"/>
      <c r="K219" s="73"/>
      <c r="L219" s="73"/>
      <c r="M219" s="74"/>
      <c r="N219" s="71" t="str">
        <f t="shared" si="3"/>
        <v/>
      </c>
      <c r="O219" s="72"/>
      <c r="P219" s="72"/>
      <c r="Q219" s="72"/>
      <c r="R219" s="72"/>
      <c r="S219" s="72"/>
      <c r="T219" s="72"/>
      <c r="U219" s="72"/>
      <c r="V219" s="72"/>
    </row>
    <row r="220" spans="1:25" ht="27.75" customHeight="1">
      <c r="A220" s="87" t="str">
        <f>IF(ISBLANK(C220)," ",215-COUNTBLANK($C$6:C220))</f>
        <v xml:space="preserve"> </v>
      </c>
      <c r="B220" s="88"/>
      <c r="C220" s="88"/>
      <c r="D220" s="89"/>
      <c r="E220" s="89"/>
      <c r="F220" s="73"/>
      <c r="G220" s="73"/>
      <c r="H220" s="73"/>
      <c r="I220" s="73"/>
      <c r="J220" s="73"/>
      <c r="K220" s="73"/>
      <c r="L220" s="73"/>
      <c r="M220" s="74"/>
      <c r="N220" s="71" t="str">
        <f t="shared" si="3"/>
        <v/>
      </c>
      <c r="O220" s="72"/>
      <c r="P220" s="72"/>
      <c r="Q220" s="72"/>
      <c r="R220" s="72"/>
      <c r="S220" s="72"/>
      <c r="T220" s="72"/>
      <c r="U220" s="72"/>
      <c r="V220" s="72"/>
    </row>
    <row r="221" spans="1:25" ht="27.75" customHeight="1">
      <c r="A221" s="87" t="str">
        <f>IF(ISBLANK(C221)," ",216-COUNTBLANK($C$6:C221))</f>
        <v xml:space="preserve"> </v>
      </c>
      <c r="B221" s="88"/>
      <c r="C221" s="88"/>
      <c r="D221" s="89"/>
      <c r="E221" s="89"/>
      <c r="F221" s="73"/>
      <c r="G221" s="73"/>
      <c r="H221" s="73"/>
      <c r="I221" s="73"/>
      <c r="J221" s="73"/>
      <c r="K221" s="73"/>
      <c r="L221" s="73"/>
      <c r="M221" s="74"/>
      <c r="N221" s="71" t="str">
        <f t="shared" si="3"/>
        <v/>
      </c>
      <c r="O221" s="72"/>
      <c r="P221" s="72"/>
      <c r="Q221" s="72"/>
      <c r="R221" s="72"/>
      <c r="S221" s="72"/>
      <c r="T221" s="72"/>
      <c r="U221" s="72"/>
      <c r="V221" s="72"/>
    </row>
    <row r="222" spans="1:25" ht="27.75" customHeight="1">
      <c r="A222" s="87" t="str">
        <f>IF(ISBLANK(C222)," ",217-COUNTBLANK($C$6:C222))</f>
        <v xml:space="preserve"> </v>
      </c>
      <c r="B222" s="88"/>
      <c r="C222" s="88"/>
      <c r="D222" s="89"/>
      <c r="E222" s="89"/>
      <c r="F222" s="73"/>
      <c r="G222" s="73"/>
      <c r="H222" s="73"/>
      <c r="I222" s="73"/>
      <c r="J222" s="73"/>
      <c r="K222" s="73"/>
      <c r="L222" s="73"/>
      <c r="M222" s="74"/>
      <c r="N222" s="71" t="str">
        <f t="shared" si="3"/>
        <v/>
      </c>
      <c r="O222" s="72"/>
      <c r="P222" s="72"/>
      <c r="Q222" s="72"/>
      <c r="R222" s="72"/>
      <c r="S222" s="72"/>
      <c r="T222" s="72"/>
      <c r="U222" s="72"/>
      <c r="V222" s="72"/>
    </row>
    <row r="223" spans="1:25" ht="27.75" customHeight="1">
      <c r="A223" s="87" t="str">
        <f>IF(ISBLANK(C223)," ",218-COUNTBLANK($C$6:C223))</f>
        <v xml:space="preserve"> </v>
      </c>
      <c r="B223" s="88"/>
      <c r="C223" s="88"/>
      <c r="D223" s="89"/>
      <c r="E223" s="89"/>
      <c r="F223" s="73"/>
      <c r="G223" s="73"/>
      <c r="H223" s="73"/>
      <c r="I223" s="73"/>
      <c r="J223" s="73"/>
      <c r="K223" s="73"/>
      <c r="L223" s="73"/>
      <c r="M223" s="74"/>
      <c r="N223" s="71" t="str">
        <f t="shared" si="3"/>
        <v/>
      </c>
      <c r="O223" s="72"/>
      <c r="P223" s="72"/>
      <c r="Q223" s="72"/>
      <c r="R223" s="72"/>
      <c r="S223" s="72"/>
      <c r="T223" s="72"/>
      <c r="U223" s="72"/>
      <c r="V223" s="72"/>
    </row>
    <row r="224" spans="1:25" ht="27.75" customHeight="1">
      <c r="A224" s="87" t="str">
        <f>IF(ISBLANK(C224)," ",219-COUNTBLANK($C$6:C224))</f>
        <v xml:space="preserve"> </v>
      </c>
      <c r="B224" s="88"/>
      <c r="C224" s="88"/>
      <c r="D224" s="89"/>
      <c r="E224" s="89"/>
      <c r="F224" s="73"/>
      <c r="G224" s="73"/>
      <c r="H224" s="73"/>
      <c r="I224" s="73"/>
      <c r="J224" s="73"/>
      <c r="K224" s="73"/>
      <c r="L224" s="73"/>
      <c r="M224" s="74"/>
      <c r="N224" s="71" t="str">
        <f t="shared" si="3"/>
        <v/>
      </c>
      <c r="O224" s="72"/>
      <c r="P224" s="72"/>
      <c r="Q224" s="72"/>
      <c r="R224" s="72"/>
      <c r="S224" s="72"/>
      <c r="T224" s="72"/>
      <c r="U224" s="72"/>
      <c r="V224" s="72"/>
    </row>
    <row r="225" spans="1:25" ht="27.75" customHeight="1">
      <c r="A225" s="87" t="str">
        <f>IF(ISBLANK(C225)," ",220-COUNTBLANK($C$6:C225))</f>
        <v xml:space="preserve"> </v>
      </c>
      <c r="B225" s="88"/>
      <c r="C225" s="88"/>
      <c r="D225" s="89"/>
      <c r="E225" s="89"/>
      <c r="F225" s="73"/>
      <c r="G225" s="73"/>
      <c r="H225" s="73"/>
      <c r="I225" s="73"/>
      <c r="J225" s="73"/>
      <c r="K225" s="73"/>
      <c r="L225" s="73"/>
      <c r="M225" s="74"/>
      <c r="N225" s="71" t="str">
        <f t="shared" si="3"/>
        <v/>
      </c>
      <c r="O225" s="72"/>
      <c r="P225" s="72"/>
      <c r="Q225" s="72"/>
      <c r="R225" s="72"/>
      <c r="S225" s="72"/>
      <c r="T225" s="72"/>
      <c r="U225" s="72"/>
      <c r="V225" s="72"/>
    </row>
    <row r="226" spans="1:25" ht="27.75" customHeight="1">
      <c r="A226" s="87" t="str">
        <f>IF(ISBLANK(C226)," ",221-COUNTBLANK($C$6:C226))</f>
        <v xml:space="preserve"> </v>
      </c>
      <c r="B226" s="88"/>
      <c r="C226" s="88"/>
      <c r="D226" s="89"/>
      <c r="E226" s="89"/>
      <c r="F226" s="73"/>
      <c r="G226" s="73"/>
      <c r="H226" s="73"/>
      <c r="I226" s="73"/>
      <c r="J226" s="73"/>
      <c r="K226" s="73"/>
      <c r="L226" s="73"/>
      <c r="M226" s="74"/>
      <c r="N226" s="71" t="str">
        <f t="shared" si="3"/>
        <v/>
      </c>
      <c r="O226" s="72"/>
      <c r="P226" s="72"/>
      <c r="Q226" s="72"/>
      <c r="R226" s="72"/>
      <c r="S226" s="72"/>
      <c r="T226" s="72"/>
      <c r="U226" s="72"/>
      <c r="V226" s="72"/>
    </row>
    <row r="227" spans="1:25" ht="27.75" customHeight="1">
      <c r="A227" s="87" t="str">
        <f>IF(ISBLANK(C227)," ",222-COUNTBLANK($C$6:C227))</f>
        <v xml:space="preserve"> </v>
      </c>
      <c r="B227" s="88"/>
      <c r="C227" s="88"/>
      <c r="D227" s="89"/>
      <c r="E227" s="89"/>
      <c r="F227" s="73"/>
      <c r="G227" s="73"/>
      <c r="H227" s="73"/>
      <c r="I227" s="73"/>
      <c r="J227" s="73"/>
      <c r="K227" s="73"/>
      <c r="L227" s="73"/>
      <c r="M227" s="74"/>
      <c r="N227" s="71" t="str">
        <f t="shared" si="3"/>
        <v/>
      </c>
      <c r="O227" s="72"/>
      <c r="P227" s="72"/>
      <c r="Q227" s="72"/>
      <c r="R227" s="72"/>
      <c r="S227" s="72"/>
      <c r="T227" s="72"/>
      <c r="U227" s="72"/>
      <c r="V227" s="72"/>
    </row>
    <row r="228" spans="1:25" ht="27.75" customHeight="1">
      <c r="A228" s="87" t="str">
        <f>IF(ISBLANK(C228)," ",223-COUNTBLANK($C$6:C228))</f>
        <v xml:space="preserve"> </v>
      </c>
      <c r="B228" s="88"/>
      <c r="C228" s="88"/>
      <c r="D228" s="89"/>
      <c r="E228" s="89"/>
      <c r="F228" s="73"/>
      <c r="G228" s="73"/>
      <c r="H228" s="73"/>
      <c r="I228" s="73"/>
      <c r="J228" s="73"/>
      <c r="K228" s="73"/>
      <c r="L228" s="73"/>
      <c r="M228" s="74"/>
      <c r="N228" s="71" t="str">
        <f t="shared" si="3"/>
        <v/>
      </c>
      <c r="O228" s="72"/>
      <c r="P228" s="72"/>
      <c r="Q228" s="72"/>
      <c r="R228" s="72"/>
      <c r="S228" s="72"/>
      <c r="T228" s="72"/>
      <c r="U228" s="72"/>
      <c r="V228" s="72"/>
    </row>
    <row r="229" spans="1:25" ht="27.75" customHeight="1">
      <c r="A229" s="87" t="str">
        <f>IF(ISBLANK(C229)," ",224-COUNTBLANK($C$6:C229))</f>
        <v xml:space="preserve"> </v>
      </c>
      <c r="B229" s="88"/>
      <c r="C229" s="88"/>
      <c r="D229" s="89"/>
      <c r="E229" s="89"/>
      <c r="F229" s="73"/>
      <c r="G229" s="73"/>
      <c r="H229" s="73"/>
      <c r="I229" s="73"/>
      <c r="J229" s="73"/>
      <c r="K229" s="73"/>
      <c r="L229" s="73"/>
      <c r="M229" s="74"/>
      <c r="N229" s="71" t="str">
        <f t="shared" si="3"/>
        <v/>
      </c>
      <c r="O229" s="72"/>
      <c r="P229" s="72"/>
      <c r="Q229" s="72"/>
      <c r="R229" s="72"/>
      <c r="S229" s="72"/>
      <c r="T229" s="72"/>
      <c r="U229" s="72"/>
      <c r="V229" s="72"/>
    </row>
    <row r="230" spans="1:25" ht="27.75" customHeight="1">
      <c r="A230" s="87" t="str">
        <f>IF(ISBLANK(C230)," ",225-COUNTBLANK($C$6:C230))</f>
        <v xml:space="preserve"> </v>
      </c>
      <c r="B230" s="88"/>
      <c r="C230" s="88"/>
      <c r="D230" s="89"/>
      <c r="E230" s="89"/>
      <c r="F230" s="73"/>
      <c r="G230" s="73"/>
      <c r="H230" s="73"/>
      <c r="I230" s="73"/>
      <c r="J230" s="73"/>
      <c r="K230" s="73"/>
      <c r="L230" s="73"/>
      <c r="M230" s="74"/>
      <c r="N230" s="71" t="str">
        <f t="shared" si="3"/>
        <v/>
      </c>
      <c r="O230" s="72"/>
      <c r="P230" s="72"/>
      <c r="Q230" s="72"/>
      <c r="R230" s="72"/>
      <c r="S230" s="72"/>
      <c r="T230" s="72"/>
      <c r="U230" s="72"/>
      <c r="V230" s="72"/>
    </row>
    <row r="231" spans="1:25" ht="27.75" customHeight="1">
      <c r="A231" s="87" t="str">
        <f>IF(ISBLANK(C231)," ",226-COUNTBLANK($C$6:C231))</f>
        <v xml:space="preserve"> </v>
      </c>
      <c r="B231" s="88"/>
      <c r="C231" s="88"/>
      <c r="D231" s="89"/>
      <c r="E231" s="89"/>
      <c r="F231" s="73"/>
      <c r="G231" s="73"/>
      <c r="H231" s="73"/>
      <c r="I231" s="73"/>
      <c r="J231" s="73"/>
      <c r="K231" s="73"/>
      <c r="L231" s="73"/>
      <c r="M231" s="74"/>
      <c r="N231" s="71" t="str">
        <f t="shared" si="3"/>
        <v/>
      </c>
      <c r="O231" s="75"/>
      <c r="P231" s="72"/>
      <c r="Q231" s="72"/>
      <c r="R231" s="72"/>
      <c r="S231" s="72"/>
      <c r="T231" s="72"/>
      <c r="U231" s="72"/>
      <c r="V231" s="76"/>
    </row>
    <row r="232" spans="1:25" ht="27.75" customHeight="1">
      <c r="A232" s="87" t="str">
        <f>IF(ISBLANK(C232)," ",227-COUNTBLANK($C$6:C232))</f>
        <v xml:space="preserve"> </v>
      </c>
      <c r="B232" s="88"/>
      <c r="C232" s="88"/>
      <c r="D232" s="89"/>
      <c r="E232" s="89"/>
      <c r="F232" s="73"/>
      <c r="G232" s="73"/>
      <c r="H232" s="73"/>
      <c r="I232" s="73"/>
      <c r="J232" s="73"/>
      <c r="K232" s="73"/>
      <c r="L232" s="73"/>
      <c r="M232" s="74"/>
      <c r="N232" s="71" t="str">
        <f t="shared" si="3"/>
        <v/>
      </c>
      <c r="O232" s="75"/>
      <c r="P232" s="72"/>
      <c r="Q232" s="72"/>
      <c r="R232" s="72"/>
      <c r="S232" s="72"/>
      <c r="T232" s="72"/>
      <c r="U232" s="72"/>
      <c r="V232" s="76"/>
    </row>
    <row r="233" spans="1:25" ht="27.75" customHeight="1">
      <c r="A233" s="87" t="str">
        <f>IF(ISBLANK(C233)," ",228-COUNTBLANK($C$6:C233))</f>
        <v xml:space="preserve"> </v>
      </c>
      <c r="B233" s="88"/>
      <c r="C233" s="88"/>
      <c r="D233" s="89"/>
      <c r="E233" s="89"/>
      <c r="F233" s="73"/>
      <c r="G233" s="73"/>
      <c r="H233" s="73"/>
      <c r="I233" s="73"/>
      <c r="J233" s="73"/>
      <c r="K233" s="73"/>
      <c r="L233" s="73"/>
      <c r="M233" s="74"/>
      <c r="N233" s="71" t="str">
        <f t="shared" si="3"/>
        <v/>
      </c>
      <c r="O233" s="75"/>
      <c r="P233" s="72"/>
      <c r="Q233" s="72"/>
      <c r="R233" s="72"/>
      <c r="S233" s="72"/>
      <c r="T233" s="72"/>
      <c r="U233" s="72"/>
      <c r="V233" s="76"/>
    </row>
    <row r="234" spans="1:25" ht="27.75" customHeight="1">
      <c r="A234" s="87" t="str">
        <f>IF(ISBLANK(C234)," ",229-COUNTBLANK($C$6:C234))</f>
        <v xml:space="preserve"> </v>
      </c>
      <c r="B234" s="88"/>
      <c r="C234" s="88"/>
      <c r="D234" s="89"/>
      <c r="E234" s="89"/>
      <c r="F234" s="73"/>
      <c r="G234" s="73"/>
      <c r="H234" s="73"/>
      <c r="I234" s="73"/>
      <c r="J234" s="73"/>
      <c r="K234" s="73"/>
      <c r="L234" s="73"/>
      <c r="M234" s="74"/>
      <c r="N234" s="71" t="str">
        <f t="shared" si="3"/>
        <v/>
      </c>
      <c r="O234" s="75"/>
      <c r="P234" s="72"/>
      <c r="Q234" s="72"/>
      <c r="R234" s="72"/>
      <c r="S234" s="72"/>
      <c r="T234" s="72"/>
      <c r="U234" s="72"/>
      <c r="V234" s="76"/>
    </row>
    <row r="235" spans="1:25" ht="27.75" customHeight="1">
      <c r="A235" s="87" t="str">
        <f>IF(ISBLANK(C235)," ",230-COUNTBLANK($C$6:C235))</f>
        <v xml:space="preserve"> </v>
      </c>
      <c r="B235" s="88"/>
      <c r="C235" s="88"/>
      <c r="D235" s="89"/>
      <c r="E235" s="89"/>
      <c r="F235" s="73"/>
      <c r="G235" s="73"/>
      <c r="H235" s="73"/>
      <c r="I235" s="73"/>
      <c r="J235" s="73"/>
      <c r="K235" s="73"/>
      <c r="L235" s="73"/>
      <c r="M235" s="74"/>
      <c r="N235" s="71" t="str">
        <f t="shared" si="3"/>
        <v/>
      </c>
      <c r="O235" s="72"/>
      <c r="P235" s="72"/>
      <c r="Q235" s="72"/>
      <c r="R235" s="72"/>
      <c r="S235" s="72"/>
      <c r="T235" s="72"/>
      <c r="U235" s="72"/>
      <c r="V235" s="79"/>
      <c r="W235" s="72"/>
      <c r="X235" s="72"/>
      <c r="Y235" s="72"/>
    </row>
    <row r="236" spans="1:25" ht="27.75" customHeight="1">
      <c r="A236" s="80" t="s">
        <v>52</v>
      </c>
      <c r="B236" s="81"/>
      <c r="C236" s="96"/>
      <c r="D236" s="82"/>
      <c r="E236" s="82">
        <f>SUM(E216:E235)</f>
        <v>0</v>
      </c>
      <c r="F236" s="83"/>
      <c r="G236" s="83"/>
      <c r="H236" s="83"/>
      <c r="I236" s="83"/>
      <c r="J236" s="83"/>
      <c r="K236" s="83"/>
      <c r="L236" s="83"/>
      <c r="M236" s="84"/>
      <c r="N236" s="71" t="str">
        <f t="shared" si="3"/>
        <v/>
      </c>
      <c r="O236" s="75"/>
      <c r="P236" s="72"/>
      <c r="Q236" s="72"/>
      <c r="R236" s="72"/>
      <c r="S236" s="72"/>
      <c r="T236" s="72"/>
      <c r="U236" s="72"/>
      <c r="V236" s="79"/>
      <c r="W236" s="72"/>
      <c r="X236" s="72"/>
      <c r="Y236" s="72"/>
    </row>
    <row r="237" spans="1:25" ht="27.75" customHeight="1">
      <c r="A237" s="93" t="str">
        <f>IF(ISBLANK(C237)," ",232-COUNTBLANK($C$6:C237))</f>
        <v xml:space="preserve"> </v>
      </c>
      <c r="B237" s="94"/>
      <c r="C237" s="94"/>
      <c r="D237" s="95"/>
      <c r="E237" s="95"/>
      <c r="F237" s="85"/>
      <c r="G237" s="85"/>
      <c r="H237" s="85"/>
      <c r="I237" s="85"/>
      <c r="J237" s="85"/>
      <c r="K237" s="85"/>
      <c r="L237" s="85"/>
      <c r="M237" s="86"/>
      <c r="N237" s="71" t="str">
        <f t="shared" si="3"/>
        <v/>
      </c>
      <c r="O237" s="72"/>
      <c r="P237" s="72"/>
      <c r="Q237" s="72"/>
      <c r="R237" s="72"/>
      <c r="S237" s="72"/>
      <c r="T237" s="72"/>
      <c r="U237" s="72"/>
      <c r="V237" s="72"/>
    </row>
    <row r="238" spans="1:25" ht="27.75" customHeight="1">
      <c r="A238" s="87" t="str">
        <f>IF(ISBLANK(C238)," ",233-COUNTBLANK($C$6:C238))</f>
        <v xml:space="preserve"> </v>
      </c>
      <c r="B238" s="88"/>
      <c r="C238" s="88"/>
      <c r="D238" s="89"/>
      <c r="E238" s="89"/>
      <c r="F238" s="73"/>
      <c r="G238" s="73"/>
      <c r="H238" s="73"/>
      <c r="I238" s="73"/>
      <c r="J238" s="73"/>
      <c r="K238" s="73"/>
      <c r="L238" s="73"/>
      <c r="M238" s="74"/>
      <c r="N238" s="71" t="str">
        <f t="shared" si="3"/>
        <v/>
      </c>
      <c r="O238" s="72"/>
      <c r="P238" s="72"/>
      <c r="Q238" s="72"/>
      <c r="R238" s="72"/>
      <c r="S238" s="72"/>
      <c r="T238" s="72"/>
      <c r="U238" s="72"/>
      <c r="V238" s="72"/>
    </row>
    <row r="239" spans="1:25" ht="27.75" customHeight="1">
      <c r="A239" s="87" t="str">
        <f>IF(ISBLANK(C239)," ",234-COUNTBLANK($C$6:C239))</f>
        <v xml:space="preserve"> </v>
      </c>
      <c r="B239" s="88"/>
      <c r="C239" s="88"/>
      <c r="D239" s="89"/>
      <c r="E239" s="89"/>
      <c r="F239" s="73"/>
      <c r="G239" s="73"/>
      <c r="H239" s="73"/>
      <c r="I239" s="73"/>
      <c r="J239" s="73"/>
      <c r="K239" s="73"/>
      <c r="L239" s="73"/>
      <c r="M239" s="74"/>
      <c r="N239" s="71" t="str">
        <f t="shared" si="3"/>
        <v/>
      </c>
      <c r="O239" s="72"/>
      <c r="P239" s="72"/>
      <c r="Q239" s="72"/>
      <c r="R239" s="72"/>
      <c r="S239" s="72"/>
      <c r="T239" s="72"/>
      <c r="U239" s="72"/>
      <c r="V239" s="72"/>
    </row>
    <row r="240" spans="1:25" ht="27.75" customHeight="1">
      <c r="A240" s="87" t="str">
        <f>IF(ISBLANK(C240)," ",235-COUNTBLANK($C$6:C240))</f>
        <v xml:space="preserve"> </v>
      </c>
      <c r="B240" s="88"/>
      <c r="C240" s="88"/>
      <c r="D240" s="89"/>
      <c r="E240" s="89"/>
      <c r="F240" s="73"/>
      <c r="G240" s="73"/>
      <c r="H240" s="73"/>
      <c r="I240" s="73"/>
      <c r="J240" s="73"/>
      <c r="K240" s="73"/>
      <c r="L240" s="73"/>
      <c r="M240" s="74"/>
      <c r="N240" s="71" t="str">
        <f t="shared" si="3"/>
        <v/>
      </c>
      <c r="O240" s="72"/>
      <c r="P240" s="72"/>
      <c r="Q240" s="72"/>
      <c r="R240" s="72"/>
      <c r="S240" s="72"/>
      <c r="T240" s="72"/>
      <c r="U240" s="72"/>
      <c r="V240" s="72"/>
    </row>
    <row r="241" spans="1:25" ht="27.75" customHeight="1">
      <c r="A241" s="87" t="str">
        <f>IF(ISBLANK(C241)," ",236-COUNTBLANK($C$6:C241))</f>
        <v xml:space="preserve"> </v>
      </c>
      <c r="B241" s="88"/>
      <c r="C241" s="88"/>
      <c r="D241" s="89"/>
      <c r="E241" s="89"/>
      <c r="F241" s="73"/>
      <c r="G241" s="73"/>
      <c r="H241" s="73"/>
      <c r="I241" s="73"/>
      <c r="J241" s="73"/>
      <c r="K241" s="73"/>
      <c r="L241" s="73"/>
      <c r="M241" s="74"/>
      <c r="N241" s="71" t="str">
        <f t="shared" si="3"/>
        <v/>
      </c>
      <c r="O241" s="72"/>
      <c r="P241" s="72"/>
      <c r="Q241" s="72"/>
      <c r="R241" s="72"/>
      <c r="S241" s="72"/>
      <c r="T241" s="72"/>
      <c r="U241" s="72"/>
      <c r="V241" s="72"/>
    </row>
    <row r="242" spans="1:25" ht="27.75" customHeight="1">
      <c r="A242" s="87" t="str">
        <f>IF(ISBLANK(C242)," ",237-COUNTBLANK($C$6:C242))</f>
        <v xml:space="preserve"> </v>
      </c>
      <c r="B242" s="88"/>
      <c r="C242" s="88"/>
      <c r="D242" s="89"/>
      <c r="E242" s="89"/>
      <c r="F242" s="73"/>
      <c r="G242" s="73"/>
      <c r="H242" s="73"/>
      <c r="I242" s="73"/>
      <c r="J242" s="73"/>
      <c r="K242" s="73"/>
      <c r="L242" s="73"/>
      <c r="M242" s="74"/>
      <c r="N242" s="71" t="str">
        <f t="shared" si="3"/>
        <v/>
      </c>
      <c r="O242" s="72"/>
      <c r="P242" s="72"/>
      <c r="Q242" s="72"/>
      <c r="R242" s="72"/>
      <c r="S242" s="72"/>
      <c r="T242" s="72"/>
      <c r="U242" s="72"/>
      <c r="V242" s="72"/>
    </row>
    <row r="243" spans="1:25" ht="27.75" customHeight="1">
      <c r="A243" s="87" t="str">
        <f>IF(ISBLANK(C243)," ",238-COUNTBLANK($C$6:C243))</f>
        <v xml:space="preserve"> </v>
      </c>
      <c r="B243" s="88"/>
      <c r="C243" s="88"/>
      <c r="D243" s="89"/>
      <c r="E243" s="89"/>
      <c r="F243" s="73"/>
      <c r="G243" s="73"/>
      <c r="H243" s="73"/>
      <c r="I243" s="73"/>
      <c r="J243" s="73"/>
      <c r="K243" s="73"/>
      <c r="L243" s="73"/>
      <c r="M243" s="74"/>
      <c r="N243" s="71" t="str">
        <f t="shared" si="3"/>
        <v/>
      </c>
      <c r="O243" s="72"/>
      <c r="P243" s="72"/>
      <c r="Q243" s="72"/>
      <c r="R243" s="72"/>
      <c r="S243" s="72"/>
      <c r="T243" s="72"/>
      <c r="U243" s="72"/>
      <c r="V243" s="72"/>
    </row>
    <row r="244" spans="1:25" ht="27.75" customHeight="1">
      <c r="A244" s="87" t="str">
        <f>IF(ISBLANK(C244)," ",239-COUNTBLANK($C$6:C244))</f>
        <v xml:space="preserve"> </v>
      </c>
      <c r="B244" s="88"/>
      <c r="C244" s="88"/>
      <c r="D244" s="89"/>
      <c r="E244" s="89"/>
      <c r="F244" s="73"/>
      <c r="G244" s="73"/>
      <c r="H244" s="73"/>
      <c r="I244" s="73"/>
      <c r="J244" s="73"/>
      <c r="K244" s="73"/>
      <c r="L244" s="73"/>
      <c r="M244" s="74"/>
      <c r="N244" s="71" t="str">
        <f t="shared" si="3"/>
        <v/>
      </c>
      <c r="O244" s="72"/>
      <c r="P244" s="72"/>
      <c r="Q244" s="72"/>
      <c r="R244" s="72"/>
      <c r="S244" s="72"/>
      <c r="T244" s="72"/>
      <c r="U244" s="72"/>
      <c r="V244" s="72"/>
    </row>
    <row r="245" spans="1:25" ht="27.75" customHeight="1">
      <c r="A245" s="87" t="str">
        <f>IF(ISBLANK(C245)," ",240-COUNTBLANK($C$6:C245))</f>
        <v xml:space="preserve"> </v>
      </c>
      <c r="B245" s="88"/>
      <c r="C245" s="88"/>
      <c r="D245" s="89"/>
      <c r="E245" s="89"/>
      <c r="F245" s="73"/>
      <c r="G245" s="73"/>
      <c r="H245" s="73"/>
      <c r="I245" s="73"/>
      <c r="J245" s="73"/>
      <c r="K245" s="73"/>
      <c r="L245" s="73"/>
      <c r="M245" s="74"/>
      <c r="N245" s="71" t="str">
        <f t="shared" si="3"/>
        <v/>
      </c>
      <c r="O245" s="72"/>
      <c r="P245" s="72"/>
      <c r="Q245" s="72"/>
      <c r="R245" s="72"/>
      <c r="S245" s="72"/>
      <c r="T245" s="72"/>
      <c r="U245" s="72"/>
      <c r="V245" s="72"/>
    </row>
    <row r="246" spans="1:25" ht="27.75" customHeight="1">
      <c r="A246" s="87" t="str">
        <f>IF(ISBLANK(C246)," ",241-COUNTBLANK($C$6:C246))</f>
        <v xml:space="preserve"> </v>
      </c>
      <c r="B246" s="88"/>
      <c r="C246" s="88"/>
      <c r="D246" s="89"/>
      <c r="E246" s="89"/>
      <c r="F246" s="73"/>
      <c r="G246" s="73"/>
      <c r="H246" s="73"/>
      <c r="I246" s="73"/>
      <c r="J246" s="73"/>
      <c r="K246" s="73"/>
      <c r="L246" s="73"/>
      <c r="M246" s="74"/>
      <c r="N246" s="71" t="str">
        <f t="shared" si="3"/>
        <v/>
      </c>
      <c r="O246" s="72"/>
      <c r="P246" s="72"/>
      <c r="Q246" s="72"/>
      <c r="R246" s="72"/>
      <c r="S246" s="72"/>
      <c r="T246" s="72"/>
      <c r="U246" s="72"/>
      <c r="V246" s="72"/>
    </row>
    <row r="247" spans="1:25" ht="27.75" customHeight="1">
      <c r="A247" s="87" t="str">
        <f>IF(ISBLANK(C247)," ",242-COUNTBLANK($C$6:C247))</f>
        <v xml:space="preserve"> </v>
      </c>
      <c r="B247" s="88"/>
      <c r="C247" s="88"/>
      <c r="D247" s="89"/>
      <c r="E247" s="89"/>
      <c r="F247" s="73"/>
      <c r="G247" s="73"/>
      <c r="H247" s="73"/>
      <c r="I247" s="73"/>
      <c r="J247" s="73"/>
      <c r="K247" s="73"/>
      <c r="L247" s="73"/>
      <c r="M247" s="74"/>
      <c r="N247" s="71" t="str">
        <f t="shared" si="3"/>
        <v/>
      </c>
      <c r="O247" s="72"/>
      <c r="P247" s="72"/>
      <c r="Q247" s="72"/>
      <c r="R247" s="72"/>
      <c r="S247" s="72"/>
      <c r="T247" s="72"/>
      <c r="U247" s="72"/>
      <c r="V247" s="72"/>
    </row>
    <row r="248" spans="1:25" ht="27.75" customHeight="1">
      <c r="A248" s="87" t="str">
        <f>IF(ISBLANK(C248)," ",243-COUNTBLANK($C$6:C248))</f>
        <v xml:space="preserve"> </v>
      </c>
      <c r="B248" s="88"/>
      <c r="C248" s="88"/>
      <c r="D248" s="89"/>
      <c r="E248" s="89"/>
      <c r="F248" s="73"/>
      <c r="G248" s="73"/>
      <c r="H248" s="73"/>
      <c r="I248" s="73"/>
      <c r="J248" s="73"/>
      <c r="K248" s="73"/>
      <c r="L248" s="73"/>
      <c r="M248" s="74"/>
      <c r="N248" s="71" t="str">
        <f t="shared" si="3"/>
        <v/>
      </c>
      <c r="O248" s="72"/>
      <c r="P248" s="72"/>
      <c r="Q248" s="72"/>
      <c r="R248" s="72"/>
      <c r="S248" s="72"/>
      <c r="T248" s="72"/>
      <c r="U248" s="72"/>
      <c r="V248" s="72"/>
    </row>
    <row r="249" spans="1:25" ht="27.75" customHeight="1">
      <c r="A249" s="87" t="str">
        <f>IF(ISBLANK(C249)," ",244-COUNTBLANK($C$6:C249))</f>
        <v xml:space="preserve"> </v>
      </c>
      <c r="B249" s="88"/>
      <c r="C249" s="88"/>
      <c r="D249" s="89"/>
      <c r="E249" s="89"/>
      <c r="F249" s="73"/>
      <c r="G249" s="73"/>
      <c r="H249" s="73"/>
      <c r="I249" s="73"/>
      <c r="J249" s="73"/>
      <c r="K249" s="73"/>
      <c r="L249" s="73"/>
      <c r="M249" s="74"/>
      <c r="N249" s="71" t="str">
        <f t="shared" si="3"/>
        <v/>
      </c>
      <c r="O249" s="72"/>
      <c r="P249" s="72"/>
      <c r="Q249" s="72"/>
      <c r="R249" s="72"/>
      <c r="S249" s="72"/>
      <c r="T249" s="72"/>
      <c r="U249" s="72"/>
      <c r="V249" s="72"/>
    </row>
    <row r="250" spans="1:25" ht="27.75" customHeight="1">
      <c r="A250" s="87" t="str">
        <f>IF(ISBLANK(C250)," ",245-COUNTBLANK($C$6:C250))</f>
        <v xml:space="preserve"> </v>
      </c>
      <c r="B250" s="88"/>
      <c r="C250" s="88"/>
      <c r="D250" s="89"/>
      <c r="E250" s="89"/>
      <c r="F250" s="73"/>
      <c r="G250" s="73"/>
      <c r="H250" s="73"/>
      <c r="I250" s="73"/>
      <c r="J250" s="73"/>
      <c r="K250" s="73"/>
      <c r="L250" s="73"/>
      <c r="M250" s="74"/>
      <c r="N250" s="71" t="str">
        <f t="shared" si="3"/>
        <v/>
      </c>
      <c r="O250" s="72"/>
      <c r="P250" s="72"/>
      <c r="Q250" s="72"/>
      <c r="R250" s="72"/>
      <c r="S250" s="72"/>
      <c r="T250" s="72"/>
      <c r="U250" s="72"/>
      <c r="V250" s="72"/>
    </row>
    <row r="251" spans="1:25" ht="27.75" customHeight="1">
      <c r="A251" s="87" t="str">
        <f>IF(ISBLANK(C251)," ",246-COUNTBLANK($C$6:C251))</f>
        <v xml:space="preserve"> </v>
      </c>
      <c r="B251" s="88"/>
      <c r="C251" s="88"/>
      <c r="D251" s="89"/>
      <c r="E251" s="89"/>
      <c r="F251" s="73"/>
      <c r="G251" s="73"/>
      <c r="H251" s="73"/>
      <c r="I251" s="73"/>
      <c r="J251" s="73"/>
      <c r="K251" s="73"/>
      <c r="L251" s="73"/>
      <c r="M251" s="74"/>
      <c r="N251" s="71" t="str">
        <f t="shared" si="3"/>
        <v/>
      </c>
      <c r="O251" s="72"/>
      <c r="P251" s="72"/>
      <c r="Q251" s="72"/>
      <c r="R251" s="72"/>
      <c r="S251" s="72"/>
      <c r="T251" s="72"/>
      <c r="U251" s="72"/>
      <c r="V251" s="72"/>
    </row>
    <row r="252" spans="1:25" ht="27.75" customHeight="1">
      <c r="A252" s="87" t="str">
        <f>IF(ISBLANK(C252)," ",247-COUNTBLANK($C$6:C252))</f>
        <v xml:space="preserve"> </v>
      </c>
      <c r="B252" s="88"/>
      <c r="C252" s="88"/>
      <c r="D252" s="89"/>
      <c r="E252" s="89"/>
      <c r="F252" s="73"/>
      <c r="G252" s="73"/>
      <c r="H252" s="73"/>
      <c r="I252" s="73"/>
      <c r="J252" s="73"/>
      <c r="K252" s="73"/>
      <c r="L252" s="73"/>
      <c r="M252" s="74"/>
      <c r="N252" s="71" t="str">
        <f t="shared" si="3"/>
        <v/>
      </c>
      <c r="O252" s="75"/>
      <c r="P252" s="72"/>
      <c r="Q252" s="72"/>
      <c r="R252" s="72"/>
      <c r="S252" s="72"/>
      <c r="T252" s="72"/>
      <c r="U252" s="72"/>
      <c r="V252" s="76"/>
    </row>
    <row r="253" spans="1:25" ht="27.75" customHeight="1">
      <c r="A253" s="87" t="str">
        <f>IF(ISBLANK(C253)," ",248-COUNTBLANK($C$6:C253))</f>
        <v xml:space="preserve"> </v>
      </c>
      <c r="B253" s="88"/>
      <c r="C253" s="88"/>
      <c r="D253" s="89"/>
      <c r="E253" s="89"/>
      <c r="F253" s="73"/>
      <c r="G253" s="73"/>
      <c r="H253" s="73"/>
      <c r="I253" s="73"/>
      <c r="J253" s="73"/>
      <c r="K253" s="73"/>
      <c r="L253" s="73"/>
      <c r="M253" s="74"/>
      <c r="N253" s="71" t="str">
        <f t="shared" si="3"/>
        <v/>
      </c>
      <c r="O253" s="75"/>
      <c r="P253" s="72"/>
      <c r="Q253" s="72"/>
      <c r="R253" s="72"/>
      <c r="S253" s="72"/>
      <c r="T253" s="72"/>
      <c r="U253" s="72"/>
      <c r="V253" s="76"/>
    </row>
    <row r="254" spans="1:25" ht="27.75" customHeight="1">
      <c r="A254" s="87" t="str">
        <f>IF(ISBLANK(C254)," ",249-COUNTBLANK($C$6:C254))</f>
        <v xml:space="preserve"> </v>
      </c>
      <c r="B254" s="88"/>
      <c r="C254" s="88"/>
      <c r="D254" s="89"/>
      <c r="E254" s="89"/>
      <c r="F254" s="73"/>
      <c r="G254" s="73"/>
      <c r="H254" s="73"/>
      <c r="I254" s="73"/>
      <c r="J254" s="73"/>
      <c r="K254" s="73"/>
      <c r="L254" s="73"/>
      <c r="M254" s="74"/>
      <c r="N254" s="71" t="str">
        <f t="shared" si="3"/>
        <v/>
      </c>
      <c r="O254" s="75"/>
      <c r="P254" s="72"/>
      <c r="Q254" s="72"/>
      <c r="R254" s="72"/>
      <c r="S254" s="72"/>
      <c r="T254" s="72"/>
      <c r="U254" s="72"/>
      <c r="V254" s="76"/>
    </row>
    <row r="255" spans="1:25" ht="27.75" customHeight="1">
      <c r="A255" s="87" t="str">
        <f>IF(ISBLANK(C255)," ",250-COUNTBLANK($C$6:C255))</f>
        <v xml:space="preserve"> </v>
      </c>
      <c r="B255" s="88"/>
      <c r="C255" s="88"/>
      <c r="D255" s="89"/>
      <c r="E255" s="89"/>
      <c r="F255" s="73"/>
      <c r="G255" s="73"/>
      <c r="H255" s="73"/>
      <c r="I255" s="73"/>
      <c r="J255" s="73"/>
      <c r="K255" s="73"/>
      <c r="L255" s="73"/>
      <c r="M255" s="74"/>
      <c r="N255" s="71" t="str">
        <f t="shared" si="3"/>
        <v/>
      </c>
      <c r="O255" s="75"/>
      <c r="P255" s="72"/>
      <c r="Q255" s="72"/>
      <c r="R255" s="72"/>
      <c r="S255" s="72"/>
      <c r="T255" s="72"/>
      <c r="U255" s="72"/>
      <c r="V255" s="76"/>
    </row>
    <row r="256" spans="1:25" ht="27.75" customHeight="1">
      <c r="A256" s="87" t="str">
        <f>IF(ISBLANK(C256)," ",251-COUNTBLANK($C$6:C256))</f>
        <v xml:space="preserve"> </v>
      </c>
      <c r="B256" s="88"/>
      <c r="C256" s="88"/>
      <c r="D256" s="89"/>
      <c r="E256" s="89"/>
      <c r="F256" s="73"/>
      <c r="G256" s="73"/>
      <c r="H256" s="73"/>
      <c r="I256" s="73"/>
      <c r="J256" s="73"/>
      <c r="K256" s="73"/>
      <c r="L256" s="73"/>
      <c r="M256" s="74"/>
      <c r="N256" s="71" t="str">
        <f t="shared" si="3"/>
        <v/>
      </c>
      <c r="O256" s="72"/>
      <c r="P256" s="72"/>
      <c r="Q256" s="72"/>
      <c r="R256" s="72"/>
      <c r="S256" s="72"/>
      <c r="T256" s="72"/>
      <c r="U256" s="72"/>
      <c r="V256" s="79"/>
      <c r="W256" s="72"/>
      <c r="X256" s="72"/>
      <c r="Y256" s="72"/>
    </row>
    <row r="257" spans="1:25" ht="27.75" customHeight="1">
      <c r="A257" s="80" t="s">
        <v>52</v>
      </c>
      <c r="B257" s="81"/>
      <c r="C257" s="96"/>
      <c r="D257" s="82"/>
      <c r="E257" s="82">
        <f>SUM(E237:E256)</f>
        <v>0</v>
      </c>
      <c r="F257" s="83"/>
      <c r="G257" s="83"/>
      <c r="H257" s="83"/>
      <c r="I257" s="83"/>
      <c r="J257" s="83"/>
      <c r="K257" s="83"/>
      <c r="L257" s="83"/>
      <c r="M257" s="84"/>
      <c r="N257" s="71" t="str">
        <f t="shared" si="3"/>
        <v/>
      </c>
      <c r="O257" s="75"/>
      <c r="P257" s="72"/>
      <c r="Q257" s="72"/>
      <c r="R257" s="72"/>
      <c r="S257" s="72"/>
      <c r="T257" s="72"/>
      <c r="U257" s="72"/>
      <c r="V257" s="79"/>
      <c r="W257" s="72"/>
      <c r="X257" s="72"/>
      <c r="Y257" s="72"/>
    </row>
    <row r="258" spans="1:25" ht="27.75" customHeight="1">
      <c r="A258" s="93" t="str">
        <f>IF(ISBLANK(C258)," ",253-COUNTBLANK($C$6:C258))</f>
        <v xml:space="preserve"> </v>
      </c>
      <c r="B258" s="94"/>
      <c r="C258" s="94"/>
      <c r="D258" s="95"/>
      <c r="E258" s="95"/>
      <c r="F258" s="85"/>
      <c r="G258" s="85"/>
      <c r="H258" s="85"/>
      <c r="I258" s="85"/>
      <c r="J258" s="85"/>
      <c r="K258" s="85"/>
      <c r="L258" s="85"/>
      <c r="M258" s="86"/>
      <c r="N258" s="71" t="str">
        <f t="shared" si="3"/>
        <v/>
      </c>
      <c r="O258" s="72"/>
      <c r="P258" s="72"/>
      <c r="Q258" s="72"/>
      <c r="R258" s="72"/>
      <c r="S258" s="72"/>
      <c r="T258" s="72"/>
      <c r="U258" s="72"/>
      <c r="V258" s="72"/>
    </row>
    <row r="259" spans="1:25" ht="27.75" customHeight="1">
      <c r="A259" s="87" t="str">
        <f>IF(ISBLANK(C259)," ",254-COUNTBLANK($C$6:C259))</f>
        <v xml:space="preserve"> </v>
      </c>
      <c r="B259" s="88"/>
      <c r="C259" s="88"/>
      <c r="D259" s="89"/>
      <c r="E259" s="89"/>
      <c r="F259" s="73"/>
      <c r="G259" s="73"/>
      <c r="H259" s="73"/>
      <c r="I259" s="73"/>
      <c r="J259" s="73"/>
      <c r="K259" s="73"/>
      <c r="L259" s="73"/>
      <c r="M259" s="74"/>
      <c r="N259" s="71" t="str">
        <f t="shared" si="3"/>
        <v/>
      </c>
      <c r="O259" s="72"/>
      <c r="P259" s="72"/>
      <c r="Q259" s="72"/>
      <c r="R259" s="72"/>
      <c r="S259" s="72"/>
      <c r="T259" s="72"/>
      <c r="U259" s="72"/>
      <c r="V259" s="72"/>
    </row>
    <row r="260" spans="1:25" ht="27.75" customHeight="1">
      <c r="A260" s="87" t="str">
        <f>IF(ISBLANK(C260)," ",255-COUNTBLANK($C$6:C260))</f>
        <v xml:space="preserve"> </v>
      </c>
      <c r="B260" s="88"/>
      <c r="C260" s="88"/>
      <c r="D260" s="89"/>
      <c r="E260" s="89"/>
      <c r="F260" s="73"/>
      <c r="G260" s="73"/>
      <c r="H260" s="73"/>
      <c r="I260" s="73"/>
      <c r="J260" s="73"/>
      <c r="K260" s="73"/>
      <c r="L260" s="73"/>
      <c r="M260" s="74"/>
      <c r="N260" s="71" t="str">
        <f t="shared" si="3"/>
        <v/>
      </c>
      <c r="O260" s="72"/>
      <c r="P260" s="72"/>
      <c r="Q260" s="72"/>
      <c r="R260" s="72"/>
      <c r="S260" s="72"/>
      <c r="T260" s="72"/>
      <c r="U260" s="72"/>
      <c r="V260" s="72"/>
    </row>
    <row r="261" spans="1:25" ht="27.75" customHeight="1">
      <c r="A261" s="87" t="str">
        <f>IF(ISBLANK(C261)," ",256-COUNTBLANK($C$6:C261))</f>
        <v xml:space="preserve"> </v>
      </c>
      <c r="B261" s="88"/>
      <c r="C261" s="88"/>
      <c r="D261" s="89"/>
      <c r="E261" s="89"/>
      <c r="F261" s="73"/>
      <c r="G261" s="73"/>
      <c r="H261" s="73"/>
      <c r="I261" s="73"/>
      <c r="J261" s="73"/>
      <c r="K261" s="73"/>
      <c r="L261" s="73"/>
      <c r="M261" s="74"/>
      <c r="N261" s="71" t="str">
        <f t="shared" si="3"/>
        <v/>
      </c>
      <c r="O261" s="72"/>
      <c r="P261" s="72"/>
      <c r="Q261" s="72"/>
      <c r="R261" s="72"/>
      <c r="S261" s="72"/>
      <c r="T261" s="72"/>
      <c r="U261" s="72"/>
      <c r="V261" s="72"/>
    </row>
    <row r="262" spans="1:25" ht="27.75" customHeight="1">
      <c r="A262" s="87" t="str">
        <f>IF(ISBLANK(C262)," ",257-COUNTBLANK($C$6:C262))</f>
        <v xml:space="preserve"> </v>
      </c>
      <c r="B262" s="88"/>
      <c r="C262" s="88"/>
      <c r="D262" s="89"/>
      <c r="E262" s="89"/>
      <c r="F262" s="73"/>
      <c r="G262" s="73"/>
      <c r="H262" s="73"/>
      <c r="I262" s="73"/>
      <c r="J262" s="73"/>
      <c r="K262" s="73"/>
      <c r="L262" s="73"/>
      <c r="M262" s="74"/>
      <c r="N262" s="71" t="str">
        <f t="shared" ref="N262:N325" si="4">CONCATENATE(C262,H262)</f>
        <v/>
      </c>
      <c r="O262" s="72"/>
      <c r="P262" s="72"/>
      <c r="Q262" s="72"/>
      <c r="R262" s="72"/>
      <c r="S262" s="72"/>
      <c r="T262" s="72"/>
      <c r="U262" s="72"/>
      <c r="V262" s="72"/>
    </row>
    <row r="263" spans="1:25" ht="27.75" customHeight="1">
      <c r="A263" s="87" t="str">
        <f>IF(ISBLANK(C263)," ",258-COUNTBLANK($C$6:C263))</f>
        <v xml:space="preserve"> </v>
      </c>
      <c r="B263" s="88"/>
      <c r="C263" s="88"/>
      <c r="D263" s="89"/>
      <c r="E263" s="89"/>
      <c r="F263" s="73"/>
      <c r="G263" s="73"/>
      <c r="H263" s="73"/>
      <c r="I263" s="73"/>
      <c r="J263" s="73"/>
      <c r="K263" s="73"/>
      <c r="L263" s="73"/>
      <c r="M263" s="74"/>
      <c r="N263" s="71" t="str">
        <f t="shared" si="4"/>
        <v/>
      </c>
      <c r="O263" s="72"/>
      <c r="P263" s="72"/>
      <c r="Q263" s="72"/>
      <c r="R263" s="72"/>
      <c r="S263" s="72"/>
      <c r="T263" s="72"/>
      <c r="U263" s="72"/>
      <c r="V263" s="72"/>
    </row>
    <row r="264" spans="1:25" ht="27.75" customHeight="1">
      <c r="A264" s="87" t="str">
        <f>IF(ISBLANK(C264)," ",259-COUNTBLANK($C$6:C264))</f>
        <v xml:space="preserve"> </v>
      </c>
      <c r="B264" s="88"/>
      <c r="C264" s="88"/>
      <c r="D264" s="89"/>
      <c r="E264" s="89"/>
      <c r="F264" s="73"/>
      <c r="G264" s="73"/>
      <c r="H264" s="73"/>
      <c r="I264" s="73"/>
      <c r="J264" s="73"/>
      <c r="K264" s="73"/>
      <c r="L264" s="73"/>
      <c r="M264" s="74"/>
      <c r="N264" s="71" t="str">
        <f t="shared" si="4"/>
        <v/>
      </c>
      <c r="O264" s="72"/>
      <c r="P264" s="72"/>
      <c r="Q264" s="72"/>
      <c r="R264" s="72"/>
      <c r="S264" s="72"/>
      <c r="T264" s="72"/>
      <c r="U264" s="72"/>
      <c r="V264" s="72"/>
    </row>
    <row r="265" spans="1:25" ht="27.75" customHeight="1">
      <c r="A265" s="87" t="str">
        <f>IF(ISBLANK(C265)," ",260-COUNTBLANK($C$6:C265))</f>
        <v xml:space="preserve"> </v>
      </c>
      <c r="B265" s="88"/>
      <c r="C265" s="88"/>
      <c r="D265" s="89"/>
      <c r="E265" s="89"/>
      <c r="F265" s="73"/>
      <c r="G265" s="73"/>
      <c r="H265" s="73"/>
      <c r="I265" s="73"/>
      <c r="J265" s="73"/>
      <c r="K265" s="73"/>
      <c r="L265" s="73"/>
      <c r="M265" s="74"/>
      <c r="N265" s="71" t="str">
        <f t="shared" si="4"/>
        <v/>
      </c>
      <c r="O265" s="72"/>
      <c r="P265" s="72"/>
      <c r="Q265" s="72"/>
      <c r="R265" s="72"/>
      <c r="S265" s="72"/>
      <c r="T265" s="72"/>
      <c r="U265" s="72"/>
      <c r="V265" s="72"/>
    </row>
    <row r="266" spans="1:25" ht="27.75" customHeight="1">
      <c r="A266" s="87" t="str">
        <f>IF(ISBLANK(C266)," ",261-COUNTBLANK($C$6:C266))</f>
        <v xml:space="preserve"> </v>
      </c>
      <c r="B266" s="88"/>
      <c r="C266" s="88"/>
      <c r="D266" s="89"/>
      <c r="E266" s="89"/>
      <c r="F266" s="73"/>
      <c r="G266" s="73"/>
      <c r="H266" s="73"/>
      <c r="I266" s="73"/>
      <c r="J266" s="73"/>
      <c r="K266" s="73"/>
      <c r="L266" s="73"/>
      <c r="M266" s="74"/>
      <c r="N266" s="71" t="str">
        <f t="shared" si="4"/>
        <v/>
      </c>
      <c r="O266" s="72"/>
      <c r="P266" s="72"/>
      <c r="Q266" s="72"/>
      <c r="R266" s="72"/>
      <c r="S266" s="72"/>
      <c r="T266" s="72"/>
      <c r="U266" s="72"/>
      <c r="V266" s="72"/>
    </row>
    <row r="267" spans="1:25" ht="27.75" customHeight="1">
      <c r="A267" s="87" t="str">
        <f>IF(ISBLANK(C267)," ",262-COUNTBLANK($C$6:C267))</f>
        <v xml:space="preserve"> </v>
      </c>
      <c r="B267" s="88"/>
      <c r="C267" s="88"/>
      <c r="D267" s="89"/>
      <c r="E267" s="89"/>
      <c r="F267" s="73"/>
      <c r="G267" s="73"/>
      <c r="H267" s="73"/>
      <c r="I267" s="73"/>
      <c r="J267" s="73"/>
      <c r="K267" s="73"/>
      <c r="L267" s="73"/>
      <c r="M267" s="74"/>
      <c r="N267" s="71" t="str">
        <f t="shared" si="4"/>
        <v/>
      </c>
      <c r="O267" s="72"/>
      <c r="P267" s="72"/>
      <c r="Q267" s="72"/>
      <c r="R267" s="72"/>
      <c r="S267" s="72"/>
      <c r="T267" s="72"/>
      <c r="U267" s="72"/>
      <c r="V267" s="72"/>
    </row>
    <row r="268" spans="1:25" ht="27.75" customHeight="1">
      <c r="A268" s="87" t="str">
        <f>IF(ISBLANK(C268)," ",263-COUNTBLANK($C$6:C268))</f>
        <v xml:space="preserve"> </v>
      </c>
      <c r="B268" s="88"/>
      <c r="C268" s="88"/>
      <c r="D268" s="89"/>
      <c r="E268" s="89"/>
      <c r="F268" s="73"/>
      <c r="G268" s="73"/>
      <c r="H268" s="73"/>
      <c r="I268" s="73"/>
      <c r="J268" s="73"/>
      <c r="K268" s="73"/>
      <c r="L268" s="73"/>
      <c r="M268" s="74"/>
      <c r="N268" s="71" t="str">
        <f t="shared" si="4"/>
        <v/>
      </c>
      <c r="O268" s="72"/>
      <c r="P268" s="72"/>
      <c r="Q268" s="72"/>
      <c r="R268" s="72"/>
      <c r="S268" s="72"/>
      <c r="T268" s="72"/>
      <c r="U268" s="72"/>
      <c r="V268" s="72"/>
    </row>
    <row r="269" spans="1:25" ht="27.75" customHeight="1">
      <c r="A269" s="87" t="str">
        <f>IF(ISBLANK(C269)," ",264-COUNTBLANK($C$6:C269))</f>
        <v xml:space="preserve"> </v>
      </c>
      <c r="B269" s="88"/>
      <c r="C269" s="88"/>
      <c r="D269" s="89"/>
      <c r="E269" s="89"/>
      <c r="F269" s="73"/>
      <c r="G269" s="73"/>
      <c r="H269" s="73"/>
      <c r="I269" s="73"/>
      <c r="J269" s="73"/>
      <c r="K269" s="73"/>
      <c r="L269" s="73"/>
      <c r="M269" s="74"/>
      <c r="N269" s="71" t="str">
        <f t="shared" si="4"/>
        <v/>
      </c>
      <c r="O269" s="72"/>
      <c r="P269" s="72"/>
      <c r="Q269" s="72"/>
      <c r="R269" s="72"/>
      <c r="S269" s="72"/>
      <c r="T269" s="72"/>
      <c r="U269" s="72"/>
      <c r="V269" s="72"/>
    </row>
    <row r="270" spans="1:25" ht="27.75" customHeight="1">
      <c r="A270" s="87" t="str">
        <f>IF(ISBLANK(C270)," ",265-COUNTBLANK($C$6:C270))</f>
        <v xml:space="preserve"> </v>
      </c>
      <c r="B270" s="88"/>
      <c r="C270" s="88"/>
      <c r="D270" s="89"/>
      <c r="E270" s="89"/>
      <c r="F270" s="73"/>
      <c r="G270" s="73"/>
      <c r="H270" s="73"/>
      <c r="I270" s="73"/>
      <c r="J270" s="73"/>
      <c r="K270" s="73"/>
      <c r="L270" s="73"/>
      <c r="M270" s="74"/>
      <c r="N270" s="71" t="str">
        <f t="shared" si="4"/>
        <v/>
      </c>
      <c r="O270" s="72"/>
      <c r="P270" s="72"/>
      <c r="Q270" s="72"/>
      <c r="R270" s="72"/>
      <c r="S270" s="72"/>
      <c r="T270" s="72"/>
      <c r="U270" s="72"/>
      <c r="V270" s="72"/>
    </row>
    <row r="271" spans="1:25" ht="27.75" customHeight="1">
      <c r="A271" s="87" t="str">
        <f>IF(ISBLANK(C271)," ",266-COUNTBLANK($C$6:C271))</f>
        <v xml:space="preserve"> </v>
      </c>
      <c r="B271" s="88"/>
      <c r="C271" s="88"/>
      <c r="D271" s="89"/>
      <c r="E271" s="89"/>
      <c r="F271" s="73"/>
      <c r="G271" s="73"/>
      <c r="H271" s="73"/>
      <c r="I271" s="73"/>
      <c r="J271" s="73"/>
      <c r="K271" s="73"/>
      <c r="L271" s="73"/>
      <c r="M271" s="74"/>
      <c r="N271" s="71" t="str">
        <f t="shared" si="4"/>
        <v/>
      </c>
      <c r="O271" s="72"/>
      <c r="P271" s="72"/>
      <c r="Q271" s="72"/>
      <c r="R271" s="72"/>
      <c r="S271" s="72"/>
      <c r="T271" s="72"/>
      <c r="U271" s="72"/>
      <c r="V271" s="72"/>
    </row>
    <row r="272" spans="1:25" ht="27.75" customHeight="1">
      <c r="A272" s="87" t="str">
        <f>IF(ISBLANK(C272)," ",267-COUNTBLANK($C$6:C272))</f>
        <v xml:space="preserve"> </v>
      </c>
      <c r="B272" s="88"/>
      <c r="C272" s="88"/>
      <c r="D272" s="89"/>
      <c r="E272" s="89"/>
      <c r="F272" s="73"/>
      <c r="G272" s="73"/>
      <c r="H272" s="73"/>
      <c r="I272" s="73"/>
      <c r="J272" s="73"/>
      <c r="K272" s="73"/>
      <c r="L272" s="73"/>
      <c r="M272" s="74"/>
      <c r="N272" s="71" t="str">
        <f t="shared" si="4"/>
        <v/>
      </c>
      <c r="O272" s="72"/>
      <c r="P272" s="72"/>
      <c r="Q272" s="72"/>
      <c r="R272" s="72"/>
      <c r="S272" s="72"/>
      <c r="T272" s="72"/>
      <c r="U272" s="72"/>
      <c r="V272" s="72"/>
    </row>
    <row r="273" spans="1:25" ht="27.75" customHeight="1">
      <c r="A273" s="87" t="str">
        <f>IF(ISBLANK(C273)," ",268-COUNTBLANK($C$6:C273))</f>
        <v xml:space="preserve"> </v>
      </c>
      <c r="B273" s="88"/>
      <c r="C273" s="88"/>
      <c r="D273" s="89"/>
      <c r="E273" s="89"/>
      <c r="F273" s="73"/>
      <c r="G273" s="73"/>
      <c r="H273" s="73"/>
      <c r="I273" s="73"/>
      <c r="J273" s="73"/>
      <c r="K273" s="73"/>
      <c r="L273" s="73"/>
      <c r="M273" s="74"/>
      <c r="N273" s="71" t="str">
        <f t="shared" si="4"/>
        <v/>
      </c>
      <c r="O273" s="75"/>
      <c r="P273" s="72"/>
      <c r="Q273" s="72"/>
      <c r="R273" s="72"/>
      <c r="S273" s="72"/>
      <c r="T273" s="72"/>
      <c r="U273" s="72"/>
      <c r="V273" s="76"/>
    </row>
    <row r="274" spans="1:25" ht="27.75" customHeight="1">
      <c r="A274" s="87" t="str">
        <f>IF(ISBLANK(C274)," ",269-COUNTBLANK($C$6:C274))</f>
        <v xml:space="preserve"> </v>
      </c>
      <c r="B274" s="88"/>
      <c r="C274" s="88"/>
      <c r="D274" s="89"/>
      <c r="E274" s="89"/>
      <c r="F274" s="73"/>
      <c r="G274" s="73"/>
      <c r="H274" s="73"/>
      <c r="I274" s="73"/>
      <c r="J274" s="73"/>
      <c r="K274" s="73"/>
      <c r="L274" s="73"/>
      <c r="M274" s="74"/>
      <c r="N274" s="71" t="str">
        <f t="shared" si="4"/>
        <v/>
      </c>
      <c r="O274" s="75"/>
      <c r="P274" s="72"/>
      <c r="Q274" s="72"/>
      <c r="R274" s="72"/>
      <c r="S274" s="72"/>
      <c r="T274" s="72"/>
      <c r="U274" s="72"/>
      <c r="V274" s="76"/>
    </row>
    <row r="275" spans="1:25" ht="27.75" customHeight="1">
      <c r="A275" s="87" t="str">
        <f>IF(ISBLANK(C275)," ",270-COUNTBLANK($C$6:C275))</f>
        <v xml:space="preserve"> </v>
      </c>
      <c r="B275" s="88"/>
      <c r="C275" s="88"/>
      <c r="D275" s="89"/>
      <c r="E275" s="89"/>
      <c r="F275" s="73"/>
      <c r="G275" s="73"/>
      <c r="H275" s="73"/>
      <c r="I275" s="73"/>
      <c r="J275" s="73"/>
      <c r="K275" s="73"/>
      <c r="L275" s="73"/>
      <c r="M275" s="74"/>
      <c r="N275" s="71" t="str">
        <f t="shared" si="4"/>
        <v/>
      </c>
      <c r="O275" s="75"/>
      <c r="P275" s="72"/>
      <c r="Q275" s="72"/>
      <c r="R275" s="72"/>
      <c r="S275" s="72"/>
      <c r="T275" s="72"/>
      <c r="U275" s="72"/>
      <c r="V275" s="76"/>
    </row>
    <row r="276" spans="1:25" ht="27.75" customHeight="1">
      <c r="A276" s="87" t="str">
        <f>IF(ISBLANK(C276)," ",271-COUNTBLANK($C$6:C276))</f>
        <v xml:space="preserve"> </v>
      </c>
      <c r="B276" s="88"/>
      <c r="C276" s="88"/>
      <c r="D276" s="89"/>
      <c r="E276" s="89"/>
      <c r="F276" s="73"/>
      <c r="G276" s="73"/>
      <c r="H276" s="73"/>
      <c r="I276" s="73"/>
      <c r="J276" s="73"/>
      <c r="K276" s="73"/>
      <c r="L276" s="73"/>
      <c r="M276" s="74"/>
      <c r="N276" s="71" t="str">
        <f t="shared" si="4"/>
        <v/>
      </c>
      <c r="O276" s="75"/>
      <c r="P276" s="72"/>
      <c r="Q276" s="72"/>
      <c r="R276" s="72"/>
      <c r="S276" s="72"/>
      <c r="T276" s="72"/>
      <c r="U276" s="72"/>
      <c r="V276" s="76"/>
    </row>
    <row r="277" spans="1:25" ht="27.75" customHeight="1">
      <c r="A277" s="87" t="str">
        <f>IF(ISBLANK(C277)," ",272-COUNTBLANK($C$6:C277))</f>
        <v xml:space="preserve"> </v>
      </c>
      <c r="B277" s="88"/>
      <c r="C277" s="88"/>
      <c r="D277" s="89"/>
      <c r="E277" s="89"/>
      <c r="F277" s="73"/>
      <c r="G277" s="73"/>
      <c r="H277" s="73"/>
      <c r="I277" s="73"/>
      <c r="J277" s="73"/>
      <c r="K277" s="73"/>
      <c r="L277" s="73"/>
      <c r="M277" s="74"/>
      <c r="N277" s="71" t="str">
        <f t="shared" si="4"/>
        <v/>
      </c>
      <c r="O277" s="72"/>
      <c r="P277" s="72"/>
      <c r="Q277" s="72"/>
      <c r="R277" s="72"/>
      <c r="S277" s="72"/>
      <c r="T277" s="72"/>
      <c r="U277" s="72"/>
      <c r="V277" s="79"/>
      <c r="W277" s="72"/>
      <c r="X277" s="72"/>
      <c r="Y277" s="72"/>
    </row>
    <row r="278" spans="1:25" ht="27.75" customHeight="1">
      <c r="A278" s="80" t="s">
        <v>52</v>
      </c>
      <c r="B278" s="81"/>
      <c r="C278" s="96"/>
      <c r="D278" s="82"/>
      <c r="E278" s="82">
        <f>SUM(E258:E277)</f>
        <v>0</v>
      </c>
      <c r="F278" s="83"/>
      <c r="G278" s="83"/>
      <c r="H278" s="83"/>
      <c r="I278" s="83"/>
      <c r="J278" s="83"/>
      <c r="K278" s="83"/>
      <c r="L278" s="83"/>
      <c r="M278" s="84"/>
      <c r="N278" s="71" t="str">
        <f t="shared" si="4"/>
        <v/>
      </c>
      <c r="O278" s="75"/>
      <c r="P278" s="72"/>
      <c r="Q278" s="72"/>
      <c r="R278" s="72"/>
      <c r="S278" s="72"/>
      <c r="T278" s="72"/>
      <c r="U278" s="72"/>
      <c r="V278" s="79"/>
      <c r="W278" s="72"/>
      <c r="X278" s="72"/>
      <c r="Y278" s="72"/>
    </row>
    <row r="279" spans="1:25" ht="27.75" customHeight="1">
      <c r="A279" s="93" t="str">
        <f>IF(ISBLANK(C279)," ",274-COUNTBLANK($C$6:C279))</f>
        <v xml:space="preserve"> </v>
      </c>
      <c r="B279" s="94"/>
      <c r="C279" s="94"/>
      <c r="D279" s="95"/>
      <c r="E279" s="95"/>
      <c r="F279" s="85"/>
      <c r="G279" s="85"/>
      <c r="H279" s="85"/>
      <c r="I279" s="85"/>
      <c r="J279" s="85"/>
      <c r="K279" s="85"/>
      <c r="L279" s="85"/>
      <c r="M279" s="86"/>
      <c r="N279" s="71" t="str">
        <f t="shared" si="4"/>
        <v/>
      </c>
      <c r="O279" s="72"/>
      <c r="P279" s="72"/>
      <c r="Q279" s="72"/>
      <c r="R279" s="72"/>
      <c r="S279" s="72"/>
      <c r="T279" s="72"/>
      <c r="U279" s="72"/>
      <c r="V279" s="72"/>
    </row>
    <row r="280" spans="1:25" ht="27.75" customHeight="1">
      <c r="A280" s="87" t="str">
        <f>IF(ISBLANK(C280)," ",275-COUNTBLANK($C$6:C280))</f>
        <v xml:space="preserve"> </v>
      </c>
      <c r="B280" s="88"/>
      <c r="C280" s="88"/>
      <c r="D280" s="89"/>
      <c r="E280" s="89"/>
      <c r="F280" s="73"/>
      <c r="G280" s="73"/>
      <c r="H280" s="73"/>
      <c r="I280" s="73"/>
      <c r="J280" s="73"/>
      <c r="K280" s="73"/>
      <c r="L280" s="73"/>
      <c r="M280" s="74"/>
      <c r="N280" s="71" t="str">
        <f t="shared" si="4"/>
        <v/>
      </c>
      <c r="O280" s="72"/>
      <c r="P280" s="72"/>
      <c r="Q280" s="72"/>
      <c r="R280" s="72"/>
      <c r="S280" s="72"/>
      <c r="T280" s="72"/>
      <c r="U280" s="72"/>
      <c r="V280" s="72"/>
    </row>
    <row r="281" spans="1:25" ht="27.75" customHeight="1">
      <c r="A281" s="87" t="str">
        <f>IF(ISBLANK(C281)," ",276-COUNTBLANK($C$6:C281))</f>
        <v xml:space="preserve"> </v>
      </c>
      <c r="B281" s="88"/>
      <c r="C281" s="88"/>
      <c r="D281" s="89"/>
      <c r="E281" s="89"/>
      <c r="F281" s="73"/>
      <c r="G281" s="73"/>
      <c r="H281" s="73"/>
      <c r="I281" s="73"/>
      <c r="J281" s="73"/>
      <c r="K281" s="73"/>
      <c r="L281" s="73"/>
      <c r="M281" s="74"/>
      <c r="N281" s="71" t="str">
        <f t="shared" si="4"/>
        <v/>
      </c>
      <c r="O281" s="72"/>
      <c r="P281" s="72"/>
      <c r="Q281" s="72"/>
      <c r="R281" s="72"/>
      <c r="S281" s="72"/>
      <c r="T281" s="72"/>
      <c r="U281" s="72"/>
      <c r="V281" s="72"/>
    </row>
    <row r="282" spans="1:25" ht="27.75" customHeight="1">
      <c r="A282" s="87" t="str">
        <f>IF(ISBLANK(C282)," ",277-COUNTBLANK($C$6:C282))</f>
        <v xml:space="preserve"> </v>
      </c>
      <c r="B282" s="88"/>
      <c r="C282" s="88"/>
      <c r="D282" s="89"/>
      <c r="E282" s="89"/>
      <c r="F282" s="73"/>
      <c r="G282" s="73"/>
      <c r="H282" s="73"/>
      <c r="I282" s="73"/>
      <c r="J282" s="73"/>
      <c r="K282" s="73"/>
      <c r="L282" s="73"/>
      <c r="M282" s="74"/>
      <c r="N282" s="71" t="str">
        <f t="shared" si="4"/>
        <v/>
      </c>
      <c r="O282" s="72"/>
      <c r="P282" s="72"/>
      <c r="Q282" s="72"/>
      <c r="R282" s="72"/>
      <c r="S282" s="72"/>
      <c r="T282" s="72"/>
      <c r="U282" s="72"/>
      <c r="V282" s="72"/>
    </row>
    <row r="283" spans="1:25" ht="27.75" customHeight="1">
      <c r="A283" s="87" t="str">
        <f>IF(ISBLANK(C283)," ",278-COUNTBLANK($C$6:C283))</f>
        <v xml:space="preserve"> </v>
      </c>
      <c r="B283" s="88"/>
      <c r="C283" s="88"/>
      <c r="D283" s="89"/>
      <c r="E283" s="89"/>
      <c r="F283" s="73"/>
      <c r="G283" s="73"/>
      <c r="H283" s="73"/>
      <c r="I283" s="73"/>
      <c r="J283" s="73"/>
      <c r="K283" s="73"/>
      <c r="L283" s="73"/>
      <c r="M283" s="74"/>
      <c r="N283" s="71" t="str">
        <f t="shared" si="4"/>
        <v/>
      </c>
      <c r="O283" s="72"/>
      <c r="P283" s="72"/>
      <c r="Q283" s="72"/>
      <c r="R283" s="72"/>
      <c r="S283" s="72"/>
      <c r="T283" s="72"/>
      <c r="U283" s="72"/>
      <c r="V283" s="72"/>
    </row>
    <row r="284" spans="1:25" ht="27.75" customHeight="1">
      <c r="A284" s="87" t="str">
        <f>IF(ISBLANK(C284)," ",279-COUNTBLANK($C$6:C284))</f>
        <v xml:space="preserve"> </v>
      </c>
      <c r="B284" s="88"/>
      <c r="C284" s="88"/>
      <c r="D284" s="89"/>
      <c r="E284" s="89"/>
      <c r="F284" s="73"/>
      <c r="G284" s="73"/>
      <c r="H284" s="73"/>
      <c r="I284" s="73"/>
      <c r="J284" s="73"/>
      <c r="K284" s="73"/>
      <c r="L284" s="73"/>
      <c r="M284" s="74"/>
      <c r="N284" s="71" t="str">
        <f t="shared" si="4"/>
        <v/>
      </c>
      <c r="O284" s="72"/>
      <c r="P284" s="72"/>
      <c r="Q284" s="72"/>
      <c r="R284" s="72"/>
      <c r="S284" s="72"/>
      <c r="T284" s="72"/>
      <c r="U284" s="72"/>
      <c r="V284" s="72"/>
    </row>
    <row r="285" spans="1:25" ht="27.75" customHeight="1">
      <c r="A285" s="87" t="str">
        <f>IF(ISBLANK(C285)," ",280-COUNTBLANK($C$6:C285))</f>
        <v xml:space="preserve"> </v>
      </c>
      <c r="B285" s="88"/>
      <c r="C285" s="88"/>
      <c r="D285" s="89"/>
      <c r="E285" s="89"/>
      <c r="F285" s="73"/>
      <c r="G285" s="73"/>
      <c r="H285" s="73"/>
      <c r="I285" s="73"/>
      <c r="J285" s="73"/>
      <c r="K285" s="73"/>
      <c r="L285" s="73"/>
      <c r="M285" s="74"/>
      <c r="N285" s="71" t="str">
        <f t="shared" si="4"/>
        <v/>
      </c>
      <c r="O285" s="72"/>
      <c r="P285" s="72"/>
      <c r="Q285" s="72"/>
      <c r="R285" s="72"/>
      <c r="S285" s="72"/>
      <c r="T285" s="72"/>
      <c r="U285" s="72"/>
      <c r="V285" s="72"/>
    </row>
    <row r="286" spans="1:25" ht="27.75" customHeight="1">
      <c r="A286" s="87" t="str">
        <f>IF(ISBLANK(C286)," ",281-COUNTBLANK($C$6:C286))</f>
        <v xml:space="preserve"> </v>
      </c>
      <c r="B286" s="88"/>
      <c r="C286" s="88"/>
      <c r="D286" s="89"/>
      <c r="E286" s="89"/>
      <c r="F286" s="73"/>
      <c r="G286" s="73"/>
      <c r="H286" s="73"/>
      <c r="I286" s="73"/>
      <c r="J286" s="73"/>
      <c r="K286" s="73"/>
      <c r="L286" s="73"/>
      <c r="M286" s="74"/>
      <c r="N286" s="71" t="str">
        <f t="shared" si="4"/>
        <v/>
      </c>
      <c r="O286" s="72"/>
      <c r="P286" s="72"/>
      <c r="Q286" s="72"/>
      <c r="R286" s="72"/>
      <c r="S286" s="72"/>
      <c r="T286" s="72"/>
      <c r="U286" s="72"/>
      <c r="V286" s="72"/>
    </row>
    <row r="287" spans="1:25" ht="27.75" customHeight="1">
      <c r="A287" s="87" t="str">
        <f>IF(ISBLANK(C287)," ",282-COUNTBLANK($C$6:C287))</f>
        <v xml:space="preserve"> </v>
      </c>
      <c r="B287" s="88"/>
      <c r="C287" s="88"/>
      <c r="D287" s="89"/>
      <c r="E287" s="89"/>
      <c r="F287" s="73"/>
      <c r="G287" s="73"/>
      <c r="H287" s="73"/>
      <c r="I287" s="73"/>
      <c r="J287" s="73"/>
      <c r="K287" s="73"/>
      <c r="L287" s="73"/>
      <c r="M287" s="74"/>
      <c r="N287" s="71" t="str">
        <f t="shared" si="4"/>
        <v/>
      </c>
      <c r="O287" s="72"/>
      <c r="P287" s="72"/>
      <c r="Q287" s="72"/>
      <c r="R287" s="72"/>
      <c r="S287" s="72"/>
      <c r="T287" s="72"/>
      <c r="U287" s="72"/>
      <c r="V287" s="72"/>
    </row>
    <row r="288" spans="1:25" ht="27.75" customHeight="1">
      <c r="A288" s="87" t="str">
        <f>IF(ISBLANK(C288)," ",283-COUNTBLANK($C$6:C288))</f>
        <v xml:space="preserve"> </v>
      </c>
      <c r="B288" s="88"/>
      <c r="C288" s="88"/>
      <c r="D288" s="89"/>
      <c r="E288" s="89"/>
      <c r="F288" s="73"/>
      <c r="G288" s="73"/>
      <c r="H288" s="73"/>
      <c r="I288" s="73"/>
      <c r="J288" s="73"/>
      <c r="K288" s="73"/>
      <c r="L288" s="73"/>
      <c r="M288" s="74"/>
      <c r="N288" s="71" t="str">
        <f t="shared" si="4"/>
        <v/>
      </c>
      <c r="O288" s="72"/>
      <c r="P288" s="72"/>
      <c r="Q288" s="72"/>
      <c r="R288" s="72"/>
      <c r="S288" s="72"/>
      <c r="T288" s="72"/>
      <c r="U288" s="72"/>
      <c r="V288" s="72"/>
    </row>
    <row r="289" spans="1:25" ht="27.75" customHeight="1">
      <c r="A289" s="87" t="str">
        <f>IF(ISBLANK(C289)," ",284-COUNTBLANK($C$6:C289))</f>
        <v xml:space="preserve"> </v>
      </c>
      <c r="B289" s="88"/>
      <c r="C289" s="88"/>
      <c r="D289" s="89"/>
      <c r="E289" s="89"/>
      <c r="F289" s="73"/>
      <c r="G289" s="73"/>
      <c r="H289" s="73"/>
      <c r="I289" s="73"/>
      <c r="J289" s="73"/>
      <c r="K289" s="73"/>
      <c r="L289" s="73"/>
      <c r="M289" s="74"/>
      <c r="N289" s="71" t="str">
        <f t="shared" si="4"/>
        <v/>
      </c>
      <c r="O289" s="72"/>
      <c r="P289" s="72"/>
      <c r="Q289" s="72"/>
      <c r="R289" s="72"/>
      <c r="S289" s="72"/>
      <c r="T289" s="72"/>
      <c r="U289" s="72"/>
      <c r="V289" s="72"/>
    </row>
    <row r="290" spans="1:25" ht="27.75" customHeight="1">
      <c r="A290" s="87" t="str">
        <f>IF(ISBLANK(C290)," ",285-COUNTBLANK($C$6:C290))</f>
        <v xml:space="preserve"> </v>
      </c>
      <c r="B290" s="88"/>
      <c r="C290" s="88"/>
      <c r="D290" s="89"/>
      <c r="E290" s="89"/>
      <c r="F290" s="73"/>
      <c r="G290" s="73"/>
      <c r="H290" s="73"/>
      <c r="I290" s="73"/>
      <c r="J290" s="73"/>
      <c r="K290" s="73"/>
      <c r="L290" s="73"/>
      <c r="M290" s="74"/>
      <c r="N290" s="71" t="str">
        <f t="shared" si="4"/>
        <v/>
      </c>
      <c r="O290" s="72"/>
      <c r="P290" s="72"/>
      <c r="Q290" s="72"/>
      <c r="R290" s="72"/>
      <c r="S290" s="72"/>
      <c r="T290" s="72"/>
      <c r="U290" s="72"/>
      <c r="V290" s="72"/>
    </row>
    <row r="291" spans="1:25" ht="27.75" customHeight="1">
      <c r="A291" s="87" t="str">
        <f>IF(ISBLANK(C291)," ",286-COUNTBLANK($C$6:C291))</f>
        <v xml:space="preserve"> </v>
      </c>
      <c r="B291" s="88"/>
      <c r="C291" s="88"/>
      <c r="D291" s="89"/>
      <c r="E291" s="89"/>
      <c r="F291" s="73"/>
      <c r="G291" s="73"/>
      <c r="H291" s="73"/>
      <c r="I291" s="73"/>
      <c r="J291" s="73"/>
      <c r="K291" s="73"/>
      <c r="L291" s="73"/>
      <c r="M291" s="74"/>
      <c r="N291" s="71" t="str">
        <f t="shared" si="4"/>
        <v/>
      </c>
      <c r="O291" s="72"/>
      <c r="P291" s="72"/>
      <c r="Q291" s="72"/>
      <c r="R291" s="72"/>
      <c r="S291" s="72"/>
      <c r="T291" s="72"/>
      <c r="U291" s="72"/>
      <c r="V291" s="72"/>
    </row>
    <row r="292" spans="1:25" ht="27.75" customHeight="1">
      <c r="A292" s="87" t="str">
        <f>IF(ISBLANK(C292)," ",287-COUNTBLANK($C$6:C292))</f>
        <v xml:space="preserve"> </v>
      </c>
      <c r="B292" s="88"/>
      <c r="C292" s="88"/>
      <c r="D292" s="89"/>
      <c r="E292" s="89"/>
      <c r="F292" s="73"/>
      <c r="G292" s="73"/>
      <c r="H292" s="73"/>
      <c r="I292" s="73"/>
      <c r="J292" s="73"/>
      <c r="K292" s="73"/>
      <c r="L292" s="73"/>
      <c r="M292" s="74"/>
      <c r="N292" s="71" t="str">
        <f t="shared" si="4"/>
        <v/>
      </c>
      <c r="O292" s="72"/>
      <c r="P292" s="72"/>
      <c r="Q292" s="72"/>
      <c r="R292" s="72"/>
      <c r="S292" s="72"/>
      <c r="T292" s="72"/>
      <c r="U292" s="72"/>
      <c r="V292" s="72"/>
    </row>
    <row r="293" spans="1:25" ht="27.75" customHeight="1">
      <c r="A293" s="87" t="str">
        <f>IF(ISBLANK(C293)," ",288-COUNTBLANK($C$6:C293))</f>
        <v xml:space="preserve"> </v>
      </c>
      <c r="B293" s="88"/>
      <c r="C293" s="88"/>
      <c r="D293" s="89"/>
      <c r="E293" s="89"/>
      <c r="F293" s="73"/>
      <c r="G293" s="73"/>
      <c r="H293" s="73"/>
      <c r="I293" s="73"/>
      <c r="J293" s="73"/>
      <c r="K293" s="73"/>
      <c r="L293" s="73"/>
      <c r="M293" s="74"/>
      <c r="N293" s="71" t="str">
        <f t="shared" si="4"/>
        <v/>
      </c>
      <c r="O293" s="72"/>
      <c r="P293" s="72"/>
      <c r="Q293" s="72"/>
      <c r="R293" s="72"/>
      <c r="S293" s="72"/>
      <c r="T293" s="72"/>
      <c r="U293" s="72"/>
      <c r="V293" s="72"/>
    </row>
    <row r="294" spans="1:25" ht="27.75" customHeight="1">
      <c r="A294" s="87" t="str">
        <f>IF(ISBLANK(C294)," ",289-COUNTBLANK($C$6:C294))</f>
        <v xml:space="preserve"> </v>
      </c>
      <c r="B294" s="88"/>
      <c r="C294" s="88"/>
      <c r="D294" s="89"/>
      <c r="E294" s="89"/>
      <c r="F294" s="73"/>
      <c r="G294" s="73"/>
      <c r="H294" s="73"/>
      <c r="I294" s="73"/>
      <c r="J294" s="73"/>
      <c r="K294" s="73"/>
      <c r="L294" s="73"/>
      <c r="M294" s="74"/>
      <c r="N294" s="71" t="str">
        <f t="shared" si="4"/>
        <v/>
      </c>
      <c r="O294" s="75"/>
      <c r="P294" s="72"/>
      <c r="Q294" s="72"/>
      <c r="R294" s="72"/>
      <c r="S294" s="72"/>
      <c r="T294" s="72"/>
      <c r="U294" s="72"/>
      <c r="V294" s="76"/>
    </row>
    <row r="295" spans="1:25" ht="27.75" customHeight="1">
      <c r="A295" s="87" t="str">
        <f>IF(ISBLANK(C295)," ",290-COUNTBLANK($C$6:C295))</f>
        <v xml:space="preserve"> </v>
      </c>
      <c r="B295" s="88"/>
      <c r="C295" s="88"/>
      <c r="D295" s="89"/>
      <c r="E295" s="89"/>
      <c r="F295" s="73"/>
      <c r="G295" s="73"/>
      <c r="H295" s="73"/>
      <c r="I295" s="73"/>
      <c r="J295" s="73"/>
      <c r="K295" s="73"/>
      <c r="L295" s="73"/>
      <c r="M295" s="74"/>
      <c r="N295" s="71" t="str">
        <f t="shared" si="4"/>
        <v/>
      </c>
      <c r="O295" s="75"/>
      <c r="P295" s="72"/>
      <c r="Q295" s="72"/>
      <c r="R295" s="72"/>
      <c r="S295" s="72"/>
      <c r="T295" s="72"/>
      <c r="U295" s="72"/>
      <c r="V295" s="76"/>
    </row>
    <row r="296" spans="1:25" ht="27.75" customHeight="1">
      <c r="A296" s="87" t="str">
        <f>IF(ISBLANK(C296)," ",291-COUNTBLANK($C$6:C296))</f>
        <v xml:space="preserve"> </v>
      </c>
      <c r="B296" s="88"/>
      <c r="C296" s="88"/>
      <c r="D296" s="89"/>
      <c r="E296" s="89"/>
      <c r="F296" s="73"/>
      <c r="G296" s="73"/>
      <c r="H296" s="73"/>
      <c r="I296" s="73"/>
      <c r="J296" s="73"/>
      <c r="K296" s="73"/>
      <c r="L296" s="73"/>
      <c r="M296" s="74"/>
      <c r="N296" s="71" t="str">
        <f t="shared" si="4"/>
        <v/>
      </c>
      <c r="O296" s="75"/>
      <c r="P296" s="72"/>
      <c r="Q296" s="72"/>
      <c r="R296" s="72"/>
      <c r="S296" s="72"/>
      <c r="T296" s="72"/>
      <c r="U296" s="72"/>
      <c r="V296" s="76"/>
    </row>
    <row r="297" spans="1:25" ht="27.75" customHeight="1">
      <c r="A297" s="87" t="str">
        <f>IF(ISBLANK(C297)," ",292-COUNTBLANK($C$6:C297))</f>
        <v xml:space="preserve"> </v>
      </c>
      <c r="B297" s="88"/>
      <c r="C297" s="88"/>
      <c r="D297" s="89"/>
      <c r="E297" s="89"/>
      <c r="F297" s="73"/>
      <c r="G297" s="73"/>
      <c r="H297" s="73"/>
      <c r="I297" s="73"/>
      <c r="J297" s="73"/>
      <c r="K297" s="73"/>
      <c r="L297" s="73"/>
      <c r="M297" s="74"/>
      <c r="N297" s="71" t="str">
        <f t="shared" si="4"/>
        <v/>
      </c>
      <c r="O297" s="75"/>
      <c r="P297" s="72"/>
      <c r="Q297" s="72"/>
      <c r="R297" s="72"/>
      <c r="S297" s="72"/>
      <c r="T297" s="72"/>
      <c r="U297" s="72"/>
      <c r="V297" s="76"/>
    </row>
    <row r="298" spans="1:25" ht="27.75" customHeight="1">
      <c r="A298" s="87" t="str">
        <f>IF(ISBLANK(C298)," ",293-COUNTBLANK($C$6:C298))</f>
        <v xml:space="preserve"> </v>
      </c>
      <c r="B298" s="88"/>
      <c r="C298" s="88"/>
      <c r="D298" s="89"/>
      <c r="E298" s="89"/>
      <c r="F298" s="73"/>
      <c r="G298" s="73"/>
      <c r="H298" s="73"/>
      <c r="I298" s="73"/>
      <c r="J298" s="73"/>
      <c r="K298" s="73"/>
      <c r="L298" s="73"/>
      <c r="M298" s="74"/>
      <c r="N298" s="71" t="str">
        <f t="shared" si="4"/>
        <v/>
      </c>
      <c r="O298" s="72"/>
      <c r="P298" s="72"/>
      <c r="Q298" s="72"/>
      <c r="R298" s="72"/>
      <c r="S298" s="72"/>
      <c r="T298" s="72"/>
      <c r="U298" s="72"/>
      <c r="V298" s="79"/>
      <c r="W298" s="72"/>
      <c r="X298" s="72"/>
      <c r="Y298" s="72"/>
    </row>
    <row r="299" spans="1:25" ht="27.75" customHeight="1">
      <c r="A299" s="80" t="s">
        <v>52</v>
      </c>
      <c r="B299" s="81"/>
      <c r="C299" s="96"/>
      <c r="D299" s="82"/>
      <c r="E299" s="82">
        <f>SUM(E279:E298)</f>
        <v>0</v>
      </c>
      <c r="F299" s="83"/>
      <c r="G299" s="83"/>
      <c r="H299" s="83"/>
      <c r="I299" s="83"/>
      <c r="J299" s="83"/>
      <c r="K299" s="83"/>
      <c r="L299" s="83"/>
      <c r="M299" s="84"/>
      <c r="N299" s="71" t="str">
        <f t="shared" si="4"/>
        <v/>
      </c>
      <c r="O299" s="75"/>
      <c r="P299" s="72"/>
      <c r="Q299" s="72"/>
      <c r="R299" s="72"/>
      <c r="S299" s="72"/>
      <c r="T299" s="72"/>
      <c r="U299" s="72"/>
      <c r="V299" s="79"/>
      <c r="W299" s="72"/>
      <c r="X299" s="72"/>
      <c r="Y299" s="72"/>
    </row>
    <row r="300" spans="1:25" ht="27.75" customHeight="1">
      <c r="A300" s="93" t="str">
        <f>IF(ISBLANK(C300)," ",295-COUNTBLANK($C$6:C300))</f>
        <v xml:space="preserve"> </v>
      </c>
      <c r="B300" s="94"/>
      <c r="C300" s="94"/>
      <c r="D300" s="95"/>
      <c r="E300" s="95"/>
      <c r="F300" s="85"/>
      <c r="G300" s="85"/>
      <c r="H300" s="85"/>
      <c r="I300" s="85"/>
      <c r="J300" s="85"/>
      <c r="K300" s="85"/>
      <c r="L300" s="85"/>
      <c r="M300" s="86"/>
      <c r="N300" s="71" t="str">
        <f t="shared" si="4"/>
        <v/>
      </c>
      <c r="O300" s="72"/>
      <c r="P300" s="72"/>
      <c r="Q300" s="72"/>
      <c r="R300" s="72"/>
      <c r="S300" s="72"/>
      <c r="T300" s="72"/>
      <c r="U300" s="72"/>
      <c r="V300" s="72"/>
    </row>
    <row r="301" spans="1:25" ht="27.75" customHeight="1">
      <c r="A301" s="87" t="str">
        <f>IF(ISBLANK(C301)," ",296-COUNTBLANK($C$6:C301))</f>
        <v xml:space="preserve"> </v>
      </c>
      <c r="B301" s="88"/>
      <c r="C301" s="88"/>
      <c r="D301" s="89"/>
      <c r="E301" s="89"/>
      <c r="F301" s="73"/>
      <c r="G301" s="73"/>
      <c r="H301" s="73"/>
      <c r="I301" s="73"/>
      <c r="J301" s="73"/>
      <c r="K301" s="73"/>
      <c r="L301" s="73"/>
      <c r="M301" s="74"/>
      <c r="N301" s="71" t="str">
        <f t="shared" si="4"/>
        <v/>
      </c>
      <c r="O301" s="72"/>
      <c r="P301" s="72"/>
      <c r="Q301" s="72"/>
      <c r="R301" s="72"/>
      <c r="S301" s="72"/>
      <c r="T301" s="72"/>
      <c r="U301" s="72"/>
      <c r="V301" s="72"/>
    </row>
    <row r="302" spans="1:25" ht="27.75" customHeight="1">
      <c r="A302" s="87" t="str">
        <f>IF(ISBLANK(C302)," ",297-COUNTBLANK($C$6:C302))</f>
        <v xml:space="preserve"> </v>
      </c>
      <c r="B302" s="88"/>
      <c r="C302" s="88"/>
      <c r="D302" s="89"/>
      <c r="E302" s="89"/>
      <c r="F302" s="73"/>
      <c r="G302" s="73"/>
      <c r="H302" s="73"/>
      <c r="I302" s="73"/>
      <c r="J302" s="73"/>
      <c r="K302" s="73"/>
      <c r="L302" s="73"/>
      <c r="M302" s="74"/>
      <c r="N302" s="71" t="str">
        <f t="shared" si="4"/>
        <v/>
      </c>
      <c r="O302" s="72"/>
      <c r="P302" s="72"/>
      <c r="Q302" s="72"/>
      <c r="R302" s="72"/>
      <c r="S302" s="72"/>
      <c r="T302" s="72"/>
      <c r="U302" s="72"/>
      <c r="V302" s="72"/>
    </row>
    <row r="303" spans="1:25" ht="27.75" customHeight="1">
      <c r="A303" s="87" t="str">
        <f>IF(ISBLANK(C303)," ",298-COUNTBLANK($C$6:C303))</f>
        <v xml:space="preserve"> </v>
      </c>
      <c r="B303" s="88"/>
      <c r="C303" s="88"/>
      <c r="D303" s="89"/>
      <c r="E303" s="89"/>
      <c r="F303" s="73"/>
      <c r="G303" s="73"/>
      <c r="H303" s="73"/>
      <c r="I303" s="73"/>
      <c r="J303" s="73"/>
      <c r="K303" s="73"/>
      <c r="L303" s="73"/>
      <c r="M303" s="74"/>
      <c r="N303" s="71" t="str">
        <f t="shared" si="4"/>
        <v/>
      </c>
      <c r="O303" s="72"/>
      <c r="P303" s="72"/>
      <c r="Q303" s="72"/>
      <c r="R303" s="72"/>
      <c r="S303" s="72"/>
      <c r="T303" s="72"/>
      <c r="U303" s="72"/>
      <c r="V303" s="72"/>
    </row>
    <row r="304" spans="1:25" ht="27.75" customHeight="1">
      <c r="A304" s="87" t="str">
        <f>IF(ISBLANK(C304)," ",299-COUNTBLANK($C$6:C304))</f>
        <v xml:space="preserve"> </v>
      </c>
      <c r="B304" s="88"/>
      <c r="C304" s="88"/>
      <c r="D304" s="89"/>
      <c r="E304" s="89"/>
      <c r="F304" s="73"/>
      <c r="G304" s="73"/>
      <c r="H304" s="73"/>
      <c r="I304" s="73"/>
      <c r="J304" s="73"/>
      <c r="K304" s="73"/>
      <c r="L304" s="73"/>
      <c r="M304" s="74"/>
      <c r="N304" s="71" t="str">
        <f t="shared" si="4"/>
        <v/>
      </c>
      <c r="O304" s="72"/>
      <c r="P304" s="72"/>
      <c r="Q304" s="72"/>
      <c r="R304" s="72"/>
      <c r="S304" s="72"/>
      <c r="T304" s="72"/>
      <c r="U304" s="72"/>
      <c r="V304" s="72"/>
    </row>
    <row r="305" spans="1:25" ht="27.75" customHeight="1">
      <c r="A305" s="87" t="str">
        <f>IF(ISBLANK(C305)," ",300-COUNTBLANK($C$6:C305))</f>
        <v xml:space="preserve"> </v>
      </c>
      <c r="B305" s="88"/>
      <c r="C305" s="88"/>
      <c r="D305" s="89"/>
      <c r="E305" s="89"/>
      <c r="F305" s="73"/>
      <c r="G305" s="73"/>
      <c r="H305" s="73"/>
      <c r="I305" s="73"/>
      <c r="J305" s="73"/>
      <c r="K305" s="73"/>
      <c r="L305" s="73"/>
      <c r="M305" s="74"/>
      <c r="N305" s="71" t="str">
        <f t="shared" si="4"/>
        <v/>
      </c>
      <c r="O305" s="72"/>
      <c r="P305" s="72"/>
      <c r="Q305" s="72"/>
      <c r="R305" s="72"/>
      <c r="S305" s="72"/>
      <c r="T305" s="72"/>
      <c r="U305" s="72"/>
      <c r="V305" s="72"/>
    </row>
    <row r="306" spans="1:25" ht="27.75" customHeight="1">
      <c r="A306" s="87" t="str">
        <f>IF(ISBLANK(C306)," ",301-COUNTBLANK($C$6:C306))</f>
        <v xml:space="preserve"> </v>
      </c>
      <c r="B306" s="88"/>
      <c r="C306" s="88"/>
      <c r="D306" s="89"/>
      <c r="E306" s="89"/>
      <c r="F306" s="73"/>
      <c r="G306" s="73"/>
      <c r="H306" s="73"/>
      <c r="I306" s="73"/>
      <c r="J306" s="73"/>
      <c r="K306" s="73"/>
      <c r="L306" s="73"/>
      <c r="M306" s="74"/>
      <c r="N306" s="71" t="str">
        <f t="shared" si="4"/>
        <v/>
      </c>
      <c r="O306" s="72"/>
      <c r="P306" s="72"/>
      <c r="Q306" s="72"/>
      <c r="R306" s="72"/>
      <c r="S306" s="72"/>
      <c r="T306" s="72"/>
      <c r="U306" s="72"/>
      <c r="V306" s="72"/>
    </row>
    <row r="307" spans="1:25" ht="27.75" customHeight="1">
      <c r="A307" s="87" t="str">
        <f>IF(ISBLANK(C307)," ",302-COUNTBLANK($C$6:C307))</f>
        <v xml:space="preserve"> </v>
      </c>
      <c r="B307" s="88"/>
      <c r="C307" s="88"/>
      <c r="D307" s="89"/>
      <c r="E307" s="89"/>
      <c r="F307" s="73"/>
      <c r="G307" s="73"/>
      <c r="H307" s="73"/>
      <c r="I307" s="73"/>
      <c r="J307" s="73"/>
      <c r="K307" s="73"/>
      <c r="L307" s="73"/>
      <c r="M307" s="74"/>
      <c r="N307" s="71" t="str">
        <f t="shared" si="4"/>
        <v/>
      </c>
      <c r="O307" s="72"/>
      <c r="P307" s="72"/>
      <c r="Q307" s="72"/>
      <c r="R307" s="72"/>
      <c r="S307" s="72"/>
      <c r="T307" s="72"/>
      <c r="U307" s="72"/>
      <c r="V307" s="72"/>
    </row>
    <row r="308" spans="1:25" ht="27.75" customHeight="1">
      <c r="A308" s="87" t="str">
        <f>IF(ISBLANK(C308)," ",303-COUNTBLANK($C$6:C308))</f>
        <v xml:space="preserve"> </v>
      </c>
      <c r="B308" s="88"/>
      <c r="C308" s="88"/>
      <c r="D308" s="89"/>
      <c r="E308" s="89"/>
      <c r="F308" s="73"/>
      <c r="G308" s="73"/>
      <c r="H308" s="73"/>
      <c r="I308" s="73"/>
      <c r="J308" s="73"/>
      <c r="K308" s="73"/>
      <c r="L308" s="73"/>
      <c r="M308" s="74"/>
      <c r="N308" s="71" t="str">
        <f t="shared" si="4"/>
        <v/>
      </c>
      <c r="O308" s="72"/>
      <c r="P308" s="72"/>
      <c r="Q308" s="72"/>
      <c r="R308" s="72"/>
      <c r="S308" s="72"/>
      <c r="T308" s="72"/>
      <c r="U308" s="72"/>
      <c r="V308" s="72"/>
    </row>
    <row r="309" spans="1:25" ht="27.75" customHeight="1">
      <c r="A309" s="87" t="str">
        <f>IF(ISBLANK(C309)," ",304-COUNTBLANK($C$6:C309))</f>
        <v xml:space="preserve"> </v>
      </c>
      <c r="B309" s="88"/>
      <c r="C309" s="88"/>
      <c r="D309" s="89"/>
      <c r="E309" s="89"/>
      <c r="F309" s="73"/>
      <c r="G309" s="73"/>
      <c r="H309" s="73"/>
      <c r="I309" s="73"/>
      <c r="J309" s="73"/>
      <c r="K309" s="73"/>
      <c r="L309" s="73"/>
      <c r="M309" s="74"/>
      <c r="N309" s="71" t="str">
        <f t="shared" si="4"/>
        <v/>
      </c>
      <c r="O309" s="72"/>
      <c r="P309" s="72"/>
      <c r="Q309" s="72"/>
      <c r="R309" s="72"/>
      <c r="S309" s="72"/>
      <c r="T309" s="72"/>
      <c r="U309" s="72"/>
      <c r="V309" s="72"/>
    </row>
    <row r="310" spans="1:25" ht="27.75" customHeight="1">
      <c r="A310" s="87" t="str">
        <f>IF(ISBLANK(C310)," ",305-COUNTBLANK($C$6:C310))</f>
        <v xml:space="preserve"> </v>
      </c>
      <c r="B310" s="88"/>
      <c r="C310" s="88"/>
      <c r="D310" s="89"/>
      <c r="E310" s="89"/>
      <c r="F310" s="73"/>
      <c r="G310" s="73"/>
      <c r="H310" s="73"/>
      <c r="I310" s="73"/>
      <c r="J310" s="73"/>
      <c r="K310" s="73"/>
      <c r="L310" s="73"/>
      <c r="M310" s="74"/>
      <c r="N310" s="71" t="str">
        <f t="shared" si="4"/>
        <v/>
      </c>
      <c r="O310" s="72"/>
      <c r="P310" s="72"/>
      <c r="Q310" s="72"/>
      <c r="R310" s="72"/>
      <c r="S310" s="72"/>
      <c r="T310" s="72"/>
      <c r="U310" s="72"/>
      <c r="V310" s="72"/>
    </row>
    <row r="311" spans="1:25" ht="27.75" customHeight="1">
      <c r="A311" s="87" t="str">
        <f>IF(ISBLANK(C311)," ",306-COUNTBLANK($C$6:C311))</f>
        <v xml:space="preserve"> </v>
      </c>
      <c r="B311" s="88"/>
      <c r="C311" s="88"/>
      <c r="D311" s="89"/>
      <c r="E311" s="89"/>
      <c r="F311" s="73"/>
      <c r="G311" s="73"/>
      <c r="H311" s="73"/>
      <c r="I311" s="73"/>
      <c r="J311" s="73"/>
      <c r="K311" s="73"/>
      <c r="L311" s="73"/>
      <c r="M311" s="74"/>
      <c r="N311" s="71" t="str">
        <f t="shared" si="4"/>
        <v/>
      </c>
      <c r="O311" s="72"/>
      <c r="P311" s="72"/>
      <c r="Q311" s="72"/>
      <c r="R311" s="72"/>
      <c r="S311" s="72"/>
      <c r="T311" s="72"/>
      <c r="U311" s="72"/>
      <c r="V311" s="72"/>
    </row>
    <row r="312" spans="1:25" ht="27.75" customHeight="1">
      <c r="A312" s="87" t="str">
        <f>IF(ISBLANK(C312)," ",307-COUNTBLANK($C$6:C312))</f>
        <v xml:space="preserve"> </v>
      </c>
      <c r="B312" s="88"/>
      <c r="C312" s="88"/>
      <c r="D312" s="89"/>
      <c r="E312" s="89"/>
      <c r="F312" s="73"/>
      <c r="G312" s="73"/>
      <c r="H312" s="73"/>
      <c r="I312" s="73"/>
      <c r="J312" s="73"/>
      <c r="K312" s="73"/>
      <c r="L312" s="73"/>
      <c r="M312" s="74"/>
      <c r="N312" s="71" t="str">
        <f t="shared" si="4"/>
        <v/>
      </c>
      <c r="O312" s="72"/>
      <c r="P312" s="72"/>
      <c r="Q312" s="72"/>
      <c r="R312" s="72"/>
      <c r="S312" s="72"/>
      <c r="T312" s="72"/>
      <c r="U312" s="72"/>
      <c r="V312" s="72"/>
    </row>
    <row r="313" spans="1:25" ht="27.75" customHeight="1">
      <c r="A313" s="87" t="str">
        <f>IF(ISBLANK(C313)," ",308-COUNTBLANK($C$6:C313))</f>
        <v xml:space="preserve"> </v>
      </c>
      <c r="B313" s="88"/>
      <c r="C313" s="88"/>
      <c r="D313" s="89"/>
      <c r="E313" s="89"/>
      <c r="F313" s="73"/>
      <c r="G313" s="73"/>
      <c r="H313" s="73"/>
      <c r="I313" s="73"/>
      <c r="J313" s="73"/>
      <c r="K313" s="73"/>
      <c r="L313" s="73"/>
      <c r="M313" s="74"/>
      <c r="N313" s="71" t="str">
        <f t="shared" si="4"/>
        <v/>
      </c>
      <c r="O313" s="72"/>
      <c r="P313" s="72"/>
      <c r="Q313" s="72"/>
      <c r="R313" s="72"/>
      <c r="S313" s="72"/>
      <c r="T313" s="72"/>
      <c r="U313" s="72"/>
      <c r="V313" s="72"/>
    </row>
    <row r="314" spans="1:25" ht="27.75" customHeight="1">
      <c r="A314" s="87" t="str">
        <f>IF(ISBLANK(C314)," ",309-COUNTBLANK($C$6:C314))</f>
        <v xml:space="preserve"> </v>
      </c>
      <c r="B314" s="88"/>
      <c r="C314" s="88"/>
      <c r="D314" s="89"/>
      <c r="E314" s="89"/>
      <c r="F314" s="73"/>
      <c r="G314" s="73"/>
      <c r="H314" s="73"/>
      <c r="I314" s="73"/>
      <c r="J314" s="73"/>
      <c r="K314" s="73"/>
      <c r="L314" s="73"/>
      <c r="M314" s="74"/>
      <c r="N314" s="71" t="str">
        <f t="shared" si="4"/>
        <v/>
      </c>
      <c r="O314" s="72"/>
      <c r="P314" s="72"/>
      <c r="Q314" s="72"/>
      <c r="R314" s="72"/>
      <c r="S314" s="72"/>
      <c r="T314" s="72"/>
      <c r="U314" s="72"/>
      <c r="V314" s="72"/>
    </row>
    <row r="315" spans="1:25" ht="27.75" customHeight="1">
      <c r="A315" s="87" t="str">
        <f>IF(ISBLANK(C315)," ",310-COUNTBLANK($C$6:C315))</f>
        <v xml:space="preserve"> </v>
      </c>
      <c r="B315" s="88"/>
      <c r="C315" s="88"/>
      <c r="D315" s="89"/>
      <c r="E315" s="89"/>
      <c r="F315" s="73"/>
      <c r="G315" s="73"/>
      <c r="H315" s="73"/>
      <c r="I315" s="73"/>
      <c r="J315" s="73"/>
      <c r="K315" s="73"/>
      <c r="L315" s="73"/>
      <c r="M315" s="74"/>
      <c r="N315" s="71" t="str">
        <f t="shared" si="4"/>
        <v/>
      </c>
      <c r="O315" s="75"/>
      <c r="P315" s="72"/>
      <c r="Q315" s="72"/>
      <c r="R315" s="72"/>
      <c r="S315" s="72"/>
      <c r="T315" s="72"/>
      <c r="U315" s="72"/>
      <c r="V315" s="76"/>
    </row>
    <row r="316" spans="1:25" ht="27.75" customHeight="1">
      <c r="A316" s="87" t="str">
        <f>IF(ISBLANK(C316)," ",311-COUNTBLANK($C$6:C316))</f>
        <v xml:space="preserve"> </v>
      </c>
      <c r="B316" s="88"/>
      <c r="C316" s="88"/>
      <c r="D316" s="89"/>
      <c r="E316" s="89"/>
      <c r="F316" s="73"/>
      <c r="G316" s="73"/>
      <c r="H316" s="73"/>
      <c r="I316" s="73"/>
      <c r="J316" s="73"/>
      <c r="K316" s="73"/>
      <c r="L316" s="73"/>
      <c r="M316" s="74"/>
      <c r="N316" s="71" t="str">
        <f t="shared" si="4"/>
        <v/>
      </c>
      <c r="O316" s="75"/>
      <c r="P316" s="72"/>
      <c r="Q316" s="72"/>
      <c r="R316" s="72"/>
      <c r="S316" s="72"/>
      <c r="T316" s="72"/>
      <c r="U316" s="72"/>
      <c r="V316" s="76"/>
    </row>
    <row r="317" spans="1:25" ht="27.75" customHeight="1">
      <c r="A317" s="87" t="str">
        <f>IF(ISBLANK(C317)," ",312-COUNTBLANK($C$6:C317))</f>
        <v xml:space="preserve"> </v>
      </c>
      <c r="B317" s="88"/>
      <c r="C317" s="88"/>
      <c r="D317" s="89"/>
      <c r="E317" s="89"/>
      <c r="F317" s="73"/>
      <c r="G317" s="73"/>
      <c r="H317" s="73"/>
      <c r="I317" s="73"/>
      <c r="J317" s="73"/>
      <c r="K317" s="73"/>
      <c r="L317" s="73"/>
      <c r="M317" s="74"/>
      <c r="N317" s="71" t="str">
        <f t="shared" si="4"/>
        <v/>
      </c>
      <c r="O317" s="75"/>
      <c r="P317" s="72"/>
      <c r="Q317" s="72"/>
      <c r="R317" s="72"/>
      <c r="S317" s="72"/>
      <c r="T317" s="72"/>
      <c r="U317" s="72"/>
      <c r="V317" s="76"/>
    </row>
    <row r="318" spans="1:25" ht="27.75" customHeight="1">
      <c r="A318" s="87" t="str">
        <f>IF(ISBLANK(C318)," ",313-COUNTBLANK($C$6:C318))</f>
        <v xml:space="preserve"> </v>
      </c>
      <c r="B318" s="88"/>
      <c r="C318" s="88"/>
      <c r="D318" s="89"/>
      <c r="E318" s="89"/>
      <c r="F318" s="73"/>
      <c r="G318" s="73"/>
      <c r="H318" s="73"/>
      <c r="I318" s="73"/>
      <c r="J318" s="73"/>
      <c r="K318" s="73"/>
      <c r="L318" s="73"/>
      <c r="M318" s="74"/>
      <c r="N318" s="71" t="str">
        <f t="shared" si="4"/>
        <v/>
      </c>
      <c r="O318" s="75"/>
      <c r="P318" s="72"/>
      <c r="Q318" s="72"/>
      <c r="R318" s="72"/>
      <c r="S318" s="72"/>
      <c r="T318" s="72"/>
      <c r="U318" s="72"/>
      <c r="V318" s="76"/>
    </row>
    <row r="319" spans="1:25" ht="27.75" customHeight="1">
      <c r="A319" s="87" t="str">
        <f>IF(ISBLANK(C319)," ",314-COUNTBLANK($C$6:C319))</f>
        <v xml:space="preserve"> </v>
      </c>
      <c r="B319" s="88"/>
      <c r="C319" s="88"/>
      <c r="D319" s="89"/>
      <c r="E319" s="89"/>
      <c r="F319" s="73"/>
      <c r="G319" s="73"/>
      <c r="H319" s="73"/>
      <c r="I319" s="73"/>
      <c r="J319" s="73"/>
      <c r="K319" s="73"/>
      <c r="L319" s="73"/>
      <c r="M319" s="74"/>
      <c r="N319" s="71" t="str">
        <f t="shared" si="4"/>
        <v/>
      </c>
      <c r="O319" s="72"/>
      <c r="P319" s="72"/>
      <c r="Q319" s="72"/>
      <c r="R319" s="72"/>
      <c r="S319" s="72"/>
      <c r="T319" s="72"/>
      <c r="U319" s="72"/>
      <c r="V319" s="79"/>
      <c r="W319" s="72"/>
      <c r="X319" s="72"/>
      <c r="Y319" s="72"/>
    </row>
    <row r="320" spans="1:25" ht="27.75" customHeight="1">
      <c r="A320" s="80" t="s">
        <v>52</v>
      </c>
      <c r="B320" s="81"/>
      <c r="C320" s="96"/>
      <c r="D320" s="82"/>
      <c r="E320" s="82">
        <f>SUM(E300:E319)</f>
        <v>0</v>
      </c>
      <c r="F320" s="83"/>
      <c r="G320" s="83"/>
      <c r="H320" s="83"/>
      <c r="I320" s="83"/>
      <c r="J320" s="83"/>
      <c r="K320" s="83"/>
      <c r="L320" s="83"/>
      <c r="M320" s="84"/>
      <c r="N320" s="71" t="str">
        <f t="shared" si="4"/>
        <v/>
      </c>
      <c r="O320" s="75"/>
      <c r="P320" s="72"/>
      <c r="Q320" s="72"/>
      <c r="R320" s="72"/>
      <c r="S320" s="72"/>
      <c r="T320" s="72"/>
      <c r="U320" s="72"/>
      <c r="V320" s="79"/>
      <c r="W320" s="72"/>
      <c r="X320" s="72"/>
      <c r="Y320" s="72"/>
    </row>
    <row r="321" spans="1:22" ht="27.75" customHeight="1">
      <c r="A321" s="93" t="str">
        <f>IF(ISBLANK(C321)," ",316-COUNTBLANK($C$6:C321))</f>
        <v xml:space="preserve"> </v>
      </c>
      <c r="B321" s="94"/>
      <c r="C321" s="94"/>
      <c r="D321" s="95"/>
      <c r="E321" s="95"/>
      <c r="F321" s="85"/>
      <c r="G321" s="85"/>
      <c r="H321" s="85"/>
      <c r="I321" s="85"/>
      <c r="J321" s="85"/>
      <c r="K321" s="85"/>
      <c r="L321" s="85"/>
      <c r="M321" s="86"/>
      <c r="N321" s="71" t="str">
        <f t="shared" si="4"/>
        <v/>
      </c>
      <c r="O321" s="72"/>
      <c r="P321" s="72"/>
      <c r="Q321" s="72"/>
      <c r="R321" s="72"/>
      <c r="S321" s="72"/>
      <c r="T321" s="72"/>
      <c r="U321" s="72"/>
      <c r="V321" s="72"/>
    </row>
    <row r="322" spans="1:22" ht="27.75" customHeight="1">
      <c r="A322" s="87" t="str">
        <f>IF(ISBLANK(C322)," ",317-COUNTBLANK($C$6:C322))</f>
        <v xml:space="preserve"> </v>
      </c>
      <c r="B322" s="88"/>
      <c r="C322" s="88"/>
      <c r="D322" s="89"/>
      <c r="E322" s="89"/>
      <c r="F322" s="73"/>
      <c r="G322" s="73"/>
      <c r="H322" s="73"/>
      <c r="I322" s="73"/>
      <c r="J322" s="73"/>
      <c r="K322" s="73"/>
      <c r="L322" s="73"/>
      <c r="M322" s="74"/>
      <c r="N322" s="71" t="str">
        <f t="shared" si="4"/>
        <v/>
      </c>
      <c r="O322" s="72"/>
      <c r="P322" s="72"/>
      <c r="Q322" s="72"/>
      <c r="R322" s="72"/>
      <c r="S322" s="72"/>
      <c r="T322" s="72"/>
      <c r="U322" s="72"/>
      <c r="V322" s="72"/>
    </row>
    <row r="323" spans="1:22" ht="27.75" customHeight="1">
      <c r="A323" s="87" t="str">
        <f>IF(ISBLANK(C323)," ",318-COUNTBLANK($C$6:C323))</f>
        <v xml:space="preserve"> </v>
      </c>
      <c r="B323" s="88"/>
      <c r="C323" s="88"/>
      <c r="D323" s="89"/>
      <c r="E323" s="89"/>
      <c r="F323" s="73"/>
      <c r="G323" s="73"/>
      <c r="H323" s="73"/>
      <c r="I323" s="73"/>
      <c r="J323" s="73"/>
      <c r="K323" s="73"/>
      <c r="L323" s="73"/>
      <c r="M323" s="74"/>
      <c r="N323" s="71" t="str">
        <f t="shared" si="4"/>
        <v/>
      </c>
      <c r="O323" s="72"/>
      <c r="P323" s="72"/>
      <c r="Q323" s="72"/>
      <c r="R323" s="72"/>
      <c r="S323" s="72"/>
      <c r="T323" s="72"/>
      <c r="U323" s="72"/>
      <c r="V323" s="72"/>
    </row>
    <row r="324" spans="1:22" ht="27.75" customHeight="1">
      <c r="A324" s="87" t="str">
        <f>IF(ISBLANK(C324)," ",319-COUNTBLANK($C$6:C324))</f>
        <v xml:space="preserve"> </v>
      </c>
      <c r="B324" s="88"/>
      <c r="C324" s="88"/>
      <c r="D324" s="89"/>
      <c r="E324" s="89"/>
      <c r="F324" s="73"/>
      <c r="G324" s="73"/>
      <c r="H324" s="73"/>
      <c r="I324" s="73"/>
      <c r="J324" s="73"/>
      <c r="K324" s="73"/>
      <c r="L324" s="73"/>
      <c r="M324" s="74"/>
      <c r="N324" s="71" t="str">
        <f t="shared" si="4"/>
        <v/>
      </c>
      <c r="O324" s="72"/>
      <c r="P324" s="72"/>
      <c r="Q324" s="72"/>
      <c r="R324" s="72"/>
      <c r="S324" s="72"/>
      <c r="T324" s="72"/>
      <c r="U324" s="72"/>
      <c r="V324" s="72"/>
    </row>
    <row r="325" spans="1:22" ht="27.75" customHeight="1">
      <c r="A325" s="87" t="str">
        <f>IF(ISBLANK(C325)," ",320-COUNTBLANK($C$6:C325))</f>
        <v xml:space="preserve"> </v>
      </c>
      <c r="B325" s="88"/>
      <c r="C325" s="88"/>
      <c r="D325" s="89"/>
      <c r="E325" s="89"/>
      <c r="F325" s="73"/>
      <c r="G325" s="73"/>
      <c r="H325" s="73"/>
      <c r="I325" s="73"/>
      <c r="J325" s="73"/>
      <c r="K325" s="73"/>
      <c r="L325" s="73"/>
      <c r="M325" s="74"/>
      <c r="N325" s="71" t="str">
        <f t="shared" si="4"/>
        <v/>
      </c>
      <c r="O325" s="72"/>
      <c r="P325" s="72"/>
      <c r="Q325" s="72"/>
      <c r="R325" s="72"/>
      <c r="S325" s="72"/>
      <c r="T325" s="72"/>
      <c r="U325" s="72"/>
      <c r="V325" s="72"/>
    </row>
    <row r="326" spans="1:22" ht="27.75" customHeight="1">
      <c r="A326" s="87" t="str">
        <f>IF(ISBLANK(C326)," ",321-COUNTBLANK($C$6:C326))</f>
        <v xml:space="preserve"> </v>
      </c>
      <c r="B326" s="88"/>
      <c r="C326" s="88"/>
      <c r="D326" s="89"/>
      <c r="E326" s="89"/>
      <c r="F326" s="73"/>
      <c r="G326" s="73"/>
      <c r="H326" s="73"/>
      <c r="I326" s="73"/>
      <c r="J326" s="73"/>
      <c r="K326" s="73"/>
      <c r="L326" s="73"/>
      <c r="M326" s="74"/>
      <c r="N326" s="71" t="str">
        <f t="shared" ref="N326:N389" si="5">CONCATENATE(C326,H326)</f>
        <v/>
      </c>
      <c r="O326" s="72"/>
      <c r="P326" s="72"/>
      <c r="Q326" s="72"/>
      <c r="R326" s="72"/>
      <c r="S326" s="72"/>
      <c r="T326" s="72"/>
      <c r="U326" s="72"/>
      <c r="V326" s="72"/>
    </row>
    <row r="327" spans="1:22" ht="27.75" customHeight="1">
      <c r="A327" s="87" t="str">
        <f>IF(ISBLANK(C327)," ",322-COUNTBLANK($C$6:C327))</f>
        <v xml:space="preserve"> </v>
      </c>
      <c r="B327" s="88"/>
      <c r="C327" s="88"/>
      <c r="D327" s="89"/>
      <c r="E327" s="89"/>
      <c r="F327" s="73"/>
      <c r="G327" s="73"/>
      <c r="H327" s="73"/>
      <c r="I327" s="73"/>
      <c r="J327" s="73"/>
      <c r="K327" s="73"/>
      <c r="L327" s="73"/>
      <c r="M327" s="74"/>
      <c r="N327" s="71" t="str">
        <f t="shared" si="5"/>
        <v/>
      </c>
      <c r="O327" s="72"/>
      <c r="P327" s="72"/>
      <c r="Q327" s="72"/>
      <c r="R327" s="72"/>
      <c r="S327" s="72"/>
      <c r="T327" s="72"/>
      <c r="U327" s="72"/>
      <c r="V327" s="72"/>
    </row>
    <row r="328" spans="1:22" ht="27.75" customHeight="1">
      <c r="A328" s="87" t="str">
        <f>IF(ISBLANK(C328)," ",323-COUNTBLANK($C$6:C328))</f>
        <v xml:space="preserve"> </v>
      </c>
      <c r="B328" s="88"/>
      <c r="C328" s="88"/>
      <c r="D328" s="89"/>
      <c r="E328" s="89"/>
      <c r="F328" s="73"/>
      <c r="G328" s="73"/>
      <c r="H328" s="73"/>
      <c r="I328" s="73"/>
      <c r="J328" s="73"/>
      <c r="K328" s="73"/>
      <c r="L328" s="73"/>
      <c r="M328" s="74"/>
      <c r="N328" s="71" t="str">
        <f t="shared" si="5"/>
        <v/>
      </c>
      <c r="O328" s="72"/>
      <c r="P328" s="72"/>
      <c r="Q328" s="72"/>
      <c r="R328" s="72"/>
      <c r="S328" s="72"/>
      <c r="T328" s="72"/>
      <c r="U328" s="72"/>
      <c r="V328" s="72"/>
    </row>
    <row r="329" spans="1:22" ht="27.75" customHeight="1">
      <c r="A329" s="87" t="str">
        <f>IF(ISBLANK(C329)," ",324-COUNTBLANK($C$6:C329))</f>
        <v xml:space="preserve"> </v>
      </c>
      <c r="B329" s="88"/>
      <c r="C329" s="88"/>
      <c r="D329" s="89"/>
      <c r="E329" s="89"/>
      <c r="F329" s="73"/>
      <c r="G329" s="73"/>
      <c r="H329" s="73"/>
      <c r="I329" s="73"/>
      <c r="J329" s="73"/>
      <c r="K329" s="73"/>
      <c r="L329" s="73"/>
      <c r="M329" s="74"/>
      <c r="N329" s="71" t="str">
        <f t="shared" si="5"/>
        <v/>
      </c>
      <c r="O329" s="72"/>
      <c r="P329" s="72"/>
      <c r="Q329" s="72"/>
      <c r="R329" s="72"/>
      <c r="S329" s="72"/>
      <c r="T329" s="72"/>
      <c r="U329" s="72"/>
      <c r="V329" s="72"/>
    </row>
    <row r="330" spans="1:22" ht="27.75" customHeight="1">
      <c r="A330" s="87" t="str">
        <f>IF(ISBLANK(C330)," ",325-COUNTBLANK($C$6:C330))</f>
        <v xml:space="preserve"> </v>
      </c>
      <c r="B330" s="88"/>
      <c r="C330" s="88"/>
      <c r="D330" s="89"/>
      <c r="E330" s="89"/>
      <c r="F330" s="73"/>
      <c r="G330" s="73"/>
      <c r="H330" s="73"/>
      <c r="I330" s="73"/>
      <c r="J330" s="73"/>
      <c r="K330" s="73"/>
      <c r="L330" s="73"/>
      <c r="M330" s="74"/>
      <c r="N330" s="71" t="str">
        <f t="shared" si="5"/>
        <v/>
      </c>
      <c r="O330" s="72"/>
      <c r="P330" s="72"/>
      <c r="Q330" s="72"/>
      <c r="R330" s="72"/>
      <c r="S330" s="72"/>
      <c r="T330" s="72"/>
      <c r="U330" s="72"/>
      <c r="V330" s="72"/>
    </row>
    <row r="331" spans="1:22" ht="27.75" customHeight="1">
      <c r="A331" s="87" t="str">
        <f>IF(ISBLANK(C331)," ",326-COUNTBLANK($C$6:C331))</f>
        <v xml:space="preserve"> </v>
      </c>
      <c r="B331" s="88"/>
      <c r="C331" s="88"/>
      <c r="D331" s="89"/>
      <c r="E331" s="89"/>
      <c r="F331" s="73"/>
      <c r="G331" s="73"/>
      <c r="H331" s="73"/>
      <c r="I331" s="73"/>
      <c r="J331" s="73"/>
      <c r="K331" s="73"/>
      <c r="L331" s="73"/>
      <c r="M331" s="74"/>
      <c r="N331" s="71" t="str">
        <f t="shared" si="5"/>
        <v/>
      </c>
      <c r="O331" s="72"/>
      <c r="P331" s="72"/>
      <c r="Q331" s="72"/>
      <c r="R331" s="72"/>
      <c r="S331" s="72"/>
      <c r="T331" s="72"/>
      <c r="U331" s="72"/>
      <c r="V331" s="72"/>
    </row>
    <row r="332" spans="1:22" ht="27.75" customHeight="1">
      <c r="A332" s="87" t="str">
        <f>IF(ISBLANK(C332)," ",327-COUNTBLANK($C$6:C332))</f>
        <v xml:space="preserve"> </v>
      </c>
      <c r="B332" s="88"/>
      <c r="C332" s="88"/>
      <c r="D332" s="89"/>
      <c r="E332" s="89"/>
      <c r="F332" s="73"/>
      <c r="G332" s="73"/>
      <c r="H332" s="73"/>
      <c r="I332" s="73"/>
      <c r="J332" s="73"/>
      <c r="K332" s="73"/>
      <c r="L332" s="73"/>
      <c r="M332" s="74"/>
      <c r="N332" s="71" t="str">
        <f t="shared" si="5"/>
        <v/>
      </c>
      <c r="O332" s="72"/>
      <c r="P332" s="72"/>
      <c r="Q332" s="72"/>
      <c r="R332" s="72"/>
      <c r="S332" s="72"/>
      <c r="T332" s="72"/>
      <c r="U332" s="72"/>
      <c r="V332" s="72"/>
    </row>
    <row r="333" spans="1:22" ht="27.75" customHeight="1">
      <c r="A333" s="87" t="str">
        <f>IF(ISBLANK(C333)," ",328-COUNTBLANK($C$6:C333))</f>
        <v xml:space="preserve"> </v>
      </c>
      <c r="B333" s="88"/>
      <c r="C333" s="88"/>
      <c r="D333" s="89"/>
      <c r="E333" s="89"/>
      <c r="F333" s="73"/>
      <c r="G333" s="73"/>
      <c r="H333" s="73"/>
      <c r="I333" s="73"/>
      <c r="J333" s="73"/>
      <c r="K333" s="73"/>
      <c r="L333" s="73"/>
      <c r="M333" s="74"/>
      <c r="N333" s="71" t="str">
        <f t="shared" si="5"/>
        <v/>
      </c>
      <c r="O333" s="72"/>
      <c r="P333" s="72"/>
      <c r="Q333" s="72"/>
      <c r="R333" s="72"/>
      <c r="S333" s="72"/>
      <c r="T333" s="72"/>
      <c r="U333" s="72"/>
      <c r="V333" s="72"/>
    </row>
    <row r="334" spans="1:22" ht="27.75" customHeight="1">
      <c r="A334" s="87" t="str">
        <f>IF(ISBLANK(C334)," ",329-COUNTBLANK($C$6:C334))</f>
        <v xml:space="preserve"> </v>
      </c>
      <c r="B334" s="88"/>
      <c r="C334" s="88"/>
      <c r="D334" s="89"/>
      <c r="E334" s="89"/>
      <c r="F334" s="73"/>
      <c r="G334" s="73"/>
      <c r="H334" s="73"/>
      <c r="I334" s="73"/>
      <c r="J334" s="73"/>
      <c r="K334" s="73"/>
      <c r="L334" s="73"/>
      <c r="M334" s="74"/>
      <c r="N334" s="71" t="str">
        <f t="shared" si="5"/>
        <v/>
      </c>
      <c r="O334" s="72"/>
      <c r="P334" s="72"/>
      <c r="Q334" s="72"/>
      <c r="R334" s="72"/>
      <c r="S334" s="72"/>
      <c r="T334" s="72"/>
      <c r="U334" s="72"/>
      <c r="V334" s="72"/>
    </row>
    <row r="335" spans="1:22" ht="27.75" customHeight="1">
      <c r="A335" s="87" t="str">
        <f>IF(ISBLANK(C335)," ",330-COUNTBLANK($C$6:C335))</f>
        <v xml:space="preserve"> </v>
      </c>
      <c r="B335" s="88"/>
      <c r="C335" s="88"/>
      <c r="D335" s="89"/>
      <c r="E335" s="89"/>
      <c r="F335" s="73"/>
      <c r="G335" s="73"/>
      <c r="H335" s="73"/>
      <c r="I335" s="73"/>
      <c r="J335" s="73"/>
      <c r="K335" s="73"/>
      <c r="L335" s="73"/>
      <c r="M335" s="74"/>
      <c r="N335" s="71" t="str">
        <f t="shared" si="5"/>
        <v/>
      </c>
      <c r="O335" s="72"/>
      <c r="P335" s="72"/>
      <c r="Q335" s="72"/>
      <c r="R335" s="72"/>
      <c r="S335" s="72"/>
      <c r="T335" s="72"/>
      <c r="U335" s="72"/>
      <c r="V335" s="72"/>
    </row>
    <row r="336" spans="1:22" ht="27.75" customHeight="1">
      <c r="A336" s="87" t="str">
        <f>IF(ISBLANK(C336)," ",331-COUNTBLANK($C$6:C336))</f>
        <v xml:space="preserve"> </v>
      </c>
      <c r="B336" s="88"/>
      <c r="C336" s="88"/>
      <c r="D336" s="89"/>
      <c r="E336" s="89"/>
      <c r="F336" s="73"/>
      <c r="G336" s="73"/>
      <c r="H336" s="73"/>
      <c r="I336" s="73"/>
      <c r="J336" s="73"/>
      <c r="K336" s="73"/>
      <c r="L336" s="73"/>
      <c r="M336" s="74"/>
      <c r="N336" s="71" t="str">
        <f t="shared" si="5"/>
        <v/>
      </c>
      <c r="O336" s="75"/>
      <c r="P336" s="72"/>
      <c r="Q336" s="72"/>
      <c r="R336" s="72"/>
      <c r="S336" s="72"/>
      <c r="T336" s="72"/>
      <c r="U336" s="72"/>
      <c r="V336" s="76"/>
    </row>
    <row r="337" spans="1:25" ht="27.75" customHeight="1">
      <c r="A337" s="87" t="str">
        <f>IF(ISBLANK(C337)," ",332-COUNTBLANK($C$6:C337))</f>
        <v xml:space="preserve"> </v>
      </c>
      <c r="B337" s="88"/>
      <c r="C337" s="88"/>
      <c r="D337" s="89"/>
      <c r="E337" s="89"/>
      <c r="F337" s="73"/>
      <c r="G337" s="73"/>
      <c r="H337" s="73"/>
      <c r="I337" s="73"/>
      <c r="J337" s="73"/>
      <c r="K337" s="73"/>
      <c r="L337" s="73"/>
      <c r="M337" s="74"/>
      <c r="N337" s="71" t="str">
        <f t="shared" si="5"/>
        <v/>
      </c>
      <c r="O337" s="75"/>
      <c r="P337" s="72"/>
      <c r="Q337" s="72"/>
      <c r="R337" s="72"/>
      <c r="S337" s="72"/>
      <c r="T337" s="72"/>
      <c r="U337" s="72"/>
      <c r="V337" s="76"/>
    </row>
    <row r="338" spans="1:25" ht="27.75" customHeight="1">
      <c r="A338" s="87" t="str">
        <f>IF(ISBLANK(C338)," ",333-COUNTBLANK($C$6:C338))</f>
        <v xml:space="preserve"> </v>
      </c>
      <c r="B338" s="88"/>
      <c r="C338" s="88"/>
      <c r="D338" s="89"/>
      <c r="E338" s="89"/>
      <c r="F338" s="73"/>
      <c r="G338" s="73"/>
      <c r="H338" s="73"/>
      <c r="I338" s="73"/>
      <c r="J338" s="73"/>
      <c r="K338" s="73"/>
      <c r="L338" s="73"/>
      <c r="M338" s="74"/>
      <c r="N338" s="71" t="str">
        <f t="shared" si="5"/>
        <v/>
      </c>
      <c r="O338" s="75"/>
      <c r="P338" s="72"/>
      <c r="Q338" s="72"/>
      <c r="R338" s="72"/>
      <c r="S338" s="72"/>
      <c r="T338" s="72"/>
      <c r="U338" s="72"/>
      <c r="V338" s="76"/>
    </row>
    <row r="339" spans="1:25" ht="27.75" customHeight="1">
      <c r="A339" s="87" t="str">
        <f>IF(ISBLANK(C339)," ",334-COUNTBLANK($C$6:C339))</f>
        <v xml:space="preserve"> </v>
      </c>
      <c r="B339" s="88"/>
      <c r="C339" s="88"/>
      <c r="D339" s="89"/>
      <c r="E339" s="89"/>
      <c r="F339" s="73"/>
      <c r="G339" s="73"/>
      <c r="H339" s="73"/>
      <c r="I339" s="73"/>
      <c r="J339" s="73"/>
      <c r="K339" s="73"/>
      <c r="L339" s="73"/>
      <c r="M339" s="74"/>
      <c r="N339" s="71" t="str">
        <f t="shared" si="5"/>
        <v/>
      </c>
      <c r="O339" s="75"/>
      <c r="P339" s="72"/>
      <c r="Q339" s="72"/>
      <c r="R339" s="72"/>
      <c r="S339" s="72"/>
      <c r="T339" s="72"/>
      <c r="U339" s="72"/>
      <c r="V339" s="76"/>
    </row>
    <row r="340" spans="1:25" ht="27.75" customHeight="1">
      <c r="A340" s="87" t="str">
        <f>IF(ISBLANK(C340)," ",335-COUNTBLANK($C$6:C340))</f>
        <v xml:space="preserve"> </v>
      </c>
      <c r="B340" s="88"/>
      <c r="C340" s="88"/>
      <c r="D340" s="89"/>
      <c r="E340" s="89"/>
      <c r="F340" s="73"/>
      <c r="G340" s="73"/>
      <c r="H340" s="73"/>
      <c r="I340" s="73"/>
      <c r="J340" s="73"/>
      <c r="K340" s="73"/>
      <c r="L340" s="73"/>
      <c r="M340" s="74"/>
      <c r="N340" s="71" t="str">
        <f t="shared" si="5"/>
        <v/>
      </c>
      <c r="O340" s="72"/>
      <c r="P340" s="72"/>
      <c r="Q340" s="72"/>
      <c r="R340" s="72"/>
      <c r="S340" s="72"/>
      <c r="T340" s="72"/>
      <c r="U340" s="72"/>
      <c r="V340" s="79"/>
      <c r="W340" s="72"/>
      <c r="X340" s="72"/>
      <c r="Y340" s="72"/>
    </row>
    <row r="341" spans="1:25" ht="27.75" customHeight="1">
      <c r="A341" s="80" t="s">
        <v>52</v>
      </c>
      <c r="B341" s="81"/>
      <c r="C341" s="96"/>
      <c r="D341" s="82"/>
      <c r="E341" s="82">
        <f>SUM(E321:E340)</f>
        <v>0</v>
      </c>
      <c r="F341" s="83"/>
      <c r="G341" s="83"/>
      <c r="H341" s="83"/>
      <c r="I341" s="83"/>
      <c r="J341" s="83"/>
      <c r="K341" s="83"/>
      <c r="L341" s="83"/>
      <c r="M341" s="84"/>
      <c r="N341" s="71" t="str">
        <f t="shared" si="5"/>
        <v/>
      </c>
      <c r="O341" s="75"/>
      <c r="P341" s="72"/>
      <c r="Q341" s="72"/>
      <c r="R341" s="72"/>
      <c r="S341" s="72"/>
      <c r="T341" s="72"/>
      <c r="U341" s="72"/>
      <c r="V341" s="79"/>
      <c r="W341" s="72"/>
      <c r="X341" s="72"/>
      <c r="Y341" s="72"/>
    </row>
    <row r="342" spans="1:25" ht="27.75" customHeight="1">
      <c r="A342" s="93" t="str">
        <f>IF(ISBLANK(C342)," ",337-COUNTBLANK($C$6:C342))</f>
        <v xml:space="preserve"> </v>
      </c>
      <c r="B342" s="94"/>
      <c r="C342" s="94"/>
      <c r="D342" s="95"/>
      <c r="E342" s="95"/>
      <c r="F342" s="85"/>
      <c r="G342" s="85"/>
      <c r="H342" s="85"/>
      <c r="I342" s="85"/>
      <c r="J342" s="85"/>
      <c r="K342" s="85"/>
      <c r="L342" s="85"/>
      <c r="M342" s="86"/>
      <c r="N342" s="71" t="str">
        <f t="shared" si="5"/>
        <v/>
      </c>
      <c r="O342" s="72"/>
      <c r="P342" s="72"/>
      <c r="Q342" s="72"/>
      <c r="R342" s="72"/>
      <c r="S342" s="72"/>
      <c r="T342" s="72"/>
      <c r="U342" s="72"/>
      <c r="V342" s="72"/>
    </row>
    <row r="343" spans="1:25" ht="27.75" customHeight="1">
      <c r="A343" s="87" t="str">
        <f>IF(ISBLANK(C343)," ",338-COUNTBLANK($C$6:C343))</f>
        <v xml:space="preserve"> </v>
      </c>
      <c r="B343" s="88"/>
      <c r="C343" s="88"/>
      <c r="D343" s="89"/>
      <c r="E343" s="89"/>
      <c r="F343" s="73"/>
      <c r="G343" s="73"/>
      <c r="H343" s="73"/>
      <c r="I343" s="73"/>
      <c r="J343" s="73"/>
      <c r="K343" s="73"/>
      <c r="L343" s="73"/>
      <c r="M343" s="74"/>
      <c r="N343" s="71" t="str">
        <f t="shared" si="5"/>
        <v/>
      </c>
      <c r="O343" s="72"/>
      <c r="P343" s="72"/>
      <c r="Q343" s="72"/>
      <c r="R343" s="72"/>
      <c r="S343" s="72"/>
      <c r="T343" s="72"/>
      <c r="U343" s="72"/>
      <c r="V343" s="72"/>
    </row>
    <row r="344" spans="1:25" ht="27.75" customHeight="1">
      <c r="A344" s="87" t="str">
        <f>IF(ISBLANK(C344)," ",339-COUNTBLANK($C$6:C344))</f>
        <v xml:space="preserve"> </v>
      </c>
      <c r="B344" s="88"/>
      <c r="C344" s="88"/>
      <c r="D344" s="89"/>
      <c r="E344" s="89"/>
      <c r="F344" s="73"/>
      <c r="G344" s="73"/>
      <c r="H344" s="73"/>
      <c r="I344" s="73"/>
      <c r="J344" s="73"/>
      <c r="K344" s="73"/>
      <c r="L344" s="73"/>
      <c r="M344" s="74"/>
      <c r="N344" s="71" t="str">
        <f t="shared" si="5"/>
        <v/>
      </c>
      <c r="O344" s="72"/>
      <c r="P344" s="72"/>
      <c r="Q344" s="72"/>
      <c r="R344" s="72"/>
      <c r="S344" s="72"/>
      <c r="T344" s="72"/>
      <c r="U344" s="72"/>
      <c r="V344" s="72"/>
    </row>
    <row r="345" spans="1:25" ht="27.75" customHeight="1">
      <c r="A345" s="87" t="str">
        <f>IF(ISBLANK(C345)," ",340-COUNTBLANK($C$6:C345))</f>
        <v xml:space="preserve"> </v>
      </c>
      <c r="B345" s="88"/>
      <c r="C345" s="88"/>
      <c r="D345" s="89"/>
      <c r="E345" s="89"/>
      <c r="F345" s="73"/>
      <c r="G345" s="73"/>
      <c r="H345" s="73"/>
      <c r="I345" s="73"/>
      <c r="J345" s="73"/>
      <c r="K345" s="73"/>
      <c r="L345" s="73"/>
      <c r="M345" s="74"/>
      <c r="N345" s="71" t="str">
        <f t="shared" si="5"/>
        <v/>
      </c>
      <c r="O345" s="72"/>
      <c r="P345" s="72"/>
      <c r="Q345" s="72"/>
      <c r="R345" s="72"/>
      <c r="S345" s="72"/>
      <c r="T345" s="72"/>
      <c r="U345" s="72"/>
      <c r="V345" s="72"/>
    </row>
    <row r="346" spans="1:25" ht="27.75" customHeight="1">
      <c r="A346" s="87" t="str">
        <f>IF(ISBLANK(C346)," ",341-COUNTBLANK($C$6:C346))</f>
        <v xml:space="preserve"> </v>
      </c>
      <c r="B346" s="88"/>
      <c r="C346" s="88"/>
      <c r="D346" s="89"/>
      <c r="E346" s="89"/>
      <c r="F346" s="73"/>
      <c r="G346" s="73"/>
      <c r="H346" s="73"/>
      <c r="I346" s="73"/>
      <c r="J346" s="73"/>
      <c r="K346" s="73"/>
      <c r="L346" s="73"/>
      <c r="M346" s="74"/>
      <c r="N346" s="71" t="str">
        <f t="shared" si="5"/>
        <v/>
      </c>
      <c r="O346" s="72"/>
      <c r="P346" s="72"/>
      <c r="Q346" s="72"/>
      <c r="R346" s="72"/>
      <c r="S346" s="72"/>
      <c r="T346" s="72"/>
      <c r="U346" s="72"/>
      <c r="V346" s="72"/>
    </row>
    <row r="347" spans="1:25" ht="27.75" customHeight="1">
      <c r="A347" s="87" t="str">
        <f>IF(ISBLANK(C347)," ",342-COUNTBLANK($C$6:C347))</f>
        <v xml:space="preserve"> </v>
      </c>
      <c r="B347" s="88"/>
      <c r="C347" s="88"/>
      <c r="D347" s="89"/>
      <c r="E347" s="89"/>
      <c r="F347" s="73"/>
      <c r="G347" s="73"/>
      <c r="H347" s="73"/>
      <c r="I347" s="73"/>
      <c r="J347" s="73"/>
      <c r="K347" s="73"/>
      <c r="L347" s="73"/>
      <c r="M347" s="74"/>
      <c r="N347" s="71" t="str">
        <f t="shared" si="5"/>
        <v/>
      </c>
      <c r="O347" s="72"/>
      <c r="P347" s="72"/>
      <c r="Q347" s="72"/>
      <c r="R347" s="72"/>
      <c r="S347" s="72"/>
      <c r="T347" s="72"/>
      <c r="U347" s="72"/>
      <c r="V347" s="72"/>
    </row>
    <row r="348" spans="1:25" ht="27.75" customHeight="1">
      <c r="A348" s="87" t="str">
        <f>IF(ISBLANK(C348)," ",343-COUNTBLANK($C$6:C348))</f>
        <v xml:space="preserve"> </v>
      </c>
      <c r="B348" s="88"/>
      <c r="C348" s="88"/>
      <c r="D348" s="89"/>
      <c r="E348" s="89"/>
      <c r="F348" s="73"/>
      <c r="G348" s="73"/>
      <c r="H348" s="73"/>
      <c r="I348" s="73"/>
      <c r="J348" s="73"/>
      <c r="K348" s="73"/>
      <c r="L348" s="73"/>
      <c r="M348" s="74"/>
      <c r="N348" s="71" t="str">
        <f t="shared" si="5"/>
        <v/>
      </c>
      <c r="O348" s="72"/>
      <c r="P348" s="72"/>
      <c r="Q348" s="72"/>
      <c r="R348" s="72"/>
      <c r="S348" s="72"/>
      <c r="T348" s="72"/>
      <c r="U348" s="72"/>
      <c r="V348" s="72"/>
    </row>
    <row r="349" spans="1:25" ht="27.75" customHeight="1">
      <c r="A349" s="87" t="str">
        <f>IF(ISBLANK(C349)," ",344-COUNTBLANK($C$6:C349))</f>
        <v xml:space="preserve"> </v>
      </c>
      <c r="B349" s="88"/>
      <c r="C349" s="88"/>
      <c r="D349" s="89"/>
      <c r="E349" s="89"/>
      <c r="F349" s="73"/>
      <c r="G349" s="73"/>
      <c r="H349" s="73"/>
      <c r="I349" s="73"/>
      <c r="J349" s="73"/>
      <c r="K349" s="73"/>
      <c r="L349" s="73"/>
      <c r="M349" s="74"/>
      <c r="N349" s="71" t="str">
        <f t="shared" si="5"/>
        <v/>
      </c>
      <c r="O349" s="72"/>
      <c r="P349" s="72"/>
      <c r="Q349" s="72"/>
      <c r="R349" s="72"/>
      <c r="S349" s="72"/>
      <c r="T349" s="72"/>
      <c r="U349" s="72"/>
      <c r="V349" s="72"/>
    </row>
    <row r="350" spans="1:25" ht="27.75" customHeight="1">
      <c r="A350" s="87" t="str">
        <f>IF(ISBLANK(C350)," ",345-COUNTBLANK($C$6:C350))</f>
        <v xml:space="preserve"> </v>
      </c>
      <c r="B350" s="88"/>
      <c r="C350" s="88"/>
      <c r="D350" s="89"/>
      <c r="E350" s="89"/>
      <c r="F350" s="73"/>
      <c r="G350" s="73"/>
      <c r="H350" s="73"/>
      <c r="I350" s="73"/>
      <c r="J350" s="73"/>
      <c r="K350" s="73"/>
      <c r="L350" s="73"/>
      <c r="M350" s="74"/>
      <c r="N350" s="71" t="str">
        <f t="shared" si="5"/>
        <v/>
      </c>
      <c r="O350" s="72"/>
      <c r="P350" s="72"/>
      <c r="Q350" s="72"/>
      <c r="R350" s="72"/>
      <c r="S350" s="72"/>
      <c r="T350" s="72"/>
      <c r="U350" s="72"/>
      <c r="V350" s="72"/>
    </row>
    <row r="351" spans="1:25" ht="27.75" customHeight="1">
      <c r="A351" s="87" t="str">
        <f>IF(ISBLANK(C351)," ",346-COUNTBLANK($C$6:C351))</f>
        <v xml:space="preserve"> </v>
      </c>
      <c r="B351" s="88"/>
      <c r="C351" s="88"/>
      <c r="D351" s="89"/>
      <c r="E351" s="89"/>
      <c r="F351" s="73"/>
      <c r="G351" s="73"/>
      <c r="H351" s="73"/>
      <c r="I351" s="73"/>
      <c r="J351" s="73"/>
      <c r="K351" s="73"/>
      <c r="L351" s="73"/>
      <c r="M351" s="74"/>
      <c r="N351" s="71" t="str">
        <f t="shared" si="5"/>
        <v/>
      </c>
      <c r="O351" s="72"/>
      <c r="P351" s="72"/>
      <c r="Q351" s="72"/>
      <c r="R351" s="72"/>
      <c r="S351" s="72"/>
      <c r="T351" s="72"/>
      <c r="U351" s="72"/>
      <c r="V351" s="72"/>
    </row>
    <row r="352" spans="1:25" ht="27.75" customHeight="1">
      <c r="A352" s="87" t="str">
        <f>IF(ISBLANK(C352)," ",347-COUNTBLANK($C$6:C352))</f>
        <v xml:space="preserve"> </v>
      </c>
      <c r="B352" s="88"/>
      <c r="C352" s="88"/>
      <c r="D352" s="89"/>
      <c r="E352" s="89"/>
      <c r="F352" s="73"/>
      <c r="G352" s="73"/>
      <c r="H352" s="73"/>
      <c r="I352" s="73"/>
      <c r="J352" s="73"/>
      <c r="K352" s="73"/>
      <c r="L352" s="73"/>
      <c r="M352" s="74"/>
      <c r="N352" s="71" t="str">
        <f t="shared" si="5"/>
        <v/>
      </c>
      <c r="O352" s="72"/>
      <c r="P352" s="72"/>
      <c r="Q352" s="72"/>
      <c r="R352" s="72"/>
      <c r="S352" s="72"/>
      <c r="T352" s="72"/>
      <c r="U352" s="72"/>
      <c r="V352" s="72"/>
    </row>
    <row r="353" spans="1:25" ht="27.75" customHeight="1">
      <c r="A353" s="87" t="str">
        <f>IF(ISBLANK(C353)," ",348-COUNTBLANK($C$6:C353))</f>
        <v xml:space="preserve"> </v>
      </c>
      <c r="B353" s="88"/>
      <c r="C353" s="88"/>
      <c r="D353" s="89"/>
      <c r="E353" s="89"/>
      <c r="F353" s="73"/>
      <c r="G353" s="73"/>
      <c r="H353" s="73"/>
      <c r="I353" s="73"/>
      <c r="J353" s="73"/>
      <c r="K353" s="73"/>
      <c r="L353" s="73"/>
      <c r="M353" s="74"/>
      <c r="N353" s="71" t="str">
        <f t="shared" si="5"/>
        <v/>
      </c>
      <c r="O353" s="72"/>
      <c r="P353" s="72"/>
      <c r="Q353" s="72"/>
      <c r="R353" s="72"/>
      <c r="S353" s="72"/>
      <c r="T353" s="72"/>
      <c r="U353" s="72"/>
      <c r="V353" s="72"/>
    </row>
    <row r="354" spans="1:25" ht="27.75" customHeight="1">
      <c r="A354" s="87" t="str">
        <f>IF(ISBLANK(C354)," ",349-COUNTBLANK($C$6:C354))</f>
        <v xml:space="preserve"> </v>
      </c>
      <c r="B354" s="88"/>
      <c r="C354" s="88"/>
      <c r="D354" s="89"/>
      <c r="E354" s="89"/>
      <c r="F354" s="73"/>
      <c r="G354" s="73"/>
      <c r="H354" s="73"/>
      <c r="I354" s="73"/>
      <c r="J354" s="73"/>
      <c r="K354" s="73"/>
      <c r="L354" s="73"/>
      <c r="M354" s="74"/>
      <c r="N354" s="71" t="str">
        <f t="shared" si="5"/>
        <v/>
      </c>
      <c r="O354" s="72"/>
      <c r="P354" s="72"/>
      <c r="Q354" s="72"/>
      <c r="R354" s="72"/>
      <c r="S354" s="72"/>
      <c r="T354" s="72"/>
      <c r="U354" s="72"/>
      <c r="V354" s="72"/>
    </row>
    <row r="355" spans="1:25" ht="27.75" customHeight="1">
      <c r="A355" s="87" t="str">
        <f>IF(ISBLANK(C355)," ",350-COUNTBLANK($C$6:C355))</f>
        <v xml:space="preserve"> </v>
      </c>
      <c r="B355" s="88"/>
      <c r="C355" s="88"/>
      <c r="D355" s="89"/>
      <c r="E355" s="89"/>
      <c r="F355" s="73"/>
      <c r="G355" s="73"/>
      <c r="H355" s="73"/>
      <c r="I355" s="73"/>
      <c r="J355" s="73"/>
      <c r="K355" s="73"/>
      <c r="L355" s="73"/>
      <c r="M355" s="74"/>
      <c r="N355" s="71" t="str">
        <f t="shared" si="5"/>
        <v/>
      </c>
      <c r="O355" s="72"/>
      <c r="P355" s="72"/>
      <c r="Q355" s="72"/>
      <c r="R355" s="72"/>
      <c r="S355" s="72"/>
      <c r="T355" s="72"/>
      <c r="U355" s="72"/>
      <c r="V355" s="72"/>
    </row>
    <row r="356" spans="1:25" ht="27.75" customHeight="1">
      <c r="A356" s="87" t="str">
        <f>IF(ISBLANK(C356)," ",351-COUNTBLANK($C$6:C356))</f>
        <v xml:space="preserve"> </v>
      </c>
      <c r="B356" s="88"/>
      <c r="C356" s="88"/>
      <c r="D356" s="89"/>
      <c r="E356" s="89"/>
      <c r="F356" s="73"/>
      <c r="G356" s="73"/>
      <c r="H356" s="73"/>
      <c r="I356" s="73"/>
      <c r="J356" s="73"/>
      <c r="K356" s="73"/>
      <c r="L356" s="73"/>
      <c r="M356" s="74"/>
      <c r="N356" s="71" t="str">
        <f t="shared" si="5"/>
        <v/>
      </c>
      <c r="O356" s="72"/>
      <c r="P356" s="72"/>
      <c r="Q356" s="72"/>
      <c r="R356" s="72"/>
      <c r="S356" s="72"/>
      <c r="T356" s="72"/>
      <c r="U356" s="72"/>
      <c r="V356" s="72"/>
    </row>
    <row r="357" spans="1:25" ht="27.75" customHeight="1">
      <c r="A357" s="87" t="str">
        <f>IF(ISBLANK(C357)," ",352-COUNTBLANK($C$6:C357))</f>
        <v xml:space="preserve"> </v>
      </c>
      <c r="B357" s="88"/>
      <c r="C357" s="88"/>
      <c r="D357" s="89"/>
      <c r="E357" s="89"/>
      <c r="F357" s="73"/>
      <c r="G357" s="73"/>
      <c r="H357" s="73"/>
      <c r="I357" s="73"/>
      <c r="J357" s="73"/>
      <c r="K357" s="73"/>
      <c r="L357" s="73"/>
      <c r="M357" s="74"/>
      <c r="N357" s="71" t="str">
        <f t="shared" si="5"/>
        <v/>
      </c>
      <c r="O357" s="75"/>
      <c r="P357" s="72"/>
      <c r="Q357" s="72"/>
      <c r="R357" s="72"/>
      <c r="S357" s="72"/>
      <c r="T357" s="72"/>
      <c r="U357" s="72"/>
      <c r="V357" s="76"/>
    </row>
    <row r="358" spans="1:25" ht="27.75" customHeight="1">
      <c r="A358" s="87" t="str">
        <f>IF(ISBLANK(C358)," ",353-COUNTBLANK($C$6:C358))</f>
        <v xml:space="preserve"> </v>
      </c>
      <c r="B358" s="88"/>
      <c r="C358" s="88"/>
      <c r="D358" s="89"/>
      <c r="E358" s="89"/>
      <c r="F358" s="73"/>
      <c r="G358" s="73"/>
      <c r="H358" s="73"/>
      <c r="I358" s="73"/>
      <c r="J358" s="73"/>
      <c r="K358" s="73"/>
      <c r="L358" s="73"/>
      <c r="M358" s="74"/>
      <c r="N358" s="71" t="str">
        <f t="shared" si="5"/>
        <v/>
      </c>
      <c r="O358" s="75"/>
      <c r="P358" s="72"/>
      <c r="Q358" s="72"/>
      <c r="R358" s="72"/>
      <c r="S358" s="72"/>
      <c r="T358" s="72"/>
      <c r="U358" s="72"/>
      <c r="V358" s="76"/>
    </row>
    <row r="359" spans="1:25" ht="27.75" customHeight="1">
      <c r="A359" s="87" t="str">
        <f>IF(ISBLANK(C359)," ",354-COUNTBLANK($C$6:C359))</f>
        <v xml:space="preserve"> </v>
      </c>
      <c r="B359" s="88"/>
      <c r="C359" s="88"/>
      <c r="D359" s="89"/>
      <c r="E359" s="89"/>
      <c r="F359" s="73"/>
      <c r="G359" s="73"/>
      <c r="H359" s="73"/>
      <c r="I359" s="73"/>
      <c r="J359" s="73"/>
      <c r="K359" s="73"/>
      <c r="L359" s="73"/>
      <c r="M359" s="74"/>
      <c r="N359" s="71" t="str">
        <f t="shared" si="5"/>
        <v/>
      </c>
      <c r="O359" s="75"/>
      <c r="P359" s="72"/>
      <c r="Q359" s="72"/>
      <c r="R359" s="72"/>
      <c r="S359" s="72"/>
      <c r="T359" s="72"/>
      <c r="U359" s="72"/>
      <c r="V359" s="76"/>
    </row>
    <row r="360" spans="1:25" ht="27.75" customHeight="1">
      <c r="A360" s="87" t="str">
        <f>IF(ISBLANK(C360)," ",355-COUNTBLANK($C$6:C360))</f>
        <v xml:space="preserve"> </v>
      </c>
      <c r="B360" s="88"/>
      <c r="C360" s="88"/>
      <c r="D360" s="89"/>
      <c r="E360" s="89"/>
      <c r="F360" s="73"/>
      <c r="G360" s="73"/>
      <c r="H360" s="73"/>
      <c r="I360" s="73"/>
      <c r="J360" s="73"/>
      <c r="K360" s="73"/>
      <c r="L360" s="73"/>
      <c r="M360" s="74"/>
      <c r="N360" s="71" t="str">
        <f t="shared" si="5"/>
        <v/>
      </c>
      <c r="O360" s="75"/>
      <c r="P360" s="72"/>
      <c r="Q360" s="72"/>
      <c r="R360" s="72"/>
      <c r="S360" s="72"/>
      <c r="T360" s="72"/>
      <c r="U360" s="72"/>
      <c r="V360" s="76"/>
    </row>
    <row r="361" spans="1:25" ht="27.75" customHeight="1">
      <c r="A361" s="87" t="str">
        <f>IF(ISBLANK(C361)," ",356-COUNTBLANK($C$6:C361))</f>
        <v xml:space="preserve"> </v>
      </c>
      <c r="B361" s="88"/>
      <c r="C361" s="88"/>
      <c r="D361" s="89"/>
      <c r="E361" s="89"/>
      <c r="F361" s="73"/>
      <c r="G361" s="73"/>
      <c r="H361" s="73"/>
      <c r="I361" s="73"/>
      <c r="J361" s="73"/>
      <c r="K361" s="73"/>
      <c r="L361" s="73"/>
      <c r="M361" s="74"/>
      <c r="N361" s="71" t="str">
        <f t="shared" si="5"/>
        <v/>
      </c>
      <c r="O361" s="72"/>
      <c r="P361" s="72"/>
      <c r="Q361" s="72"/>
      <c r="R361" s="72"/>
      <c r="S361" s="72"/>
      <c r="T361" s="72"/>
      <c r="U361" s="72"/>
      <c r="V361" s="79"/>
      <c r="W361" s="72"/>
      <c r="X361" s="72"/>
      <c r="Y361" s="72"/>
    </row>
    <row r="362" spans="1:25" ht="27.75" customHeight="1">
      <c r="A362" s="80" t="s">
        <v>52</v>
      </c>
      <c r="B362" s="81"/>
      <c r="C362" s="96"/>
      <c r="D362" s="82"/>
      <c r="E362" s="82">
        <f>SUM(E342:E361)</f>
        <v>0</v>
      </c>
      <c r="F362" s="83"/>
      <c r="G362" s="83"/>
      <c r="H362" s="83"/>
      <c r="I362" s="83"/>
      <c r="J362" s="83"/>
      <c r="K362" s="83"/>
      <c r="L362" s="83"/>
      <c r="M362" s="84"/>
      <c r="N362" s="71" t="str">
        <f t="shared" si="5"/>
        <v/>
      </c>
      <c r="O362" s="75"/>
      <c r="P362" s="72"/>
      <c r="Q362" s="72"/>
      <c r="R362" s="72"/>
      <c r="S362" s="72"/>
      <c r="T362" s="72"/>
      <c r="U362" s="72"/>
      <c r="V362" s="79"/>
      <c r="W362" s="72"/>
      <c r="X362" s="72"/>
      <c r="Y362" s="72"/>
    </row>
    <row r="363" spans="1:25" ht="27.75" customHeight="1">
      <c r="A363" s="93" t="str">
        <f>IF(ISBLANK(C363)," ",358-COUNTBLANK($C$6:C363))</f>
        <v xml:space="preserve"> </v>
      </c>
      <c r="B363" s="94"/>
      <c r="C363" s="94"/>
      <c r="D363" s="95"/>
      <c r="E363" s="95"/>
      <c r="F363" s="85"/>
      <c r="G363" s="85"/>
      <c r="H363" s="85"/>
      <c r="I363" s="85"/>
      <c r="J363" s="85"/>
      <c r="K363" s="85"/>
      <c r="L363" s="85"/>
      <c r="M363" s="86"/>
      <c r="N363" s="71" t="str">
        <f t="shared" si="5"/>
        <v/>
      </c>
      <c r="O363" s="72"/>
      <c r="P363" s="72"/>
      <c r="Q363" s="72"/>
      <c r="R363" s="72"/>
      <c r="S363" s="72"/>
      <c r="T363" s="72"/>
      <c r="U363" s="72"/>
      <c r="V363" s="72"/>
    </row>
    <row r="364" spans="1:25" ht="27.75" customHeight="1">
      <c r="A364" s="87" t="str">
        <f>IF(ISBLANK(C364)," ",359-COUNTBLANK($C$6:C364))</f>
        <v xml:space="preserve"> </v>
      </c>
      <c r="B364" s="88"/>
      <c r="C364" s="88"/>
      <c r="D364" s="89"/>
      <c r="E364" s="89"/>
      <c r="F364" s="73"/>
      <c r="G364" s="73"/>
      <c r="H364" s="73"/>
      <c r="I364" s="73"/>
      <c r="J364" s="73"/>
      <c r="K364" s="73"/>
      <c r="L364" s="73"/>
      <c r="M364" s="74"/>
      <c r="N364" s="71" t="str">
        <f t="shared" si="5"/>
        <v/>
      </c>
      <c r="O364" s="72"/>
      <c r="P364" s="72"/>
      <c r="Q364" s="72"/>
      <c r="R364" s="72"/>
      <c r="S364" s="72"/>
      <c r="T364" s="72"/>
      <c r="U364" s="72"/>
      <c r="V364" s="72"/>
    </row>
    <row r="365" spans="1:25" ht="27.75" customHeight="1">
      <c r="A365" s="87" t="str">
        <f>IF(ISBLANK(C365)," ",360-COUNTBLANK($C$6:C365))</f>
        <v xml:space="preserve"> </v>
      </c>
      <c r="B365" s="88"/>
      <c r="C365" s="88"/>
      <c r="D365" s="89"/>
      <c r="E365" s="89"/>
      <c r="F365" s="73"/>
      <c r="G365" s="73"/>
      <c r="H365" s="73"/>
      <c r="I365" s="73"/>
      <c r="J365" s="73"/>
      <c r="K365" s="73"/>
      <c r="L365" s="73"/>
      <c r="M365" s="74"/>
      <c r="N365" s="71" t="str">
        <f t="shared" si="5"/>
        <v/>
      </c>
      <c r="O365" s="72"/>
      <c r="P365" s="72"/>
      <c r="Q365" s="72"/>
      <c r="R365" s="72"/>
      <c r="S365" s="72"/>
      <c r="T365" s="72"/>
      <c r="U365" s="72"/>
      <c r="V365" s="72"/>
    </row>
    <row r="366" spans="1:25" ht="27.75" customHeight="1">
      <c r="A366" s="87" t="str">
        <f>IF(ISBLANK(C366)," ",361-COUNTBLANK($C$6:C366))</f>
        <v xml:space="preserve"> </v>
      </c>
      <c r="B366" s="88"/>
      <c r="C366" s="88"/>
      <c r="D366" s="89"/>
      <c r="E366" s="89"/>
      <c r="F366" s="73"/>
      <c r="G366" s="73"/>
      <c r="H366" s="73"/>
      <c r="I366" s="73"/>
      <c r="J366" s="73"/>
      <c r="K366" s="73"/>
      <c r="L366" s="73"/>
      <c r="M366" s="74"/>
      <c r="N366" s="71" t="str">
        <f t="shared" si="5"/>
        <v/>
      </c>
      <c r="O366" s="72"/>
      <c r="P366" s="72"/>
      <c r="Q366" s="72"/>
      <c r="R366" s="72"/>
      <c r="S366" s="72"/>
      <c r="T366" s="72"/>
      <c r="U366" s="72"/>
      <c r="V366" s="72"/>
    </row>
    <row r="367" spans="1:25" ht="27.75" customHeight="1">
      <c r="A367" s="87" t="str">
        <f>IF(ISBLANK(C367)," ",362-COUNTBLANK($C$6:C367))</f>
        <v xml:space="preserve"> </v>
      </c>
      <c r="B367" s="88"/>
      <c r="C367" s="88"/>
      <c r="D367" s="89"/>
      <c r="E367" s="89"/>
      <c r="F367" s="73"/>
      <c r="G367" s="73"/>
      <c r="H367" s="73"/>
      <c r="I367" s="73"/>
      <c r="J367" s="73"/>
      <c r="K367" s="73"/>
      <c r="L367" s="73"/>
      <c r="M367" s="74"/>
      <c r="N367" s="71" t="str">
        <f t="shared" si="5"/>
        <v/>
      </c>
      <c r="O367" s="72"/>
      <c r="P367" s="72"/>
      <c r="Q367" s="72"/>
      <c r="R367" s="72"/>
      <c r="S367" s="72"/>
      <c r="T367" s="72"/>
      <c r="U367" s="72"/>
      <c r="V367" s="72"/>
    </row>
    <row r="368" spans="1:25" ht="27.75" customHeight="1">
      <c r="A368" s="87" t="str">
        <f>IF(ISBLANK(C368)," ",363-COUNTBLANK($C$6:C368))</f>
        <v xml:space="preserve"> </v>
      </c>
      <c r="B368" s="88"/>
      <c r="C368" s="88"/>
      <c r="D368" s="89"/>
      <c r="E368" s="89"/>
      <c r="F368" s="73"/>
      <c r="G368" s="73"/>
      <c r="H368" s="73"/>
      <c r="I368" s="73"/>
      <c r="J368" s="73"/>
      <c r="K368" s="73"/>
      <c r="L368" s="73"/>
      <c r="M368" s="74"/>
      <c r="N368" s="71" t="str">
        <f t="shared" si="5"/>
        <v/>
      </c>
      <c r="O368" s="72"/>
      <c r="P368" s="72"/>
      <c r="Q368" s="72"/>
      <c r="R368" s="72"/>
      <c r="S368" s="72"/>
      <c r="T368" s="72"/>
      <c r="U368" s="72"/>
      <c r="V368" s="72"/>
    </row>
    <row r="369" spans="1:25" ht="27.75" customHeight="1">
      <c r="A369" s="87" t="str">
        <f>IF(ISBLANK(C369)," ",364-COUNTBLANK($C$6:C369))</f>
        <v xml:space="preserve"> </v>
      </c>
      <c r="B369" s="88"/>
      <c r="C369" s="88"/>
      <c r="D369" s="89"/>
      <c r="E369" s="89"/>
      <c r="F369" s="73"/>
      <c r="G369" s="73"/>
      <c r="H369" s="73"/>
      <c r="I369" s="73"/>
      <c r="J369" s="73"/>
      <c r="K369" s="73"/>
      <c r="L369" s="73"/>
      <c r="M369" s="74"/>
      <c r="N369" s="71" t="str">
        <f t="shared" si="5"/>
        <v/>
      </c>
      <c r="O369" s="72"/>
      <c r="P369" s="72"/>
      <c r="Q369" s="72"/>
      <c r="R369" s="72"/>
      <c r="S369" s="72"/>
      <c r="T369" s="72"/>
      <c r="U369" s="72"/>
      <c r="V369" s="72"/>
    </row>
    <row r="370" spans="1:25" ht="27.75" customHeight="1">
      <c r="A370" s="87" t="str">
        <f>IF(ISBLANK(C370)," ",365-COUNTBLANK($C$6:C370))</f>
        <v xml:space="preserve"> </v>
      </c>
      <c r="B370" s="88"/>
      <c r="C370" s="88"/>
      <c r="D370" s="89"/>
      <c r="E370" s="89"/>
      <c r="F370" s="73"/>
      <c r="G370" s="73"/>
      <c r="H370" s="73"/>
      <c r="I370" s="73"/>
      <c r="J370" s="73"/>
      <c r="K370" s="73"/>
      <c r="L370" s="73"/>
      <c r="M370" s="74"/>
      <c r="N370" s="71" t="str">
        <f t="shared" si="5"/>
        <v/>
      </c>
      <c r="O370" s="72"/>
      <c r="P370" s="72"/>
      <c r="Q370" s="72"/>
      <c r="R370" s="72"/>
      <c r="S370" s="72"/>
      <c r="T370" s="72"/>
      <c r="U370" s="72"/>
      <c r="V370" s="72"/>
    </row>
    <row r="371" spans="1:25" ht="27.75" customHeight="1">
      <c r="A371" s="87" t="str">
        <f>IF(ISBLANK(C371)," ",366-COUNTBLANK($C$6:C371))</f>
        <v xml:space="preserve"> </v>
      </c>
      <c r="B371" s="88"/>
      <c r="C371" s="88"/>
      <c r="D371" s="89"/>
      <c r="E371" s="89"/>
      <c r="F371" s="73"/>
      <c r="G371" s="73"/>
      <c r="H371" s="73"/>
      <c r="I371" s="73"/>
      <c r="J371" s="73"/>
      <c r="K371" s="73"/>
      <c r="L371" s="73"/>
      <c r="M371" s="74"/>
      <c r="N371" s="71" t="str">
        <f t="shared" si="5"/>
        <v/>
      </c>
      <c r="O371" s="72"/>
      <c r="P371" s="72"/>
      <c r="Q371" s="72"/>
      <c r="R371" s="72"/>
      <c r="S371" s="72"/>
      <c r="T371" s="72"/>
      <c r="U371" s="72"/>
      <c r="V371" s="72"/>
    </row>
    <row r="372" spans="1:25" ht="27.75" customHeight="1">
      <c r="A372" s="87" t="str">
        <f>IF(ISBLANK(C372)," ",367-COUNTBLANK($C$6:C372))</f>
        <v xml:space="preserve"> </v>
      </c>
      <c r="B372" s="88"/>
      <c r="C372" s="88"/>
      <c r="D372" s="89"/>
      <c r="E372" s="89"/>
      <c r="F372" s="73"/>
      <c r="G372" s="73"/>
      <c r="H372" s="73"/>
      <c r="I372" s="73"/>
      <c r="J372" s="73"/>
      <c r="K372" s="73"/>
      <c r="L372" s="73"/>
      <c r="M372" s="74"/>
      <c r="N372" s="71" t="str">
        <f t="shared" si="5"/>
        <v/>
      </c>
      <c r="O372" s="72"/>
      <c r="P372" s="72"/>
      <c r="Q372" s="72"/>
      <c r="R372" s="72"/>
      <c r="S372" s="72"/>
      <c r="T372" s="72"/>
      <c r="U372" s="72"/>
      <c r="V372" s="72"/>
    </row>
    <row r="373" spans="1:25" ht="27.75" customHeight="1">
      <c r="A373" s="87" t="str">
        <f>IF(ISBLANK(C373)," ",368-COUNTBLANK($C$6:C373))</f>
        <v xml:space="preserve"> </v>
      </c>
      <c r="B373" s="88"/>
      <c r="C373" s="88"/>
      <c r="D373" s="89"/>
      <c r="E373" s="89"/>
      <c r="F373" s="73"/>
      <c r="G373" s="73"/>
      <c r="H373" s="73"/>
      <c r="I373" s="73"/>
      <c r="J373" s="73"/>
      <c r="K373" s="73"/>
      <c r="L373" s="73"/>
      <c r="M373" s="74"/>
      <c r="N373" s="71" t="str">
        <f t="shared" si="5"/>
        <v/>
      </c>
      <c r="O373" s="72"/>
      <c r="P373" s="72"/>
      <c r="Q373" s="72"/>
      <c r="R373" s="72"/>
      <c r="S373" s="72"/>
      <c r="T373" s="72"/>
      <c r="U373" s="72"/>
      <c r="V373" s="72"/>
    </row>
    <row r="374" spans="1:25" ht="27.75" customHeight="1">
      <c r="A374" s="87" t="str">
        <f>IF(ISBLANK(C374)," ",369-COUNTBLANK($C$6:C374))</f>
        <v xml:space="preserve"> </v>
      </c>
      <c r="B374" s="88"/>
      <c r="C374" s="88"/>
      <c r="D374" s="89"/>
      <c r="E374" s="89"/>
      <c r="F374" s="73"/>
      <c r="G374" s="73"/>
      <c r="H374" s="73"/>
      <c r="I374" s="73"/>
      <c r="J374" s="73"/>
      <c r="K374" s="73"/>
      <c r="L374" s="73"/>
      <c r="M374" s="74"/>
      <c r="N374" s="71" t="str">
        <f t="shared" si="5"/>
        <v/>
      </c>
      <c r="O374" s="72"/>
      <c r="P374" s="72"/>
      <c r="Q374" s="72"/>
      <c r="R374" s="72"/>
      <c r="S374" s="72"/>
      <c r="T374" s="72"/>
      <c r="U374" s="72"/>
      <c r="V374" s="72"/>
    </row>
    <row r="375" spans="1:25" ht="27.75" customHeight="1">
      <c r="A375" s="87" t="str">
        <f>IF(ISBLANK(C375)," ",370-COUNTBLANK($C$6:C375))</f>
        <v xml:space="preserve"> </v>
      </c>
      <c r="B375" s="88"/>
      <c r="C375" s="88"/>
      <c r="D375" s="89"/>
      <c r="E375" s="89"/>
      <c r="F375" s="73"/>
      <c r="G375" s="73"/>
      <c r="H375" s="73"/>
      <c r="I375" s="73"/>
      <c r="J375" s="73"/>
      <c r="K375" s="73"/>
      <c r="L375" s="73"/>
      <c r="M375" s="74"/>
      <c r="N375" s="71" t="str">
        <f t="shared" si="5"/>
        <v/>
      </c>
      <c r="O375" s="72"/>
      <c r="P375" s="72"/>
      <c r="Q375" s="72"/>
      <c r="R375" s="72"/>
      <c r="S375" s="72"/>
      <c r="T375" s="72"/>
      <c r="U375" s="72"/>
      <c r="V375" s="72"/>
    </row>
    <row r="376" spans="1:25" ht="27.75" customHeight="1">
      <c r="A376" s="87" t="str">
        <f>IF(ISBLANK(C376)," ",371-COUNTBLANK($C$6:C376))</f>
        <v xml:space="preserve"> </v>
      </c>
      <c r="B376" s="88"/>
      <c r="C376" s="88"/>
      <c r="D376" s="89"/>
      <c r="E376" s="89"/>
      <c r="F376" s="73"/>
      <c r="G376" s="73"/>
      <c r="H376" s="73"/>
      <c r="I376" s="73"/>
      <c r="J376" s="73"/>
      <c r="K376" s="73"/>
      <c r="L376" s="73"/>
      <c r="M376" s="74"/>
      <c r="N376" s="71" t="str">
        <f t="shared" si="5"/>
        <v/>
      </c>
      <c r="O376" s="72"/>
      <c r="P376" s="72"/>
      <c r="Q376" s="72"/>
      <c r="R376" s="72"/>
      <c r="S376" s="72"/>
      <c r="T376" s="72"/>
      <c r="U376" s="72"/>
      <c r="V376" s="72"/>
    </row>
    <row r="377" spans="1:25" ht="27.75" customHeight="1">
      <c r="A377" s="87" t="str">
        <f>IF(ISBLANK(C377)," ",372-COUNTBLANK($C$6:C377))</f>
        <v xml:space="preserve"> </v>
      </c>
      <c r="B377" s="88"/>
      <c r="C377" s="88"/>
      <c r="D377" s="89"/>
      <c r="E377" s="89"/>
      <c r="F377" s="73"/>
      <c r="G377" s="73"/>
      <c r="H377" s="73"/>
      <c r="I377" s="73"/>
      <c r="J377" s="73"/>
      <c r="K377" s="73"/>
      <c r="L377" s="73"/>
      <c r="M377" s="74"/>
      <c r="N377" s="71" t="str">
        <f t="shared" si="5"/>
        <v/>
      </c>
      <c r="O377" s="72"/>
      <c r="P377" s="72"/>
      <c r="Q377" s="72"/>
      <c r="R377" s="72"/>
      <c r="S377" s="72"/>
      <c r="T377" s="72"/>
      <c r="U377" s="72"/>
      <c r="V377" s="72"/>
    </row>
    <row r="378" spans="1:25" ht="27.75" customHeight="1">
      <c r="A378" s="87" t="str">
        <f>IF(ISBLANK(C378)," ",373-COUNTBLANK($C$6:C378))</f>
        <v xml:space="preserve"> </v>
      </c>
      <c r="B378" s="88"/>
      <c r="C378" s="88"/>
      <c r="D378" s="89"/>
      <c r="E378" s="89"/>
      <c r="F378" s="73"/>
      <c r="G378" s="73"/>
      <c r="H378" s="73"/>
      <c r="I378" s="73"/>
      <c r="J378" s="73"/>
      <c r="K378" s="73"/>
      <c r="L378" s="73"/>
      <c r="M378" s="74"/>
      <c r="N378" s="71" t="str">
        <f t="shared" si="5"/>
        <v/>
      </c>
      <c r="O378" s="75"/>
      <c r="P378" s="72"/>
      <c r="Q378" s="72"/>
      <c r="R378" s="72"/>
      <c r="S378" s="72"/>
      <c r="T378" s="72"/>
      <c r="U378" s="72"/>
      <c r="V378" s="76"/>
    </row>
    <row r="379" spans="1:25" ht="27.75" customHeight="1">
      <c r="A379" s="87" t="str">
        <f>IF(ISBLANK(C379)," ",374-COUNTBLANK($C$6:C379))</f>
        <v xml:space="preserve"> </v>
      </c>
      <c r="B379" s="88"/>
      <c r="C379" s="88"/>
      <c r="D379" s="89"/>
      <c r="E379" s="89"/>
      <c r="F379" s="73"/>
      <c r="G379" s="73"/>
      <c r="H379" s="73"/>
      <c r="I379" s="73"/>
      <c r="J379" s="73"/>
      <c r="K379" s="73"/>
      <c r="L379" s="73"/>
      <c r="M379" s="74"/>
      <c r="N379" s="71" t="str">
        <f t="shared" si="5"/>
        <v/>
      </c>
      <c r="O379" s="75"/>
      <c r="P379" s="72"/>
      <c r="Q379" s="72"/>
      <c r="R379" s="72"/>
      <c r="S379" s="72"/>
      <c r="T379" s="72"/>
      <c r="U379" s="72"/>
      <c r="V379" s="76"/>
    </row>
    <row r="380" spans="1:25" ht="27.75" customHeight="1">
      <c r="A380" s="87" t="str">
        <f>IF(ISBLANK(C380)," ",375-COUNTBLANK($C$6:C380))</f>
        <v xml:space="preserve"> </v>
      </c>
      <c r="B380" s="88"/>
      <c r="C380" s="88"/>
      <c r="D380" s="89"/>
      <c r="E380" s="89"/>
      <c r="F380" s="73"/>
      <c r="G380" s="73"/>
      <c r="H380" s="73"/>
      <c r="I380" s="73"/>
      <c r="J380" s="73"/>
      <c r="K380" s="73"/>
      <c r="L380" s="73"/>
      <c r="M380" s="74"/>
      <c r="N380" s="71" t="str">
        <f t="shared" si="5"/>
        <v/>
      </c>
      <c r="O380" s="75"/>
      <c r="P380" s="72"/>
      <c r="Q380" s="72"/>
      <c r="R380" s="72"/>
      <c r="S380" s="72"/>
      <c r="T380" s="72"/>
      <c r="U380" s="72"/>
      <c r="V380" s="76"/>
    </row>
    <row r="381" spans="1:25" ht="27.75" customHeight="1">
      <c r="A381" s="87" t="str">
        <f>IF(ISBLANK(C381)," ",376-COUNTBLANK($C$6:C381))</f>
        <v xml:space="preserve"> </v>
      </c>
      <c r="B381" s="88"/>
      <c r="C381" s="88"/>
      <c r="D381" s="89"/>
      <c r="E381" s="89"/>
      <c r="F381" s="73"/>
      <c r="G381" s="73"/>
      <c r="H381" s="73"/>
      <c r="I381" s="73"/>
      <c r="J381" s="73"/>
      <c r="K381" s="73"/>
      <c r="L381" s="73"/>
      <c r="M381" s="74"/>
      <c r="N381" s="71" t="str">
        <f t="shared" si="5"/>
        <v/>
      </c>
      <c r="O381" s="75"/>
      <c r="P381" s="72"/>
      <c r="Q381" s="72"/>
      <c r="R381" s="72"/>
      <c r="S381" s="72"/>
      <c r="T381" s="72"/>
      <c r="U381" s="72"/>
      <c r="V381" s="76"/>
    </row>
    <row r="382" spans="1:25" ht="27.75" customHeight="1">
      <c r="A382" s="87" t="str">
        <f>IF(ISBLANK(C382)," ",377-COUNTBLANK($C$6:C382))</f>
        <v xml:space="preserve"> </v>
      </c>
      <c r="B382" s="88"/>
      <c r="C382" s="88"/>
      <c r="D382" s="89"/>
      <c r="E382" s="89"/>
      <c r="F382" s="73"/>
      <c r="G382" s="73"/>
      <c r="H382" s="73"/>
      <c r="I382" s="73"/>
      <c r="J382" s="73"/>
      <c r="K382" s="73"/>
      <c r="L382" s="73"/>
      <c r="M382" s="74"/>
      <c r="N382" s="71" t="str">
        <f t="shared" si="5"/>
        <v/>
      </c>
      <c r="O382" s="72"/>
      <c r="P382" s="72"/>
      <c r="Q382" s="72"/>
      <c r="R382" s="72"/>
      <c r="S382" s="72"/>
      <c r="T382" s="72"/>
      <c r="U382" s="72"/>
      <c r="V382" s="79"/>
      <c r="W382" s="72"/>
      <c r="X382" s="72"/>
      <c r="Y382" s="72"/>
    </row>
    <row r="383" spans="1:25" ht="27.75" customHeight="1">
      <c r="A383" s="80" t="s">
        <v>52</v>
      </c>
      <c r="B383" s="81"/>
      <c r="C383" s="96"/>
      <c r="D383" s="82"/>
      <c r="E383" s="82">
        <f>SUM(E363:E382)</f>
        <v>0</v>
      </c>
      <c r="F383" s="83"/>
      <c r="G383" s="83"/>
      <c r="H383" s="83"/>
      <c r="I383" s="83"/>
      <c r="J383" s="83"/>
      <c r="K383" s="83"/>
      <c r="L383" s="83"/>
      <c r="M383" s="84"/>
      <c r="N383" s="71" t="str">
        <f t="shared" si="5"/>
        <v/>
      </c>
      <c r="O383" s="75"/>
      <c r="P383" s="72"/>
      <c r="Q383" s="72"/>
      <c r="R383" s="72"/>
      <c r="S383" s="72"/>
      <c r="T383" s="72"/>
      <c r="U383" s="72"/>
      <c r="V383" s="79"/>
      <c r="W383" s="72"/>
      <c r="X383" s="72"/>
      <c r="Y383" s="72"/>
    </row>
    <row r="384" spans="1:25" ht="27.75" customHeight="1">
      <c r="A384" s="93" t="str">
        <f>IF(ISBLANK(C384)," ",379-COUNTBLANK($C$6:C384))</f>
        <v xml:space="preserve"> </v>
      </c>
      <c r="B384" s="94"/>
      <c r="C384" s="94"/>
      <c r="D384" s="95"/>
      <c r="E384" s="95"/>
      <c r="F384" s="85"/>
      <c r="G384" s="85"/>
      <c r="H384" s="85"/>
      <c r="I384" s="85"/>
      <c r="J384" s="85"/>
      <c r="K384" s="85"/>
      <c r="L384" s="85"/>
      <c r="M384" s="86"/>
      <c r="N384" s="71" t="str">
        <f t="shared" si="5"/>
        <v/>
      </c>
      <c r="O384" s="72"/>
      <c r="P384" s="72"/>
      <c r="Q384" s="72"/>
      <c r="R384" s="72"/>
      <c r="S384" s="72"/>
      <c r="T384" s="72"/>
      <c r="U384" s="72"/>
      <c r="V384" s="72"/>
    </row>
    <row r="385" spans="1:22" ht="27.75" customHeight="1">
      <c r="A385" s="87" t="str">
        <f>IF(ISBLANK(C385)," ",380-COUNTBLANK($C$6:C385))</f>
        <v xml:space="preserve"> </v>
      </c>
      <c r="B385" s="88"/>
      <c r="C385" s="88"/>
      <c r="D385" s="89"/>
      <c r="E385" s="89"/>
      <c r="F385" s="73"/>
      <c r="G385" s="73"/>
      <c r="H385" s="73"/>
      <c r="I385" s="73"/>
      <c r="J385" s="73"/>
      <c r="K385" s="73"/>
      <c r="L385" s="73"/>
      <c r="M385" s="74"/>
      <c r="N385" s="71" t="str">
        <f t="shared" si="5"/>
        <v/>
      </c>
      <c r="O385" s="72"/>
      <c r="P385" s="72"/>
      <c r="Q385" s="72"/>
      <c r="R385" s="72"/>
      <c r="S385" s="72"/>
      <c r="T385" s="72"/>
      <c r="U385" s="72"/>
      <c r="V385" s="72"/>
    </row>
    <row r="386" spans="1:22" ht="27.75" customHeight="1">
      <c r="A386" s="87" t="str">
        <f>IF(ISBLANK(C386)," ",381-COUNTBLANK($C$6:C386))</f>
        <v xml:space="preserve"> </v>
      </c>
      <c r="B386" s="88"/>
      <c r="C386" s="88"/>
      <c r="D386" s="89"/>
      <c r="E386" s="89"/>
      <c r="F386" s="73"/>
      <c r="G386" s="73"/>
      <c r="H386" s="73"/>
      <c r="I386" s="73"/>
      <c r="J386" s="73"/>
      <c r="K386" s="73"/>
      <c r="L386" s="73"/>
      <c r="M386" s="74"/>
      <c r="N386" s="71" t="str">
        <f t="shared" si="5"/>
        <v/>
      </c>
      <c r="O386" s="72"/>
      <c r="P386" s="72"/>
      <c r="Q386" s="72"/>
      <c r="R386" s="72"/>
      <c r="S386" s="72"/>
      <c r="T386" s="72"/>
      <c r="U386" s="72"/>
      <c r="V386" s="72"/>
    </row>
    <row r="387" spans="1:22" ht="27.75" customHeight="1">
      <c r="A387" s="87" t="str">
        <f>IF(ISBLANK(C387)," ",382-COUNTBLANK($C$6:C387))</f>
        <v xml:space="preserve"> </v>
      </c>
      <c r="B387" s="88"/>
      <c r="C387" s="88"/>
      <c r="D387" s="89"/>
      <c r="E387" s="89"/>
      <c r="F387" s="73"/>
      <c r="G387" s="73"/>
      <c r="H387" s="73"/>
      <c r="I387" s="73"/>
      <c r="J387" s="73"/>
      <c r="K387" s="73"/>
      <c r="L387" s="73"/>
      <c r="M387" s="74"/>
      <c r="N387" s="71" t="str">
        <f t="shared" si="5"/>
        <v/>
      </c>
      <c r="O387" s="72"/>
      <c r="P387" s="72"/>
      <c r="Q387" s="72"/>
      <c r="R387" s="72"/>
      <c r="S387" s="72"/>
      <c r="T387" s="72"/>
      <c r="U387" s="72"/>
      <c r="V387" s="72"/>
    </row>
    <row r="388" spans="1:22" ht="27.75" customHeight="1">
      <c r="A388" s="87" t="str">
        <f>IF(ISBLANK(C388)," ",383-COUNTBLANK($C$6:C388))</f>
        <v xml:space="preserve"> </v>
      </c>
      <c r="B388" s="88"/>
      <c r="C388" s="88"/>
      <c r="D388" s="89"/>
      <c r="E388" s="89"/>
      <c r="F388" s="73"/>
      <c r="G388" s="73"/>
      <c r="H388" s="73"/>
      <c r="I388" s="73"/>
      <c r="J388" s="73"/>
      <c r="K388" s="73"/>
      <c r="L388" s="73"/>
      <c r="M388" s="74"/>
      <c r="N388" s="71" t="str">
        <f t="shared" si="5"/>
        <v/>
      </c>
      <c r="O388" s="72"/>
      <c r="P388" s="72"/>
      <c r="Q388" s="72"/>
      <c r="R388" s="72"/>
      <c r="S388" s="72"/>
      <c r="T388" s="72"/>
      <c r="U388" s="72"/>
      <c r="V388" s="72"/>
    </row>
    <row r="389" spans="1:22" ht="27.75" customHeight="1">
      <c r="A389" s="87" t="str">
        <f>IF(ISBLANK(C389)," ",384-COUNTBLANK($C$6:C389))</f>
        <v xml:space="preserve"> </v>
      </c>
      <c r="B389" s="88"/>
      <c r="C389" s="88"/>
      <c r="D389" s="89"/>
      <c r="E389" s="89"/>
      <c r="F389" s="73"/>
      <c r="G389" s="73"/>
      <c r="H389" s="73"/>
      <c r="I389" s="73"/>
      <c r="J389" s="73"/>
      <c r="K389" s="73"/>
      <c r="L389" s="73"/>
      <c r="M389" s="74"/>
      <c r="N389" s="71" t="str">
        <f t="shared" si="5"/>
        <v/>
      </c>
      <c r="O389" s="72"/>
      <c r="P389" s="72"/>
      <c r="Q389" s="72"/>
      <c r="R389" s="72"/>
      <c r="S389" s="72"/>
      <c r="T389" s="72"/>
      <c r="U389" s="72"/>
      <c r="V389" s="72"/>
    </row>
    <row r="390" spans="1:22" ht="27.75" customHeight="1">
      <c r="A390" s="87" t="str">
        <f>IF(ISBLANK(C390)," ",385-COUNTBLANK($C$6:C390))</f>
        <v xml:space="preserve"> </v>
      </c>
      <c r="B390" s="88"/>
      <c r="C390" s="88"/>
      <c r="D390" s="89"/>
      <c r="E390" s="89"/>
      <c r="F390" s="73"/>
      <c r="G390" s="73"/>
      <c r="H390" s="73"/>
      <c r="I390" s="73"/>
      <c r="J390" s="73"/>
      <c r="K390" s="73"/>
      <c r="L390" s="73"/>
      <c r="M390" s="74"/>
      <c r="N390" s="71" t="str">
        <f t="shared" ref="N390:N453" si="6">CONCATENATE(C390,H390)</f>
        <v/>
      </c>
      <c r="O390" s="72"/>
      <c r="P390" s="72"/>
      <c r="Q390" s="72"/>
      <c r="R390" s="72"/>
      <c r="S390" s="72"/>
      <c r="T390" s="72"/>
      <c r="U390" s="72"/>
      <c r="V390" s="72"/>
    </row>
    <row r="391" spans="1:22" ht="27.75" customHeight="1">
      <c r="A391" s="87" t="str">
        <f>IF(ISBLANK(C391)," ",386-COUNTBLANK($C$6:C391))</f>
        <v xml:space="preserve"> </v>
      </c>
      <c r="B391" s="88"/>
      <c r="C391" s="88"/>
      <c r="D391" s="89"/>
      <c r="E391" s="89"/>
      <c r="F391" s="73"/>
      <c r="G391" s="73"/>
      <c r="H391" s="73"/>
      <c r="I391" s="73"/>
      <c r="J391" s="73"/>
      <c r="K391" s="73"/>
      <c r="L391" s="73"/>
      <c r="M391" s="74"/>
      <c r="N391" s="71" t="str">
        <f t="shared" si="6"/>
        <v/>
      </c>
      <c r="O391" s="72"/>
      <c r="P391" s="72"/>
      <c r="Q391" s="72"/>
      <c r="R391" s="72"/>
      <c r="S391" s="72"/>
      <c r="T391" s="72"/>
      <c r="U391" s="72"/>
      <c r="V391" s="72"/>
    </row>
    <row r="392" spans="1:22" ht="27.75" customHeight="1">
      <c r="A392" s="87" t="str">
        <f>IF(ISBLANK(C392)," ",387-COUNTBLANK($C$6:C392))</f>
        <v xml:space="preserve"> </v>
      </c>
      <c r="B392" s="88"/>
      <c r="C392" s="88"/>
      <c r="D392" s="89"/>
      <c r="E392" s="89"/>
      <c r="F392" s="73"/>
      <c r="G392" s="73"/>
      <c r="H392" s="73"/>
      <c r="I392" s="73"/>
      <c r="J392" s="73"/>
      <c r="K392" s="73"/>
      <c r="L392" s="73"/>
      <c r="M392" s="74"/>
      <c r="N392" s="71" t="str">
        <f t="shared" si="6"/>
        <v/>
      </c>
      <c r="O392" s="72"/>
      <c r="P392" s="72"/>
      <c r="Q392" s="72"/>
      <c r="R392" s="72"/>
      <c r="S392" s="72"/>
      <c r="T392" s="72"/>
      <c r="U392" s="72"/>
      <c r="V392" s="72"/>
    </row>
    <row r="393" spans="1:22" ht="27.75" customHeight="1">
      <c r="A393" s="87" t="str">
        <f>IF(ISBLANK(C393)," ",388-COUNTBLANK($C$6:C393))</f>
        <v xml:space="preserve"> </v>
      </c>
      <c r="B393" s="88"/>
      <c r="C393" s="88"/>
      <c r="D393" s="89"/>
      <c r="E393" s="89"/>
      <c r="F393" s="73"/>
      <c r="G393" s="73"/>
      <c r="H393" s="73"/>
      <c r="I393" s="73"/>
      <c r="J393" s="73"/>
      <c r="K393" s="73"/>
      <c r="L393" s="73"/>
      <c r="M393" s="74"/>
      <c r="N393" s="71" t="str">
        <f t="shared" si="6"/>
        <v/>
      </c>
      <c r="O393" s="72"/>
      <c r="P393" s="72"/>
      <c r="Q393" s="72"/>
      <c r="R393" s="72"/>
      <c r="S393" s="72"/>
      <c r="T393" s="72"/>
      <c r="U393" s="72"/>
      <c r="V393" s="72"/>
    </row>
    <row r="394" spans="1:22" ht="27.75" customHeight="1">
      <c r="A394" s="87" t="str">
        <f>IF(ISBLANK(C394)," ",389-COUNTBLANK($C$6:C394))</f>
        <v xml:space="preserve"> </v>
      </c>
      <c r="B394" s="88"/>
      <c r="C394" s="88"/>
      <c r="D394" s="89"/>
      <c r="E394" s="89"/>
      <c r="F394" s="73"/>
      <c r="G394" s="73"/>
      <c r="H394" s="73"/>
      <c r="I394" s="73"/>
      <c r="J394" s="73"/>
      <c r="K394" s="73"/>
      <c r="L394" s="73"/>
      <c r="M394" s="74"/>
      <c r="N394" s="71" t="str">
        <f t="shared" si="6"/>
        <v/>
      </c>
      <c r="O394" s="72"/>
      <c r="P394" s="72"/>
      <c r="Q394" s="72"/>
      <c r="R394" s="72"/>
      <c r="S394" s="72"/>
      <c r="T394" s="72"/>
      <c r="U394" s="72"/>
      <c r="V394" s="72"/>
    </row>
    <row r="395" spans="1:22" ht="27.75" customHeight="1">
      <c r="A395" s="87" t="str">
        <f>IF(ISBLANK(C395)," ",390-COUNTBLANK($C$6:C395))</f>
        <v xml:space="preserve"> </v>
      </c>
      <c r="B395" s="88"/>
      <c r="C395" s="88"/>
      <c r="D395" s="89"/>
      <c r="E395" s="89"/>
      <c r="F395" s="73"/>
      <c r="G395" s="73"/>
      <c r="H395" s="73"/>
      <c r="I395" s="73"/>
      <c r="J395" s="73"/>
      <c r="K395" s="73"/>
      <c r="L395" s="73"/>
      <c r="M395" s="74"/>
      <c r="N395" s="71" t="str">
        <f t="shared" si="6"/>
        <v/>
      </c>
      <c r="O395" s="72"/>
      <c r="P395" s="72"/>
      <c r="Q395" s="72"/>
      <c r="R395" s="72"/>
      <c r="S395" s="72"/>
      <c r="T395" s="72"/>
      <c r="U395" s="72"/>
      <c r="V395" s="72"/>
    </row>
    <row r="396" spans="1:22" ht="27.75" customHeight="1">
      <c r="A396" s="87" t="str">
        <f>IF(ISBLANK(C396)," ",391-COUNTBLANK($C$6:C396))</f>
        <v xml:space="preserve"> </v>
      </c>
      <c r="B396" s="88"/>
      <c r="C396" s="88"/>
      <c r="D396" s="89"/>
      <c r="E396" s="89"/>
      <c r="F396" s="73"/>
      <c r="G396" s="73"/>
      <c r="H396" s="73"/>
      <c r="I396" s="73"/>
      <c r="J396" s="73"/>
      <c r="K396" s="73"/>
      <c r="L396" s="73"/>
      <c r="M396" s="74"/>
      <c r="N396" s="71" t="str">
        <f t="shared" si="6"/>
        <v/>
      </c>
      <c r="O396" s="72"/>
      <c r="P396" s="72"/>
      <c r="Q396" s="72"/>
      <c r="R396" s="72"/>
      <c r="S396" s="72"/>
      <c r="T396" s="72"/>
      <c r="U396" s="72"/>
      <c r="V396" s="72"/>
    </row>
    <row r="397" spans="1:22" ht="27.75" customHeight="1">
      <c r="A397" s="87" t="str">
        <f>IF(ISBLANK(C397)," ",392-COUNTBLANK($C$6:C397))</f>
        <v xml:space="preserve"> </v>
      </c>
      <c r="B397" s="88"/>
      <c r="C397" s="88"/>
      <c r="D397" s="89"/>
      <c r="E397" s="89"/>
      <c r="F397" s="73"/>
      <c r="G397" s="73"/>
      <c r="H397" s="73"/>
      <c r="I397" s="73"/>
      <c r="J397" s="73"/>
      <c r="K397" s="73"/>
      <c r="L397" s="73"/>
      <c r="M397" s="74"/>
      <c r="N397" s="71" t="str">
        <f t="shared" si="6"/>
        <v/>
      </c>
      <c r="O397" s="72"/>
      <c r="P397" s="72"/>
      <c r="Q397" s="72"/>
      <c r="R397" s="72"/>
      <c r="S397" s="72"/>
      <c r="T397" s="72"/>
      <c r="U397" s="72"/>
      <c r="V397" s="72"/>
    </row>
    <row r="398" spans="1:22" ht="27.75" customHeight="1">
      <c r="A398" s="87" t="str">
        <f>IF(ISBLANK(C398)," ",393-COUNTBLANK($C$6:C398))</f>
        <v xml:space="preserve"> </v>
      </c>
      <c r="B398" s="88"/>
      <c r="C398" s="88"/>
      <c r="D398" s="89"/>
      <c r="E398" s="89"/>
      <c r="F398" s="73"/>
      <c r="G398" s="73"/>
      <c r="H398" s="73"/>
      <c r="I398" s="73"/>
      <c r="J398" s="73"/>
      <c r="K398" s="73"/>
      <c r="L398" s="73"/>
      <c r="M398" s="74"/>
      <c r="N398" s="71" t="str">
        <f t="shared" si="6"/>
        <v/>
      </c>
      <c r="O398" s="72"/>
      <c r="P398" s="72"/>
      <c r="Q398" s="72"/>
      <c r="R398" s="72"/>
      <c r="S398" s="72"/>
      <c r="T398" s="72"/>
      <c r="U398" s="72"/>
      <c r="V398" s="72"/>
    </row>
    <row r="399" spans="1:22" ht="27.75" customHeight="1">
      <c r="A399" s="87" t="str">
        <f>IF(ISBLANK(C399)," ",394-COUNTBLANK($C$6:C399))</f>
        <v xml:space="preserve"> </v>
      </c>
      <c r="B399" s="88"/>
      <c r="C399" s="88"/>
      <c r="D399" s="89"/>
      <c r="E399" s="89"/>
      <c r="F399" s="73"/>
      <c r="G399" s="73"/>
      <c r="H399" s="73"/>
      <c r="I399" s="73"/>
      <c r="J399" s="73"/>
      <c r="K399" s="73"/>
      <c r="L399" s="73"/>
      <c r="M399" s="74"/>
      <c r="N399" s="71" t="str">
        <f t="shared" si="6"/>
        <v/>
      </c>
      <c r="O399" s="75"/>
      <c r="P399" s="72"/>
      <c r="Q399" s="72"/>
      <c r="R399" s="72"/>
      <c r="S399" s="72"/>
      <c r="T399" s="72"/>
      <c r="U399" s="72"/>
      <c r="V399" s="76"/>
    </row>
    <row r="400" spans="1:22" ht="27.75" customHeight="1">
      <c r="A400" s="87" t="str">
        <f>IF(ISBLANK(C400)," ",395-COUNTBLANK($C$6:C400))</f>
        <v xml:space="preserve"> </v>
      </c>
      <c r="B400" s="88"/>
      <c r="C400" s="88"/>
      <c r="D400" s="89"/>
      <c r="E400" s="89"/>
      <c r="F400" s="73"/>
      <c r="G400" s="73"/>
      <c r="H400" s="73"/>
      <c r="I400" s="73"/>
      <c r="J400" s="73"/>
      <c r="K400" s="73"/>
      <c r="L400" s="73"/>
      <c r="M400" s="74"/>
      <c r="N400" s="71" t="str">
        <f t="shared" si="6"/>
        <v/>
      </c>
      <c r="O400" s="75"/>
      <c r="P400" s="72"/>
      <c r="Q400" s="72"/>
      <c r="R400" s="72"/>
      <c r="S400" s="72"/>
      <c r="T400" s="72"/>
      <c r="U400" s="72"/>
      <c r="V400" s="76"/>
    </row>
    <row r="401" spans="1:25" ht="27.75" customHeight="1">
      <c r="A401" s="87" t="str">
        <f>IF(ISBLANK(C401)," ",396-COUNTBLANK($C$6:C401))</f>
        <v xml:space="preserve"> </v>
      </c>
      <c r="B401" s="88"/>
      <c r="C401" s="88"/>
      <c r="D401" s="89"/>
      <c r="E401" s="89"/>
      <c r="F401" s="73"/>
      <c r="G401" s="73"/>
      <c r="H401" s="73"/>
      <c r="I401" s="73"/>
      <c r="J401" s="73"/>
      <c r="K401" s="73"/>
      <c r="L401" s="73"/>
      <c r="M401" s="74"/>
      <c r="N401" s="71" t="str">
        <f t="shared" si="6"/>
        <v/>
      </c>
      <c r="O401" s="75"/>
      <c r="P401" s="72"/>
      <c r="Q401" s="72"/>
      <c r="R401" s="72"/>
      <c r="S401" s="72"/>
      <c r="T401" s="72"/>
      <c r="U401" s="72"/>
      <c r="V401" s="76"/>
    </row>
    <row r="402" spans="1:25" ht="27.75" customHeight="1">
      <c r="A402" s="87" t="str">
        <f>IF(ISBLANK(C402)," ",397-COUNTBLANK($C$6:C402))</f>
        <v xml:space="preserve"> </v>
      </c>
      <c r="B402" s="88"/>
      <c r="C402" s="88"/>
      <c r="D402" s="89"/>
      <c r="E402" s="89"/>
      <c r="F402" s="73"/>
      <c r="G402" s="73"/>
      <c r="H402" s="73"/>
      <c r="I402" s="73"/>
      <c r="J402" s="73"/>
      <c r="K402" s="73"/>
      <c r="L402" s="73"/>
      <c r="M402" s="74"/>
      <c r="N402" s="71" t="str">
        <f t="shared" si="6"/>
        <v/>
      </c>
      <c r="O402" s="75"/>
      <c r="P402" s="72"/>
      <c r="Q402" s="72"/>
      <c r="R402" s="72"/>
      <c r="S402" s="72"/>
      <c r="T402" s="72"/>
      <c r="U402" s="72"/>
      <c r="V402" s="76"/>
    </row>
    <row r="403" spans="1:25" ht="27.75" customHeight="1">
      <c r="A403" s="87" t="str">
        <f>IF(ISBLANK(C403)," ",398-COUNTBLANK($C$6:C403))</f>
        <v xml:space="preserve"> </v>
      </c>
      <c r="B403" s="88"/>
      <c r="C403" s="88"/>
      <c r="D403" s="89"/>
      <c r="E403" s="89"/>
      <c r="F403" s="73"/>
      <c r="G403" s="73"/>
      <c r="H403" s="73"/>
      <c r="I403" s="73"/>
      <c r="J403" s="73"/>
      <c r="K403" s="73"/>
      <c r="L403" s="73"/>
      <c r="M403" s="74"/>
      <c r="N403" s="71" t="str">
        <f t="shared" si="6"/>
        <v/>
      </c>
      <c r="O403" s="72"/>
      <c r="P403" s="72"/>
      <c r="Q403" s="72"/>
      <c r="R403" s="72"/>
      <c r="S403" s="72"/>
      <c r="T403" s="72"/>
      <c r="U403" s="72"/>
      <c r="V403" s="79"/>
      <c r="W403" s="72"/>
      <c r="X403" s="72"/>
      <c r="Y403" s="72"/>
    </row>
    <row r="404" spans="1:25" ht="27.75" customHeight="1">
      <c r="A404" s="80" t="s">
        <v>52</v>
      </c>
      <c r="B404" s="81"/>
      <c r="C404" s="96"/>
      <c r="D404" s="82"/>
      <c r="E404" s="82">
        <f>SUM(E384:E403)</f>
        <v>0</v>
      </c>
      <c r="F404" s="83"/>
      <c r="G404" s="83"/>
      <c r="H404" s="83"/>
      <c r="I404" s="83"/>
      <c r="J404" s="83"/>
      <c r="K404" s="83"/>
      <c r="L404" s="83"/>
      <c r="M404" s="84"/>
      <c r="N404" s="71" t="str">
        <f t="shared" si="6"/>
        <v/>
      </c>
      <c r="O404" s="75"/>
      <c r="P404" s="72"/>
      <c r="Q404" s="72"/>
      <c r="R404" s="72"/>
      <c r="S404" s="72"/>
      <c r="T404" s="72"/>
      <c r="U404" s="72"/>
      <c r="V404" s="79"/>
      <c r="W404" s="72"/>
      <c r="X404" s="72"/>
      <c r="Y404" s="72"/>
    </row>
    <row r="405" spans="1:25" ht="27.75" customHeight="1">
      <c r="A405" s="93" t="str">
        <f>IF(ISBLANK(C405)," ",400-COUNTBLANK($C$6:C405))</f>
        <v xml:space="preserve"> </v>
      </c>
      <c r="B405" s="94"/>
      <c r="C405" s="94"/>
      <c r="D405" s="95"/>
      <c r="E405" s="95"/>
      <c r="F405" s="85"/>
      <c r="G405" s="85"/>
      <c r="H405" s="85"/>
      <c r="I405" s="85"/>
      <c r="J405" s="85"/>
      <c r="K405" s="85"/>
      <c r="L405" s="85"/>
      <c r="M405" s="86"/>
      <c r="N405" s="71" t="str">
        <f t="shared" si="6"/>
        <v/>
      </c>
      <c r="O405" s="72"/>
      <c r="P405" s="72"/>
      <c r="Q405" s="72"/>
      <c r="R405" s="72"/>
      <c r="S405" s="72"/>
      <c r="T405" s="72"/>
      <c r="U405" s="72"/>
      <c r="V405" s="72"/>
    </row>
    <row r="406" spans="1:25" ht="27.75" customHeight="1">
      <c r="A406" s="87" t="str">
        <f>IF(ISBLANK(C406)," ",401-COUNTBLANK($C$6:C406))</f>
        <v xml:space="preserve"> </v>
      </c>
      <c r="B406" s="88"/>
      <c r="C406" s="88"/>
      <c r="D406" s="89"/>
      <c r="E406" s="89"/>
      <c r="F406" s="73"/>
      <c r="G406" s="73"/>
      <c r="H406" s="73"/>
      <c r="I406" s="73"/>
      <c r="J406" s="73"/>
      <c r="K406" s="73"/>
      <c r="L406" s="73"/>
      <c r="M406" s="74"/>
      <c r="N406" s="71" t="str">
        <f t="shared" si="6"/>
        <v/>
      </c>
      <c r="O406" s="72"/>
      <c r="P406" s="72"/>
      <c r="Q406" s="72"/>
      <c r="R406" s="72"/>
      <c r="S406" s="72"/>
      <c r="T406" s="72"/>
      <c r="U406" s="72"/>
      <c r="V406" s="72"/>
    </row>
    <row r="407" spans="1:25" ht="27.75" customHeight="1">
      <c r="A407" s="87" t="str">
        <f>IF(ISBLANK(C407)," ",402-COUNTBLANK($C$6:C407))</f>
        <v xml:space="preserve"> </v>
      </c>
      <c r="B407" s="88"/>
      <c r="C407" s="88"/>
      <c r="D407" s="89"/>
      <c r="E407" s="89"/>
      <c r="F407" s="73"/>
      <c r="G407" s="73"/>
      <c r="H407" s="73"/>
      <c r="I407" s="73"/>
      <c r="J407" s="73"/>
      <c r="K407" s="73"/>
      <c r="L407" s="73"/>
      <c r="M407" s="74"/>
      <c r="N407" s="71" t="str">
        <f t="shared" si="6"/>
        <v/>
      </c>
      <c r="O407" s="72"/>
      <c r="P407" s="72"/>
      <c r="Q407" s="72"/>
      <c r="R407" s="72"/>
      <c r="S407" s="72"/>
      <c r="T407" s="72"/>
      <c r="U407" s="72"/>
      <c r="V407" s="72"/>
    </row>
    <row r="408" spans="1:25" ht="27.75" customHeight="1">
      <c r="A408" s="87" t="str">
        <f>IF(ISBLANK(C408)," ",403-COUNTBLANK($C$6:C408))</f>
        <v xml:space="preserve"> </v>
      </c>
      <c r="B408" s="88"/>
      <c r="C408" s="88"/>
      <c r="D408" s="89"/>
      <c r="E408" s="89"/>
      <c r="F408" s="73"/>
      <c r="G408" s="73"/>
      <c r="H408" s="73"/>
      <c r="I408" s="73"/>
      <c r="J408" s="73"/>
      <c r="K408" s="73"/>
      <c r="L408" s="73"/>
      <c r="M408" s="74"/>
      <c r="N408" s="71" t="str">
        <f t="shared" si="6"/>
        <v/>
      </c>
      <c r="O408" s="72"/>
      <c r="P408" s="72"/>
      <c r="Q408" s="72"/>
      <c r="R408" s="72"/>
      <c r="S408" s="72"/>
      <c r="T408" s="72"/>
      <c r="U408" s="72"/>
      <c r="V408" s="72"/>
    </row>
    <row r="409" spans="1:25" ht="27.75" customHeight="1">
      <c r="A409" s="87" t="str">
        <f>IF(ISBLANK(C409)," ",404-COUNTBLANK($C$6:C409))</f>
        <v xml:space="preserve"> </v>
      </c>
      <c r="B409" s="88"/>
      <c r="C409" s="88"/>
      <c r="D409" s="89"/>
      <c r="E409" s="89"/>
      <c r="F409" s="73"/>
      <c r="G409" s="73"/>
      <c r="H409" s="73"/>
      <c r="I409" s="73"/>
      <c r="J409" s="73"/>
      <c r="K409" s="73"/>
      <c r="L409" s="73"/>
      <c r="M409" s="74"/>
      <c r="N409" s="71" t="str">
        <f t="shared" si="6"/>
        <v/>
      </c>
      <c r="O409" s="72"/>
      <c r="P409" s="72"/>
      <c r="Q409" s="72"/>
      <c r="R409" s="72"/>
      <c r="S409" s="72"/>
      <c r="T409" s="72"/>
      <c r="U409" s="72"/>
      <c r="V409" s="72"/>
    </row>
    <row r="410" spans="1:25" ht="27.75" customHeight="1">
      <c r="A410" s="87" t="str">
        <f>IF(ISBLANK(C410)," ",405-COUNTBLANK($C$6:C410))</f>
        <v xml:space="preserve"> </v>
      </c>
      <c r="B410" s="88"/>
      <c r="C410" s="88"/>
      <c r="D410" s="89"/>
      <c r="E410" s="89"/>
      <c r="F410" s="73"/>
      <c r="G410" s="73"/>
      <c r="H410" s="73"/>
      <c r="I410" s="73"/>
      <c r="J410" s="73"/>
      <c r="K410" s="73"/>
      <c r="L410" s="73"/>
      <c r="M410" s="74"/>
      <c r="N410" s="71" t="str">
        <f t="shared" si="6"/>
        <v/>
      </c>
      <c r="O410" s="72"/>
      <c r="P410" s="72"/>
      <c r="Q410" s="72"/>
      <c r="R410" s="72"/>
      <c r="S410" s="72"/>
      <c r="T410" s="72"/>
      <c r="U410" s="72"/>
      <c r="V410" s="72"/>
    </row>
    <row r="411" spans="1:25" ht="27.75" customHeight="1">
      <c r="A411" s="87" t="str">
        <f>IF(ISBLANK(C411)," ",406-COUNTBLANK($C$6:C411))</f>
        <v xml:space="preserve"> </v>
      </c>
      <c r="B411" s="88"/>
      <c r="C411" s="88"/>
      <c r="D411" s="89"/>
      <c r="E411" s="89"/>
      <c r="F411" s="73"/>
      <c r="G411" s="73"/>
      <c r="H411" s="73"/>
      <c r="I411" s="73"/>
      <c r="J411" s="73"/>
      <c r="K411" s="73"/>
      <c r="L411" s="73"/>
      <c r="M411" s="74"/>
      <c r="N411" s="71" t="str">
        <f t="shared" si="6"/>
        <v/>
      </c>
      <c r="O411" s="72"/>
      <c r="P411" s="72"/>
      <c r="Q411" s="72"/>
      <c r="R411" s="72"/>
      <c r="S411" s="72"/>
      <c r="T411" s="72"/>
      <c r="U411" s="72"/>
      <c r="V411" s="72"/>
    </row>
    <row r="412" spans="1:25" ht="27.75" customHeight="1">
      <c r="A412" s="87" t="str">
        <f>IF(ISBLANK(C412)," ",407-COUNTBLANK($C$6:C412))</f>
        <v xml:space="preserve"> </v>
      </c>
      <c r="B412" s="88"/>
      <c r="C412" s="88"/>
      <c r="D412" s="89"/>
      <c r="E412" s="89"/>
      <c r="F412" s="73"/>
      <c r="G412" s="73"/>
      <c r="H412" s="73"/>
      <c r="I412" s="73"/>
      <c r="J412" s="73"/>
      <c r="K412" s="73"/>
      <c r="L412" s="73"/>
      <c r="M412" s="74"/>
      <c r="N412" s="71" t="str">
        <f t="shared" si="6"/>
        <v/>
      </c>
      <c r="O412" s="72"/>
      <c r="P412" s="72"/>
      <c r="Q412" s="72"/>
      <c r="R412" s="72"/>
      <c r="S412" s="72"/>
      <c r="T412" s="72"/>
      <c r="U412" s="72"/>
      <c r="V412" s="72"/>
    </row>
    <row r="413" spans="1:25" ht="27.75" customHeight="1">
      <c r="A413" s="87" t="str">
        <f>IF(ISBLANK(C413)," ",408-COUNTBLANK($C$6:C413))</f>
        <v xml:space="preserve"> </v>
      </c>
      <c r="B413" s="88"/>
      <c r="C413" s="88"/>
      <c r="D413" s="89"/>
      <c r="E413" s="89"/>
      <c r="F413" s="73"/>
      <c r="G413" s="73"/>
      <c r="H413" s="73"/>
      <c r="I413" s="73"/>
      <c r="J413" s="73"/>
      <c r="K413" s="73"/>
      <c r="L413" s="73"/>
      <c r="M413" s="74"/>
      <c r="N413" s="71" t="str">
        <f t="shared" si="6"/>
        <v/>
      </c>
      <c r="O413" s="72"/>
      <c r="P413" s="72"/>
      <c r="Q413" s="72"/>
      <c r="R413" s="72"/>
      <c r="S413" s="72"/>
      <c r="T413" s="72"/>
      <c r="U413" s="72"/>
      <c r="V413" s="72"/>
    </row>
    <row r="414" spans="1:25" ht="27.75" customHeight="1">
      <c r="A414" s="87" t="str">
        <f>IF(ISBLANK(C414)," ",409-COUNTBLANK($C$6:C414))</f>
        <v xml:space="preserve"> </v>
      </c>
      <c r="B414" s="88"/>
      <c r="C414" s="88"/>
      <c r="D414" s="89"/>
      <c r="E414" s="89"/>
      <c r="F414" s="73"/>
      <c r="G414" s="73"/>
      <c r="H414" s="73"/>
      <c r="I414" s="73"/>
      <c r="J414" s="73"/>
      <c r="K414" s="73"/>
      <c r="L414" s="73"/>
      <c r="M414" s="74"/>
      <c r="N414" s="71" t="str">
        <f t="shared" si="6"/>
        <v/>
      </c>
      <c r="O414" s="72"/>
      <c r="P414" s="72"/>
      <c r="Q414" s="72"/>
      <c r="R414" s="72"/>
      <c r="S414" s="72"/>
      <c r="T414" s="72"/>
      <c r="U414" s="72"/>
      <c r="V414" s="72"/>
    </row>
    <row r="415" spans="1:25" ht="27.75" customHeight="1">
      <c r="A415" s="87" t="str">
        <f>IF(ISBLANK(C415)," ",410-COUNTBLANK($C$6:C415))</f>
        <v xml:space="preserve"> </v>
      </c>
      <c r="B415" s="88"/>
      <c r="C415" s="88"/>
      <c r="D415" s="89"/>
      <c r="E415" s="89"/>
      <c r="F415" s="73"/>
      <c r="G415" s="73"/>
      <c r="H415" s="73"/>
      <c r="I415" s="73"/>
      <c r="J415" s="73"/>
      <c r="K415" s="73"/>
      <c r="L415" s="73"/>
      <c r="M415" s="74"/>
      <c r="N415" s="71" t="str">
        <f t="shared" si="6"/>
        <v/>
      </c>
      <c r="O415" s="72"/>
      <c r="P415" s="72"/>
      <c r="Q415" s="72"/>
      <c r="R415" s="72"/>
      <c r="S415" s="72"/>
      <c r="T415" s="72"/>
      <c r="U415" s="72"/>
      <c r="V415" s="72"/>
    </row>
    <row r="416" spans="1:25" ht="27.75" customHeight="1">
      <c r="A416" s="87" t="str">
        <f>IF(ISBLANK(C416)," ",411-COUNTBLANK($C$6:C416))</f>
        <v xml:space="preserve"> </v>
      </c>
      <c r="B416" s="88"/>
      <c r="C416" s="88"/>
      <c r="D416" s="89"/>
      <c r="E416" s="89"/>
      <c r="F416" s="73"/>
      <c r="G416" s="73"/>
      <c r="H416" s="73"/>
      <c r="I416" s="73"/>
      <c r="J416" s="73"/>
      <c r="K416" s="73"/>
      <c r="L416" s="73"/>
      <c r="M416" s="74"/>
      <c r="N416" s="71" t="str">
        <f t="shared" si="6"/>
        <v/>
      </c>
      <c r="O416" s="72"/>
      <c r="P416" s="72"/>
      <c r="Q416" s="72"/>
      <c r="R416" s="72"/>
      <c r="S416" s="72"/>
      <c r="T416" s="72"/>
      <c r="U416" s="72"/>
      <c r="V416" s="72"/>
    </row>
    <row r="417" spans="1:25" ht="27.75" customHeight="1">
      <c r="A417" s="87" t="str">
        <f>IF(ISBLANK(C417)," ",412-COUNTBLANK($C$6:C417))</f>
        <v xml:space="preserve"> </v>
      </c>
      <c r="B417" s="88"/>
      <c r="C417" s="88"/>
      <c r="D417" s="89"/>
      <c r="E417" s="89"/>
      <c r="F417" s="73"/>
      <c r="G417" s="73"/>
      <c r="H417" s="73"/>
      <c r="I417" s="73"/>
      <c r="J417" s="73"/>
      <c r="K417" s="73"/>
      <c r="L417" s="73"/>
      <c r="M417" s="74"/>
      <c r="N417" s="71" t="str">
        <f t="shared" si="6"/>
        <v/>
      </c>
      <c r="O417" s="72"/>
      <c r="P417" s="72"/>
      <c r="Q417" s="72"/>
      <c r="R417" s="72"/>
      <c r="S417" s="72"/>
      <c r="T417" s="72"/>
      <c r="U417" s="72"/>
      <c r="V417" s="72"/>
    </row>
    <row r="418" spans="1:25" ht="27.75" customHeight="1">
      <c r="A418" s="87" t="str">
        <f>IF(ISBLANK(C418)," ",413-COUNTBLANK($C$6:C418))</f>
        <v xml:space="preserve"> </v>
      </c>
      <c r="B418" s="88"/>
      <c r="C418" s="88"/>
      <c r="D418" s="89"/>
      <c r="E418" s="89"/>
      <c r="F418" s="73"/>
      <c r="G418" s="73"/>
      <c r="H418" s="73"/>
      <c r="I418" s="73"/>
      <c r="J418" s="73"/>
      <c r="K418" s="73"/>
      <c r="L418" s="73"/>
      <c r="M418" s="74"/>
      <c r="N418" s="71" t="str">
        <f t="shared" si="6"/>
        <v/>
      </c>
      <c r="O418" s="72"/>
      <c r="P418" s="72"/>
      <c r="Q418" s="72"/>
      <c r="R418" s="72"/>
      <c r="S418" s="72"/>
      <c r="T418" s="72"/>
      <c r="U418" s="72"/>
      <c r="V418" s="72"/>
    </row>
    <row r="419" spans="1:25" ht="27.75" customHeight="1">
      <c r="A419" s="87" t="str">
        <f>IF(ISBLANK(C419)," ",414-COUNTBLANK($C$6:C419))</f>
        <v xml:space="preserve"> </v>
      </c>
      <c r="B419" s="88"/>
      <c r="C419" s="88"/>
      <c r="D419" s="89"/>
      <c r="E419" s="89"/>
      <c r="F419" s="73"/>
      <c r="G419" s="73"/>
      <c r="H419" s="73"/>
      <c r="I419" s="73"/>
      <c r="J419" s="73"/>
      <c r="K419" s="73"/>
      <c r="L419" s="73"/>
      <c r="M419" s="74"/>
      <c r="N419" s="71" t="str">
        <f t="shared" si="6"/>
        <v/>
      </c>
      <c r="O419" s="72"/>
      <c r="P419" s="72"/>
      <c r="Q419" s="72"/>
      <c r="R419" s="72"/>
      <c r="S419" s="72"/>
      <c r="T419" s="72"/>
      <c r="U419" s="72"/>
      <c r="V419" s="72"/>
    </row>
    <row r="420" spans="1:25" ht="27.75" customHeight="1">
      <c r="A420" s="87" t="str">
        <f>IF(ISBLANK(C420)," ",415-COUNTBLANK($C$6:C420))</f>
        <v xml:space="preserve"> </v>
      </c>
      <c r="B420" s="88"/>
      <c r="C420" s="88"/>
      <c r="D420" s="89"/>
      <c r="E420" s="89"/>
      <c r="F420" s="73"/>
      <c r="G420" s="73"/>
      <c r="H420" s="73"/>
      <c r="I420" s="73"/>
      <c r="J420" s="73"/>
      <c r="K420" s="73"/>
      <c r="L420" s="73"/>
      <c r="M420" s="74"/>
      <c r="N420" s="71" t="str">
        <f t="shared" si="6"/>
        <v/>
      </c>
      <c r="O420" s="75"/>
      <c r="P420" s="72"/>
      <c r="Q420" s="72"/>
      <c r="R420" s="72"/>
      <c r="S420" s="72"/>
      <c r="T420" s="72"/>
      <c r="U420" s="72"/>
      <c r="V420" s="76"/>
    </row>
    <row r="421" spans="1:25" ht="27.75" customHeight="1">
      <c r="A421" s="87" t="str">
        <f>IF(ISBLANK(C421)," ",416-COUNTBLANK($C$6:C421))</f>
        <v xml:space="preserve"> </v>
      </c>
      <c r="B421" s="88"/>
      <c r="C421" s="88"/>
      <c r="D421" s="89"/>
      <c r="E421" s="89"/>
      <c r="F421" s="73"/>
      <c r="G421" s="73"/>
      <c r="H421" s="73"/>
      <c r="I421" s="73"/>
      <c r="J421" s="73"/>
      <c r="K421" s="73"/>
      <c r="L421" s="73"/>
      <c r="M421" s="74"/>
      <c r="N421" s="71" t="str">
        <f t="shared" si="6"/>
        <v/>
      </c>
      <c r="O421" s="75"/>
      <c r="P421" s="72"/>
      <c r="Q421" s="72"/>
      <c r="R421" s="72"/>
      <c r="S421" s="72"/>
      <c r="T421" s="72"/>
      <c r="U421" s="72"/>
      <c r="V421" s="76"/>
    </row>
    <row r="422" spans="1:25" ht="27.75" customHeight="1">
      <c r="A422" s="87" t="str">
        <f>IF(ISBLANK(C422)," ",417-COUNTBLANK($C$6:C422))</f>
        <v xml:space="preserve"> </v>
      </c>
      <c r="B422" s="88"/>
      <c r="C422" s="88"/>
      <c r="D422" s="89"/>
      <c r="E422" s="89"/>
      <c r="F422" s="73"/>
      <c r="G422" s="73"/>
      <c r="H422" s="73"/>
      <c r="I422" s="73"/>
      <c r="J422" s="73"/>
      <c r="K422" s="73"/>
      <c r="L422" s="73"/>
      <c r="M422" s="74"/>
      <c r="N422" s="71" t="str">
        <f t="shared" si="6"/>
        <v/>
      </c>
      <c r="O422" s="75"/>
      <c r="P422" s="72"/>
      <c r="Q422" s="72"/>
      <c r="R422" s="72"/>
      <c r="S422" s="72"/>
      <c r="T422" s="72"/>
      <c r="U422" s="72"/>
      <c r="V422" s="76"/>
    </row>
    <row r="423" spans="1:25" ht="27.75" customHeight="1">
      <c r="A423" s="87" t="str">
        <f>IF(ISBLANK(C423)," ",418-COUNTBLANK($C$6:C423))</f>
        <v xml:space="preserve"> </v>
      </c>
      <c r="B423" s="88"/>
      <c r="C423" s="88"/>
      <c r="D423" s="89"/>
      <c r="E423" s="89"/>
      <c r="F423" s="73"/>
      <c r="G423" s="73"/>
      <c r="H423" s="73"/>
      <c r="I423" s="73"/>
      <c r="J423" s="73"/>
      <c r="K423" s="73"/>
      <c r="L423" s="73"/>
      <c r="M423" s="74"/>
      <c r="N423" s="71" t="str">
        <f t="shared" si="6"/>
        <v/>
      </c>
      <c r="O423" s="75"/>
      <c r="P423" s="72"/>
      <c r="Q423" s="72"/>
      <c r="R423" s="72"/>
      <c r="S423" s="72"/>
      <c r="T423" s="72"/>
      <c r="U423" s="72"/>
      <c r="V423" s="76"/>
    </row>
    <row r="424" spans="1:25" ht="27.75" customHeight="1">
      <c r="A424" s="87" t="str">
        <f>IF(ISBLANK(C424)," ",419-COUNTBLANK($C$6:C424))</f>
        <v xml:space="preserve"> </v>
      </c>
      <c r="B424" s="88"/>
      <c r="C424" s="88"/>
      <c r="D424" s="89"/>
      <c r="E424" s="89"/>
      <c r="F424" s="73"/>
      <c r="G424" s="73"/>
      <c r="H424" s="73"/>
      <c r="I424" s="73"/>
      <c r="J424" s="73"/>
      <c r="K424" s="73"/>
      <c r="L424" s="73"/>
      <c r="M424" s="74"/>
      <c r="N424" s="71" t="str">
        <f t="shared" si="6"/>
        <v/>
      </c>
      <c r="O424" s="72"/>
      <c r="P424" s="72"/>
      <c r="Q424" s="72"/>
      <c r="R424" s="72"/>
      <c r="S424" s="72"/>
      <c r="T424" s="72"/>
      <c r="U424" s="72"/>
      <c r="V424" s="79"/>
      <c r="W424" s="72"/>
      <c r="X424" s="72"/>
      <c r="Y424" s="72"/>
    </row>
    <row r="425" spans="1:25" ht="27.75" customHeight="1">
      <c r="A425" s="80" t="s">
        <v>52</v>
      </c>
      <c r="B425" s="81"/>
      <c r="C425" s="96"/>
      <c r="D425" s="82"/>
      <c r="E425" s="82">
        <f>SUM(E405:E424)</f>
        <v>0</v>
      </c>
      <c r="F425" s="83"/>
      <c r="G425" s="83"/>
      <c r="H425" s="83"/>
      <c r="I425" s="83"/>
      <c r="J425" s="83"/>
      <c r="K425" s="83"/>
      <c r="L425" s="83"/>
      <c r="M425" s="84"/>
      <c r="N425" s="71" t="str">
        <f t="shared" si="6"/>
        <v/>
      </c>
      <c r="O425" s="75"/>
      <c r="P425" s="72"/>
      <c r="Q425" s="72"/>
      <c r="R425" s="72"/>
      <c r="S425" s="72"/>
      <c r="T425" s="72"/>
      <c r="U425" s="72"/>
      <c r="V425" s="79"/>
      <c r="W425" s="72"/>
      <c r="X425" s="72"/>
      <c r="Y425" s="72"/>
    </row>
    <row r="426" spans="1:25" ht="27.75" customHeight="1">
      <c r="A426" s="93" t="str">
        <f>IF(ISBLANK(C426)," ",421-COUNTBLANK($C$6:C426))</f>
        <v xml:space="preserve"> </v>
      </c>
      <c r="B426" s="94"/>
      <c r="C426" s="94"/>
      <c r="D426" s="95"/>
      <c r="E426" s="95"/>
      <c r="F426" s="85"/>
      <c r="G426" s="85"/>
      <c r="H426" s="85"/>
      <c r="I426" s="85"/>
      <c r="J426" s="85"/>
      <c r="K426" s="85"/>
      <c r="L426" s="85"/>
      <c r="M426" s="86"/>
      <c r="N426" s="71" t="str">
        <f t="shared" si="6"/>
        <v/>
      </c>
      <c r="O426" s="72"/>
      <c r="P426" s="72"/>
      <c r="Q426" s="72"/>
      <c r="R426" s="72"/>
      <c r="S426" s="72"/>
      <c r="T426" s="72"/>
      <c r="U426" s="72"/>
      <c r="V426" s="72"/>
    </row>
    <row r="427" spans="1:25" ht="27.75" customHeight="1">
      <c r="A427" s="87" t="str">
        <f>IF(ISBLANK(C427)," ",422-COUNTBLANK($C$6:C427))</f>
        <v xml:space="preserve"> </v>
      </c>
      <c r="B427" s="88"/>
      <c r="C427" s="88"/>
      <c r="D427" s="89"/>
      <c r="E427" s="89"/>
      <c r="F427" s="73"/>
      <c r="G427" s="73"/>
      <c r="H427" s="73"/>
      <c r="I427" s="73"/>
      <c r="J427" s="73"/>
      <c r="K427" s="73"/>
      <c r="L427" s="73"/>
      <c r="M427" s="74"/>
      <c r="N427" s="71" t="str">
        <f t="shared" si="6"/>
        <v/>
      </c>
      <c r="O427" s="72"/>
      <c r="P427" s="72"/>
      <c r="Q427" s="72"/>
      <c r="R427" s="72"/>
      <c r="S427" s="72"/>
      <c r="T427" s="72"/>
      <c r="U427" s="72"/>
      <c r="V427" s="72"/>
    </row>
    <row r="428" spans="1:25" ht="27.75" customHeight="1">
      <c r="A428" s="87" t="str">
        <f>IF(ISBLANK(C428)," ",423-COUNTBLANK($C$6:C428))</f>
        <v xml:space="preserve"> </v>
      </c>
      <c r="B428" s="88"/>
      <c r="C428" s="88"/>
      <c r="D428" s="89"/>
      <c r="E428" s="89"/>
      <c r="F428" s="73"/>
      <c r="G428" s="73"/>
      <c r="H428" s="73"/>
      <c r="I428" s="73"/>
      <c r="J428" s="73"/>
      <c r="K428" s="73"/>
      <c r="L428" s="73"/>
      <c r="M428" s="74"/>
      <c r="N428" s="71" t="str">
        <f t="shared" si="6"/>
        <v/>
      </c>
      <c r="O428" s="72"/>
      <c r="P428" s="72"/>
      <c r="Q428" s="72"/>
      <c r="R428" s="72"/>
      <c r="S428" s="72"/>
      <c r="T428" s="72"/>
      <c r="U428" s="72"/>
      <c r="V428" s="72"/>
    </row>
    <row r="429" spans="1:25" ht="27.75" customHeight="1">
      <c r="A429" s="87" t="str">
        <f>IF(ISBLANK(C429)," ",424-COUNTBLANK($C$6:C429))</f>
        <v xml:space="preserve"> </v>
      </c>
      <c r="B429" s="88"/>
      <c r="C429" s="88"/>
      <c r="D429" s="89"/>
      <c r="E429" s="89"/>
      <c r="F429" s="73"/>
      <c r="G429" s="73"/>
      <c r="H429" s="73"/>
      <c r="I429" s="73"/>
      <c r="J429" s="73"/>
      <c r="K429" s="73"/>
      <c r="L429" s="73"/>
      <c r="M429" s="74"/>
      <c r="N429" s="71" t="str">
        <f t="shared" si="6"/>
        <v/>
      </c>
      <c r="O429" s="72"/>
      <c r="P429" s="72"/>
      <c r="Q429" s="72"/>
      <c r="R429" s="72"/>
      <c r="S429" s="72"/>
      <c r="T429" s="72"/>
      <c r="U429" s="72"/>
      <c r="V429" s="72"/>
    </row>
    <row r="430" spans="1:25" ht="27.75" customHeight="1">
      <c r="A430" s="87" t="str">
        <f>IF(ISBLANK(C430)," ",425-COUNTBLANK($C$6:C430))</f>
        <v xml:space="preserve"> </v>
      </c>
      <c r="B430" s="88"/>
      <c r="C430" s="88"/>
      <c r="D430" s="89"/>
      <c r="E430" s="89"/>
      <c r="F430" s="73"/>
      <c r="G430" s="73"/>
      <c r="H430" s="73"/>
      <c r="I430" s="73"/>
      <c r="J430" s="73"/>
      <c r="K430" s="73"/>
      <c r="L430" s="73"/>
      <c r="M430" s="74"/>
      <c r="N430" s="71" t="str">
        <f t="shared" si="6"/>
        <v/>
      </c>
      <c r="O430" s="72"/>
      <c r="P430" s="72"/>
      <c r="Q430" s="72"/>
      <c r="R430" s="72"/>
      <c r="S430" s="72"/>
      <c r="T430" s="72"/>
      <c r="U430" s="72"/>
      <c r="V430" s="72"/>
    </row>
    <row r="431" spans="1:25" ht="27.75" customHeight="1">
      <c r="A431" s="87" t="str">
        <f>IF(ISBLANK(C431)," ",426-COUNTBLANK($C$6:C431))</f>
        <v xml:space="preserve"> </v>
      </c>
      <c r="B431" s="88"/>
      <c r="C431" s="88"/>
      <c r="D431" s="89"/>
      <c r="E431" s="89"/>
      <c r="F431" s="73"/>
      <c r="G431" s="73"/>
      <c r="H431" s="73"/>
      <c r="I431" s="73"/>
      <c r="J431" s="73"/>
      <c r="K431" s="73"/>
      <c r="L431" s="73"/>
      <c r="M431" s="74"/>
      <c r="N431" s="71" t="str">
        <f t="shared" si="6"/>
        <v/>
      </c>
      <c r="O431" s="72"/>
      <c r="P431" s="72"/>
      <c r="Q431" s="72"/>
      <c r="R431" s="72"/>
      <c r="S431" s="72"/>
      <c r="T431" s="72"/>
      <c r="U431" s="72"/>
      <c r="V431" s="72"/>
    </row>
    <row r="432" spans="1:25" ht="27.75" customHeight="1">
      <c r="A432" s="87" t="str">
        <f>IF(ISBLANK(C432)," ",427-COUNTBLANK($C$6:C432))</f>
        <v xml:space="preserve"> </v>
      </c>
      <c r="B432" s="88"/>
      <c r="C432" s="88"/>
      <c r="D432" s="89"/>
      <c r="E432" s="89"/>
      <c r="F432" s="73"/>
      <c r="G432" s="73"/>
      <c r="H432" s="73"/>
      <c r="I432" s="73"/>
      <c r="J432" s="73"/>
      <c r="K432" s="73"/>
      <c r="L432" s="73"/>
      <c r="M432" s="74"/>
      <c r="N432" s="71" t="str">
        <f t="shared" si="6"/>
        <v/>
      </c>
      <c r="O432" s="72"/>
      <c r="P432" s="72"/>
      <c r="Q432" s="72"/>
      <c r="R432" s="72"/>
      <c r="S432" s="72"/>
      <c r="T432" s="72"/>
      <c r="U432" s="72"/>
      <c r="V432" s="72"/>
    </row>
    <row r="433" spans="1:25" ht="27.75" customHeight="1">
      <c r="A433" s="87" t="str">
        <f>IF(ISBLANK(C433)," ",428-COUNTBLANK($C$6:C433))</f>
        <v xml:space="preserve"> </v>
      </c>
      <c r="B433" s="88"/>
      <c r="C433" s="88"/>
      <c r="D433" s="89"/>
      <c r="E433" s="89"/>
      <c r="F433" s="73"/>
      <c r="G433" s="73"/>
      <c r="H433" s="73"/>
      <c r="I433" s="73"/>
      <c r="J433" s="73"/>
      <c r="K433" s="73"/>
      <c r="L433" s="73"/>
      <c r="M433" s="74"/>
      <c r="N433" s="71" t="str">
        <f t="shared" si="6"/>
        <v/>
      </c>
      <c r="O433" s="72"/>
      <c r="P433" s="72"/>
      <c r="Q433" s="72"/>
      <c r="R433" s="72"/>
      <c r="S433" s="72"/>
      <c r="T433" s="72"/>
      <c r="U433" s="72"/>
      <c r="V433" s="72"/>
    </row>
    <row r="434" spans="1:25" ht="27.75" customHeight="1">
      <c r="A434" s="87" t="str">
        <f>IF(ISBLANK(C434)," ",429-COUNTBLANK($C$6:C434))</f>
        <v xml:space="preserve"> </v>
      </c>
      <c r="B434" s="88"/>
      <c r="C434" s="88"/>
      <c r="D434" s="89"/>
      <c r="E434" s="89"/>
      <c r="F434" s="73"/>
      <c r="G434" s="73"/>
      <c r="H434" s="73"/>
      <c r="I434" s="73"/>
      <c r="J434" s="73"/>
      <c r="K434" s="73"/>
      <c r="L434" s="73"/>
      <c r="M434" s="74"/>
      <c r="N434" s="71" t="str">
        <f t="shared" si="6"/>
        <v/>
      </c>
      <c r="O434" s="72"/>
      <c r="P434" s="72"/>
      <c r="Q434" s="72"/>
      <c r="R434" s="72"/>
      <c r="S434" s="72"/>
      <c r="T434" s="72"/>
      <c r="U434" s="72"/>
      <c r="V434" s="72"/>
    </row>
    <row r="435" spans="1:25" ht="27.75" customHeight="1">
      <c r="A435" s="87" t="str">
        <f>IF(ISBLANK(C435)," ",430-COUNTBLANK($C$6:C435))</f>
        <v xml:space="preserve"> </v>
      </c>
      <c r="B435" s="88"/>
      <c r="C435" s="88"/>
      <c r="D435" s="89"/>
      <c r="E435" s="89"/>
      <c r="F435" s="73"/>
      <c r="G435" s="73"/>
      <c r="H435" s="73"/>
      <c r="I435" s="73"/>
      <c r="J435" s="73"/>
      <c r="K435" s="73"/>
      <c r="L435" s="73"/>
      <c r="M435" s="74"/>
      <c r="N435" s="71" t="str">
        <f t="shared" si="6"/>
        <v/>
      </c>
      <c r="O435" s="72"/>
      <c r="P435" s="72"/>
      <c r="Q435" s="72"/>
      <c r="R435" s="72"/>
      <c r="S435" s="72"/>
      <c r="T435" s="72"/>
      <c r="U435" s="72"/>
      <c r="V435" s="72"/>
    </row>
    <row r="436" spans="1:25" ht="27.75" customHeight="1">
      <c r="A436" s="87" t="str">
        <f>IF(ISBLANK(C436)," ",431-COUNTBLANK($C$6:C436))</f>
        <v xml:space="preserve"> </v>
      </c>
      <c r="B436" s="88"/>
      <c r="C436" s="88"/>
      <c r="D436" s="89"/>
      <c r="E436" s="89"/>
      <c r="F436" s="73"/>
      <c r="G436" s="73"/>
      <c r="H436" s="73"/>
      <c r="I436" s="73"/>
      <c r="J436" s="73"/>
      <c r="K436" s="73"/>
      <c r="L436" s="73"/>
      <c r="M436" s="74"/>
      <c r="N436" s="71" t="str">
        <f t="shared" si="6"/>
        <v/>
      </c>
      <c r="O436" s="72"/>
      <c r="P436" s="72"/>
      <c r="Q436" s="72"/>
      <c r="R436" s="72"/>
      <c r="S436" s="72"/>
      <c r="T436" s="72"/>
      <c r="U436" s="72"/>
      <c r="V436" s="72"/>
    </row>
    <row r="437" spans="1:25" ht="27.75" customHeight="1">
      <c r="A437" s="87" t="str">
        <f>IF(ISBLANK(C437)," ",432-COUNTBLANK($C$6:C437))</f>
        <v xml:space="preserve"> </v>
      </c>
      <c r="B437" s="88"/>
      <c r="C437" s="88"/>
      <c r="D437" s="89"/>
      <c r="E437" s="89"/>
      <c r="F437" s="73"/>
      <c r="G437" s="73"/>
      <c r="H437" s="73"/>
      <c r="I437" s="73"/>
      <c r="J437" s="73"/>
      <c r="K437" s="73"/>
      <c r="L437" s="73"/>
      <c r="M437" s="74"/>
      <c r="N437" s="71" t="str">
        <f t="shared" si="6"/>
        <v/>
      </c>
      <c r="O437" s="72"/>
      <c r="P437" s="72"/>
      <c r="Q437" s="72"/>
      <c r="R437" s="72"/>
      <c r="S437" s="72"/>
      <c r="T437" s="72"/>
      <c r="U437" s="72"/>
      <c r="V437" s="72"/>
    </row>
    <row r="438" spans="1:25" ht="27.75" customHeight="1">
      <c r="A438" s="87" t="str">
        <f>IF(ISBLANK(C438)," ",433-COUNTBLANK($C$6:C438))</f>
        <v xml:space="preserve"> </v>
      </c>
      <c r="B438" s="88"/>
      <c r="C438" s="88"/>
      <c r="D438" s="89"/>
      <c r="E438" s="89"/>
      <c r="F438" s="73"/>
      <c r="G438" s="73"/>
      <c r="H438" s="73"/>
      <c r="I438" s="73"/>
      <c r="J438" s="73"/>
      <c r="K438" s="73"/>
      <c r="L438" s="73"/>
      <c r="M438" s="74"/>
      <c r="N438" s="71" t="str">
        <f t="shared" si="6"/>
        <v/>
      </c>
      <c r="O438" s="72"/>
      <c r="P438" s="72"/>
      <c r="Q438" s="72"/>
      <c r="R438" s="72"/>
      <c r="S438" s="72"/>
      <c r="T438" s="72"/>
      <c r="U438" s="72"/>
      <c r="V438" s="72"/>
    </row>
    <row r="439" spans="1:25" ht="27.75" customHeight="1">
      <c r="A439" s="87" t="str">
        <f>IF(ISBLANK(C439)," ",434-COUNTBLANK($C$6:C439))</f>
        <v xml:space="preserve"> </v>
      </c>
      <c r="B439" s="88"/>
      <c r="C439" s="88"/>
      <c r="D439" s="89"/>
      <c r="E439" s="89"/>
      <c r="F439" s="73"/>
      <c r="G439" s="73"/>
      <c r="H439" s="73"/>
      <c r="I439" s="73"/>
      <c r="J439" s="73"/>
      <c r="K439" s="73"/>
      <c r="L439" s="73"/>
      <c r="M439" s="74"/>
      <c r="N439" s="71" t="str">
        <f t="shared" si="6"/>
        <v/>
      </c>
      <c r="O439" s="72"/>
      <c r="P439" s="72"/>
      <c r="Q439" s="72"/>
      <c r="R439" s="72"/>
      <c r="S439" s="72"/>
      <c r="T439" s="72"/>
      <c r="U439" s="72"/>
      <c r="V439" s="72"/>
    </row>
    <row r="440" spans="1:25" ht="27.75" customHeight="1">
      <c r="A440" s="87" t="str">
        <f>IF(ISBLANK(C440)," ",435-COUNTBLANK($C$6:C440))</f>
        <v xml:space="preserve"> </v>
      </c>
      <c r="B440" s="88"/>
      <c r="C440" s="88"/>
      <c r="D440" s="89"/>
      <c r="E440" s="89"/>
      <c r="F440" s="73"/>
      <c r="G440" s="73"/>
      <c r="H440" s="73"/>
      <c r="I440" s="73"/>
      <c r="J440" s="73"/>
      <c r="K440" s="73"/>
      <c r="L440" s="73"/>
      <c r="M440" s="74"/>
      <c r="N440" s="71" t="str">
        <f t="shared" si="6"/>
        <v/>
      </c>
      <c r="O440" s="72"/>
      <c r="P440" s="72"/>
      <c r="Q440" s="72"/>
      <c r="R440" s="72"/>
      <c r="S440" s="72"/>
      <c r="T440" s="72"/>
      <c r="U440" s="72"/>
      <c r="V440" s="72"/>
    </row>
    <row r="441" spans="1:25" ht="27.75" customHeight="1">
      <c r="A441" s="87" t="str">
        <f>IF(ISBLANK(C441)," ",436-COUNTBLANK($C$6:C441))</f>
        <v xml:space="preserve"> </v>
      </c>
      <c r="B441" s="88"/>
      <c r="C441" s="88"/>
      <c r="D441" s="89"/>
      <c r="E441" s="89"/>
      <c r="F441" s="73"/>
      <c r="G441" s="73"/>
      <c r="H441" s="73"/>
      <c r="I441" s="73"/>
      <c r="J441" s="73"/>
      <c r="K441" s="73"/>
      <c r="L441" s="73"/>
      <c r="M441" s="74"/>
      <c r="N441" s="71" t="str">
        <f t="shared" si="6"/>
        <v/>
      </c>
      <c r="O441" s="75"/>
      <c r="P441" s="72"/>
      <c r="Q441" s="72"/>
      <c r="R441" s="72"/>
      <c r="S441" s="72"/>
      <c r="T441" s="72"/>
      <c r="U441" s="72"/>
      <c r="V441" s="76"/>
    </row>
    <row r="442" spans="1:25" ht="27.75" customHeight="1">
      <c r="A442" s="87" t="str">
        <f>IF(ISBLANK(C442)," ",437-COUNTBLANK($C$6:C442))</f>
        <v xml:space="preserve"> </v>
      </c>
      <c r="B442" s="88"/>
      <c r="C442" s="88"/>
      <c r="D442" s="89"/>
      <c r="E442" s="89"/>
      <c r="F442" s="73"/>
      <c r="G442" s="73"/>
      <c r="H442" s="73"/>
      <c r="I442" s="73"/>
      <c r="J442" s="73"/>
      <c r="K442" s="73"/>
      <c r="L442" s="73"/>
      <c r="M442" s="74"/>
      <c r="N442" s="71" t="str">
        <f t="shared" si="6"/>
        <v/>
      </c>
      <c r="O442" s="75"/>
      <c r="P442" s="72"/>
      <c r="Q442" s="72"/>
      <c r="R442" s="72"/>
      <c r="S442" s="72"/>
      <c r="T442" s="72"/>
      <c r="U442" s="72"/>
      <c r="V442" s="76"/>
    </row>
    <row r="443" spans="1:25" ht="27.75" customHeight="1">
      <c r="A443" s="87" t="str">
        <f>IF(ISBLANK(C443)," ",438-COUNTBLANK($C$6:C443))</f>
        <v xml:space="preserve"> </v>
      </c>
      <c r="B443" s="88"/>
      <c r="C443" s="88"/>
      <c r="D443" s="89"/>
      <c r="E443" s="89"/>
      <c r="F443" s="73"/>
      <c r="G443" s="73"/>
      <c r="H443" s="73"/>
      <c r="I443" s="73"/>
      <c r="J443" s="73"/>
      <c r="K443" s="73"/>
      <c r="L443" s="73"/>
      <c r="M443" s="74"/>
      <c r="N443" s="71" t="str">
        <f t="shared" si="6"/>
        <v/>
      </c>
      <c r="O443" s="75"/>
      <c r="P443" s="72"/>
      <c r="Q443" s="72"/>
      <c r="R443" s="72"/>
      <c r="S443" s="72"/>
      <c r="T443" s="72"/>
      <c r="U443" s="72"/>
      <c r="V443" s="76"/>
    </row>
    <row r="444" spans="1:25" ht="27.75" customHeight="1">
      <c r="A444" s="87" t="str">
        <f>IF(ISBLANK(C444)," ",439-COUNTBLANK($C$6:C444))</f>
        <v xml:space="preserve"> </v>
      </c>
      <c r="B444" s="88"/>
      <c r="C444" s="88"/>
      <c r="D444" s="89"/>
      <c r="E444" s="89"/>
      <c r="F444" s="73"/>
      <c r="G444" s="73"/>
      <c r="H444" s="73"/>
      <c r="I444" s="73"/>
      <c r="J444" s="73"/>
      <c r="K444" s="73"/>
      <c r="L444" s="73"/>
      <c r="M444" s="74"/>
      <c r="N444" s="71" t="str">
        <f t="shared" si="6"/>
        <v/>
      </c>
      <c r="O444" s="75"/>
      <c r="P444" s="72"/>
      <c r="Q444" s="72"/>
      <c r="R444" s="72"/>
      <c r="S444" s="72"/>
      <c r="T444" s="72"/>
      <c r="U444" s="72"/>
      <c r="V444" s="76"/>
    </row>
    <row r="445" spans="1:25" ht="27.75" customHeight="1">
      <c r="A445" s="87" t="str">
        <f>IF(ISBLANK(C445)," ",440-COUNTBLANK($C$6:C445))</f>
        <v xml:space="preserve"> </v>
      </c>
      <c r="B445" s="88"/>
      <c r="C445" s="88"/>
      <c r="D445" s="89"/>
      <c r="E445" s="89"/>
      <c r="F445" s="73"/>
      <c r="G445" s="73"/>
      <c r="H445" s="73"/>
      <c r="I445" s="73"/>
      <c r="J445" s="73"/>
      <c r="K445" s="73"/>
      <c r="L445" s="73"/>
      <c r="M445" s="74"/>
      <c r="N445" s="71" t="str">
        <f t="shared" si="6"/>
        <v/>
      </c>
      <c r="O445" s="72"/>
      <c r="P445" s="72"/>
      <c r="Q445" s="72"/>
      <c r="R445" s="72"/>
      <c r="S445" s="72"/>
      <c r="T445" s="72"/>
      <c r="U445" s="72"/>
      <c r="V445" s="79"/>
      <c r="W445" s="72"/>
      <c r="X445" s="72"/>
      <c r="Y445" s="72"/>
    </row>
    <row r="446" spans="1:25" ht="27.75" customHeight="1">
      <c r="A446" s="80" t="s">
        <v>52</v>
      </c>
      <c r="B446" s="81"/>
      <c r="C446" s="96"/>
      <c r="D446" s="82"/>
      <c r="E446" s="82">
        <f>SUM(E426:E445)</f>
        <v>0</v>
      </c>
      <c r="F446" s="83"/>
      <c r="G446" s="83"/>
      <c r="H446" s="83"/>
      <c r="I446" s="83"/>
      <c r="J446" s="83"/>
      <c r="K446" s="83"/>
      <c r="L446" s="83"/>
      <c r="M446" s="84"/>
      <c r="N446" s="71" t="str">
        <f t="shared" si="6"/>
        <v/>
      </c>
      <c r="O446" s="75"/>
      <c r="P446" s="72"/>
      <c r="Q446" s="72"/>
      <c r="R446" s="72"/>
      <c r="S446" s="72"/>
      <c r="T446" s="72"/>
      <c r="U446" s="72"/>
      <c r="V446" s="79"/>
      <c r="W446" s="72"/>
      <c r="X446" s="72"/>
      <c r="Y446" s="72"/>
    </row>
    <row r="447" spans="1:25" ht="27.75" customHeight="1">
      <c r="A447" s="93" t="str">
        <f>IF(ISBLANK(C447)," ",442-COUNTBLANK($C$6:C447))</f>
        <v xml:space="preserve"> </v>
      </c>
      <c r="B447" s="94"/>
      <c r="C447" s="94"/>
      <c r="D447" s="95"/>
      <c r="E447" s="95"/>
      <c r="F447" s="85"/>
      <c r="G447" s="85"/>
      <c r="H447" s="85"/>
      <c r="I447" s="85"/>
      <c r="J447" s="85"/>
      <c r="K447" s="85"/>
      <c r="L447" s="85"/>
      <c r="M447" s="86"/>
      <c r="N447" s="71" t="str">
        <f t="shared" si="6"/>
        <v/>
      </c>
      <c r="O447" s="72"/>
      <c r="P447" s="72"/>
      <c r="Q447" s="72"/>
      <c r="R447" s="72"/>
      <c r="S447" s="72"/>
      <c r="T447" s="72"/>
      <c r="U447" s="72"/>
      <c r="V447" s="72"/>
    </row>
    <row r="448" spans="1:25" ht="27.75" customHeight="1">
      <c r="A448" s="87" t="str">
        <f>IF(ISBLANK(C448)," ",443-COUNTBLANK($C$6:C448))</f>
        <v xml:space="preserve"> </v>
      </c>
      <c r="B448" s="88"/>
      <c r="C448" s="88"/>
      <c r="D448" s="89"/>
      <c r="E448" s="89"/>
      <c r="F448" s="73"/>
      <c r="G448" s="73"/>
      <c r="H448" s="73"/>
      <c r="I448" s="73"/>
      <c r="J448" s="73"/>
      <c r="K448" s="73"/>
      <c r="L448" s="73"/>
      <c r="M448" s="74"/>
      <c r="N448" s="71" t="str">
        <f t="shared" si="6"/>
        <v/>
      </c>
      <c r="O448" s="72"/>
      <c r="P448" s="72"/>
      <c r="Q448" s="72"/>
      <c r="R448" s="72"/>
      <c r="S448" s="72"/>
      <c r="T448" s="72"/>
      <c r="U448" s="72"/>
      <c r="V448" s="72"/>
    </row>
    <row r="449" spans="1:22" ht="27.75" customHeight="1">
      <c r="A449" s="87" t="str">
        <f>IF(ISBLANK(C449)," ",444-COUNTBLANK($C$6:C449))</f>
        <v xml:space="preserve"> </v>
      </c>
      <c r="B449" s="88"/>
      <c r="C449" s="88"/>
      <c r="D449" s="89"/>
      <c r="E449" s="89"/>
      <c r="F449" s="73"/>
      <c r="G449" s="73"/>
      <c r="H449" s="73"/>
      <c r="I449" s="73"/>
      <c r="J449" s="73"/>
      <c r="K449" s="73"/>
      <c r="L449" s="73"/>
      <c r="M449" s="74"/>
      <c r="N449" s="71" t="str">
        <f t="shared" si="6"/>
        <v/>
      </c>
      <c r="O449" s="72"/>
      <c r="P449" s="72"/>
      <c r="Q449" s="72"/>
      <c r="R449" s="72"/>
      <c r="S449" s="72"/>
      <c r="T449" s="72"/>
      <c r="U449" s="72"/>
      <c r="V449" s="72"/>
    </row>
    <row r="450" spans="1:22" ht="27.75" customHeight="1">
      <c r="A450" s="87" t="str">
        <f>IF(ISBLANK(C450)," ",445-COUNTBLANK($C$6:C450))</f>
        <v xml:space="preserve"> </v>
      </c>
      <c r="B450" s="88"/>
      <c r="C450" s="88"/>
      <c r="D450" s="89"/>
      <c r="E450" s="89"/>
      <c r="F450" s="73"/>
      <c r="G450" s="73"/>
      <c r="H450" s="73"/>
      <c r="I450" s="73"/>
      <c r="J450" s="73"/>
      <c r="K450" s="73"/>
      <c r="L450" s="73"/>
      <c r="M450" s="74"/>
      <c r="N450" s="71" t="str">
        <f t="shared" si="6"/>
        <v/>
      </c>
      <c r="O450" s="72"/>
      <c r="P450" s="72"/>
      <c r="Q450" s="72"/>
      <c r="R450" s="72"/>
      <c r="S450" s="72"/>
      <c r="T450" s="72"/>
      <c r="U450" s="72"/>
      <c r="V450" s="72"/>
    </row>
    <row r="451" spans="1:22" ht="27.75" customHeight="1">
      <c r="A451" s="87" t="str">
        <f>IF(ISBLANK(C451)," ",446-COUNTBLANK($C$6:C451))</f>
        <v xml:space="preserve"> </v>
      </c>
      <c r="B451" s="88"/>
      <c r="C451" s="88"/>
      <c r="D451" s="89"/>
      <c r="E451" s="89"/>
      <c r="F451" s="73"/>
      <c r="G451" s="73"/>
      <c r="H451" s="73"/>
      <c r="I451" s="73"/>
      <c r="J451" s="73"/>
      <c r="K451" s="73"/>
      <c r="L451" s="73"/>
      <c r="M451" s="74"/>
      <c r="N451" s="71" t="str">
        <f t="shared" si="6"/>
        <v/>
      </c>
      <c r="O451" s="72"/>
      <c r="P451" s="72"/>
      <c r="Q451" s="72"/>
      <c r="R451" s="72"/>
      <c r="S451" s="72"/>
      <c r="T451" s="72"/>
      <c r="U451" s="72"/>
      <c r="V451" s="72"/>
    </row>
    <row r="452" spans="1:22" ht="27.75" customHeight="1">
      <c r="A452" s="87" t="str">
        <f>IF(ISBLANK(C452)," ",447-COUNTBLANK($C$6:C452))</f>
        <v xml:space="preserve"> </v>
      </c>
      <c r="B452" s="88"/>
      <c r="C452" s="88"/>
      <c r="D452" s="89"/>
      <c r="E452" s="89"/>
      <c r="F452" s="73"/>
      <c r="G452" s="73"/>
      <c r="H452" s="73"/>
      <c r="I452" s="73"/>
      <c r="J452" s="73"/>
      <c r="K452" s="73"/>
      <c r="L452" s="73"/>
      <c r="M452" s="74"/>
      <c r="N452" s="71" t="str">
        <f t="shared" si="6"/>
        <v/>
      </c>
      <c r="O452" s="72"/>
      <c r="P452" s="72"/>
      <c r="Q452" s="72"/>
      <c r="R452" s="72"/>
      <c r="S452" s="72"/>
      <c r="T452" s="72"/>
      <c r="U452" s="72"/>
      <c r="V452" s="72"/>
    </row>
    <row r="453" spans="1:22" ht="27.75" customHeight="1">
      <c r="A453" s="87" t="str">
        <f>IF(ISBLANK(C453)," ",448-COUNTBLANK($C$6:C453))</f>
        <v xml:space="preserve"> </v>
      </c>
      <c r="B453" s="88"/>
      <c r="C453" s="88"/>
      <c r="D453" s="89"/>
      <c r="E453" s="89"/>
      <c r="F453" s="73"/>
      <c r="G453" s="73"/>
      <c r="H453" s="73"/>
      <c r="I453" s="73"/>
      <c r="J453" s="73"/>
      <c r="K453" s="73"/>
      <c r="L453" s="73"/>
      <c r="M453" s="74"/>
      <c r="N453" s="71" t="str">
        <f t="shared" si="6"/>
        <v/>
      </c>
      <c r="O453" s="72"/>
      <c r="P453" s="72"/>
      <c r="Q453" s="72"/>
      <c r="R453" s="72"/>
      <c r="S453" s="72"/>
      <c r="T453" s="72"/>
      <c r="U453" s="72"/>
      <c r="V453" s="72"/>
    </row>
    <row r="454" spans="1:22" ht="27.75" customHeight="1">
      <c r="A454" s="87" t="str">
        <f>IF(ISBLANK(C454)," ",449-COUNTBLANK($C$6:C454))</f>
        <v xml:space="preserve"> </v>
      </c>
      <c r="B454" s="88"/>
      <c r="C454" s="88"/>
      <c r="D454" s="89"/>
      <c r="E454" s="89"/>
      <c r="F454" s="73"/>
      <c r="G454" s="73"/>
      <c r="H454" s="73"/>
      <c r="I454" s="73"/>
      <c r="J454" s="73"/>
      <c r="K454" s="73"/>
      <c r="L454" s="73"/>
      <c r="M454" s="74"/>
      <c r="N454" s="71" t="str">
        <f t="shared" ref="N454:N517" si="7">CONCATENATE(C454,H454)</f>
        <v/>
      </c>
      <c r="O454" s="72"/>
      <c r="P454" s="72"/>
      <c r="Q454" s="72"/>
      <c r="R454" s="72"/>
      <c r="S454" s="72"/>
      <c r="T454" s="72"/>
      <c r="U454" s="72"/>
      <c r="V454" s="72"/>
    </row>
    <row r="455" spans="1:22" ht="27.75" customHeight="1">
      <c r="A455" s="87" t="str">
        <f>IF(ISBLANK(C455)," ",450-COUNTBLANK($C$6:C455))</f>
        <v xml:space="preserve"> </v>
      </c>
      <c r="B455" s="88"/>
      <c r="C455" s="88"/>
      <c r="D455" s="89"/>
      <c r="E455" s="89"/>
      <c r="F455" s="73"/>
      <c r="G455" s="73"/>
      <c r="H455" s="73"/>
      <c r="I455" s="73"/>
      <c r="J455" s="73"/>
      <c r="K455" s="73"/>
      <c r="L455" s="73"/>
      <c r="M455" s="74"/>
      <c r="N455" s="71" t="str">
        <f t="shared" si="7"/>
        <v/>
      </c>
      <c r="O455" s="72"/>
      <c r="P455" s="72"/>
      <c r="Q455" s="72"/>
      <c r="R455" s="72"/>
      <c r="S455" s="72"/>
      <c r="T455" s="72"/>
      <c r="U455" s="72"/>
      <c r="V455" s="72"/>
    </row>
    <row r="456" spans="1:22" ht="27.75" customHeight="1">
      <c r="A456" s="87" t="str">
        <f>IF(ISBLANK(C456)," ",451-COUNTBLANK($C$6:C456))</f>
        <v xml:space="preserve"> </v>
      </c>
      <c r="B456" s="88"/>
      <c r="C456" s="88"/>
      <c r="D456" s="89"/>
      <c r="E456" s="89"/>
      <c r="F456" s="73"/>
      <c r="G456" s="73"/>
      <c r="H456" s="73"/>
      <c r="I456" s="73"/>
      <c r="J456" s="73"/>
      <c r="K456" s="73"/>
      <c r="L456" s="73"/>
      <c r="M456" s="74"/>
      <c r="N456" s="71" t="str">
        <f t="shared" si="7"/>
        <v/>
      </c>
      <c r="O456" s="72"/>
      <c r="P456" s="72"/>
      <c r="Q456" s="72"/>
      <c r="R456" s="72"/>
      <c r="S456" s="72"/>
      <c r="T456" s="72"/>
      <c r="U456" s="72"/>
      <c r="V456" s="72"/>
    </row>
    <row r="457" spans="1:22" ht="27.75" customHeight="1">
      <c r="A457" s="87" t="str">
        <f>IF(ISBLANK(C457)," ",452-COUNTBLANK($C$6:C457))</f>
        <v xml:space="preserve"> </v>
      </c>
      <c r="B457" s="88"/>
      <c r="C457" s="88"/>
      <c r="D457" s="89"/>
      <c r="E457" s="89"/>
      <c r="F457" s="73"/>
      <c r="G457" s="73"/>
      <c r="H457" s="73"/>
      <c r="I457" s="73"/>
      <c r="J457" s="73"/>
      <c r="K457" s="73"/>
      <c r="L457" s="73"/>
      <c r="M457" s="74"/>
      <c r="N457" s="71" t="str">
        <f t="shared" si="7"/>
        <v/>
      </c>
      <c r="O457" s="72"/>
      <c r="P457" s="72"/>
      <c r="Q457" s="72"/>
      <c r="R457" s="72"/>
      <c r="S457" s="72"/>
      <c r="T457" s="72"/>
      <c r="U457" s="72"/>
      <c r="V457" s="72"/>
    </row>
    <row r="458" spans="1:22" ht="27.75" customHeight="1">
      <c r="A458" s="87" t="str">
        <f>IF(ISBLANK(C458)," ",453-COUNTBLANK($C$6:C458))</f>
        <v xml:space="preserve"> </v>
      </c>
      <c r="B458" s="88"/>
      <c r="C458" s="88"/>
      <c r="D458" s="89"/>
      <c r="E458" s="89"/>
      <c r="F458" s="73"/>
      <c r="G458" s="73"/>
      <c r="H458" s="73"/>
      <c r="I458" s="73"/>
      <c r="J458" s="73"/>
      <c r="K458" s="73"/>
      <c r="L458" s="73"/>
      <c r="M458" s="74"/>
      <c r="N458" s="71" t="str">
        <f t="shared" si="7"/>
        <v/>
      </c>
      <c r="O458" s="72"/>
      <c r="P458" s="72"/>
      <c r="Q458" s="72"/>
      <c r="R458" s="72"/>
      <c r="S458" s="72"/>
      <c r="T458" s="72"/>
      <c r="U458" s="72"/>
      <c r="V458" s="72"/>
    </row>
    <row r="459" spans="1:22" ht="27.75" customHeight="1">
      <c r="A459" s="87" t="str">
        <f>IF(ISBLANK(C459)," ",454-COUNTBLANK($C$6:C459))</f>
        <v xml:space="preserve"> </v>
      </c>
      <c r="B459" s="88"/>
      <c r="C459" s="88"/>
      <c r="D459" s="89"/>
      <c r="E459" s="89"/>
      <c r="F459" s="73"/>
      <c r="G459" s="73"/>
      <c r="H459" s="73"/>
      <c r="I459" s="73"/>
      <c r="J459" s="73"/>
      <c r="K459" s="73"/>
      <c r="L459" s="73"/>
      <c r="M459" s="74"/>
      <c r="N459" s="71" t="str">
        <f t="shared" si="7"/>
        <v/>
      </c>
      <c r="O459" s="72"/>
      <c r="P459" s="72"/>
      <c r="Q459" s="72"/>
      <c r="R459" s="72"/>
      <c r="S459" s="72"/>
      <c r="T459" s="72"/>
      <c r="U459" s="72"/>
      <c r="V459" s="72"/>
    </row>
    <row r="460" spans="1:22" ht="27.75" customHeight="1">
      <c r="A460" s="87" t="str">
        <f>IF(ISBLANK(C460)," ",455-COUNTBLANK($C$6:C460))</f>
        <v xml:space="preserve"> </v>
      </c>
      <c r="B460" s="88"/>
      <c r="C460" s="88"/>
      <c r="D460" s="89"/>
      <c r="E460" s="89"/>
      <c r="F460" s="73"/>
      <c r="G460" s="73"/>
      <c r="H460" s="73"/>
      <c r="I460" s="73"/>
      <c r="J460" s="73"/>
      <c r="K460" s="73"/>
      <c r="L460" s="73"/>
      <c r="M460" s="74"/>
      <c r="N460" s="71" t="str">
        <f t="shared" si="7"/>
        <v/>
      </c>
      <c r="O460" s="72"/>
      <c r="P460" s="72"/>
      <c r="Q460" s="72"/>
      <c r="R460" s="72"/>
      <c r="S460" s="72"/>
      <c r="T460" s="72"/>
      <c r="U460" s="72"/>
      <c r="V460" s="72"/>
    </row>
    <row r="461" spans="1:22" ht="27.75" customHeight="1">
      <c r="A461" s="87" t="str">
        <f>IF(ISBLANK(C461)," ",456-COUNTBLANK($C$6:C461))</f>
        <v xml:space="preserve"> </v>
      </c>
      <c r="B461" s="88"/>
      <c r="C461" s="88"/>
      <c r="D461" s="89"/>
      <c r="E461" s="89"/>
      <c r="F461" s="73"/>
      <c r="G461" s="73"/>
      <c r="H461" s="73"/>
      <c r="I461" s="73"/>
      <c r="J461" s="73"/>
      <c r="K461" s="73"/>
      <c r="L461" s="73"/>
      <c r="M461" s="74"/>
      <c r="N461" s="71" t="str">
        <f t="shared" si="7"/>
        <v/>
      </c>
      <c r="O461" s="72"/>
      <c r="P461" s="72"/>
      <c r="Q461" s="72"/>
      <c r="R461" s="72"/>
      <c r="S461" s="72"/>
      <c r="T461" s="72"/>
      <c r="U461" s="72"/>
      <c r="V461" s="72"/>
    </row>
    <row r="462" spans="1:22" ht="27.75" customHeight="1">
      <c r="A462" s="87" t="str">
        <f>IF(ISBLANK(C462)," ",457-COUNTBLANK($C$6:C462))</f>
        <v xml:space="preserve"> </v>
      </c>
      <c r="B462" s="88"/>
      <c r="C462" s="88"/>
      <c r="D462" s="89"/>
      <c r="E462" s="89"/>
      <c r="F462" s="73"/>
      <c r="G462" s="73"/>
      <c r="H462" s="73"/>
      <c r="I462" s="73"/>
      <c r="J462" s="73"/>
      <c r="K462" s="73"/>
      <c r="L462" s="73"/>
      <c r="M462" s="74"/>
      <c r="N462" s="71" t="str">
        <f t="shared" si="7"/>
        <v/>
      </c>
      <c r="O462" s="75"/>
      <c r="P462" s="72"/>
      <c r="Q462" s="72"/>
      <c r="R462" s="72"/>
      <c r="S462" s="72"/>
      <c r="T462" s="72"/>
      <c r="U462" s="72"/>
      <c r="V462" s="76"/>
    </row>
    <row r="463" spans="1:22" ht="27.75" customHeight="1">
      <c r="A463" s="87" t="str">
        <f>IF(ISBLANK(C463)," ",458-COUNTBLANK($C$6:C463))</f>
        <v xml:space="preserve"> </v>
      </c>
      <c r="B463" s="88"/>
      <c r="C463" s="88"/>
      <c r="D463" s="89"/>
      <c r="E463" s="89"/>
      <c r="F463" s="73"/>
      <c r="G463" s="73"/>
      <c r="H463" s="73"/>
      <c r="I463" s="73"/>
      <c r="J463" s="73"/>
      <c r="K463" s="73"/>
      <c r="L463" s="73"/>
      <c r="M463" s="74"/>
      <c r="N463" s="71" t="str">
        <f t="shared" si="7"/>
        <v/>
      </c>
      <c r="O463" s="75"/>
      <c r="P463" s="72"/>
      <c r="Q463" s="72"/>
      <c r="R463" s="72"/>
      <c r="S463" s="72"/>
      <c r="T463" s="72"/>
      <c r="U463" s="72"/>
      <c r="V463" s="76"/>
    </row>
    <row r="464" spans="1:22" ht="27.75" customHeight="1">
      <c r="A464" s="87" t="str">
        <f>IF(ISBLANK(C464)," ",459-COUNTBLANK($C$6:C464))</f>
        <v xml:space="preserve"> </v>
      </c>
      <c r="B464" s="88"/>
      <c r="C464" s="88"/>
      <c r="D464" s="89"/>
      <c r="E464" s="89"/>
      <c r="F464" s="73"/>
      <c r="G464" s="73"/>
      <c r="H464" s="73"/>
      <c r="I464" s="73"/>
      <c r="J464" s="73"/>
      <c r="K464" s="73"/>
      <c r="L464" s="73"/>
      <c r="M464" s="74"/>
      <c r="N464" s="71" t="str">
        <f t="shared" si="7"/>
        <v/>
      </c>
      <c r="O464" s="75"/>
      <c r="P464" s="72"/>
      <c r="Q464" s="72"/>
      <c r="R464" s="72"/>
      <c r="S464" s="72"/>
      <c r="T464" s="72"/>
      <c r="U464" s="72"/>
      <c r="V464" s="76"/>
    </row>
    <row r="465" spans="1:25" ht="27.75" customHeight="1">
      <c r="A465" s="87" t="str">
        <f>IF(ISBLANK(C465)," ",460-COUNTBLANK($C$6:C465))</f>
        <v xml:space="preserve"> </v>
      </c>
      <c r="B465" s="88"/>
      <c r="C465" s="88"/>
      <c r="D465" s="89"/>
      <c r="E465" s="89"/>
      <c r="F465" s="73"/>
      <c r="G465" s="73"/>
      <c r="H465" s="73"/>
      <c r="I465" s="73"/>
      <c r="J465" s="73"/>
      <c r="K465" s="73"/>
      <c r="L465" s="73"/>
      <c r="M465" s="74"/>
      <c r="N465" s="71" t="str">
        <f t="shared" si="7"/>
        <v/>
      </c>
      <c r="O465" s="75"/>
      <c r="P465" s="72"/>
      <c r="Q465" s="72"/>
      <c r="R465" s="72"/>
      <c r="S465" s="72"/>
      <c r="T465" s="72"/>
      <c r="U465" s="72"/>
      <c r="V465" s="76"/>
    </row>
    <row r="466" spans="1:25" ht="27.75" customHeight="1">
      <c r="A466" s="87" t="str">
        <f>IF(ISBLANK(C466)," ",461-COUNTBLANK($C$6:C466))</f>
        <v xml:space="preserve"> </v>
      </c>
      <c r="B466" s="88"/>
      <c r="C466" s="88"/>
      <c r="D466" s="89"/>
      <c r="E466" s="89"/>
      <c r="F466" s="73"/>
      <c r="G466" s="73"/>
      <c r="H466" s="73"/>
      <c r="I466" s="73"/>
      <c r="J466" s="73"/>
      <c r="K466" s="73"/>
      <c r="L466" s="73"/>
      <c r="M466" s="74"/>
      <c r="N466" s="71" t="str">
        <f t="shared" si="7"/>
        <v/>
      </c>
      <c r="O466" s="72"/>
      <c r="P466" s="72"/>
      <c r="Q466" s="72"/>
      <c r="R466" s="72"/>
      <c r="S466" s="72"/>
      <c r="T466" s="72"/>
      <c r="U466" s="72"/>
      <c r="V466" s="79"/>
      <c r="W466" s="72"/>
      <c r="X466" s="72"/>
      <c r="Y466" s="72"/>
    </row>
    <row r="467" spans="1:25" ht="27.75" customHeight="1">
      <c r="A467" s="80" t="s">
        <v>52</v>
      </c>
      <c r="B467" s="81"/>
      <c r="C467" s="96"/>
      <c r="D467" s="82"/>
      <c r="E467" s="82">
        <f>SUM(E447:E466)</f>
        <v>0</v>
      </c>
      <c r="F467" s="83"/>
      <c r="G467" s="83"/>
      <c r="H467" s="83"/>
      <c r="I467" s="83"/>
      <c r="J467" s="83"/>
      <c r="K467" s="83"/>
      <c r="L467" s="83"/>
      <c r="M467" s="84"/>
      <c r="N467" s="71" t="str">
        <f t="shared" si="7"/>
        <v/>
      </c>
      <c r="O467" s="75"/>
      <c r="P467" s="72"/>
      <c r="Q467" s="72"/>
      <c r="R467" s="72"/>
      <c r="S467" s="72"/>
      <c r="T467" s="72"/>
      <c r="U467" s="72"/>
      <c r="V467" s="79"/>
      <c r="W467" s="72"/>
      <c r="X467" s="72"/>
      <c r="Y467" s="72"/>
    </row>
    <row r="468" spans="1:25" ht="27.75" customHeight="1">
      <c r="A468" s="93" t="str">
        <f>IF(ISBLANK(C468)," ",463-COUNTBLANK($C$6:C468))</f>
        <v xml:space="preserve"> </v>
      </c>
      <c r="B468" s="94"/>
      <c r="C468" s="94"/>
      <c r="D468" s="95"/>
      <c r="E468" s="95"/>
      <c r="F468" s="85"/>
      <c r="G468" s="85"/>
      <c r="H468" s="85"/>
      <c r="I468" s="85"/>
      <c r="J468" s="85"/>
      <c r="K468" s="85"/>
      <c r="L468" s="85"/>
      <c r="M468" s="86"/>
      <c r="N468" s="71" t="str">
        <f t="shared" si="7"/>
        <v/>
      </c>
      <c r="O468" s="72"/>
      <c r="P468" s="72"/>
      <c r="Q468" s="72"/>
      <c r="R468" s="72"/>
      <c r="S468" s="72"/>
      <c r="T468" s="72"/>
      <c r="U468" s="72"/>
      <c r="V468" s="72"/>
    </row>
    <row r="469" spans="1:25" ht="27.75" customHeight="1">
      <c r="A469" s="87" t="str">
        <f>IF(ISBLANK(C469)," ",464-COUNTBLANK($C$6:C469))</f>
        <v xml:space="preserve"> </v>
      </c>
      <c r="B469" s="88"/>
      <c r="C469" s="88"/>
      <c r="D469" s="89"/>
      <c r="E469" s="89"/>
      <c r="F469" s="73"/>
      <c r="G469" s="73"/>
      <c r="H469" s="73"/>
      <c r="I469" s="73"/>
      <c r="J469" s="73"/>
      <c r="K469" s="73"/>
      <c r="L469" s="73"/>
      <c r="M469" s="74"/>
      <c r="N469" s="71" t="str">
        <f t="shared" si="7"/>
        <v/>
      </c>
      <c r="O469" s="72"/>
      <c r="P469" s="72"/>
      <c r="Q469" s="72"/>
      <c r="R469" s="72"/>
      <c r="S469" s="72"/>
      <c r="T469" s="72"/>
      <c r="U469" s="72"/>
      <c r="V469" s="72"/>
    </row>
    <row r="470" spans="1:25" ht="27.75" customHeight="1">
      <c r="A470" s="87" t="str">
        <f>IF(ISBLANK(C470)," ",465-COUNTBLANK($C$6:C470))</f>
        <v xml:space="preserve"> </v>
      </c>
      <c r="B470" s="88"/>
      <c r="C470" s="88"/>
      <c r="D470" s="89"/>
      <c r="E470" s="89"/>
      <c r="F470" s="73"/>
      <c r="G470" s="73"/>
      <c r="H470" s="73"/>
      <c r="I470" s="73"/>
      <c r="J470" s="73"/>
      <c r="K470" s="73"/>
      <c r="L470" s="73"/>
      <c r="M470" s="74"/>
      <c r="N470" s="71" t="str">
        <f t="shared" si="7"/>
        <v/>
      </c>
      <c r="O470" s="72"/>
      <c r="P470" s="72"/>
      <c r="Q470" s="72"/>
      <c r="R470" s="72"/>
      <c r="S470" s="72"/>
      <c r="T470" s="72"/>
      <c r="U470" s="72"/>
      <c r="V470" s="72"/>
    </row>
    <row r="471" spans="1:25" ht="27.75" customHeight="1">
      <c r="A471" s="87" t="str">
        <f>IF(ISBLANK(C471)," ",466-COUNTBLANK($C$6:C471))</f>
        <v xml:space="preserve"> </v>
      </c>
      <c r="B471" s="88"/>
      <c r="C471" s="88"/>
      <c r="D471" s="89"/>
      <c r="E471" s="89"/>
      <c r="F471" s="73"/>
      <c r="G471" s="73"/>
      <c r="H471" s="73"/>
      <c r="I471" s="73"/>
      <c r="J471" s="73"/>
      <c r="K471" s="73"/>
      <c r="L471" s="73"/>
      <c r="M471" s="74"/>
      <c r="N471" s="71" t="str">
        <f t="shared" si="7"/>
        <v/>
      </c>
      <c r="O471" s="72"/>
      <c r="P471" s="72"/>
      <c r="Q471" s="72"/>
      <c r="R471" s="72"/>
      <c r="S471" s="72"/>
      <c r="T471" s="72"/>
      <c r="U471" s="72"/>
      <c r="V471" s="72"/>
    </row>
    <row r="472" spans="1:25" ht="27.75" customHeight="1">
      <c r="A472" s="87" t="str">
        <f>IF(ISBLANK(C472)," ",467-COUNTBLANK($C$6:C472))</f>
        <v xml:space="preserve"> </v>
      </c>
      <c r="B472" s="88"/>
      <c r="C472" s="88"/>
      <c r="D472" s="89"/>
      <c r="E472" s="89"/>
      <c r="F472" s="73"/>
      <c r="G472" s="73"/>
      <c r="H472" s="73"/>
      <c r="I472" s="73"/>
      <c r="J472" s="73"/>
      <c r="K472" s="73"/>
      <c r="L472" s="73"/>
      <c r="M472" s="74"/>
      <c r="N472" s="71" t="str">
        <f t="shared" si="7"/>
        <v/>
      </c>
      <c r="O472" s="72"/>
      <c r="P472" s="72"/>
      <c r="Q472" s="72"/>
      <c r="R472" s="72"/>
      <c r="S472" s="72"/>
      <c r="T472" s="72"/>
      <c r="U472" s="72"/>
      <c r="V472" s="72"/>
    </row>
    <row r="473" spans="1:25" ht="27.75" customHeight="1">
      <c r="A473" s="87" t="str">
        <f>IF(ISBLANK(C473)," ",468-COUNTBLANK($C$6:C473))</f>
        <v xml:space="preserve"> </v>
      </c>
      <c r="B473" s="88"/>
      <c r="C473" s="88"/>
      <c r="D473" s="89"/>
      <c r="E473" s="89"/>
      <c r="F473" s="73"/>
      <c r="G473" s="73"/>
      <c r="H473" s="73"/>
      <c r="I473" s="73"/>
      <c r="J473" s="73"/>
      <c r="K473" s="73"/>
      <c r="L473" s="73"/>
      <c r="M473" s="74"/>
      <c r="N473" s="71" t="str">
        <f t="shared" si="7"/>
        <v/>
      </c>
      <c r="O473" s="72"/>
      <c r="P473" s="72"/>
      <c r="Q473" s="72"/>
      <c r="R473" s="72"/>
      <c r="S473" s="72"/>
      <c r="T473" s="72"/>
      <c r="U473" s="72"/>
      <c r="V473" s="72"/>
    </row>
    <row r="474" spans="1:25" ht="27.75" customHeight="1">
      <c r="A474" s="87" t="str">
        <f>IF(ISBLANK(C474)," ",469-COUNTBLANK($C$6:C474))</f>
        <v xml:space="preserve"> </v>
      </c>
      <c r="B474" s="88"/>
      <c r="C474" s="88"/>
      <c r="D474" s="89"/>
      <c r="E474" s="89"/>
      <c r="F474" s="73"/>
      <c r="G474" s="73"/>
      <c r="H474" s="73"/>
      <c r="I474" s="73"/>
      <c r="J474" s="73"/>
      <c r="K474" s="73"/>
      <c r="L474" s="73"/>
      <c r="M474" s="74"/>
      <c r="N474" s="71" t="str">
        <f t="shared" si="7"/>
        <v/>
      </c>
      <c r="O474" s="72"/>
      <c r="P474" s="72"/>
      <c r="Q474" s="72"/>
      <c r="R474" s="72"/>
      <c r="S474" s="72"/>
      <c r="T474" s="72"/>
      <c r="U474" s="72"/>
      <c r="V474" s="72"/>
    </row>
    <row r="475" spans="1:25" ht="27.75" customHeight="1">
      <c r="A475" s="87" t="str">
        <f>IF(ISBLANK(C475)," ",470-COUNTBLANK($C$6:C475))</f>
        <v xml:space="preserve"> </v>
      </c>
      <c r="B475" s="88"/>
      <c r="C475" s="88"/>
      <c r="D475" s="89"/>
      <c r="E475" s="89"/>
      <c r="F475" s="73"/>
      <c r="G475" s="73"/>
      <c r="H475" s="73"/>
      <c r="I475" s="73"/>
      <c r="J475" s="73"/>
      <c r="K475" s="73"/>
      <c r="L475" s="73"/>
      <c r="M475" s="74"/>
      <c r="N475" s="71" t="str">
        <f t="shared" si="7"/>
        <v/>
      </c>
      <c r="O475" s="72"/>
      <c r="P475" s="72"/>
      <c r="Q475" s="72"/>
      <c r="R475" s="72"/>
      <c r="S475" s="72"/>
      <c r="T475" s="72"/>
      <c r="U475" s="72"/>
      <c r="V475" s="72"/>
    </row>
    <row r="476" spans="1:25" ht="27.75" customHeight="1">
      <c r="A476" s="87" t="str">
        <f>IF(ISBLANK(C476)," ",471-COUNTBLANK($C$6:C476))</f>
        <v xml:space="preserve"> </v>
      </c>
      <c r="B476" s="88"/>
      <c r="C476" s="88"/>
      <c r="D476" s="89"/>
      <c r="E476" s="89"/>
      <c r="F476" s="73"/>
      <c r="G476" s="73"/>
      <c r="H476" s="73"/>
      <c r="I476" s="73"/>
      <c r="J476" s="73"/>
      <c r="K476" s="73"/>
      <c r="L476" s="73"/>
      <c r="M476" s="74"/>
      <c r="N476" s="71" t="str">
        <f t="shared" si="7"/>
        <v/>
      </c>
      <c r="O476" s="72"/>
      <c r="P476" s="72"/>
      <c r="Q476" s="72"/>
      <c r="R476" s="72"/>
      <c r="S476" s="72"/>
      <c r="T476" s="72"/>
      <c r="U476" s="72"/>
      <c r="V476" s="72"/>
    </row>
    <row r="477" spans="1:25" ht="27.75" customHeight="1">
      <c r="A477" s="87" t="str">
        <f>IF(ISBLANK(C477)," ",472-COUNTBLANK($C$6:C477))</f>
        <v xml:space="preserve"> </v>
      </c>
      <c r="B477" s="88"/>
      <c r="C477" s="88"/>
      <c r="D477" s="89"/>
      <c r="E477" s="89"/>
      <c r="F477" s="73"/>
      <c r="G477" s="73"/>
      <c r="H477" s="73"/>
      <c r="I477" s="73"/>
      <c r="J477" s="73"/>
      <c r="K477" s="73"/>
      <c r="L477" s="73"/>
      <c r="M477" s="74"/>
      <c r="N477" s="71" t="str">
        <f t="shared" si="7"/>
        <v/>
      </c>
      <c r="O477" s="72"/>
      <c r="P477" s="72"/>
      <c r="Q477" s="72"/>
      <c r="R477" s="72"/>
      <c r="S477" s="72"/>
      <c r="T477" s="72"/>
      <c r="U477" s="72"/>
      <c r="V477" s="72"/>
    </row>
    <row r="478" spans="1:25" ht="27.75" customHeight="1">
      <c r="A478" s="87" t="str">
        <f>IF(ISBLANK(C478)," ",473-COUNTBLANK($C$6:C478))</f>
        <v xml:space="preserve"> </v>
      </c>
      <c r="B478" s="88"/>
      <c r="C478" s="88"/>
      <c r="D478" s="89"/>
      <c r="E478" s="89"/>
      <c r="F478" s="73"/>
      <c r="G478" s="73"/>
      <c r="H478" s="73"/>
      <c r="I478" s="73"/>
      <c r="J478" s="73"/>
      <c r="K478" s="73"/>
      <c r="L478" s="73"/>
      <c r="M478" s="74"/>
      <c r="N478" s="71" t="str">
        <f t="shared" si="7"/>
        <v/>
      </c>
      <c r="O478" s="72"/>
      <c r="P478" s="72"/>
      <c r="Q478" s="72"/>
      <c r="R478" s="72"/>
      <c r="S478" s="72"/>
      <c r="T478" s="72"/>
      <c r="U478" s="72"/>
      <c r="V478" s="72"/>
    </row>
    <row r="479" spans="1:25" ht="27.75" customHeight="1">
      <c r="A479" s="87" t="str">
        <f>IF(ISBLANK(C479)," ",474-COUNTBLANK($C$6:C479))</f>
        <v xml:space="preserve"> </v>
      </c>
      <c r="B479" s="88"/>
      <c r="C479" s="88"/>
      <c r="D479" s="89"/>
      <c r="E479" s="89"/>
      <c r="F479" s="73"/>
      <c r="G479" s="73"/>
      <c r="H479" s="73"/>
      <c r="I479" s="73"/>
      <c r="J479" s="73"/>
      <c r="K479" s="73"/>
      <c r="L479" s="73"/>
      <c r="M479" s="74"/>
      <c r="N479" s="71" t="str">
        <f t="shared" si="7"/>
        <v/>
      </c>
      <c r="O479" s="72"/>
      <c r="P479" s="72"/>
      <c r="Q479" s="72"/>
      <c r="R479" s="72"/>
      <c r="S479" s="72"/>
      <c r="T479" s="72"/>
      <c r="U479" s="72"/>
      <c r="V479" s="72"/>
    </row>
    <row r="480" spans="1:25" ht="27.75" customHeight="1">
      <c r="A480" s="87" t="str">
        <f>IF(ISBLANK(C480)," ",475-COUNTBLANK($C$6:C480))</f>
        <v xml:space="preserve"> </v>
      </c>
      <c r="B480" s="88"/>
      <c r="C480" s="88"/>
      <c r="D480" s="89"/>
      <c r="E480" s="89"/>
      <c r="F480" s="73"/>
      <c r="G480" s="73"/>
      <c r="H480" s="73"/>
      <c r="I480" s="73"/>
      <c r="J480" s="73"/>
      <c r="K480" s="73"/>
      <c r="L480" s="73"/>
      <c r="M480" s="74"/>
      <c r="N480" s="71" t="str">
        <f t="shared" si="7"/>
        <v/>
      </c>
      <c r="O480" s="72"/>
      <c r="P480" s="72"/>
      <c r="Q480" s="72"/>
      <c r="R480" s="72"/>
      <c r="S480" s="72"/>
      <c r="T480" s="72"/>
      <c r="U480" s="72"/>
      <c r="V480" s="72"/>
    </row>
    <row r="481" spans="1:25" ht="27.75" customHeight="1">
      <c r="A481" s="87" t="str">
        <f>IF(ISBLANK(C481)," ",476-COUNTBLANK($C$6:C481))</f>
        <v xml:space="preserve"> </v>
      </c>
      <c r="B481" s="88"/>
      <c r="C481" s="88"/>
      <c r="D481" s="89"/>
      <c r="E481" s="89"/>
      <c r="F481" s="73"/>
      <c r="G481" s="73"/>
      <c r="H481" s="73"/>
      <c r="I481" s="73"/>
      <c r="J481" s="73"/>
      <c r="K481" s="73"/>
      <c r="L481" s="73"/>
      <c r="M481" s="74"/>
      <c r="N481" s="71" t="str">
        <f t="shared" si="7"/>
        <v/>
      </c>
      <c r="O481" s="72"/>
      <c r="P481" s="72"/>
      <c r="Q481" s="72"/>
      <c r="R481" s="72"/>
      <c r="S481" s="72"/>
      <c r="T481" s="72"/>
      <c r="U481" s="72"/>
      <c r="V481" s="72"/>
    </row>
    <row r="482" spans="1:25" ht="27.75" customHeight="1">
      <c r="A482" s="87" t="str">
        <f>IF(ISBLANK(C482)," ",477-COUNTBLANK($C$6:C482))</f>
        <v xml:space="preserve"> </v>
      </c>
      <c r="B482" s="88"/>
      <c r="C482" s="88"/>
      <c r="D482" s="89"/>
      <c r="E482" s="89"/>
      <c r="F482" s="73"/>
      <c r="G482" s="73"/>
      <c r="H482" s="73"/>
      <c r="I482" s="73"/>
      <c r="J482" s="73"/>
      <c r="K482" s="73"/>
      <c r="L482" s="73"/>
      <c r="M482" s="74"/>
      <c r="N482" s="71" t="str">
        <f t="shared" si="7"/>
        <v/>
      </c>
      <c r="O482" s="72"/>
      <c r="P482" s="72"/>
      <c r="Q482" s="72"/>
      <c r="R482" s="72"/>
      <c r="S482" s="72"/>
      <c r="T482" s="72"/>
      <c r="U482" s="72"/>
      <c r="V482" s="72"/>
    </row>
    <row r="483" spans="1:25" ht="27.75" customHeight="1">
      <c r="A483" s="87" t="str">
        <f>IF(ISBLANK(C483)," ",478-COUNTBLANK($C$6:C483))</f>
        <v xml:space="preserve"> </v>
      </c>
      <c r="B483" s="88"/>
      <c r="C483" s="88"/>
      <c r="D483" s="89"/>
      <c r="E483" s="89"/>
      <c r="F483" s="73"/>
      <c r="G483" s="73"/>
      <c r="H483" s="73"/>
      <c r="I483" s="73"/>
      <c r="J483" s="73"/>
      <c r="K483" s="73"/>
      <c r="L483" s="73"/>
      <c r="M483" s="74"/>
      <c r="N483" s="71" t="str">
        <f t="shared" si="7"/>
        <v/>
      </c>
      <c r="O483" s="75"/>
      <c r="P483" s="72"/>
      <c r="Q483" s="72"/>
      <c r="R483" s="72"/>
      <c r="S483" s="72"/>
      <c r="T483" s="72"/>
      <c r="U483" s="72"/>
      <c r="V483" s="76"/>
    </row>
    <row r="484" spans="1:25" ht="27.75" customHeight="1">
      <c r="A484" s="87" t="str">
        <f>IF(ISBLANK(C484)," ",479-COUNTBLANK($C$6:C484))</f>
        <v xml:space="preserve"> </v>
      </c>
      <c r="B484" s="88"/>
      <c r="C484" s="88"/>
      <c r="D484" s="89"/>
      <c r="E484" s="89"/>
      <c r="F484" s="73"/>
      <c r="G484" s="73"/>
      <c r="H484" s="73"/>
      <c r="I484" s="73"/>
      <c r="J484" s="73"/>
      <c r="K484" s="73"/>
      <c r="L484" s="73"/>
      <c r="M484" s="74"/>
      <c r="N484" s="71" t="str">
        <f t="shared" si="7"/>
        <v/>
      </c>
      <c r="O484" s="75"/>
      <c r="P484" s="72"/>
      <c r="Q484" s="72"/>
      <c r="R484" s="72"/>
      <c r="S484" s="72"/>
      <c r="T484" s="72"/>
      <c r="U484" s="72"/>
      <c r="V484" s="76"/>
    </row>
    <row r="485" spans="1:25" ht="27.75" customHeight="1">
      <c r="A485" s="87" t="str">
        <f>IF(ISBLANK(C485)," ",480-COUNTBLANK($C$6:C485))</f>
        <v xml:space="preserve"> </v>
      </c>
      <c r="B485" s="88"/>
      <c r="C485" s="88"/>
      <c r="D485" s="89"/>
      <c r="E485" s="89"/>
      <c r="F485" s="73"/>
      <c r="G485" s="73"/>
      <c r="H485" s="73"/>
      <c r="I485" s="73"/>
      <c r="J485" s="73"/>
      <c r="K485" s="73"/>
      <c r="L485" s="73"/>
      <c r="M485" s="74"/>
      <c r="N485" s="71" t="str">
        <f t="shared" si="7"/>
        <v/>
      </c>
      <c r="O485" s="75"/>
      <c r="P485" s="72"/>
      <c r="Q485" s="72"/>
      <c r="R485" s="72"/>
      <c r="S485" s="72"/>
      <c r="T485" s="72"/>
      <c r="U485" s="72"/>
      <c r="V485" s="76"/>
    </row>
    <row r="486" spans="1:25" ht="27.75" customHeight="1">
      <c r="A486" s="87" t="str">
        <f>IF(ISBLANK(C486)," ",481-COUNTBLANK($C$6:C486))</f>
        <v xml:space="preserve"> </v>
      </c>
      <c r="B486" s="88"/>
      <c r="C486" s="88"/>
      <c r="D486" s="89"/>
      <c r="E486" s="89"/>
      <c r="F486" s="73"/>
      <c r="G486" s="73"/>
      <c r="H486" s="73"/>
      <c r="I486" s="73"/>
      <c r="J486" s="73"/>
      <c r="K486" s="73"/>
      <c r="L486" s="73"/>
      <c r="M486" s="74"/>
      <c r="N486" s="71" t="str">
        <f t="shared" si="7"/>
        <v/>
      </c>
      <c r="O486" s="75"/>
      <c r="P486" s="72"/>
      <c r="Q486" s="72"/>
      <c r="R486" s="72"/>
      <c r="S486" s="72"/>
      <c r="T486" s="72"/>
      <c r="U486" s="72"/>
      <c r="V486" s="76"/>
    </row>
    <row r="487" spans="1:25" ht="27.75" customHeight="1">
      <c r="A487" s="87" t="str">
        <f>IF(ISBLANK(C487)," ",482-COUNTBLANK($C$6:C487))</f>
        <v xml:space="preserve"> </v>
      </c>
      <c r="B487" s="88"/>
      <c r="C487" s="88"/>
      <c r="D487" s="89"/>
      <c r="E487" s="89"/>
      <c r="F487" s="73"/>
      <c r="G487" s="73"/>
      <c r="H487" s="73"/>
      <c r="I487" s="73"/>
      <c r="J487" s="73"/>
      <c r="K487" s="73"/>
      <c r="L487" s="73"/>
      <c r="M487" s="74"/>
      <c r="N487" s="71" t="str">
        <f t="shared" si="7"/>
        <v/>
      </c>
      <c r="O487" s="72"/>
      <c r="P487" s="72"/>
      <c r="Q487" s="72"/>
      <c r="R487" s="72"/>
      <c r="S487" s="72"/>
      <c r="T487" s="72"/>
      <c r="U487" s="72"/>
      <c r="V487" s="79"/>
      <c r="W487" s="72"/>
      <c r="X487" s="72"/>
      <c r="Y487" s="72"/>
    </row>
    <row r="488" spans="1:25" ht="27.75" customHeight="1">
      <c r="A488" s="80" t="s">
        <v>52</v>
      </c>
      <c r="B488" s="81"/>
      <c r="C488" s="96"/>
      <c r="D488" s="82"/>
      <c r="E488" s="82">
        <f>SUM(E468:E487)</f>
        <v>0</v>
      </c>
      <c r="F488" s="83"/>
      <c r="G488" s="83"/>
      <c r="H488" s="83"/>
      <c r="I488" s="83"/>
      <c r="J488" s="83"/>
      <c r="K488" s="83"/>
      <c r="L488" s="83"/>
      <c r="M488" s="84"/>
      <c r="N488" s="71" t="str">
        <f t="shared" si="7"/>
        <v/>
      </c>
      <c r="O488" s="75"/>
      <c r="P488" s="72"/>
      <c r="Q488" s="72"/>
      <c r="R488" s="72"/>
      <c r="S488" s="72"/>
      <c r="T488" s="72"/>
      <c r="U488" s="72"/>
      <c r="V488" s="79"/>
      <c r="W488" s="72"/>
      <c r="X488" s="72"/>
      <c r="Y488" s="72"/>
    </row>
    <row r="489" spans="1:25" ht="27.75" customHeight="1">
      <c r="A489" s="93" t="str">
        <f>IF(ISBLANK(C489)," ",484-COUNTBLANK($C$6:C489))</f>
        <v xml:space="preserve"> </v>
      </c>
      <c r="B489" s="94"/>
      <c r="C489" s="94"/>
      <c r="D489" s="95"/>
      <c r="E489" s="95"/>
      <c r="F489" s="85"/>
      <c r="G489" s="85"/>
      <c r="H489" s="85"/>
      <c r="I489" s="85"/>
      <c r="J489" s="85"/>
      <c r="K489" s="85"/>
      <c r="L489" s="85"/>
      <c r="M489" s="86"/>
      <c r="N489" s="71" t="str">
        <f t="shared" si="7"/>
        <v/>
      </c>
      <c r="O489" s="72"/>
      <c r="P489" s="72"/>
      <c r="Q489" s="72"/>
      <c r="R489" s="72"/>
      <c r="S489" s="72"/>
      <c r="T489" s="72"/>
      <c r="U489" s="72"/>
      <c r="V489" s="72"/>
    </row>
    <row r="490" spans="1:25" ht="27.75" customHeight="1">
      <c r="A490" s="87" t="str">
        <f>IF(ISBLANK(C490)," ",485-COUNTBLANK($C$6:C490))</f>
        <v xml:space="preserve"> </v>
      </c>
      <c r="B490" s="88"/>
      <c r="C490" s="88"/>
      <c r="D490" s="89"/>
      <c r="E490" s="89"/>
      <c r="F490" s="73"/>
      <c r="G490" s="73"/>
      <c r="H490" s="73"/>
      <c r="I490" s="73"/>
      <c r="J490" s="73"/>
      <c r="K490" s="73"/>
      <c r="L490" s="73"/>
      <c r="M490" s="74"/>
      <c r="N490" s="71" t="str">
        <f t="shared" si="7"/>
        <v/>
      </c>
      <c r="O490" s="72"/>
      <c r="P490" s="72"/>
      <c r="Q490" s="72"/>
      <c r="R490" s="72"/>
      <c r="S490" s="72"/>
      <c r="T490" s="72"/>
      <c r="U490" s="72"/>
      <c r="V490" s="72"/>
    </row>
    <row r="491" spans="1:25" ht="27.75" customHeight="1">
      <c r="A491" s="87" t="str">
        <f>IF(ISBLANK(C491)," ",486-COUNTBLANK($C$6:C491))</f>
        <v xml:space="preserve"> </v>
      </c>
      <c r="B491" s="88"/>
      <c r="C491" s="88"/>
      <c r="D491" s="89"/>
      <c r="E491" s="89"/>
      <c r="F491" s="73"/>
      <c r="G491" s="73"/>
      <c r="H491" s="73"/>
      <c r="I491" s="73"/>
      <c r="J491" s="73"/>
      <c r="K491" s="73"/>
      <c r="L491" s="73"/>
      <c r="M491" s="74"/>
      <c r="N491" s="71" t="str">
        <f t="shared" si="7"/>
        <v/>
      </c>
      <c r="O491" s="72"/>
      <c r="P491" s="72"/>
      <c r="Q491" s="72"/>
      <c r="R491" s="72"/>
      <c r="S491" s="72"/>
      <c r="T491" s="72"/>
      <c r="U491" s="72"/>
      <c r="V491" s="72"/>
    </row>
    <row r="492" spans="1:25" ht="27.75" customHeight="1">
      <c r="A492" s="87" t="str">
        <f>IF(ISBLANK(C492)," ",487-COUNTBLANK($C$6:C492))</f>
        <v xml:space="preserve"> </v>
      </c>
      <c r="B492" s="88"/>
      <c r="C492" s="88"/>
      <c r="D492" s="89"/>
      <c r="E492" s="89"/>
      <c r="F492" s="73"/>
      <c r="G492" s="73"/>
      <c r="H492" s="73"/>
      <c r="I492" s="73"/>
      <c r="J492" s="73"/>
      <c r="K492" s="73"/>
      <c r="L492" s="73"/>
      <c r="M492" s="74"/>
      <c r="N492" s="71" t="str">
        <f t="shared" si="7"/>
        <v/>
      </c>
      <c r="O492" s="72"/>
      <c r="P492" s="72"/>
      <c r="Q492" s="72"/>
      <c r="R492" s="72"/>
      <c r="S492" s="72"/>
      <c r="T492" s="72"/>
      <c r="U492" s="72"/>
      <c r="V492" s="72"/>
    </row>
    <row r="493" spans="1:25" ht="27.75" customHeight="1">
      <c r="A493" s="87" t="str">
        <f>IF(ISBLANK(C493)," ",488-COUNTBLANK($C$6:C493))</f>
        <v xml:space="preserve"> </v>
      </c>
      <c r="B493" s="88"/>
      <c r="C493" s="88"/>
      <c r="D493" s="89"/>
      <c r="E493" s="89"/>
      <c r="F493" s="73"/>
      <c r="G493" s="73"/>
      <c r="H493" s="73"/>
      <c r="I493" s="73"/>
      <c r="J493" s="73"/>
      <c r="K493" s="73"/>
      <c r="L493" s="73"/>
      <c r="M493" s="74"/>
      <c r="N493" s="71" t="str">
        <f t="shared" si="7"/>
        <v/>
      </c>
      <c r="O493" s="72"/>
      <c r="P493" s="72"/>
      <c r="Q493" s="72"/>
      <c r="R493" s="72"/>
      <c r="S493" s="72"/>
      <c r="T493" s="72"/>
      <c r="U493" s="72"/>
      <c r="V493" s="72"/>
    </row>
    <row r="494" spans="1:25" ht="27.75" customHeight="1">
      <c r="A494" s="87" t="str">
        <f>IF(ISBLANK(C494)," ",489-COUNTBLANK($C$6:C494))</f>
        <v xml:space="preserve"> </v>
      </c>
      <c r="B494" s="88"/>
      <c r="C494" s="88"/>
      <c r="D494" s="89"/>
      <c r="E494" s="89"/>
      <c r="F494" s="73"/>
      <c r="G494" s="73"/>
      <c r="H494" s="73"/>
      <c r="I494" s="73"/>
      <c r="J494" s="73"/>
      <c r="K494" s="73"/>
      <c r="L494" s="73"/>
      <c r="M494" s="74"/>
      <c r="N494" s="71" t="str">
        <f t="shared" si="7"/>
        <v/>
      </c>
      <c r="O494" s="72"/>
      <c r="P494" s="72"/>
      <c r="Q494" s="72"/>
      <c r="R494" s="72"/>
      <c r="S494" s="72"/>
      <c r="T494" s="72"/>
      <c r="U494" s="72"/>
      <c r="V494" s="72"/>
    </row>
    <row r="495" spans="1:25" ht="27.75" customHeight="1">
      <c r="A495" s="87" t="str">
        <f>IF(ISBLANK(C495)," ",490-COUNTBLANK($C$6:C495))</f>
        <v xml:space="preserve"> </v>
      </c>
      <c r="B495" s="88"/>
      <c r="C495" s="88"/>
      <c r="D495" s="89"/>
      <c r="E495" s="89"/>
      <c r="F495" s="73"/>
      <c r="G495" s="73"/>
      <c r="H495" s="73"/>
      <c r="I495" s="73"/>
      <c r="J495" s="73"/>
      <c r="K495" s="73"/>
      <c r="L495" s="73"/>
      <c r="M495" s="74"/>
      <c r="N495" s="71" t="str">
        <f t="shared" si="7"/>
        <v/>
      </c>
      <c r="O495" s="72"/>
      <c r="P495" s="72"/>
      <c r="Q495" s="72"/>
      <c r="R495" s="72"/>
      <c r="S495" s="72"/>
      <c r="T495" s="72"/>
      <c r="U495" s="72"/>
      <c r="V495" s="72"/>
    </row>
    <row r="496" spans="1:25" ht="27.75" customHeight="1">
      <c r="A496" s="87" t="str">
        <f>IF(ISBLANK(C496)," ",491-COUNTBLANK($C$6:C496))</f>
        <v xml:space="preserve"> </v>
      </c>
      <c r="B496" s="88"/>
      <c r="C496" s="88"/>
      <c r="D496" s="89"/>
      <c r="E496" s="89"/>
      <c r="F496" s="73"/>
      <c r="G496" s="73"/>
      <c r="H496" s="73"/>
      <c r="I496" s="73"/>
      <c r="J496" s="73"/>
      <c r="K496" s="73"/>
      <c r="L496" s="73"/>
      <c r="M496" s="74"/>
      <c r="N496" s="71" t="str">
        <f t="shared" si="7"/>
        <v/>
      </c>
      <c r="O496" s="72"/>
      <c r="P496" s="72"/>
      <c r="Q496" s="72"/>
      <c r="R496" s="72"/>
      <c r="S496" s="72"/>
      <c r="T496" s="72"/>
      <c r="U496" s="72"/>
      <c r="V496" s="72"/>
    </row>
    <row r="497" spans="1:25" ht="27.75" customHeight="1">
      <c r="A497" s="87" t="str">
        <f>IF(ISBLANK(C497)," ",492-COUNTBLANK($C$6:C497))</f>
        <v xml:space="preserve"> </v>
      </c>
      <c r="B497" s="88"/>
      <c r="C497" s="88"/>
      <c r="D497" s="89"/>
      <c r="E497" s="89"/>
      <c r="F497" s="73"/>
      <c r="G497" s="73"/>
      <c r="H497" s="73"/>
      <c r="I497" s="73"/>
      <c r="J497" s="73"/>
      <c r="K497" s="73"/>
      <c r="L497" s="73"/>
      <c r="M497" s="74"/>
      <c r="N497" s="71" t="str">
        <f t="shared" si="7"/>
        <v/>
      </c>
      <c r="O497" s="72"/>
      <c r="P497" s="72"/>
      <c r="Q497" s="72"/>
      <c r="R497" s="72"/>
      <c r="S497" s="72"/>
      <c r="T497" s="72"/>
      <c r="U497" s="72"/>
      <c r="V497" s="72"/>
    </row>
    <row r="498" spans="1:25" ht="27.75" customHeight="1">
      <c r="A498" s="87" t="str">
        <f>IF(ISBLANK(C498)," ",493-COUNTBLANK($C$6:C498))</f>
        <v xml:space="preserve"> </v>
      </c>
      <c r="B498" s="88"/>
      <c r="C498" s="88"/>
      <c r="D498" s="89"/>
      <c r="E498" s="89"/>
      <c r="F498" s="73"/>
      <c r="G498" s="73"/>
      <c r="H498" s="73"/>
      <c r="I498" s="73"/>
      <c r="J498" s="73"/>
      <c r="K498" s="73"/>
      <c r="L498" s="73"/>
      <c r="M498" s="74"/>
      <c r="N498" s="71" t="str">
        <f t="shared" si="7"/>
        <v/>
      </c>
      <c r="O498" s="72"/>
      <c r="P498" s="72"/>
      <c r="Q498" s="72"/>
      <c r="R498" s="72"/>
      <c r="S498" s="72"/>
      <c r="T498" s="72"/>
      <c r="U498" s="72"/>
      <c r="V498" s="72"/>
    </row>
    <row r="499" spans="1:25" ht="27.75" customHeight="1">
      <c r="A499" s="87" t="str">
        <f>IF(ISBLANK(C499)," ",494-COUNTBLANK($C$6:C499))</f>
        <v xml:space="preserve"> </v>
      </c>
      <c r="B499" s="88"/>
      <c r="C499" s="88"/>
      <c r="D499" s="89"/>
      <c r="E499" s="89"/>
      <c r="F499" s="73"/>
      <c r="G499" s="73"/>
      <c r="H499" s="73"/>
      <c r="I499" s="73"/>
      <c r="J499" s="73"/>
      <c r="K499" s="73"/>
      <c r="L499" s="73"/>
      <c r="M499" s="74"/>
      <c r="N499" s="71" t="str">
        <f t="shared" si="7"/>
        <v/>
      </c>
      <c r="O499" s="72"/>
      <c r="P499" s="72"/>
      <c r="Q499" s="72"/>
      <c r="R499" s="72"/>
      <c r="S499" s="72"/>
      <c r="T499" s="72"/>
      <c r="U499" s="72"/>
      <c r="V499" s="72"/>
    </row>
    <row r="500" spans="1:25" ht="27.75" customHeight="1">
      <c r="A500" s="87" t="str">
        <f>IF(ISBLANK(C500)," ",495-COUNTBLANK($C$6:C500))</f>
        <v xml:space="preserve"> </v>
      </c>
      <c r="B500" s="88"/>
      <c r="C500" s="88"/>
      <c r="D500" s="89"/>
      <c r="E500" s="89"/>
      <c r="F500" s="73"/>
      <c r="G500" s="73"/>
      <c r="H500" s="73"/>
      <c r="I500" s="73"/>
      <c r="J500" s="73"/>
      <c r="K500" s="73"/>
      <c r="L500" s="73"/>
      <c r="M500" s="74"/>
      <c r="N500" s="71" t="str">
        <f t="shared" si="7"/>
        <v/>
      </c>
      <c r="O500" s="72"/>
      <c r="P500" s="72"/>
      <c r="Q500" s="72"/>
      <c r="R500" s="72"/>
      <c r="S500" s="72"/>
      <c r="T500" s="72"/>
      <c r="U500" s="72"/>
      <c r="V500" s="72"/>
    </row>
    <row r="501" spans="1:25" ht="27.75" customHeight="1">
      <c r="A501" s="87" t="str">
        <f>IF(ISBLANK(C501)," ",496-COUNTBLANK($C$6:C501))</f>
        <v xml:space="preserve"> </v>
      </c>
      <c r="B501" s="88"/>
      <c r="C501" s="88"/>
      <c r="D501" s="89"/>
      <c r="E501" s="89"/>
      <c r="F501" s="73"/>
      <c r="G501" s="73"/>
      <c r="H501" s="73"/>
      <c r="I501" s="73"/>
      <c r="J501" s="73"/>
      <c r="K501" s="73"/>
      <c r="L501" s="73"/>
      <c r="M501" s="74"/>
      <c r="N501" s="71" t="str">
        <f t="shared" si="7"/>
        <v/>
      </c>
      <c r="O501" s="72"/>
      <c r="P501" s="72"/>
      <c r="Q501" s="72"/>
      <c r="R501" s="72"/>
      <c r="S501" s="72"/>
      <c r="T501" s="72"/>
      <c r="U501" s="72"/>
      <c r="V501" s="72"/>
    </row>
    <row r="502" spans="1:25" ht="27.75" customHeight="1">
      <c r="A502" s="87" t="str">
        <f>IF(ISBLANK(C502)," ",497-COUNTBLANK($C$6:C502))</f>
        <v xml:space="preserve"> </v>
      </c>
      <c r="B502" s="88"/>
      <c r="C502" s="88"/>
      <c r="D502" s="89"/>
      <c r="E502" s="89"/>
      <c r="F502" s="73"/>
      <c r="G502" s="73"/>
      <c r="H502" s="73"/>
      <c r="I502" s="73"/>
      <c r="J502" s="73"/>
      <c r="K502" s="73"/>
      <c r="L502" s="73"/>
      <c r="M502" s="74"/>
      <c r="N502" s="71" t="str">
        <f t="shared" si="7"/>
        <v/>
      </c>
      <c r="O502" s="72"/>
      <c r="P502" s="72"/>
      <c r="Q502" s="72"/>
      <c r="R502" s="72"/>
      <c r="S502" s="72"/>
      <c r="T502" s="72"/>
      <c r="U502" s="72"/>
      <c r="V502" s="72"/>
    </row>
    <row r="503" spans="1:25" ht="27.75" customHeight="1">
      <c r="A503" s="87" t="str">
        <f>IF(ISBLANK(C503)," ",498-COUNTBLANK($C$6:C503))</f>
        <v xml:space="preserve"> </v>
      </c>
      <c r="B503" s="88"/>
      <c r="C503" s="88"/>
      <c r="D503" s="89"/>
      <c r="E503" s="89"/>
      <c r="F503" s="73"/>
      <c r="G503" s="73"/>
      <c r="H503" s="73"/>
      <c r="I503" s="73"/>
      <c r="J503" s="73"/>
      <c r="K503" s="73"/>
      <c r="L503" s="73"/>
      <c r="M503" s="74"/>
      <c r="N503" s="71" t="str">
        <f t="shared" si="7"/>
        <v/>
      </c>
      <c r="O503" s="72"/>
      <c r="P503" s="72"/>
      <c r="Q503" s="72"/>
      <c r="R503" s="72"/>
      <c r="S503" s="72"/>
      <c r="T503" s="72"/>
      <c r="U503" s="72"/>
      <c r="V503" s="72"/>
    </row>
    <row r="504" spans="1:25" ht="27.75" customHeight="1">
      <c r="A504" s="87" t="str">
        <f>IF(ISBLANK(C504)," ",499-COUNTBLANK($C$6:C504))</f>
        <v xml:space="preserve"> </v>
      </c>
      <c r="B504" s="88"/>
      <c r="C504" s="88"/>
      <c r="D504" s="89"/>
      <c r="E504" s="89"/>
      <c r="F504" s="73"/>
      <c r="G504" s="73"/>
      <c r="H504" s="73"/>
      <c r="I504" s="73"/>
      <c r="J504" s="73"/>
      <c r="K504" s="73"/>
      <c r="L504" s="73"/>
      <c r="M504" s="74"/>
      <c r="N504" s="71" t="str">
        <f t="shared" si="7"/>
        <v/>
      </c>
      <c r="O504" s="75"/>
      <c r="P504" s="72"/>
      <c r="Q504" s="72"/>
      <c r="R504" s="72"/>
      <c r="S504" s="72"/>
      <c r="T504" s="72"/>
      <c r="U504" s="72"/>
      <c r="V504" s="76"/>
    </row>
    <row r="505" spans="1:25" ht="27.75" customHeight="1">
      <c r="A505" s="87" t="str">
        <f>IF(ISBLANK(C505)," ",500-COUNTBLANK($C$6:C505))</f>
        <v xml:space="preserve"> </v>
      </c>
      <c r="B505" s="88"/>
      <c r="C505" s="88"/>
      <c r="D505" s="89"/>
      <c r="E505" s="89"/>
      <c r="F505" s="73"/>
      <c r="G505" s="73"/>
      <c r="H505" s="73"/>
      <c r="I505" s="73"/>
      <c r="J505" s="73"/>
      <c r="K505" s="73"/>
      <c r="L505" s="73"/>
      <c r="M505" s="74"/>
      <c r="N505" s="71" t="str">
        <f t="shared" si="7"/>
        <v/>
      </c>
      <c r="O505" s="75"/>
      <c r="P505" s="72"/>
      <c r="Q505" s="72"/>
      <c r="R505" s="72"/>
      <c r="S505" s="72"/>
      <c r="T505" s="72"/>
      <c r="U505" s="72"/>
      <c r="V505" s="76"/>
    </row>
    <row r="506" spans="1:25" ht="27.75" customHeight="1">
      <c r="A506" s="87" t="str">
        <f>IF(ISBLANK(C506)," ",501-COUNTBLANK($C$6:C506))</f>
        <v xml:space="preserve"> </v>
      </c>
      <c r="B506" s="88"/>
      <c r="C506" s="88"/>
      <c r="D506" s="89"/>
      <c r="E506" s="89"/>
      <c r="F506" s="73"/>
      <c r="G506" s="73"/>
      <c r="H506" s="73"/>
      <c r="I506" s="73"/>
      <c r="J506" s="73"/>
      <c r="K506" s="73"/>
      <c r="L506" s="73"/>
      <c r="M506" s="74"/>
      <c r="N506" s="71" t="str">
        <f t="shared" si="7"/>
        <v/>
      </c>
      <c r="O506" s="75"/>
      <c r="P506" s="72"/>
      <c r="Q506" s="72"/>
      <c r="R506" s="72"/>
      <c r="S506" s="72"/>
      <c r="T506" s="72"/>
      <c r="U506" s="72"/>
      <c r="V506" s="76"/>
    </row>
    <row r="507" spans="1:25" ht="27.75" customHeight="1">
      <c r="A507" s="87" t="str">
        <f>IF(ISBLANK(C507)," ",502-COUNTBLANK($C$6:C507))</f>
        <v xml:space="preserve"> </v>
      </c>
      <c r="B507" s="88"/>
      <c r="C507" s="88"/>
      <c r="D507" s="89"/>
      <c r="E507" s="89"/>
      <c r="F507" s="73"/>
      <c r="G507" s="73"/>
      <c r="H507" s="73"/>
      <c r="I507" s="73"/>
      <c r="J507" s="73"/>
      <c r="K507" s="73"/>
      <c r="L507" s="73"/>
      <c r="M507" s="74"/>
      <c r="N507" s="71" t="str">
        <f t="shared" si="7"/>
        <v/>
      </c>
      <c r="O507" s="75"/>
      <c r="P507" s="72"/>
      <c r="Q507" s="72"/>
      <c r="R507" s="72"/>
      <c r="S507" s="72"/>
      <c r="T507" s="72"/>
      <c r="U507" s="72"/>
      <c r="V507" s="76"/>
    </row>
    <row r="508" spans="1:25" ht="27.75" customHeight="1">
      <c r="A508" s="87" t="str">
        <f>IF(ISBLANK(C508)," ",503-COUNTBLANK($C$6:C508))</f>
        <v xml:space="preserve"> </v>
      </c>
      <c r="B508" s="88"/>
      <c r="C508" s="88"/>
      <c r="D508" s="89"/>
      <c r="E508" s="89"/>
      <c r="F508" s="73"/>
      <c r="G508" s="73"/>
      <c r="H508" s="73"/>
      <c r="I508" s="73"/>
      <c r="J508" s="73"/>
      <c r="K508" s="73"/>
      <c r="L508" s="73"/>
      <c r="M508" s="74"/>
      <c r="N508" s="71" t="str">
        <f t="shared" si="7"/>
        <v/>
      </c>
      <c r="O508" s="72"/>
      <c r="P508" s="72"/>
      <c r="Q508" s="72"/>
      <c r="R508" s="72"/>
      <c r="S508" s="72"/>
      <c r="T508" s="72"/>
      <c r="U508" s="72"/>
      <c r="V508" s="79"/>
      <c r="W508" s="72"/>
      <c r="X508" s="72"/>
      <c r="Y508" s="72"/>
    </row>
    <row r="509" spans="1:25" ht="27.75" customHeight="1">
      <c r="A509" s="80" t="s">
        <v>52</v>
      </c>
      <c r="B509" s="81"/>
      <c r="C509" s="96"/>
      <c r="D509" s="82"/>
      <c r="E509" s="82">
        <f>SUM(E489:E508)</f>
        <v>0</v>
      </c>
      <c r="F509" s="83"/>
      <c r="G509" s="83"/>
      <c r="H509" s="83"/>
      <c r="I509" s="83"/>
      <c r="J509" s="83"/>
      <c r="K509" s="83"/>
      <c r="L509" s="83"/>
      <c r="M509" s="84"/>
      <c r="N509" s="71" t="str">
        <f t="shared" si="7"/>
        <v/>
      </c>
      <c r="O509" s="75"/>
      <c r="P509" s="72"/>
      <c r="Q509" s="72"/>
      <c r="R509" s="72"/>
      <c r="S509" s="72"/>
      <c r="T509" s="72"/>
      <c r="U509" s="72"/>
      <c r="V509" s="79"/>
      <c r="W509" s="72"/>
      <c r="X509" s="72"/>
      <c r="Y509" s="72"/>
    </row>
    <row r="510" spans="1:25" ht="27.75" customHeight="1">
      <c r="A510" s="93" t="str">
        <f>IF(ISBLANK(C510)," ",505-COUNTBLANK($C$6:C510))</f>
        <v xml:space="preserve"> </v>
      </c>
      <c r="B510" s="94"/>
      <c r="C510" s="94"/>
      <c r="D510" s="95"/>
      <c r="E510" s="95"/>
      <c r="F510" s="85"/>
      <c r="G510" s="85"/>
      <c r="H510" s="85"/>
      <c r="I510" s="85"/>
      <c r="J510" s="85"/>
      <c r="K510" s="85"/>
      <c r="L510" s="85"/>
      <c r="M510" s="86"/>
      <c r="N510" s="71" t="str">
        <f t="shared" si="7"/>
        <v/>
      </c>
      <c r="O510" s="72"/>
      <c r="P510" s="72"/>
      <c r="Q510" s="72"/>
      <c r="R510" s="72"/>
      <c r="S510" s="72"/>
      <c r="T510" s="72"/>
      <c r="U510" s="72"/>
      <c r="V510" s="72"/>
    </row>
    <row r="511" spans="1:25" ht="27.75" customHeight="1">
      <c r="A511" s="87" t="str">
        <f>IF(ISBLANK(C511)," ",506-COUNTBLANK($C$6:C511))</f>
        <v xml:space="preserve"> </v>
      </c>
      <c r="B511" s="88"/>
      <c r="C511" s="88"/>
      <c r="D511" s="89"/>
      <c r="E511" s="89"/>
      <c r="F511" s="73"/>
      <c r="G511" s="73"/>
      <c r="H511" s="73"/>
      <c r="I511" s="73"/>
      <c r="J511" s="73"/>
      <c r="K511" s="73"/>
      <c r="L511" s="73"/>
      <c r="M511" s="74"/>
      <c r="N511" s="71" t="str">
        <f t="shared" si="7"/>
        <v/>
      </c>
      <c r="O511" s="72"/>
      <c r="P511" s="72"/>
      <c r="Q511" s="72"/>
      <c r="R511" s="72"/>
      <c r="S511" s="72"/>
      <c r="T511" s="72"/>
      <c r="U511" s="72"/>
      <c r="V511" s="72"/>
    </row>
    <row r="512" spans="1:25" ht="27.75" customHeight="1">
      <c r="A512" s="87" t="str">
        <f>IF(ISBLANK(C512)," ",507-COUNTBLANK($C$6:C512))</f>
        <v xml:space="preserve"> </v>
      </c>
      <c r="B512" s="88"/>
      <c r="C512" s="88"/>
      <c r="D512" s="89"/>
      <c r="E512" s="89"/>
      <c r="F512" s="73"/>
      <c r="G512" s="73"/>
      <c r="H512" s="73"/>
      <c r="I512" s="73"/>
      <c r="J512" s="73"/>
      <c r="K512" s="73"/>
      <c r="L512" s="73"/>
      <c r="M512" s="74"/>
      <c r="N512" s="71" t="str">
        <f t="shared" si="7"/>
        <v/>
      </c>
      <c r="O512" s="72"/>
      <c r="P512" s="72"/>
      <c r="Q512" s="72"/>
      <c r="R512" s="72"/>
      <c r="S512" s="72"/>
      <c r="T512" s="72"/>
      <c r="U512" s="72"/>
      <c r="V512" s="72"/>
    </row>
    <row r="513" spans="1:22" ht="27.75" customHeight="1">
      <c r="A513" s="87" t="str">
        <f>IF(ISBLANK(C513)," ",508-COUNTBLANK($C$6:C513))</f>
        <v xml:space="preserve"> </v>
      </c>
      <c r="B513" s="88"/>
      <c r="C513" s="88"/>
      <c r="D513" s="89"/>
      <c r="E513" s="89"/>
      <c r="F513" s="73"/>
      <c r="G513" s="73"/>
      <c r="H513" s="73"/>
      <c r="I513" s="73"/>
      <c r="J513" s="73"/>
      <c r="K513" s="73"/>
      <c r="L513" s="73"/>
      <c r="M513" s="74"/>
      <c r="N513" s="71" t="str">
        <f t="shared" si="7"/>
        <v/>
      </c>
      <c r="O513" s="72"/>
      <c r="P513" s="72"/>
      <c r="Q513" s="72"/>
      <c r="R513" s="72"/>
      <c r="S513" s="72"/>
      <c r="T513" s="72"/>
      <c r="U513" s="72"/>
      <c r="V513" s="72"/>
    </row>
    <row r="514" spans="1:22" ht="27.75" customHeight="1">
      <c r="A514" s="87" t="str">
        <f>IF(ISBLANK(C514)," ",509-COUNTBLANK($C$6:C514))</f>
        <v xml:space="preserve"> </v>
      </c>
      <c r="B514" s="88"/>
      <c r="C514" s="88"/>
      <c r="D514" s="89"/>
      <c r="E514" s="89"/>
      <c r="F514" s="73"/>
      <c r="G514" s="73"/>
      <c r="H514" s="73"/>
      <c r="I514" s="73"/>
      <c r="J514" s="73"/>
      <c r="K514" s="73"/>
      <c r="L514" s="73"/>
      <c r="M514" s="74"/>
      <c r="N514" s="71" t="str">
        <f t="shared" si="7"/>
        <v/>
      </c>
      <c r="O514" s="72"/>
      <c r="P514" s="72"/>
      <c r="Q514" s="72"/>
      <c r="R514" s="72"/>
      <c r="S514" s="72"/>
      <c r="T514" s="72"/>
      <c r="U514" s="72"/>
      <c r="V514" s="72"/>
    </row>
    <row r="515" spans="1:22" ht="27.75" customHeight="1">
      <c r="A515" s="87" t="str">
        <f>IF(ISBLANK(C515)," ",510-COUNTBLANK($C$6:C515))</f>
        <v xml:space="preserve"> </v>
      </c>
      <c r="B515" s="88"/>
      <c r="C515" s="88"/>
      <c r="D515" s="89"/>
      <c r="E515" s="89"/>
      <c r="F515" s="73"/>
      <c r="G515" s="73"/>
      <c r="H515" s="73"/>
      <c r="I515" s="73"/>
      <c r="J515" s="73"/>
      <c r="K515" s="73"/>
      <c r="L515" s="73"/>
      <c r="M515" s="74"/>
      <c r="N515" s="71" t="str">
        <f t="shared" si="7"/>
        <v/>
      </c>
      <c r="O515" s="72"/>
      <c r="P515" s="72"/>
      <c r="Q515" s="72"/>
      <c r="R515" s="72"/>
      <c r="S515" s="72"/>
      <c r="T515" s="72"/>
      <c r="U515" s="72"/>
      <c r="V515" s="72"/>
    </row>
    <row r="516" spans="1:22" ht="27.75" customHeight="1">
      <c r="A516" s="87" t="str">
        <f>IF(ISBLANK(C516)," ",511-COUNTBLANK($C$6:C516))</f>
        <v xml:space="preserve"> </v>
      </c>
      <c r="B516" s="88"/>
      <c r="C516" s="88"/>
      <c r="D516" s="89"/>
      <c r="E516" s="89"/>
      <c r="F516" s="73"/>
      <c r="G516" s="73"/>
      <c r="H516" s="73"/>
      <c r="I516" s="73"/>
      <c r="J516" s="73"/>
      <c r="K516" s="73"/>
      <c r="L516" s="73"/>
      <c r="M516" s="74"/>
      <c r="N516" s="71" t="str">
        <f t="shared" si="7"/>
        <v/>
      </c>
      <c r="O516" s="72"/>
      <c r="P516" s="72"/>
      <c r="Q516" s="72"/>
      <c r="R516" s="72"/>
      <c r="S516" s="72"/>
      <c r="T516" s="72"/>
      <c r="U516" s="72"/>
      <c r="V516" s="72"/>
    </row>
    <row r="517" spans="1:22" ht="27.75" customHeight="1">
      <c r="A517" s="87" t="str">
        <f>IF(ISBLANK(C517)," ",512-COUNTBLANK($C$6:C517))</f>
        <v xml:space="preserve"> </v>
      </c>
      <c r="B517" s="88"/>
      <c r="C517" s="88"/>
      <c r="D517" s="89"/>
      <c r="E517" s="89"/>
      <c r="F517" s="73"/>
      <c r="G517" s="73"/>
      <c r="H517" s="73"/>
      <c r="I517" s="73"/>
      <c r="J517" s="73"/>
      <c r="K517" s="73"/>
      <c r="L517" s="73"/>
      <c r="M517" s="74"/>
      <c r="N517" s="71" t="str">
        <f t="shared" si="7"/>
        <v/>
      </c>
      <c r="O517" s="72"/>
      <c r="P517" s="72"/>
      <c r="Q517" s="72"/>
      <c r="R517" s="72"/>
      <c r="S517" s="72"/>
      <c r="T517" s="72"/>
      <c r="U517" s="72"/>
      <c r="V517" s="72"/>
    </row>
    <row r="518" spans="1:22" ht="27.75" customHeight="1">
      <c r="A518" s="87" t="str">
        <f>IF(ISBLANK(C518)," ",513-COUNTBLANK($C$6:C518))</f>
        <v xml:space="preserve"> </v>
      </c>
      <c r="B518" s="88"/>
      <c r="C518" s="88"/>
      <c r="D518" s="89"/>
      <c r="E518" s="89"/>
      <c r="F518" s="73"/>
      <c r="G518" s="73"/>
      <c r="H518" s="73"/>
      <c r="I518" s="73"/>
      <c r="J518" s="73"/>
      <c r="K518" s="73"/>
      <c r="L518" s="73"/>
      <c r="M518" s="74"/>
      <c r="N518" s="71" t="str">
        <f t="shared" ref="N518:N530" si="8">CONCATENATE(C518,H518)</f>
        <v/>
      </c>
      <c r="O518" s="72"/>
      <c r="P518" s="72"/>
      <c r="Q518" s="72"/>
      <c r="R518" s="72"/>
      <c r="S518" s="72"/>
      <c r="T518" s="72"/>
      <c r="U518" s="72"/>
      <c r="V518" s="72"/>
    </row>
    <row r="519" spans="1:22" ht="27.75" customHeight="1">
      <c r="A519" s="87" t="str">
        <f>IF(ISBLANK(C519)," ",514-COUNTBLANK($C$6:C519))</f>
        <v xml:space="preserve"> </v>
      </c>
      <c r="B519" s="88"/>
      <c r="C519" s="88"/>
      <c r="D519" s="89"/>
      <c r="E519" s="89"/>
      <c r="F519" s="73"/>
      <c r="G519" s="73"/>
      <c r="H519" s="73"/>
      <c r="I519" s="73"/>
      <c r="J519" s="73"/>
      <c r="K519" s="73"/>
      <c r="L519" s="73"/>
      <c r="M519" s="74"/>
      <c r="N519" s="71" t="str">
        <f t="shared" si="8"/>
        <v/>
      </c>
      <c r="O519" s="72"/>
      <c r="P519" s="72"/>
      <c r="Q519" s="72"/>
      <c r="R519" s="72"/>
      <c r="S519" s="72"/>
      <c r="T519" s="72"/>
      <c r="U519" s="72"/>
      <c r="V519" s="72"/>
    </row>
    <row r="520" spans="1:22" ht="27.75" customHeight="1">
      <c r="A520" s="87" t="str">
        <f>IF(ISBLANK(C520)," ",515-COUNTBLANK($C$6:C520))</f>
        <v xml:space="preserve"> </v>
      </c>
      <c r="B520" s="88"/>
      <c r="C520" s="88"/>
      <c r="D520" s="89"/>
      <c r="E520" s="89"/>
      <c r="F520" s="73"/>
      <c r="G520" s="73"/>
      <c r="H520" s="73"/>
      <c r="I520" s="73"/>
      <c r="J520" s="73"/>
      <c r="K520" s="73"/>
      <c r="L520" s="73"/>
      <c r="M520" s="74"/>
      <c r="N520" s="71" t="str">
        <f t="shared" si="8"/>
        <v/>
      </c>
      <c r="O520" s="72"/>
      <c r="P520" s="72"/>
      <c r="Q520" s="72"/>
      <c r="R520" s="72"/>
      <c r="S520" s="72"/>
      <c r="T520" s="72"/>
      <c r="U520" s="72"/>
      <c r="V520" s="72"/>
    </row>
    <row r="521" spans="1:22" ht="27.75" customHeight="1">
      <c r="A521" s="87" t="str">
        <f>IF(ISBLANK(C521)," ",516-COUNTBLANK($C$6:C521))</f>
        <v xml:space="preserve"> </v>
      </c>
      <c r="B521" s="88"/>
      <c r="C521" s="88"/>
      <c r="D521" s="89"/>
      <c r="E521" s="89"/>
      <c r="F521" s="73"/>
      <c r="G521" s="73"/>
      <c r="H521" s="73"/>
      <c r="I521" s="73"/>
      <c r="J521" s="73"/>
      <c r="K521" s="73"/>
      <c r="L521" s="73"/>
      <c r="M521" s="74"/>
      <c r="N521" s="71" t="str">
        <f t="shared" si="8"/>
        <v/>
      </c>
      <c r="O521" s="72"/>
      <c r="P521" s="72"/>
      <c r="Q521" s="72"/>
      <c r="R521" s="72"/>
      <c r="S521" s="72"/>
      <c r="T521" s="72"/>
      <c r="U521" s="72"/>
      <c r="V521" s="72"/>
    </row>
    <row r="522" spans="1:22" ht="27.75" customHeight="1">
      <c r="A522" s="87" t="str">
        <f>IF(ISBLANK(C522)," ",517-COUNTBLANK($C$6:C522))</f>
        <v xml:space="preserve"> </v>
      </c>
      <c r="B522" s="88"/>
      <c r="C522" s="88"/>
      <c r="D522" s="89"/>
      <c r="E522" s="89"/>
      <c r="F522" s="73"/>
      <c r="G522" s="73"/>
      <c r="H522" s="73"/>
      <c r="I522" s="73"/>
      <c r="J522" s="73"/>
      <c r="K522" s="73"/>
      <c r="L522" s="73"/>
      <c r="M522" s="74"/>
      <c r="N522" s="71" t="str">
        <f t="shared" si="8"/>
        <v/>
      </c>
      <c r="O522" s="72"/>
      <c r="P522" s="72"/>
      <c r="Q522" s="72"/>
      <c r="R522" s="72"/>
      <c r="S522" s="72"/>
      <c r="T522" s="72"/>
      <c r="U522" s="72"/>
      <c r="V522" s="72"/>
    </row>
    <row r="523" spans="1:22" ht="27.75" customHeight="1">
      <c r="A523" s="87" t="str">
        <f>IF(ISBLANK(C523)," ",518-COUNTBLANK($C$6:C523))</f>
        <v xml:space="preserve"> </v>
      </c>
      <c r="B523" s="88"/>
      <c r="C523" s="88"/>
      <c r="D523" s="89"/>
      <c r="E523" s="89"/>
      <c r="F523" s="73"/>
      <c r="G523" s="73"/>
      <c r="H523" s="73"/>
      <c r="I523" s="73"/>
      <c r="J523" s="73"/>
      <c r="K523" s="73"/>
      <c r="L523" s="73"/>
      <c r="M523" s="74"/>
      <c r="N523" s="71" t="str">
        <f t="shared" si="8"/>
        <v/>
      </c>
      <c r="O523" s="72"/>
      <c r="P523" s="72"/>
      <c r="Q523" s="72"/>
      <c r="R523" s="72"/>
      <c r="S523" s="72"/>
      <c r="T523" s="72"/>
      <c r="U523" s="72"/>
      <c r="V523" s="72"/>
    </row>
    <row r="524" spans="1:22" ht="27.75" customHeight="1">
      <c r="A524" s="87" t="str">
        <f>IF(ISBLANK(C524)," ",519-COUNTBLANK($C$6:C524))</f>
        <v xml:space="preserve"> </v>
      </c>
      <c r="B524" s="88"/>
      <c r="C524" s="88"/>
      <c r="D524" s="89"/>
      <c r="E524" s="89"/>
      <c r="F524" s="73"/>
      <c r="G524" s="73"/>
      <c r="H524" s="73"/>
      <c r="I524" s="73"/>
      <c r="J524" s="73"/>
      <c r="K524" s="73"/>
      <c r="L524" s="73"/>
      <c r="M524" s="74"/>
      <c r="N524" s="71" t="str">
        <f t="shared" si="8"/>
        <v/>
      </c>
      <c r="O524" s="72"/>
      <c r="P524" s="72"/>
      <c r="Q524" s="72"/>
      <c r="R524" s="72"/>
      <c r="S524" s="72"/>
      <c r="T524" s="72"/>
      <c r="U524" s="72"/>
      <c r="V524" s="72"/>
    </row>
    <row r="525" spans="1:22" ht="27.75" customHeight="1">
      <c r="A525" s="87" t="str">
        <f>IF(ISBLANK(C525)," ",520-COUNTBLANK($C$6:C525))</f>
        <v xml:space="preserve"> </v>
      </c>
      <c r="B525" s="88"/>
      <c r="C525" s="88"/>
      <c r="D525" s="89"/>
      <c r="E525" s="89"/>
      <c r="F525" s="73"/>
      <c r="G525" s="73"/>
      <c r="H525" s="73"/>
      <c r="I525" s="73"/>
      <c r="J525" s="73"/>
      <c r="K525" s="73"/>
      <c r="L525" s="73"/>
      <c r="M525" s="74"/>
      <c r="N525" s="71" t="str">
        <f t="shared" si="8"/>
        <v/>
      </c>
      <c r="O525" s="75"/>
      <c r="P525" s="72"/>
      <c r="Q525" s="72"/>
      <c r="R525" s="72"/>
      <c r="S525" s="72"/>
      <c r="T525" s="72"/>
      <c r="U525" s="72"/>
      <c r="V525" s="76"/>
    </row>
    <row r="526" spans="1:22" ht="27.75" customHeight="1">
      <c r="A526" s="87" t="str">
        <f>IF(ISBLANK(C526)," ",521-COUNTBLANK($C$6:C526))</f>
        <v xml:space="preserve"> </v>
      </c>
      <c r="B526" s="88"/>
      <c r="C526" s="88"/>
      <c r="D526" s="89"/>
      <c r="E526" s="89"/>
      <c r="F526" s="73"/>
      <c r="G526" s="73"/>
      <c r="H526" s="73"/>
      <c r="I526" s="73"/>
      <c r="J526" s="73"/>
      <c r="K526" s="73"/>
      <c r="L526" s="73"/>
      <c r="M526" s="74"/>
      <c r="N526" s="71" t="str">
        <f t="shared" si="8"/>
        <v/>
      </c>
      <c r="O526" s="75"/>
      <c r="P526" s="72"/>
      <c r="Q526" s="72"/>
      <c r="R526" s="72"/>
      <c r="S526" s="72"/>
      <c r="T526" s="72"/>
      <c r="U526" s="72"/>
      <c r="V526" s="76"/>
    </row>
    <row r="527" spans="1:22" ht="27.75" customHeight="1">
      <c r="A527" s="87" t="str">
        <f>IF(ISBLANK(C527)," ",522-COUNTBLANK($C$6:C527))</f>
        <v xml:space="preserve"> </v>
      </c>
      <c r="B527" s="88"/>
      <c r="C527" s="88"/>
      <c r="D527" s="89"/>
      <c r="E527" s="89"/>
      <c r="F527" s="73"/>
      <c r="G527" s="73"/>
      <c r="H527" s="73"/>
      <c r="I527" s="73"/>
      <c r="J527" s="73"/>
      <c r="K527" s="73"/>
      <c r="L527" s="73"/>
      <c r="M527" s="74"/>
      <c r="N527" s="71" t="str">
        <f t="shared" si="8"/>
        <v/>
      </c>
      <c r="O527" s="75"/>
      <c r="P527" s="72"/>
      <c r="Q527" s="72"/>
      <c r="R527" s="72"/>
      <c r="S527" s="72"/>
      <c r="T527" s="72"/>
      <c r="U527" s="72"/>
      <c r="V527" s="76"/>
    </row>
    <row r="528" spans="1:22" ht="27.75" customHeight="1">
      <c r="A528" s="87" t="str">
        <f>IF(ISBLANK(C528)," ",523-COUNTBLANK($C$6:C528))</f>
        <v xml:space="preserve"> </v>
      </c>
      <c r="B528" s="88"/>
      <c r="C528" s="88"/>
      <c r="D528" s="89"/>
      <c r="E528" s="89"/>
      <c r="F528" s="73"/>
      <c r="G528" s="73"/>
      <c r="H528" s="73"/>
      <c r="I528" s="73"/>
      <c r="J528" s="73"/>
      <c r="K528" s="73"/>
      <c r="L528" s="73"/>
      <c r="M528" s="74"/>
      <c r="N528" s="71" t="str">
        <f t="shared" si="8"/>
        <v/>
      </c>
      <c r="O528" s="75"/>
      <c r="P528" s="72"/>
      <c r="Q528" s="72"/>
      <c r="R528" s="72"/>
      <c r="S528" s="72"/>
      <c r="T528" s="72"/>
      <c r="U528" s="72"/>
      <c r="V528" s="76"/>
    </row>
    <row r="529" spans="1:25" ht="27.75" customHeight="1">
      <c r="A529" s="87" t="str">
        <f>IF(ISBLANK(C529)," ",524-COUNTBLANK($C$6:C529))</f>
        <v xml:space="preserve"> </v>
      </c>
      <c r="B529" s="88"/>
      <c r="C529" s="88"/>
      <c r="D529" s="89"/>
      <c r="E529" s="89"/>
      <c r="F529" s="73"/>
      <c r="G529" s="73"/>
      <c r="H529" s="73"/>
      <c r="I529" s="73"/>
      <c r="J529" s="73"/>
      <c r="K529" s="73"/>
      <c r="L529" s="73"/>
      <c r="M529" s="74"/>
      <c r="N529" s="71" t="str">
        <f t="shared" si="8"/>
        <v/>
      </c>
      <c r="O529" s="72"/>
      <c r="P529" s="72"/>
      <c r="Q529" s="72"/>
      <c r="R529" s="72"/>
      <c r="S529" s="72"/>
      <c r="T529" s="72"/>
      <c r="U529" s="72"/>
      <c r="V529" s="79"/>
      <c r="W529" s="72"/>
      <c r="X529" s="72"/>
      <c r="Y529" s="72"/>
    </row>
    <row r="530" spans="1:25" ht="27.75" customHeight="1">
      <c r="A530" s="80" t="s">
        <v>52</v>
      </c>
      <c r="B530" s="81"/>
      <c r="C530" s="96"/>
      <c r="D530" s="82"/>
      <c r="E530" s="82">
        <f>SUM(E510:E529)</f>
        <v>0</v>
      </c>
      <c r="F530" s="83"/>
      <c r="G530" s="83"/>
      <c r="H530" s="83"/>
      <c r="I530" s="83"/>
      <c r="J530" s="83"/>
      <c r="K530" s="83"/>
      <c r="L530" s="83"/>
      <c r="M530" s="84"/>
      <c r="N530" s="71" t="str">
        <f t="shared" si="8"/>
        <v/>
      </c>
      <c r="O530" s="75"/>
      <c r="P530" s="72"/>
      <c r="Q530" s="72"/>
      <c r="R530" s="72"/>
      <c r="S530" s="72"/>
      <c r="T530" s="72"/>
      <c r="U530" s="72"/>
      <c r="V530" s="79"/>
      <c r="W530" s="72"/>
      <c r="X530" s="72"/>
      <c r="Y530" s="72"/>
    </row>
    <row r="531" spans="1:25">
      <c r="O531" s="99"/>
      <c r="P531" s="99"/>
      <c r="Q531" s="99"/>
      <c r="R531" s="99"/>
      <c r="S531" s="99"/>
      <c r="T531" s="99"/>
      <c r="U531" s="99"/>
      <c r="V531" s="99"/>
    </row>
    <row r="532" spans="1:25">
      <c r="O532" s="99"/>
      <c r="P532" s="99"/>
      <c r="Q532" s="99"/>
      <c r="R532" s="99"/>
      <c r="S532" s="99"/>
      <c r="T532" s="99"/>
      <c r="U532" s="99"/>
      <c r="V532" s="99"/>
    </row>
  </sheetData>
  <mergeCells count="4">
    <mergeCell ref="B4:B5"/>
    <mergeCell ref="C4:C5"/>
    <mergeCell ref="H4:I4"/>
    <mergeCell ref="M4:M5"/>
  </mergeCells>
  <phoneticPr fontId="5" type="noConversion"/>
  <printOptions horizontalCentered="1" verticalCentered="1"/>
  <pageMargins left="0.19685039370078741" right="0.19685039370078741" top="1.1811023622047245" bottom="0.59055118110236227" header="0.59055118110236227" footer="0.19685039370078741"/>
  <pageSetup paperSize="9" orientation="portrait" horizontalDpi="4294967292" r:id="rId1"/>
  <headerFooter alignWithMargins="0"/>
  <rowBreaks count="2" manualBreakCount="2">
    <brk id="26" max="16383" man="1"/>
    <brk id="4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2"/>
  <sheetViews>
    <sheetView showGridLines="0" showZeros="0" view="pageBreakPreview" zoomScale="55" workbookViewId="0">
      <selection activeCell="A26" sqref="A26:IV26"/>
    </sheetView>
  </sheetViews>
  <sheetFormatPr defaultRowHeight="11.25"/>
  <cols>
    <col min="1" max="1" width="4.33203125" style="51" customWidth="1"/>
    <col min="2" max="2" width="6.33203125" style="97" customWidth="1"/>
    <col min="3" max="3" width="3.77734375" style="51" customWidth="1"/>
    <col min="4" max="4" width="6.77734375" style="51" customWidth="1"/>
    <col min="5" max="5" width="6.77734375" style="98" customWidth="1"/>
    <col min="6" max="6" width="4.109375" style="51" customWidth="1"/>
    <col min="7" max="7" width="4.77734375" style="51" customWidth="1"/>
    <col min="8" max="8" width="7.33203125" style="51" customWidth="1"/>
    <col min="9" max="9" width="11.77734375" style="51" customWidth="1"/>
    <col min="10" max="10" width="6.77734375" style="51" customWidth="1"/>
    <col min="11" max="11" width="11.77734375" style="51" customWidth="1"/>
    <col min="12" max="12" width="6.77734375" style="51" customWidth="1"/>
    <col min="13" max="13" width="3.77734375" style="51" customWidth="1"/>
    <col min="14" max="14" width="20.77734375" style="99" hidden="1" customWidth="1"/>
    <col min="15" max="21" width="9.77734375" style="51" customWidth="1"/>
    <col min="22" max="22" width="10.77734375" style="51" customWidth="1"/>
    <col min="23" max="16384" width="8.88671875" style="51"/>
  </cols>
  <sheetData>
    <row r="1" spans="1:22" ht="30" customHeight="1">
      <c r="A1" s="45" t="s">
        <v>58</v>
      </c>
      <c r="B1" s="46"/>
      <c r="C1" s="47"/>
      <c r="D1" s="47"/>
      <c r="E1" s="48"/>
      <c r="F1" s="47"/>
      <c r="G1" s="47"/>
      <c r="H1" s="47"/>
      <c r="I1" s="47"/>
      <c r="J1" s="47"/>
      <c r="K1" s="47"/>
      <c r="L1" s="47"/>
      <c r="M1" s="47"/>
      <c r="N1" s="49"/>
      <c r="O1" s="50"/>
      <c r="P1" s="50"/>
      <c r="Q1" s="50"/>
      <c r="R1" s="50"/>
      <c r="S1" s="50"/>
      <c r="T1" s="50"/>
      <c r="U1" s="50"/>
      <c r="V1" s="50"/>
    </row>
    <row r="2" spans="1:22" ht="19.899999999999999" customHeight="1">
      <c r="A2" s="50"/>
      <c r="B2" s="52"/>
      <c r="C2" s="50"/>
      <c r="D2" s="50"/>
      <c r="E2" s="53"/>
      <c r="F2" s="50"/>
      <c r="G2" s="50"/>
      <c r="H2" s="50"/>
      <c r="I2" s="50"/>
      <c r="J2" s="54"/>
      <c r="K2" s="55">
        <v>3</v>
      </c>
      <c r="L2" s="47"/>
      <c r="M2" s="47"/>
      <c r="N2" s="56"/>
      <c r="O2" s="50"/>
      <c r="P2" s="50"/>
      <c r="Q2" s="50"/>
      <c r="R2" s="50"/>
      <c r="S2" s="50"/>
      <c r="T2" s="50"/>
      <c r="U2" s="50"/>
      <c r="V2" s="50"/>
    </row>
    <row r="3" spans="1:22" ht="10.15" customHeight="1">
      <c r="A3" s="50"/>
      <c r="B3" s="52"/>
      <c r="C3" s="50"/>
      <c r="D3" s="50"/>
      <c r="E3" s="53"/>
      <c r="F3" s="50"/>
      <c r="G3" s="50"/>
      <c r="H3" s="50"/>
      <c r="I3" s="50"/>
      <c r="J3" s="50"/>
      <c r="K3" s="50"/>
      <c r="L3" s="50"/>
      <c r="M3" s="50"/>
      <c r="N3" s="57"/>
      <c r="O3" s="50"/>
      <c r="P3" s="50"/>
      <c r="Q3" s="50"/>
      <c r="R3" s="50"/>
      <c r="S3" s="50"/>
      <c r="T3" s="50"/>
      <c r="U3" s="50"/>
      <c r="V3" s="50"/>
    </row>
    <row r="4" spans="1:22" ht="30" customHeight="1">
      <c r="A4" s="107" t="s">
        <v>39</v>
      </c>
      <c r="B4" s="519" t="s">
        <v>40</v>
      </c>
      <c r="C4" s="501" t="s">
        <v>41</v>
      </c>
      <c r="D4" s="108" t="s">
        <v>42</v>
      </c>
      <c r="E4" s="109" t="s">
        <v>43</v>
      </c>
      <c r="F4" s="110" t="s">
        <v>44</v>
      </c>
      <c r="G4" s="58"/>
      <c r="H4" s="499" t="s">
        <v>45</v>
      </c>
      <c r="I4" s="500"/>
      <c r="J4" s="59" t="s">
        <v>46</v>
      </c>
      <c r="K4" s="58"/>
      <c r="L4" s="60"/>
      <c r="M4" s="503" t="s">
        <v>31</v>
      </c>
      <c r="N4" s="56"/>
      <c r="O4" s="50"/>
      <c r="P4" s="61"/>
      <c r="Q4" s="61"/>
      <c r="R4" s="61"/>
      <c r="S4" s="61"/>
      <c r="T4" s="61"/>
      <c r="U4" s="61"/>
      <c r="V4" s="61"/>
    </row>
    <row r="5" spans="1:22" ht="30" customHeight="1">
      <c r="A5" s="62" t="s">
        <v>47</v>
      </c>
      <c r="B5" s="520"/>
      <c r="C5" s="502"/>
      <c r="D5" s="63" t="s">
        <v>59</v>
      </c>
      <c r="E5" s="63" t="s">
        <v>59</v>
      </c>
      <c r="F5" s="64" t="s">
        <v>41</v>
      </c>
      <c r="G5" s="65" t="s">
        <v>48</v>
      </c>
      <c r="H5" s="65" t="s">
        <v>49</v>
      </c>
      <c r="I5" s="64" t="s">
        <v>50</v>
      </c>
      <c r="J5" s="65" t="s">
        <v>49</v>
      </c>
      <c r="K5" s="65" t="s">
        <v>50</v>
      </c>
      <c r="L5" s="66" t="s">
        <v>51</v>
      </c>
      <c r="M5" s="504"/>
      <c r="N5" s="67"/>
      <c r="O5" s="61"/>
      <c r="P5" s="68"/>
      <c r="Q5" s="68"/>
      <c r="R5" s="68"/>
      <c r="S5" s="68"/>
      <c r="T5" s="68"/>
      <c r="U5" s="68"/>
      <c r="V5" s="50"/>
    </row>
    <row r="6" spans="1:22" ht="27.75" customHeight="1">
      <c r="A6" s="147"/>
      <c r="B6" s="148"/>
      <c r="C6" s="149"/>
      <c r="D6" s="150"/>
      <c r="E6" s="150"/>
      <c r="F6" s="151"/>
      <c r="G6" s="151"/>
      <c r="H6" s="152"/>
      <c r="I6" s="153"/>
      <c r="J6" s="69"/>
      <c r="K6" s="69"/>
      <c r="L6" s="69"/>
      <c r="M6" s="70"/>
      <c r="N6" s="71" t="str">
        <f t="shared" ref="N6:N69" si="0">CONCATENATE(C6,H6)</f>
        <v/>
      </c>
      <c r="O6" s="72"/>
      <c r="P6" s="72"/>
      <c r="Q6" s="72"/>
      <c r="R6" s="72"/>
      <c r="S6" s="72"/>
      <c r="T6" s="72"/>
      <c r="U6" s="72"/>
      <c r="V6" s="72"/>
    </row>
    <row r="7" spans="1:22" ht="27.75" customHeight="1">
      <c r="A7" s="154"/>
      <c r="B7" s="155"/>
      <c r="C7" s="156"/>
      <c r="D7" s="157"/>
      <c r="E7" s="157"/>
      <c r="F7" s="158"/>
      <c r="G7" s="158"/>
      <c r="H7" s="159"/>
      <c r="I7" s="160"/>
      <c r="J7" s="73"/>
      <c r="K7" s="73"/>
      <c r="L7" s="73"/>
      <c r="M7" s="74"/>
      <c r="N7" s="71" t="str">
        <f t="shared" si="0"/>
        <v/>
      </c>
      <c r="O7" s="72"/>
      <c r="P7" s="72"/>
      <c r="Q7" s="72"/>
      <c r="R7" s="72"/>
      <c r="S7" s="72"/>
      <c r="T7" s="72"/>
      <c r="U7" s="72"/>
      <c r="V7" s="72"/>
    </row>
    <row r="8" spans="1:22" ht="27.75" customHeight="1">
      <c r="A8" s="154"/>
      <c r="B8" s="155"/>
      <c r="C8" s="156"/>
      <c r="D8" s="157"/>
      <c r="E8" s="157"/>
      <c r="F8" s="158"/>
      <c r="G8" s="158"/>
      <c r="H8" s="159"/>
      <c r="I8" s="160"/>
      <c r="J8" s="73"/>
      <c r="K8" s="73"/>
      <c r="L8" s="73"/>
      <c r="M8" s="74"/>
      <c r="N8" s="71" t="str">
        <f t="shared" si="0"/>
        <v/>
      </c>
      <c r="O8" s="72"/>
      <c r="P8" s="72"/>
      <c r="Q8" s="72"/>
      <c r="R8" s="72"/>
      <c r="S8" s="72"/>
      <c r="T8" s="72"/>
      <c r="U8" s="72"/>
      <c r="V8" s="72"/>
    </row>
    <row r="9" spans="1:22" ht="27.75" customHeight="1">
      <c r="A9" s="154"/>
      <c r="B9" s="155"/>
      <c r="C9" s="156"/>
      <c r="D9" s="157"/>
      <c r="E9" s="157"/>
      <c r="F9" s="158"/>
      <c r="G9" s="158"/>
      <c r="H9" s="159"/>
      <c r="I9" s="160"/>
      <c r="J9" s="73"/>
      <c r="K9" s="73"/>
      <c r="L9" s="73"/>
      <c r="M9" s="74"/>
      <c r="N9" s="71" t="str">
        <f t="shared" si="0"/>
        <v/>
      </c>
      <c r="O9" s="72"/>
      <c r="P9" s="72"/>
      <c r="Q9" s="72"/>
      <c r="R9" s="72"/>
      <c r="S9" s="72"/>
      <c r="T9" s="72"/>
      <c r="U9" s="72"/>
      <c r="V9" s="72"/>
    </row>
    <row r="10" spans="1:22" ht="27.75" customHeight="1">
      <c r="A10" s="154"/>
      <c r="B10" s="155"/>
      <c r="C10" s="156"/>
      <c r="D10" s="157"/>
      <c r="E10" s="157"/>
      <c r="F10" s="158"/>
      <c r="G10" s="158"/>
      <c r="H10" s="159"/>
      <c r="I10" s="160"/>
      <c r="J10" s="73"/>
      <c r="K10" s="73"/>
      <c r="L10" s="73"/>
      <c r="M10" s="74"/>
      <c r="N10" s="71" t="str">
        <f t="shared" si="0"/>
        <v/>
      </c>
      <c r="O10" s="72"/>
      <c r="P10" s="72"/>
      <c r="Q10" s="72"/>
      <c r="R10" s="72"/>
      <c r="S10" s="72"/>
      <c r="T10" s="72"/>
      <c r="U10" s="72"/>
      <c r="V10" s="72"/>
    </row>
    <row r="11" spans="1:22" ht="27.75" customHeight="1">
      <c r="A11" s="154"/>
      <c r="B11" s="155"/>
      <c r="C11" s="156"/>
      <c r="D11" s="157"/>
      <c r="E11" s="157"/>
      <c r="F11" s="158"/>
      <c r="G11" s="158"/>
      <c r="H11" s="159"/>
      <c r="I11" s="160"/>
      <c r="J11" s="73"/>
      <c r="K11" s="73"/>
      <c r="L11" s="73"/>
      <c r="M11" s="74"/>
      <c r="N11" s="71" t="str">
        <f t="shared" si="0"/>
        <v/>
      </c>
      <c r="O11" s="72"/>
      <c r="P11" s="72"/>
      <c r="Q11" s="72"/>
      <c r="R11" s="72"/>
      <c r="S11" s="72"/>
      <c r="T11" s="72"/>
      <c r="U11" s="72"/>
      <c r="V11" s="72"/>
    </row>
    <row r="12" spans="1:22" ht="27.75" customHeight="1">
      <c r="A12" s="154"/>
      <c r="B12" s="155"/>
      <c r="C12" s="156"/>
      <c r="D12" s="157"/>
      <c r="E12" s="157"/>
      <c r="F12" s="158"/>
      <c r="G12" s="161"/>
      <c r="H12" s="159"/>
      <c r="I12" s="160"/>
      <c r="J12" s="73"/>
      <c r="K12" s="73"/>
      <c r="L12" s="73"/>
      <c r="M12" s="74"/>
      <c r="N12" s="71" t="str">
        <f t="shared" si="0"/>
        <v/>
      </c>
      <c r="O12" s="72"/>
      <c r="P12" s="72"/>
      <c r="Q12" s="72"/>
      <c r="R12" s="72"/>
      <c r="S12" s="72"/>
      <c r="T12" s="72"/>
      <c r="U12" s="72"/>
      <c r="V12" s="72"/>
    </row>
    <row r="13" spans="1:22" ht="27.75" customHeight="1">
      <c r="A13" s="154"/>
      <c r="B13" s="155"/>
      <c r="C13" s="156"/>
      <c r="D13" s="157"/>
      <c r="E13" s="157"/>
      <c r="F13" s="158"/>
      <c r="G13" s="158"/>
      <c r="H13" s="159"/>
      <c r="I13" s="160"/>
      <c r="J13" s="73"/>
      <c r="K13" s="73"/>
      <c r="L13" s="73"/>
      <c r="M13" s="74"/>
      <c r="N13" s="71" t="str">
        <f t="shared" si="0"/>
        <v/>
      </c>
      <c r="O13" s="72"/>
      <c r="P13" s="72"/>
      <c r="Q13" s="72"/>
      <c r="R13" s="72"/>
      <c r="S13" s="72"/>
      <c r="T13" s="72"/>
      <c r="U13" s="72"/>
      <c r="V13" s="72"/>
    </row>
    <row r="14" spans="1:22" ht="27.75" customHeight="1">
      <c r="A14" s="154"/>
      <c r="B14" s="155"/>
      <c r="C14" s="156"/>
      <c r="D14" s="157"/>
      <c r="E14" s="157"/>
      <c r="F14" s="158"/>
      <c r="G14" s="158"/>
      <c r="H14" s="159"/>
      <c r="I14" s="160"/>
      <c r="J14" s="73"/>
      <c r="K14" s="73"/>
      <c r="L14" s="73"/>
      <c r="M14" s="74"/>
      <c r="N14" s="71" t="str">
        <f t="shared" si="0"/>
        <v/>
      </c>
      <c r="O14" s="72"/>
      <c r="P14" s="72"/>
      <c r="Q14" s="72"/>
      <c r="R14" s="72"/>
      <c r="S14" s="72"/>
      <c r="T14" s="72"/>
      <c r="U14" s="72"/>
      <c r="V14" s="72"/>
    </row>
    <row r="15" spans="1:22" ht="27.75" customHeight="1">
      <c r="A15" s="154"/>
      <c r="B15" s="155"/>
      <c r="C15" s="156"/>
      <c r="D15" s="157"/>
      <c r="E15" s="157"/>
      <c r="F15" s="158"/>
      <c r="G15" s="158"/>
      <c r="H15" s="159"/>
      <c r="I15" s="160"/>
      <c r="J15" s="73"/>
      <c r="K15" s="73"/>
      <c r="L15" s="73"/>
      <c r="M15" s="74"/>
      <c r="N15" s="71" t="str">
        <f t="shared" si="0"/>
        <v/>
      </c>
      <c r="O15" s="72"/>
      <c r="P15" s="72"/>
      <c r="Q15" s="72"/>
      <c r="R15" s="72"/>
      <c r="S15" s="72"/>
      <c r="T15" s="72"/>
      <c r="U15" s="72"/>
      <c r="V15" s="72"/>
    </row>
    <row r="16" spans="1:22" ht="27.75" customHeight="1">
      <c r="A16" s="154"/>
      <c r="B16" s="155"/>
      <c r="C16" s="156"/>
      <c r="D16" s="157"/>
      <c r="E16" s="157"/>
      <c r="F16" s="158"/>
      <c r="G16" s="158"/>
      <c r="H16" s="159"/>
      <c r="I16" s="160"/>
      <c r="J16" s="73"/>
      <c r="K16" s="73"/>
      <c r="L16" s="73"/>
      <c r="M16" s="74"/>
      <c r="N16" s="71" t="str">
        <f t="shared" si="0"/>
        <v/>
      </c>
      <c r="O16" s="72"/>
      <c r="P16" s="72"/>
      <c r="Q16" s="72"/>
      <c r="R16" s="72"/>
      <c r="S16" s="72"/>
      <c r="T16" s="72"/>
      <c r="U16" s="72"/>
      <c r="V16" s="72"/>
    </row>
    <row r="17" spans="1:25" ht="27.75" customHeight="1">
      <c r="A17" s="154"/>
      <c r="B17" s="155"/>
      <c r="C17" s="156"/>
      <c r="D17" s="157"/>
      <c r="E17" s="157"/>
      <c r="F17" s="158"/>
      <c r="G17" s="158"/>
      <c r="H17" s="159"/>
      <c r="I17" s="160"/>
      <c r="J17" s="73"/>
      <c r="K17" s="73"/>
      <c r="L17" s="73"/>
      <c r="M17" s="74"/>
      <c r="N17" s="71" t="str">
        <f t="shared" si="0"/>
        <v/>
      </c>
      <c r="O17" s="72"/>
      <c r="P17" s="72"/>
      <c r="Q17" s="72"/>
      <c r="R17" s="72"/>
      <c r="S17" s="72"/>
      <c r="T17" s="72"/>
      <c r="U17" s="72"/>
      <c r="V17" s="72"/>
    </row>
    <row r="18" spans="1:25" ht="27.75" customHeight="1">
      <c r="A18" s="154"/>
      <c r="B18" s="155"/>
      <c r="C18" s="156"/>
      <c r="D18" s="157"/>
      <c r="E18" s="157"/>
      <c r="F18" s="158"/>
      <c r="G18" s="158"/>
      <c r="H18" s="159"/>
      <c r="I18" s="160"/>
      <c r="J18" s="73"/>
      <c r="K18" s="73"/>
      <c r="L18" s="73"/>
      <c r="M18" s="74"/>
      <c r="N18" s="71" t="str">
        <f t="shared" si="0"/>
        <v/>
      </c>
      <c r="O18" s="72"/>
      <c r="P18" s="72"/>
      <c r="Q18" s="72"/>
      <c r="R18" s="72"/>
      <c r="S18" s="72"/>
      <c r="T18" s="72"/>
      <c r="U18" s="72"/>
      <c r="V18" s="72"/>
    </row>
    <row r="19" spans="1:25" ht="27.75" customHeight="1">
      <c r="A19" s="154"/>
      <c r="B19" s="155"/>
      <c r="C19" s="156"/>
      <c r="D19" s="157"/>
      <c r="E19" s="157"/>
      <c r="F19" s="158"/>
      <c r="G19" s="158"/>
      <c r="H19" s="159"/>
      <c r="I19" s="160"/>
      <c r="J19" s="73"/>
      <c r="K19" s="73"/>
      <c r="L19" s="73"/>
      <c r="M19" s="74"/>
      <c r="N19" s="71" t="str">
        <f t="shared" si="0"/>
        <v/>
      </c>
      <c r="O19" s="72"/>
      <c r="P19" s="72"/>
      <c r="Q19" s="72"/>
      <c r="R19" s="72"/>
      <c r="S19" s="72"/>
      <c r="T19" s="72"/>
      <c r="U19" s="72"/>
      <c r="V19" s="72"/>
    </row>
    <row r="20" spans="1:25" ht="27.75" customHeight="1">
      <c r="A20" s="154"/>
      <c r="B20" s="155"/>
      <c r="C20" s="156"/>
      <c r="D20" s="157"/>
      <c r="E20" s="157"/>
      <c r="F20" s="158"/>
      <c r="G20" s="158"/>
      <c r="H20" s="159"/>
      <c r="I20" s="160"/>
      <c r="J20" s="73"/>
      <c r="K20" s="73"/>
      <c r="L20" s="73"/>
      <c r="M20" s="74"/>
      <c r="N20" s="71" t="str">
        <f t="shared" si="0"/>
        <v/>
      </c>
      <c r="O20" s="72"/>
      <c r="P20" s="72"/>
      <c r="Q20" s="72"/>
      <c r="R20" s="72"/>
      <c r="S20" s="72"/>
      <c r="T20" s="72"/>
      <c r="U20" s="72"/>
      <c r="V20" s="72"/>
    </row>
    <row r="21" spans="1:25" ht="27.75" customHeight="1">
      <c r="A21" s="154"/>
      <c r="B21" s="155"/>
      <c r="C21" s="156"/>
      <c r="D21" s="157"/>
      <c r="E21" s="157"/>
      <c r="F21" s="158"/>
      <c r="G21" s="158"/>
      <c r="H21" s="159"/>
      <c r="I21" s="160"/>
      <c r="J21" s="73"/>
      <c r="K21" s="73"/>
      <c r="L21" s="73"/>
      <c r="M21" s="74"/>
      <c r="N21" s="71" t="str">
        <f t="shared" si="0"/>
        <v/>
      </c>
      <c r="O21" s="75"/>
      <c r="P21" s="72"/>
      <c r="Q21" s="72"/>
      <c r="R21" s="72"/>
      <c r="S21" s="72"/>
      <c r="T21" s="72"/>
      <c r="U21" s="72"/>
      <c r="V21" s="76"/>
    </row>
    <row r="22" spans="1:25" ht="27.75" customHeight="1">
      <c r="A22" s="154"/>
      <c r="B22" s="155"/>
      <c r="C22" s="156"/>
      <c r="D22" s="157"/>
      <c r="E22" s="157"/>
      <c r="F22" s="158"/>
      <c r="G22" s="161"/>
      <c r="H22" s="159"/>
      <c r="I22" s="160"/>
      <c r="J22" s="73"/>
      <c r="K22" s="73"/>
      <c r="L22" s="73"/>
      <c r="M22" s="74"/>
      <c r="N22" s="71" t="str">
        <f t="shared" si="0"/>
        <v/>
      </c>
      <c r="O22" s="75"/>
      <c r="P22" s="72"/>
      <c r="Q22" s="72"/>
      <c r="R22" s="72"/>
      <c r="S22" s="72"/>
      <c r="T22" s="72"/>
      <c r="U22" s="72"/>
      <c r="V22" s="76"/>
    </row>
    <row r="23" spans="1:25" ht="27.75" customHeight="1">
      <c r="A23" s="154"/>
      <c r="B23" s="155"/>
      <c r="C23" s="156"/>
      <c r="D23" s="157"/>
      <c r="E23" s="157"/>
      <c r="F23" s="158"/>
      <c r="G23" s="158"/>
      <c r="H23" s="159"/>
      <c r="I23" s="160"/>
      <c r="J23" s="73"/>
      <c r="K23" s="73"/>
      <c r="L23" s="73"/>
      <c r="M23" s="74"/>
      <c r="N23" s="71" t="str">
        <f t="shared" si="0"/>
        <v/>
      </c>
      <c r="O23" s="75"/>
      <c r="P23" s="72"/>
      <c r="Q23" s="72"/>
      <c r="R23" s="72"/>
      <c r="S23" s="72"/>
      <c r="T23" s="72"/>
      <c r="U23" s="72"/>
      <c r="V23" s="76"/>
    </row>
    <row r="24" spans="1:25" ht="27.75" customHeight="1">
      <c r="A24" s="154"/>
      <c r="B24" s="155"/>
      <c r="C24" s="156"/>
      <c r="D24" s="157"/>
      <c r="E24" s="157"/>
      <c r="F24" s="158"/>
      <c r="G24" s="158"/>
      <c r="H24" s="159"/>
      <c r="I24" s="159"/>
      <c r="J24" s="73"/>
      <c r="K24" s="73"/>
      <c r="L24" s="73"/>
      <c r="M24" s="74"/>
      <c r="N24" s="71" t="str">
        <f t="shared" si="0"/>
        <v/>
      </c>
      <c r="O24" s="75"/>
      <c r="P24" s="72"/>
      <c r="Q24" s="72"/>
      <c r="R24" s="72"/>
      <c r="S24" s="72"/>
      <c r="T24" s="72"/>
      <c r="U24" s="72"/>
      <c r="V24" s="76"/>
    </row>
    <row r="25" spans="1:25" ht="27.75" customHeight="1">
      <c r="A25" s="162"/>
      <c r="B25" s="163"/>
      <c r="C25" s="164"/>
      <c r="D25" s="165"/>
      <c r="E25" s="165"/>
      <c r="F25" s="166"/>
      <c r="G25" s="166"/>
      <c r="H25" s="167"/>
      <c r="I25" s="168"/>
      <c r="J25" s="77"/>
      <c r="K25" s="77"/>
      <c r="L25" s="77"/>
      <c r="M25" s="78"/>
      <c r="N25" s="71" t="str">
        <f t="shared" si="0"/>
        <v/>
      </c>
      <c r="O25" s="72"/>
      <c r="P25" s="72"/>
      <c r="Q25" s="72"/>
      <c r="R25" s="72"/>
      <c r="S25" s="72"/>
      <c r="T25" s="72"/>
      <c r="U25" s="72"/>
      <c r="V25" s="79"/>
      <c r="W25" s="72"/>
      <c r="X25" s="72"/>
      <c r="Y25" s="72"/>
    </row>
    <row r="26" spans="1:25" ht="27.75" customHeight="1">
      <c r="A26" s="80" t="s">
        <v>52</v>
      </c>
      <c r="B26" s="81"/>
      <c r="C26" s="96"/>
      <c r="D26" s="82"/>
      <c r="E26" s="82">
        <f>SUM(E6:E25)</f>
        <v>0</v>
      </c>
      <c r="F26" s="83"/>
      <c r="G26" s="83"/>
      <c r="H26" s="83"/>
      <c r="I26" s="83"/>
      <c r="J26" s="83"/>
      <c r="K26" s="83"/>
      <c r="L26" s="83"/>
      <c r="M26" s="84"/>
      <c r="N26" s="71" t="str">
        <f t="shared" si="0"/>
        <v/>
      </c>
      <c r="O26" s="75"/>
      <c r="P26" s="72"/>
      <c r="Q26" s="72"/>
      <c r="R26" s="72"/>
      <c r="S26" s="72"/>
      <c r="T26" s="72"/>
      <c r="U26" s="72"/>
      <c r="V26" s="79"/>
      <c r="W26" s="72"/>
      <c r="X26" s="72"/>
      <c r="Y26" s="72"/>
    </row>
    <row r="27" spans="1:25" ht="27.75" customHeight="1">
      <c r="A27" s="169"/>
      <c r="B27" s="170"/>
      <c r="C27" s="171"/>
      <c r="D27" s="172"/>
      <c r="E27" s="172"/>
      <c r="F27" s="173"/>
      <c r="G27" s="173"/>
      <c r="H27" s="174"/>
      <c r="I27" s="175"/>
      <c r="J27" s="85"/>
      <c r="K27" s="85"/>
      <c r="L27" s="85"/>
      <c r="M27" s="86"/>
      <c r="N27" s="71" t="str">
        <f t="shared" si="0"/>
        <v/>
      </c>
      <c r="O27" s="72"/>
      <c r="P27" s="72"/>
      <c r="Q27" s="72"/>
      <c r="R27" s="72"/>
      <c r="S27" s="72"/>
      <c r="T27" s="72"/>
      <c r="U27" s="72"/>
      <c r="V27" s="72"/>
    </row>
    <row r="28" spans="1:25" ht="27.75" customHeight="1">
      <c r="A28" s="154"/>
      <c r="B28" s="155"/>
      <c r="C28" s="156"/>
      <c r="D28" s="157"/>
      <c r="E28" s="157"/>
      <c r="F28" s="158"/>
      <c r="G28" s="158"/>
      <c r="H28" s="159"/>
      <c r="I28" s="160"/>
      <c r="J28" s="73"/>
      <c r="K28" s="73"/>
      <c r="L28" s="73"/>
      <c r="M28" s="74"/>
      <c r="N28" s="71" t="str">
        <f t="shared" si="0"/>
        <v/>
      </c>
      <c r="O28" s="72"/>
      <c r="P28" s="72"/>
      <c r="Q28" s="72"/>
      <c r="R28" s="72"/>
      <c r="S28" s="72"/>
      <c r="T28" s="72"/>
      <c r="U28" s="72"/>
      <c r="V28" s="72"/>
    </row>
    <row r="29" spans="1:25" ht="27.75" customHeight="1">
      <c r="A29" s="154"/>
      <c r="B29" s="155"/>
      <c r="C29" s="156"/>
      <c r="D29" s="157"/>
      <c r="E29" s="157"/>
      <c r="F29" s="158"/>
      <c r="G29" s="158"/>
      <c r="H29" s="159"/>
      <c r="I29" s="160"/>
      <c r="J29" s="73"/>
      <c r="K29" s="73"/>
      <c r="L29" s="73"/>
      <c r="M29" s="74"/>
      <c r="N29" s="71" t="str">
        <f t="shared" si="0"/>
        <v/>
      </c>
      <c r="O29" s="72"/>
      <c r="P29" s="72"/>
      <c r="Q29" s="72"/>
      <c r="R29" s="72"/>
      <c r="S29" s="72"/>
      <c r="T29" s="72"/>
      <c r="U29" s="72"/>
      <c r="V29" s="72"/>
    </row>
    <row r="30" spans="1:25" ht="27.75" customHeight="1">
      <c r="A30" s="154"/>
      <c r="B30" s="155"/>
      <c r="C30" s="156"/>
      <c r="D30" s="157"/>
      <c r="E30" s="157"/>
      <c r="F30" s="158"/>
      <c r="G30" s="158"/>
      <c r="H30" s="159"/>
      <c r="I30" s="160"/>
      <c r="J30" s="73"/>
      <c r="K30" s="73"/>
      <c r="L30" s="73"/>
      <c r="M30" s="74"/>
      <c r="N30" s="71" t="str">
        <f t="shared" si="0"/>
        <v/>
      </c>
      <c r="O30" s="72"/>
      <c r="P30" s="72"/>
      <c r="Q30" s="72"/>
      <c r="R30" s="72"/>
      <c r="S30" s="72"/>
      <c r="T30" s="72"/>
      <c r="U30" s="72"/>
      <c r="V30" s="72"/>
    </row>
    <row r="31" spans="1:25" ht="27.75" customHeight="1">
      <c r="A31" s="154"/>
      <c r="B31" s="155"/>
      <c r="C31" s="156"/>
      <c r="D31" s="157"/>
      <c r="E31" s="157"/>
      <c r="F31" s="158"/>
      <c r="G31" s="158"/>
      <c r="H31" s="159"/>
      <c r="I31" s="160"/>
      <c r="J31" s="73"/>
      <c r="K31" s="73"/>
      <c r="L31" s="73"/>
      <c r="M31" s="74"/>
      <c r="N31" s="71" t="str">
        <f t="shared" si="0"/>
        <v/>
      </c>
      <c r="O31" s="72"/>
      <c r="P31" s="72"/>
      <c r="Q31" s="72"/>
      <c r="R31" s="72"/>
      <c r="S31" s="72"/>
      <c r="T31" s="72"/>
      <c r="U31" s="72"/>
      <c r="V31" s="72"/>
    </row>
    <row r="32" spans="1:25" ht="27.75" customHeight="1">
      <c r="A32" s="87" t="str">
        <f>IF(ISBLANK(C32)," ",27-COUNTBLANK($C$6:C32))</f>
        <v xml:space="preserve"> </v>
      </c>
      <c r="B32" s="88"/>
      <c r="C32" s="88"/>
      <c r="D32" s="89"/>
      <c r="E32" s="89"/>
      <c r="F32" s="73"/>
      <c r="G32" s="73"/>
      <c r="H32" s="73"/>
      <c r="I32" s="73"/>
      <c r="J32" s="73"/>
      <c r="K32" s="73"/>
      <c r="L32" s="73"/>
      <c r="M32" s="74"/>
      <c r="N32" s="71" t="str">
        <f t="shared" si="0"/>
        <v/>
      </c>
      <c r="O32" s="72"/>
      <c r="P32" s="72"/>
      <c r="Q32" s="72"/>
      <c r="R32" s="72"/>
      <c r="S32" s="72"/>
      <c r="T32" s="72"/>
      <c r="U32" s="72"/>
      <c r="V32" s="72"/>
    </row>
    <row r="33" spans="1:25" ht="27.75" customHeight="1">
      <c r="A33" s="87" t="str">
        <f>IF(ISBLANK(C33)," ",28-COUNTBLANK($C$6:C33))</f>
        <v xml:space="preserve"> </v>
      </c>
      <c r="B33" s="88"/>
      <c r="C33" s="88"/>
      <c r="D33" s="89"/>
      <c r="E33" s="89"/>
      <c r="F33" s="73"/>
      <c r="G33" s="73"/>
      <c r="H33" s="73"/>
      <c r="I33" s="73"/>
      <c r="J33" s="73"/>
      <c r="K33" s="73"/>
      <c r="L33" s="73"/>
      <c r="M33" s="74"/>
      <c r="N33" s="71" t="str">
        <f t="shared" si="0"/>
        <v/>
      </c>
      <c r="O33" s="72"/>
      <c r="P33" s="72"/>
      <c r="Q33" s="72"/>
      <c r="R33" s="72"/>
      <c r="S33" s="72"/>
      <c r="T33" s="72"/>
      <c r="U33" s="72"/>
      <c r="V33" s="72"/>
    </row>
    <row r="34" spans="1:25" ht="27.75" customHeight="1">
      <c r="A34" s="87" t="str">
        <f>IF(ISBLANK(C34)," ",29-COUNTBLANK($C$6:C34))</f>
        <v xml:space="preserve"> </v>
      </c>
      <c r="B34" s="88"/>
      <c r="C34" s="88"/>
      <c r="D34" s="89"/>
      <c r="E34" s="89"/>
      <c r="F34" s="73"/>
      <c r="G34" s="73"/>
      <c r="H34" s="73"/>
      <c r="I34" s="73"/>
      <c r="J34" s="73"/>
      <c r="K34" s="73"/>
      <c r="L34" s="73"/>
      <c r="M34" s="74"/>
      <c r="N34" s="71" t="str">
        <f t="shared" si="0"/>
        <v/>
      </c>
      <c r="O34" s="72"/>
      <c r="P34" s="72"/>
      <c r="Q34" s="72"/>
      <c r="R34" s="72"/>
      <c r="S34" s="72"/>
      <c r="T34" s="72"/>
      <c r="U34" s="72"/>
      <c r="V34" s="72"/>
    </row>
    <row r="35" spans="1:25" ht="27.75" customHeight="1">
      <c r="A35" s="87" t="str">
        <f>IF(ISBLANK(C35)," ",30-COUNTBLANK($C$6:C35))</f>
        <v xml:space="preserve"> </v>
      </c>
      <c r="B35" s="88"/>
      <c r="C35" s="88"/>
      <c r="D35" s="89"/>
      <c r="E35" s="89"/>
      <c r="F35" s="73"/>
      <c r="G35" s="73"/>
      <c r="H35" s="73"/>
      <c r="I35" s="73"/>
      <c r="J35" s="73"/>
      <c r="K35" s="73"/>
      <c r="L35" s="73"/>
      <c r="M35" s="74"/>
      <c r="N35" s="71" t="str">
        <f t="shared" si="0"/>
        <v/>
      </c>
      <c r="O35" s="72"/>
      <c r="P35" s="72"/>
      <c r="Q35" s="72"/>
      <c r="R35" s="72"/>
      <c r="S35" s="72"/>
      <c r="T35" s="72"/>
      <c r="U35" s="72"/>
      <c r="V35" s="72"/>
    </row>
    <row r="36" spans="1:25" ht="27.75" customHeight="1">
      <c r="A36" s="87" t="str">
        <f>IF(ISBLANK(C36)," ",31-COUNTBLANK($C$6:C36))</f>
        <v xml:space="preserve"> </v>
      </c>
      <c r="B36" s="88"/>
      <c r="C36" s="88"/>
      <c r="D36" s="89"/>
      <c r="E36" s="89"/>
      <c r="F36" s="73"/>
      <c r="G36" s="73"/>
      <c r="H36" s="73"/>
      <c r="I36" s="73"/>
      <c r="J36" s="73"/>
      <c r="K36" s="73"/>
      <c r="L36" s="73"/>
      <c r="M36" s="74"/>
      <c r="N36" s="71" t="str">
        <f t="shared" si="0"/>
        <v/>
      </c>
      <c r="O36" s="72"/>
      <c r="P36" s="72"/>
      <c r="Q36" s="72"/>
      <c r="R36" s="72"/>
      <c r="S36" s="72"/>
      <c r="T36" s="72"/>
      <c r="U36" s="72"/>
      <c r="V36" s="72"/>
    </row>
    <row r="37" spans="1:25" ht="27.75" customHeight="1">
      <c r="A37" s="87" t="str">
        <f>IF(ISBLANK(C37)," ",32-COUNTBLANK($C$6:C37))</f>
        <v xml:space="preserve"> </v>
      </c>
      <c r="B37" s="88"/>
      <c r="C37" s="88"/>
      <c r="D37" s="89"/>
      <c r="E37" s="89"/>
      <c r="F37" s="73"/>
      <c r="G37" s="73"/>
      <c r="H37" s="73"/>
      <c r="I37" s="73"/>
      <c r="J37" s="73"/>
      <c r="K37" s="73"/>
      <c r="L37" s="73"/>
      <c r="M37" s="74"/>
      <c r="N37" s="71" t="str">
        <f t="shared" si="0"/>
        <v/>
      </c>
      <c r="O37" s="72"/>
      <c r="P37" s="72"/>
      <c r="Q37" s="72"/>
      <c r="R37" s="72"/>
      <c r="S37" s="72"/>
      <c r="T37" s="72"/>
      <c r="U37" s="72"/>
      <c r="V37" s="72"/>
    </row>
    <row r="38" spans="1:25" ht="27.75" customHeight="1">
      <c r="A38" s="87" t="str">
        <f>IF(ISBLANK(C38)," ",33-COUNTBLANK($C$6:C38))</f>
        <v xml:space="preserve"> </v>
      </c>
      <c r="B38" s="88"/>
      <c r="C38" s="88"/>
      <c r="D38" s="89"/>
      <c r="E38" s="89"/>
      <c r="F38" s="73"/>
      <c r="G38" s="73"/>
      <c r="H38" s="73"/>
      <c r="I38" s="73"/>
      <c r="J38" s="73"/>
      <c r="K38" s="73"/>
      <c r="L38" s="73"/>
      <c r="M38" s="74"/>
      <c r="N38" s="71" t="str">
        <f t="shared" si="0"/>
        <v/>
      </c>
      <c r="O38" s="72"/>
      <c r="P38" s="72"/>
      <c r="Q38" s="72"/>
      <c r="R38" s="72"/>
      <c r="S38" s="72"/>
      <c r="T38" s="72"/>
      <c r="U38" s="72"/>
      <c r="V38" s="72"/>
    </row>
    <row r="39" spans="1:25" ht="27.75" customHeight="1">
      <c r="A39" s="87" t="str">
        <f>IF(ISBLANK(C39)," ",34-COUNTBLANK($C$6:C39))</f>
        <v xml:space="preserve"> </v>
      </c>
      <c r="B39" s="88"/>
      <c r="C39" s="88"/>
      <c r="D39" s="89"/>
      <c r="E39" s="89"/>
      <c r="F39" s="73"/>
      <c r="G39" s="73"/>
      <c r="H39" s="73"/>
      <c r="I39" s="73"/>
      <c r="J39" s="73"/>
      <c r="K39" s="73"/>
      <c r="L39" s="73"/>
      <c r="M39" s="74"/>
      <c r="N39" s="71" t="str">
        <f t="shared" si="0"/>
        <v/>
      </c>
      <c r="O39" s="72"/>
      <c r="P39" s="72"/>
      <c r="Q39" s="72"/>
      <c r="R39" s="72"/>
      <c r="S39" s="72"/>
      <c r="T39" s="72"/>
      <c r="U39" s="72"/>
      <c r="V39" s="72"/>
    </row>
    <row r="40" spans="1:25" ht="27.75" customHeight="1">
      <c r="A40" s="87" t="str">
        <f>IF(ISBLANK(C40)," ",35-COUNTBLANK($C$6:C40))</f>
        <v xml:space="preserve"> </v>
      </c>
      <c r="B40" s="88"/>
      <c r="C40" s="88"/>
      <c r="D40" s="89"/>
      <c r="E40" s="89"/>
      <c r="F40" s="73"/>
      <c r="G40" s="73"/>
      <c r="H40" s="73"/>
      <c r="I40" s="73"/>
      <c r="J40" s="73"/>
      <c r="K40" s="73"/>
      <c r="L40" s="73"/>
      <c r="M40" s="74"/>
      <c r="N40" s="71" t="str">
        <f t="shared" si="0"/>
        <v/>
      </c>
      <c r="O40" s="72"/>
      <c r="P40" s="72"/>
      <c r="Q40" s="72"/>
      <c r="R40" s="72"/>
      <c r="S40" s="72"/>
      <c r="T40" s="72"/>
      <c r="U40" s="72"/>
      <c r="V40" s="72"/>
    </row>
    <row r="41" spans="1:25" ht="27.75" customHeight="1">
      <c r="A41" s="87" t="str">
        <f>IF(ISBLANK(C41)," ",36-COUNTBLANK($C$6:C41))</f>
        <v xml:space="preserve"> </v>
      </c>
      <c r="B41" s="88"/>
      <c r="C41" s="88"/>
      <c r="D41" s="89"/>
      <c r="E41" s="89"/>
      <c r="F41" s="73"/>
      <c r="G41" s="73"/>
      <c r="H41" s="73"/>
      <c r="I41" s="73"/>
      <c r="J41" s="73"/>
      <c r="K41" s="73"/>
      <c r="L41" s="73"/>
      <c r="M41" s="74"/>
      <c r="N41" s="71" t="str">
        <f t="shared" si="0"/>
        <v/>
      </c>
      <c r="O41" s="72"/>
      <c r="P41" s="72"/>
      <c r="Q41" s="72"/>
      <c r="R41" s="72"/>
      <c r="S41" s="72"/>
      <c r="T41" s="72"/>
      <c r="U41" s="72"/>
      <c r="V41" s="72"/>
    </row>
    <row r="42" spans="1:25" ht="27.75" customHeight="1">
      <c r="A42" s="87" t="str">
        <f>IF(ISBLANK(C42)," ",37-COUNTBLANK($C$6:C42))</f>
        <v xml:space="preserve"> </v>
      </c>
      <c r="B42" s="88"/>
      <c r="C42" s="88"/>
      <c r="D42" s="89"/>
      <c r="E42" s="89"/>
      <c r="F42" s="73"/>
      <c r="G42" s="73"/>
      <c r="H42" s="73"/>
      <c r="I42" s="73"/>
      <c r="J42" s="73"/>
      <c r="K42" s="73"/>
      <c r="L42" s="73"/>
      <c r="M42" s="74"/>
      <c r="N42" s="71" t="str">
        <f t="shared" si="0"/>
        <v/>
      </c>
      <c r="O42" s="75"/>
      <c r="P42" s="72"/>
      <c r="Q42" s="72"/>
      <c r="R42" s="72"/>
      <c r="S42" s="72"/>
      <c r="T42" s="72"/>
      <c r="U42" s="72"/>
      <c r="V42" s="76"/>
    </row>
    <row r="43" spans="1:25" ht="27.75" customHeight="1">
      <c r="A43" s="87" t="str">
        <f>IF(ISBLANK(C43)," ",38-COUNTBLANK($C$6:C43))</f>
        <v xml:space="preserve"> </v>
      </c>
      <c r="B43" s="88"/>
      <c r="C43" s="88"/>
      <c r="D43" s="89"/>
      <c r="E43" s="89"/>
      <c r="F43" s="73"/>
      <c r="G43" s="73"/>
      <c r="H43" s="73"/>
      <c r="I43" s="73"/>
      <c r="J43" s="73"/>
      <c r="K43" s="73"/>
      <c r="L43" s="73"/>
      <c r="M43" s="74"/>
      <c r="N43" s="71" t="str">
        <f t="shared" si="0"/>
        <v/>
      </c>
      <c r="O43" s="75"/>
      <c r="P43" s="72"/>
      <c r="Q43" s="72"/>
      <c r="R43" s="72"/>
      <c r="S43" s="72"/>
      <c r="T43" s="72"/>
      <c r="U43" s="72"/>
      <c r="V43" s="76"/>
    </row>
    <row r="44" spans="1:25" ht="27.75" customHeight="1">
      <c r="A44" s="87" t="str">
        <f>IF(ISBLANK(C44)," ",39-COUNTBLANK($C$6:C44))</f>
        <v xml:space="preserve"> </v>
      </c>
      <c r="B44" s="88"/>
      <c r="C44" s="88"/>
      <c r="D44" s="89"/>
      <c r="E44" s="89"/>
      <c r="F44" s="73"/>
      <c r="G44" s="73"/>
      <c r="H44" s="73"/>
      <c r="I44" s="73"/>
      <c r="J44" s="73"/>
      <c r="K44" s="73"/>
      <c r="L44" s="73"/>
      <c r="M44" s="74"/>
      <c r="N44" s="71" t="str">
        <f t="shared" si="0"/>
        <v/>
      </c>
      <c r="O44" s="75"/>
      <c r="P44" s="72"/>
      <c r="Q44" s="72"/>
      <c r="R44" s="72"/>
      <c r="S44" s="72"/>
      <c r="T44" s="72"/>
      <c r="U44" s="72"/>
      <c r="V44" s="76"/>
    </row>
    <row r="45" spans="1:25" ht="27.75" customHeight="1">
      <c r="A45" s="87" t="str">
        <f>IF(ISBLANK(C45)," ",40-COUNTBLANK($C$6:C45))</f>
        <v xml:space="preserve"> </v>
      </c>
      <c r="B45" s="88"/>
      <c r="C45" s="88"/>
      <c r="D45" s="89"/>
      <c r="E45" s="89"/>
      <c r="F45" s="73"/>
      <c r="G45" s="73"/>
      <c r="H45" s="73"/>
      <c r="I45" s="73"/>
      <c r="J45" s="73"/>
      <c r="K45" s="73"/>
      <c r="L45" s="73"/>
      <c r="M45" s="74"/>
      <c r="N45" s="71" t="str">
        <f t="shared" si="0"/>
        <v/>
      </c>
      <c r="O45" s="75"/>
      <c r="P45" s="72"/>
      <c r="Q45" s="72"/>
      <c r="R45" s="72"/>
      <c r="S45" s="72"/>
      <c r="T45" s="72"/>
      <c r="U45" s="72"/>
      <c r="V45" s="76"/>
    </row>
    <row r="46" spans="1:25" ht="27.75" customHeight="1">
      <c r="A46" s="90" t="str">
        <f>IF(ISBLANK(C46)," ",41-COUNTBLANK($C$6:C46))</f>
        <v xml:space="preserve"> </v>
      </c>
      <c r="B46" s="91"/>
      <c r="C46" s="91"/>
      <c r="D46" s="92"/>
      <c r="E46" s="92"/>
      <c r="F46" s="77"/>
      <c r="G46" s="77"/>
      <c r="H46" s="77"/>
      <c r="I46" s="77"/>
      <c r="J46" s="77"/>
      <c r="K46" s="77"/>
      <c r="L46" s="77"/>
      <c r="M46" s="78"/>
      <c r="N46" s="71" t="str">
        <f t="shared" si="0"/>
        <v/>
      </c>
      <c r="O46" s="72"/>
      <c r="P46" s="72"/>
      <c r="Q46" s="72"/>
      <c r="R46" s="72"/>
      <c r="S46" s="72"/>
      <c r="T46" s="72"/>
      <c r="U46" s="72"/>
      <c r="V46" s="79"/>
      <c r="W46" s="72"/>
      <c r="X46" s="72"/>
      <c r="Y46" s="72"/>
    </row>
    <row r="47" spans="1:25" ht="27.75" customHeight="1">
      <c r="A47" s="80" t="s">
        <v>52</v>
      </c>
      <c r="B47" s="81"/>
      <c r="C47" s="96"/>
      <c r="D47" s="82"/>
      <c r="E47" s="82">
        <f>SUM(E27:E46)</f>
        <v>0</v>
      </c>
      <c r="F47" s="83"/>
      <c r="G47" s="83"/>
      <c r="H47" s="83"/>
      <c r="I47" s="83"/>
      <c r="J47" s="83"/>
      <c r="K47" s="83"/>
      <c r="L47" s="83"/>
      <c r="M47" s="84"/>
      <c r="N47" s="71" t="str">
        <f t="shared" si="0"/>
        <v/>
      </c>
      <c r="O47" s="75"/>
      <c r="P47" s="72"/>
      <c r="Q47" s="72"/>
      <c r="R47" s="72"/>
      <c r="S47" s="72"/>
      <c r="T47" s="72"/>
      <c r="U47" s="72"/>
      <c r="V47" s="79"/>
      <c r="W47" s="72"/>
      <c r="X47" s="72"/>
      <c r="Y47" s="72"/>
    </row>
    <row r="48" spans="1:25" ht="27.75" customHeight="1">
      <c r="A48" s="93" t="str">
        <f>IF(ISBLANK(C48)," ",43-COUNTBLANK($C$6:C48))</f>
        <v xml:space="preserve"> </v>
      </c>
      <c r="B48" s="94"/>
      <c r="C48" s="94"/>
      <c r="D48" s="95"/>
      <c r="E48" s="95"/>
      <c r="F48" s="85"/>
      <c r="G48" s="85"/>
      <c r="H48" s="85"/>
      <c r="I48" s="85"/>
      <c r="J48" s="85"/>
      <c r="K48" s="85"/>
      <c r="L48" s="85"/>
      <c r="M48" s="86"/>
      <c r="N48" s="71" t="str">
        <f t="shared" si="0"/>
        <v/>
      </c>
      <c r="O48" s="72"/>
      <c r="P48" s="72"/>
      <c r="Q48" s="72"/>
      <c r="R48" s="72"/>
      <c r="S48" s="72"/>
      <c r="T48" s="72"/>
      <c r="U48" s="72"/>
      <c r="V48" s="72"/>
    </row>
    <row r="49" spans="1:22" ht="27.75" customHeight="1">
      <c r="A49" s="87" t="str">
        <f>IF(ISBLANK(C49)," ",44-COUNTBLANK($C$6:C49))</f>
        <v xml:space="preserve"> </v>
      </c>
      <c r="B49" s="88"/>
      <c r="C49" s="88"/>
      <c r="D49" s="89"/>
      <c r="E49" s="89"/>
      <c r="F49" s="73"/>
      <c r="G49" s="73"/>
      <c r="H49" s="73"/>
      <c r="I49" s="73"/>
      <c r="J49" s="73"/>
      <c r="K49" s="73"/>
      <c r="L49" s="73"/>
      <c r="M49" s="74"/>
      <c r="N49" s="71" t="str">
        <f t="shared" si="0"/>
        <v/>
      </c>
      <c r="O49" s="72"/>
      <c r="P49" s="72"/>
      <c r="Q49" s="72"/>
      <c r="R49" s="72"/>
      <c r="S49" s="72"/>
      <c r="T49" s="72"/>
      <c r="U49" s="72"/>
      <c r="V49" s="72"/>
    </row>
    <row r="50" spans="1:22" ht="27.75" customHeight="1">
      <c r="A50" s="87" t="str">
        <f>IF(ISBLANK(C50)," ",45-COUNTBLANK($C$6:C50))</f>
        <v xml:space="preserve"> </v>
      </c>
      <c r="B50" s="88"/>
      <c r="C50" s="88"/>
      <c r="D50" s="89"/>
      <c r="E50" s="89"/>
      <c r="F50" s="73"/>
      <c r="G50" s="73"/>
      <c r="H50" s="73"/>
      <c r="I50" s="73"/>
      <c r="J50" s="73"/>
      <c r="K50" s="73"/>
      <c r="L50" s="73"/>
      <c r="M50" s="74"/>
      <c r="N50" s="71" t="str">
        <f t="shared" si="0"/>
        <v/>
      </c>
      <c r="O50" s="72"/>
      <c r="P50" s="72"/>
      <c r="Q50" s="72"/>
      <c r="R50" s="72"/>
      <c r="S50" s="72"/>
      <c r="T50" s="72"/>
      <c r="U50" s="72"/>
      <c r="V50" s="72"/>
    </row>
    <row r="51" spans="1:22" ht="27.75" customHeight="1">
      <c r="A51" s="87" t="str">
        <f>IF(ISBLANK(C51)," ",46-COUNTBLANK($C$6:C51))</f>
        <v xml:space="preserve"> </v>
      </c>
      <c r="B51" s="88"/>
      <c r="C51" s="88"/>
      <c r="D51" s="89"/>
      <c r="E51" s="89"/>
      <c r="F51" s="73"/>
      <c r="G51" s="73"/>
      <c r="H51" s="73"/>
      <c r="I51" s="73"/>
      <c r="J51" s="73"/>
      <c r="K51" s="73"/>
      <c r="L51" s="73"/>
      <c r="M51" s="74"/>
      <c r="N51" s="71" t="str">
        <f t="shared" si="0"/>
        <v/>
      </c>
      <c r="O51" s="72"/>
      <c r="P51" s="72"/>
      <c r="Q51" s="72"/>
      <c r="R51" s="72"/>
      <c r="S51" s="72"/>
      <c r="T51" s="72"/>
      <c r="U51" s="72"/>
      <c r="V51" s="72"/>
    </row>
    <row r="52" spans="1:22" ht="27.75" customHeight="1">
      <c r="A52" s="87" t="str">
        <f>IF(ISBLANK(C52)," ",47-COUNTBLANK($C$6:C52))</f>
        <v xml:space="preserve"> </v>
      </c>
      <c r="B52" s="88"/>
      <c r="C52" s="88"/>
      <c r="D52" s="89"/>
      <c r="E52" s="89"/>
      <c r="F52" s="73"/>
      <c r="G52" s="73"/>
      <c r="H52" s="73"/>
      <c r="I52" s="73"/>
      <c r="J52" s="73"/>
      <c r="K52" s="73"/>
      <c r="L52" s="73"/>
      <c r="M52" s="74"/>
      <c r="N52" s="71" t="str">
        <f t="shared" si="0"/>
        <v/>
      </c>
      <c r="O52" s="72"/>
      <c r="P52" s="72"/>
      <c r="Q52" s="72"/>
      <c r="R52" s="72"/>
      <c r="S52" s="72"/>
      <c r="T52" s="72"/>
      <c r="U52" s="72"/>
      <c r="V52" s="72"/>
    </row>
    <row r="53" spans="1:22" ht="27.75" customHeight="1">
      <c r="A53" s="87" t="str">
        <f>IF(ISBLANK(C53)," ",48-COUNTBLANK($C$6:C53))</f>
        <v xml:space="preserve"> </v>
      </c>
      <c r="B53" s="88"/>
      <c r="C53" s="88"/>
      <c r="D53" s="89"/>
      <c r="E53" s="89"/>
      <c r="F53" s="73"/>
      <c r="G53" s="73"/>
      <c r="H53" s="73"/>
      <c r="I53" s="73"/>
      <c r="J53" s="73"/>
      <c r="K53" s="73"/>
      <c r="L53" s="73"/>
      <c r="M53" s="74"/>
      <c r="N53" s="71" t="str">
        <f t="shared" si="0"/>
        <v/>
      </c>
      <c r="O53" s="72"/>
      <c r="P53" s="72"/>
      <c r="Q53" s="72"/>
      <c r="R53" s="72"/>
      <c r="S53" s="72"/>
      <c r="T53" s="72"/>
      <c r="U53" s="72"/>
      <c r="V53" s="72"/>
    </row>
    <row r="54" spans="1:22" ht="27.75" customHeight="1">
      <c r="A54" s="87" t="str">
        <f>IF(ISBLANK(C54)," ",49-COUNTBLANK($C$6:C54))</f>
        <v xml:space="preserve"> </v>
      </c>
      <c r="B54" s="88"/>
      <c r="C54" s="88"/>
      <c r="D54" s="89"/>
      <c r="E54" s="89"/>
      <c r="F54" s="73"/>
      <c r="G54" s="73"/>
      <c r="H54" s="73"/>
      <c r="I54" s="73"/>
      <c r="J54" s="73"/>
      <c r="K54" s="73"/>
      <c r="L54" s="73"/>
      <c r="M54" s="74"/>
      <c r="N54" s="71" t="str">
        <f t="shared" si="0"/>
        <v/>
      </c>
      <c r="O54" s="72"/>
      <c r="P54" s="72"/>
      <c r="Q54" s="72"/>
      <c r="R54" s="72"/>
      <c r="S54" s="72"/>
      <c r="T54" s="72"/>
      <c r="U54" s="72"/>
      <c r="V54" s="72"/>
    </row>
    <row r="55" spans="1:22" ht="27.75" customHeight="1">
      <c r="A55" s="87" t="str">
        <f>IF(ISBLANK(C55)," ",50-COUNTBLANK($C$6:C55))</f>
        <v xml:space="preserve"> </v>
      </c>
      <c r="B55" s="88"/>
      <c r="C55" s="88"/>
      <c r="D55" s="89"/>
      <c r="E55" s="89"/>
      <c r="F55" s="73"/>
      <c r="G55" s="73"/>
      <c r="H55" s="73"/>
      <c r="I55" s="73"/>
      <c r="J55" s="73"/>
      <c r="K55" s="73"/>
      <c r="L55" s="73"/>
      <c r="M55" s="74"/>
      <c r="N55" s="71" t="str">
        <f t="shared" si="0"/>
        <v/>
      </c>
      <c r="O55" s="72"/>
      <c r="P55" s="72"/>
      <c r="Q55" s="72"/>
      <c r="R55" s="72"/>
      <c r="S55" s="72"/>
      <c r="T55" s="72"/>
      <c r="U55" s="72"/>
      <c r="V55" s="72"/>
    </row>
    <row r="56" spans="1:22" ht="27.75" customHeight="1">
      <c r="A56" s="87" t="str">
        <f>IF(ISBLANK(C56)," ",51-COUNTBLANK($C$6:C56))</f>
        <v xml:space="preserve"> </v>
      </c>
      <c r="B56" s="88"/>
      <c r="C56" s="88"/>
      <c r="D56" s="89"/>
      <c r="E56" s="89"/>
      <c r="F56" s="73"/>
      <c r="G56" s="73"/>
      <c r="H56" s="73"/>
      <c r="I56" s="73"/>
      <c r="J56" s="73"/>
      <c r="K56" s="73"/>
      <c r="L56" s="73"/>
      <c r="M56" s="74"/>
      <c r="N56" s="71" t="str">
        <f t="shared" si="0"/>
        <v/>
      </c>
      <c r="O56" s="72"/>
      <c r="P56" s="72"/>
      <c r="Q56" s="72"/>
      <c r="R56" s="72"/>
      <c r="S56" s="72"/>
      <c r="T56" s="72"/>
      <c r="U56" s="72"/>
      <c r="V56" s="72"/>
    </row>
    <row r="57" spans="1:22" ht="27.75" customHeight="1">
      <c r="A57" s="87" t="str">
        <f>IF(ISBLANK(C57)," ",52-COUNTBLANK($C$6:C57))</f>
        <v xml:space="preserve"> </v>
      </c>
      <c r="B57" s="88"/>
      <c r="C57" s="88"/>
      <c r="D57" s="89"/>
      <c r="E57" s="89"/>
      <c r="F57" s="73"/>
      <c r="G57" s="73"/>
      <c r="H57" s="73"/>
      <c r="I57" s="73"/>
      <c r="J57" s="73"/>
      <c r="K57" s="73"/>
      <c r="L57" s="73"/>
      <c r="M57" s="74"/>
      <c r="N57" s="71" t="str">
        <f t="shared" si="0"/>
        <v/>
      </c>
      <c r="O57" s="72"/>
      <c r="P57" s="72"/>
      <c r="Q57" s="72"/>
      <c r="R57" s="72"/>
      <c r="S57" s="72"/>
      <c r="T57" s="72"/>
      <c r="U57" s="72"/>
      <c r="V57" s="72"/>
    </row>
    <row r="58" spans="1:22" ht="27.75" customHeight="1">
      <c r="A58" s="87" t="str">
        <f>IF(ISBLANK(C58)," ",53-COUNTBLANK($C$6:C58))</f>
        <v xml:space="preserve"> </v>
      </c>
      <c r="B58" s="88"/>
      <c r="C58" s="88"/>
      <c r="D58" s="89"/>
      <c r="E58" s="89"/>
      <c r="F58" s="73"/>
      <c r="G58" s="73"/>
      <c r="H58" s="73"/>
      <c r="I58" s="73"/>
      <c r="J58" s="73"/>
      <c r="K58" s="73"/>
      <c r="L58" s="73"/>
      <c r="M58" s="74"/>
      <c r="N58" s="71" t="str">
        <f t="shared" si="0"/>
        <v/>
      </c>
      <c r="O58" s="72"/>
      <c r="P58" s="72"/>
      <c r="Q58" s="72"/>
      <c r="R58" s="72"/>
      <c r="S58" s="72"/>
      <c r="T58" s="72"/>
      <c r="U58" s="72"/>
      <c r="V58" s="72"/>
    </row>
    <row r="59" spans="1:22" ht="27.75" customHeight="1">
      <c r="A59" s="87" t="str">
        <f>IF(ISBLANK(C59)," ",54-COUNTBLANK($C$6:C59))</f>
        <v xml:space="preserve"> </v>
      </c>
      <c r="B59" s="88"/>
      <c r="C59" s="88"/>
      <c r="D59" s="89"/>
      <c r="E59" s="89"/>
      <c r="F59" s="73"/>
      <c r="G59" s="73"/>
      <c r="H59" s="73"/>
      <c r="I59" s="73"/>
      <c r="J59" s="73"/>
      <c r="K59" s="73"/>
      <c r="L59" s="73"/>
      <c r="M59" s="74"/>
      <c r="N59" s="71" t="str">
        <f t="shared" si="0"/>
        <v/>
      </c>
      <c r="O59" s="72"/>
      <c r="P59" s="72"/>
      <c r="Q59" s="72"/>
      <c r="R59" s="72"/>
      <c r="S59" s="72"/>
      <c r="T59" s="72"/>
      <c r="U59" s="72"/>
      <c r="V59" s="72"/>
    </row>
    <row r="60" spans="1:22" ht="27.75" customHeight="1">
      <c r="A60" s="87" t="str">
        <f>IF(ISBLANK(C60)," ",55-COUNTBLANK($C$6:C60))</f>
        <v xml:space="preserve"> </v>
      </c>
      <c r="B60" s="88"/>
      <c r="C60" s="88"/>
      <c r="D60" s="89"/>
      <c r="E60" s="89"/>
      <c r="F60" s="73"/>
      <c r="G60" s="73"/>
      <c r="H60" s="73"/>
      <c r="I60" s="73"/>
      <c r="J60" s="73"/>
      <c r="K60" s="73"/>
      <c r="L60" s="73"/>
      <c r="M60" s="74"/>
      <c r="N60" s="71" t="str">
        <f t="shared" si="0"/>
        <v/>
      </c>
      <c r="O60" s="72"/>
      <c r="P60" s="72"/>
      <c r="Q60" s="72"/>
      <c r="R60" s="72"/>
      <c r="S60" s="72"/>
      <c r="T60" s="72"/>
      <c r="U60" s="72"/>
      <c r="V60" s="72"/>
    </row>
    <row r="61" spans="1:22" ht="27.75" customHeight="1">
      <c r="A61" s="87" t="str">
        <f>IF(ISBLANK(C61)," ",56-COUNTBLANK($C$6:C61))</f>
        <v xml:space="preserve"> </v>
      </c>
      <c r="B61" s="88"/>
      <c r="C61" s="88"/>
      <c r="D61" s="89"/>
      <c r="E61" s="89"/>
      <c r="F61" s="73"/>
      <c r="G61" s="73"/>
      <c r="H61" s="73"/>
      <c r="I61" s="73"/>
      <c r="J61" s="73"/>
      <c r="K61" s="73"/>
      <c r="L61" s="73"/>
      <c r="M61" s="74"/>
      <c r="N61" s="71" t="str">
        <f t="shared" si="0"/>
        <v/>
      </c>
      <c r="O61" s="72"/>
      <c r="P61" s="72"/>
      <c r="Q61" s="72"/>
      <c r="R61" s="72"/>
      <c r="S61" s="72"/>
      <c r="T61" s="72"/>
      <c r="U61" s="72"/>
      <c r="V61" s="72"/>
    </row>
    <row r="62" spans="1:22" ht="27.75" customHeight="1">
      <c r="A62" s="87" t="str">
        <f>IF(ISBLANK(C62)," ",57-COUNTBLANK($C$6:C62))</f>
        <v xml:space="preserve"> </v>
      </c>
      <c r="B62" s="88"/>
      <c r="C62" s="88"/>
      <c r="D62" s="89"/>
      <c r="E62" s="89"/>
      <c r="F62" s="73"/>
      <c r="G62" s="73"/>
      <c r="H62" s="73"/>
      <c r="I62" s="73"/>
      <c r="J62" s="73"/>
      <c r="K62" s="73"/>
      <c r="L62" s="73"/>
      <c r="M62" s="74"/>
      <c r="N62" s="71" t="str">
        <f t="shared" si="0"/>
        <v/>
      </c>
      <c r="O62" s="72"/>
      <c r="P62" s="72"/>
      <c r="Q62" s="72"/>
      <c r="R62" s="72"/>
      <c r="S62" s="72"/>
      <c r="T62" s="72"/>
      <c r="U62" s="72"/>
      <c r="V62" s="72"/>
    </row>
    <row r="63" spans="1:22" ht="27.75" customHeight="1">
      <c r="A63" s="87" t="str">
        <f>IF(ISBLANK(C63)," ",58-COUNTBLANK($C$6:C63))</f>
        <v xml:space="preserve"> </v>
      </c>
      <c r="B63" s="88"/>
      <c r="C63" s="88"/>
      <c r="D63" s="89"/>
      <c r="E63" s="89"/>
      <c r="F63" s="73"/>
      <c r="G63" s="73"/>
      <c r="H63" s="73"/>
      <c r="I63" s="73"/>
      <c r="J63" s="73"/>
      <c r="K63" s="73"/>
      <c r="L63" s="73"/>
      <c r="M63" s="74"/>
      <c r="N63" s="71" t="str">
        <f t="shared" si="0"/>
        <v/>
      </c>
      <c r="O63" s="75"/>
      <c r="P63" s="72"/>
      <c r="Q63" s="72"/>
      <c r="R63" s="72"/>
      <c r="S63" s="72"/>
      <c r="T63" s="72"/>
      <c r="U63" s="72"/>
      <c r="V63" s="76"/>
    </row>
    <row r="64" spans="1:22" ht="27.75" customHeight="1">
      <c r="A64" s="87" t="str">
        <f>IF(ISBLANK(C64)," ",59-COUNTBLANK($C$6:C64))</f>
        <v xml:space="preserve"> </v>
      </c>
      <c r="B64" s="88"/>
      <c r="C64" s="88"/>
      <c r="D64" s="89"/>
      <c r="E64" s="89"/>
      <c r="F64" s="73"/>
      <c r="G64" s="73"/>
      <c r="H64" s="73"/>
      <c r="I64" s="73"/>
      <c r="J64" s="73"/>
      <c r="K64" s="73"/>
      <c r="L64" s="73"/>
      <c r="M64" s="74"/>
      <c r="N64" s="71" t="str">
        <f t="shared" si="0"/>
        <v/>
      </c>
      <c r="O64" s="75"/>
      <c r="P64" s="72"/>
      <c r="Q64" s="72"/>
      <c r="R64" s="72"/>
      <c r="S64" s="72"/>
      <c r="T64" s="72"/>
      <c r="U64" s="72"/>
      <c r="V64" s="76"/>
    </row>
    <row r="65" spans="1:25" ht="27.75" customHeight="1">
      <c r="A65" s="87" t="str">
        <f>IF(ISBLANK(C65)," ",60-COUNTBLANK($C$6:C65))</f>
        <v xml:space="preserve"> </v>
      </c>
      <c r="B65" s="88"/>
      <c r="C65" s="88"/>
      <c r="D65" s="89"/>
      <c r="E65" s="89"/>
      <c r="F65" s="73"/>
      <c r="G65" s="73"/>
      <c r="H65" s="73"/>
      <c r="I65" s="73"/>
      <c r="J65" s="73"/>
      <c r="K65" s="73"/>
      <c r="L65" s="73"/>
      <c r="M65" s="74"/>
      <c r="N65" s="71" t="str">
        <f t="shared" si="0"/>
        <v/>
      </c>
      <c r="O65" s="75"/>
      <c r="P65" s="72"/>
      <c r="Q65" s="72"/>
      <c r="R65" s="72"/>
      <c r="S65" s="72"/>
      <c r="T65" s="72"/>
      <c r="U65" s="72"/>
      <c r="V65" s="76"/>
    </row>
    <row r="66" spans="1:25" ht="27.75" customHeight="1">
      <c r="A66" s="87" t="str">
        <f>IF(ISBLANK(C66)," ",61-COUNTBLANK($C$6:C66))</f>
        <v xml:space="preserve"> </v>
      </c>
      <c r="B66" s="88"/>
      <c r="C66" s="88"/>
      <c r="D66" s="89"/>
      <c r="E66" s="89"/>
      <c r="F66" s="73"/>
      <c r="G66" s="73"/>
      <c r="H66" s="73"/>
      <c r="I66" s="73"/>
      <c r="J66" s="73"/>
      <c r="K66" s="73"/>
      <c r="L66" s="73"/>
      <c r="M66" s="74"/>
      <c r="N66" s="71" t="str">
        <f t="shared" si="0"/>
        <v/>
      </c>
      <c r="O66" s="75"/>
      <c r="P66" s="72"/>
      <c r="Q66" s="72"/>
      <c r="R66" s="72"/>
      <c r="S66" s="72"/>
      <c r="T66" s="72"/>
      <c r="U66" s="72"/>
      <c r="V66" s="76"/>
    </row>
    <row r="67" spans="1:25" ht="27.75" customHeight="1">
      <c r="A67" s="87" t="str">
        <f>IF(ISBLANK(C67)," ",62-COUNTBLANK($C$6:C67))</f>
        <v xml:space="preserve"> </v>
      </c>
      <c r="B67" s="88"/>
      <c r="C67" s="88"/>
      <c r="D67" s="89"/>
      <c r="E67" s="89"/>
      <c r="F67" s="73"/>
      <c r="G67" s="73"/>
      <c r="H67" s="73"/>
      <c r="I67" s="73"/>
      <c r="J67" s="73"/>
      <c r="K67" s="73"/>
      <c r="L67" s="73"/>
      <c r="M67" s="74"/>
      <c r="N67" s="71" t="str">
        <f t="shared" si="0"/>
        <v/>
      </c>
      <c r="O67" s="72"/>
      <c r="P67" s="72"/>
      <c r="Q67" s="72"/>
      <c r="R67" s="72"/>
      <c r="S67" s="72"/>
      <c r="T67" s="72"/>
      <c r="U67" s="72"/>
      <c r="V67" s="79"/>
      <c r="W67" s="72"/>
      <c r="X67" s="72"/>
      <c r="Y67" s="72"/>
    </row>
    <row r="68" spans="1:25" ht="27.75" customHeight="1">
      <c r="A68" s="80" t="s">
        <v>52</v>
      </c>
      <c r="B68" s="81"/>
      <c r="C68" s="96"/>
      <c r="D68" s="82"/>
      <c r="E68" s="82">
        <f>SUM(E48:E67)</f>
        <v>0</v>
      </c>
      <c r="F68" s="83"/>
      <c r="G68" s="83"/>
      <c r="H68" s="83"/>
      <c r="I68" s="83"/>
      <c r="J68" s="83"/>
      <c r="K68" s="83"/>
      <c r="L68" s="83"/>
      <c r="M68" s="84"/>
      <c r="N68" s="71" t="str">
        <f t="shared" si="0"/>
        <v/>
      </c>
      <c r="O68" s="75"/>
      <c r="P68" s="72"/>
      <c r="Q68" s="72"/>
      <c r="R68" s="72"/>
      <c r="S68" s="72"/>
      <c r="T68" s="72"/>
      <c r="U68" s="72"/>
      <c r="V68" s="79"/>
      <c r="W68" s="72"/>
      <c r="X68" s="72"/>
      <c r="Y68" s="72"/>
    </row>
    <row r="69" spans="1:25" ht="27.75" customHeight="1">
      <c r="A69" s="93" t="str">
        <f>IF(ISBLANK(C69)," ",64-COUNTBLANK($C$6:C69))</f>
        <v xml:space="preserve"> </v>
      </c>
      <c r="B69" s="94"/>
      <c r="C69" s="94"/>
      <c r="D69" s="95"/>
      <c r="E69" s="95"/>
      <c r="F69" s="85"/>
      <c r="G69" s="85"/>
      <c r="H69" s="85"/>
      <c r="I69" s="85"/>
      <c r="J69" s="85"/>
      <c r="K69" s="85"/>
      <c r="L69" s="85"/>
      <c r="M69" s="86"/>
      <c r="N69" s="71" t="str">
        <f t="shared" si="0"/>
        <v/>
      </c>
      <c r="O69" s="72"/>
      <c r="P69" s="72"/>
      <c r="Q69" s="72"/>
      <c r="R69" s="72"/>
      <c r="S69" s="72"/>
      <c r="T69" s="72"/>
      <c r="U69" s="72"/>
      <c r="V69" s="72"/>
    </row>
    <row r="70" spans="1:25" ht="27.75" customHeight="1">
      <c r="A70" s="87" t="str">
        <f>IF(ISBLANK(C70)," ",65-COUNTBLANK($C$6:C70))</f>
        <v xml:space="preserve"> </v>
      </c>
      <c r="B70" s="88"/>
      <c r="C70" s="88"/>
      <c r="D70" s="89"/>
      <c r="E70" s="89"/>
      <c r="F70" s="73"/>
      <c r="G70" s="73"/>
      <c r="H70" s="73"/>
      <c r="I70" s="73"/>
      <c r="J70" s="73"/>
      <c r="K70" s="73"/>
      <c r="L70" s="73"/>
      <c r="M70" s="74"/>
      <c r="N70" s="71" t="str">
        <f t="shared" ref="N70:N133" si="1">CONCATENATE(C70,H70)</f>
        <v/>
      </c>
      <c r="O70" s="72"/>
      <c r="P70" s="72"/>
      <c r="Q70" s="72"/>
      <c r="R70" s="72"/>
      <c r="S70" s="72"/>
      <c r="T70" s="72"/>
      <c r="U70" s="72"/>
      <c r="V70" s="72"/>
    </row>
    <row r="71" spans="1:25" ht="27.75" customHeight="1">
      <c r="A71" s="87" t="str">
        <f>IF(ISBLANK(C71)," ",66-COUNTBLANK($C$6:C71))</f>
        <v xml:space="preserve"> </v>
      </c>
      <c r="B71" s="88"/>
      <c r="C71" s="88"/>
      <c r="D71" s="89"/>
      <c r="E71" s="89"/>
      <c r="F71" s="73"/>
      <c r="G71" s="73"/>
      <c r="H71" s="73"/>
      <c r="I71" s="73"/>
      <c r="J71" s="73"/>
      <c r="K71" s="73"/>
      <c r="L71" s="73"/>
      <c r="M71" s="74"/>
      <c r="N71" s="71" t="str">
        <f t="shared" si="1"/>
        <v/>
      </c>
      <c r="O71" s="72"/>
      <c r="P71" s="72"/>
      <c r="Q71" s="72"/>
      <c r="R71" s="72"/>
      <c r="S71" s="72"/>
      <c r="T71" s="72"/>
      <c r="U71" s="72"/>
      <c r="V71" s="72"/>
    </row>
    <row r="72" spans="1:25" ht="27.75" customHeight="1">
      <c r="A72" s="87" t="str">
        <f>IF(ISBLANK(C72)," ",67-COUNTBLANK($C$6:C72))</f>
        <v xml:space="preserve"> </v>
      </c>
      <c r="B72" s="88"/>
      <c r="C72" s="88"/>
      <c r="D72" s="89"/>
      <c r="E72" s="89"/>
      <c r="F72" s="73"/>
      <c r="G72" s="73"/>
      <c r="H72" s="73"/>
      <c r="I72" s="73"/>
      <c r="J72" s="73"/>
      <c r="K72" s="73"/>
      <c r="L72" s="73"/>
      <c r="M72" s="74"/>
      <c r="N72" s="71" t="str">
        <f t="shared" si="1"/>
        <v/>
      </c>
      <c r="O72" s="72"/>
      <c r="P72" s="72"/>
      <c r="Q72" s="72"/>
      <c r="R72" s="72"/>
      <c r="S72" s="72"/>
      <c r="T72" s="72"/>
      <c r="U72" s="72"/>
      <c r="V72" s="72"/>
    </row>
    <row r="73" spans="1:25" ht="27.75" customHeight="1">
      <c r="A73" s="87" t="str">
        <f>IF(ISBLANK(C73)," ",68-COUNTBLANK($C$6:C73))</f>
        <v xml:space="preserve"> </v>
      </c>
      <c r="B73" s="88"/>
      <c r="C73" s="88"/>
      <c r="D73" s="89"/>
      <c r="E73" s="89"/>
      <c r="F73" s="73"/>
      <c r="G73" s="73"/>
      <c r="H73" s="73"/>
      <c r="I73" s="73"/>
      <c r="J73" s="73"/>
      <c r="K73" s="73"/>
      <c r="L73" s="73"/>
      <c r="M73" s="74"/>
      <c r="N73" s="71" t="str">
        <f t="shared" si="1"/>
        <v/>
      </c>
      <c r="O73" s="72"/>
      <c r="P73" s="72"/>
      <c r="Q73" s="72"/>
      <c r="R73" s="72"/>
      <c r="S73" s="72"/>
      <c r="T73" s="72"/>
      <c r="U73" s="72"/>
      <c r="V73" s="72"/>
    </row>
    <row r="74" spans="1:25" ht="27.75" customHeight="1">
      <c r="A74" s="87" t="str">
        <f>IF(ISBLANK(C74)," ",69-COUNTBLANK($C$6:C74))</f>
        <v xml:space="preserve"> </v>
      </c>
      <c r="B74" s="88"/>
      <c r="C74" s="88"/>
      <c r="D74" s="89"/>
      <c r="E74" s="89"/>
      <c r="F74" s="73"/>
      <c r="G74" s="73"/>
      <c r="H74" s="73"/>
      <c r="I74" s="73"/>
      <c r="J74" s="73"/>
      <c r="K74" s="73"/>
      <c r="L74" s="73"/>
      <c r="M74" s="74"/>
      <c r="N74" s="71" t="str">
        <f t="shared" si="1"/>
        <v/>
      </c>
      <c r="O74" s="72"/>
      <c r="P74" s="72"/>
      <c r="Q74" s="72"/>
      <c r="R74" s="72"/>
      <c r="S74" s="72"/>
      <c r="T74" s="72"/>
      <c r="U74" s="72"/>
      <c r="V74" s="72"/>
    </row>
    <row r="75" spans="1:25" ht="27.75" customHeight="1">
      <c r="A75" s="87" t="str">
        <f>IF(ISBLANK(C75)," ",70-COUNTBLANK($C$6:C75))</f>
        <v xml:space="preserve"> </v>
      </c>
      <c r="B75" s="88"/>
      <c r="C75" s="88"/>
      <c r="D75" s="89"/>
      <c r="E75" s="89"/>
      <c r="F75" s="73"/>
      <c r="G75" s="73"/>
      <c r="H75" s="73"/>
      <c r="I75" s="73"/>
      <c r="J75" s="73"/>
      <c r="K75" s="73"/>
      <c r="L75" s="73"/>
      <c r="M75" s="74"/>
      <c r="N75" s="71" t="str">
        <f t="shared" si="1"/>
        <v/>
      </c>
      <c r="O75" s="72"/>
      <c r="P75" s="72"/>
      <c r="Q75" s="72"/>
      <c r="R75" s="72"/>
      <c r="S75" s="72"/>
      <c r="T75" s="72"/>
      <c r="U75" s="72"/>
      <c r="V75" s="72"/>
    </row>
    <row r="76" spans="1:25" ht="27.75" customHeight="1">
      <c r="A76" s="87" t="str">
        <f>IF(ISBLANK(C76)," ",71-COUNTBLANK($C$6:C76))</f>
        <v xml:space="preserve"> </v>
      </c>
      <c r="B76" s="88"/>
      <c r="C76" s="88"/>
      <c r="D76" s="89"/>
      <c r="E76" s="89"/>
      <c r="F76" s="73"/>
      <c r="G76" s="73"/>
      <c r="H76" s="73"/>
      <c r="I76" s="73"/>
      <c r="J76" s="73"/>
      <c r="K76" s="73"/>
      <c r="L76" s="73"/>
      <c r="M76" s="74"/>
      <c r="N76" s="71" t="str">
        <f t="shared" si="1"/>
        <v/>
      </c>
      <c r="O76" s="72"/>
      <c r="P76" s="72"/>
      <c r="Q76" s="72"/>
      <c r="R76" s="72"/>
      <c r="S76" s="72"/>
      <c r="T76" s="72"/>
      <c r="U76" s="72"/>
      <c r="V76" s="72"/>
    </row>
    <row r="77" spans="1:25" ht="27.75" customHeight="1">
      <c r="A77" s="87" t="str">
        <f>IF(ISBLANK(C77)," ",72-COUNTBLANK($C$6:C77))</f>
        <v xml:space="preserve"> </v>
      </c>
      <c r="B77" s="88"/>
      <c r="C77" s="88"/>
      <c r="D77" s="89"/>
      <c r="E77" s="89"/>
      <c r="F77" s="73"/>
      <c r="G77" s="73"/>
      <c r="H77" s="73"/>
      <c r="I77" s="73"/>
      <c r="J77" s="73"/>
      <c r="K77" s="73"/>
      <c r="L77" s="73"/>
      <c r="M77" s="74"/>
      <c r="N77" s="71" t="str">
        <f t="shared" si="1"/>
        <v/>
      </c>
      <c r="O77" s="72"/>
      <c r="P77" s="72"/>
      <c r="Q77" s="72"/>
      <c r="R77" s="72"/>
      <c r="S77" s="72"/>
      <c r="T77" s="72"/>
      <c r="U77" s="72"/>
      <c r="V77" s="72"/>
    </row>
    <row r="78" spans="1:25" ht="27.75" customHeight="1">
      <c r="A78" s="87" t="str">
        <f>IF(ISBLANK(C78)," ",73-COUNTBLANK($C$6:C78))</f>
        <v xml:space="preserve"> </v>
      </c>
      <c r="B78" s="88"/>
      <c r="C78" s="88"/>
      <c r="D78" s="89"/>
      <c r="E78" s="89"/>
      <c r="F78" s="73"/>
      <c r="G78" s="73"/>
      <c r="H78" s="73"/>
      <c r="I78" s="73"/>
      <c r="J78" s="73"/>
      <c r="K78" s="73"/>
      <c r="L78" s="73"/>
      <c r="M78" s="74"/>
      <c r="N78" s="71" t="str">
        <f t="shared" si="1"/>
        <v/>
      </c>
      <c r="O78" s="72"/>
      <c r="P78" s="72"/>
      <c r="Q78" s="72"/>
      <c r="R78" s="72"/>
      <c r="S78" s="72"/>
      <c r="T78" s="72"/>
      <c r="U78" s="72"/>
      <c r="V78" s="72"/>
    </row>
    <row r="79" spans="1:25" ht="27.75" customHeight="1">
      <c r="A79" s="87" t="str">
        <f>IF(ISBLANK(C79)," ",74-COUNTBLANK($C$6:C79))</f>
        <v xml:space="preserve"> </v>
      </c>
      <c r="B79" s="88"/>
      <c r="C79" s="88"/>
      <c r="D79" s="89"/>
      <c r="E79" s="89"/>
      <c r="F79" s="73"/>
      <c r="G79" s="73"/>
      <c r="H79" s="73"/>
      <c r="I79" s="73"/>
      <c r="J79" s="73"/>
      <c r="K79" s="73"/>
      <c r="L79" s="73"/>
      <c r="M79" s="74"/>
      <c r="N79" s="71" t="str">
        <f t="shared" si="1"/>
        <v/>
      </c>
      <c r="O79" s="72"/>
      <c r="P79" s="72"/>
      <c r="Q79" s="72"/>
      <c r="R79" s="72"/>
      <c r="S79" s="72"/>
      <c r="T79" s="72"/>
      <c r="U79" s="72"/>
      <c r="V79" s="72"/>
    </row>
    <row r="80" spans="1:25" ht="27.75" customHeight="1">
      <c r="A80" s="87" t="str">
        <f>IF(ISBLANK(C80)," ",75-COUNTBLANK($C$6:C80))</f>
        <v xml:space="preserve"> </v>
      </c>
      <c r="B80" s="88"/>
      <c r="C80" s="88"/>
      <c r="D80" s="89"/>
      <c r="E80" s="89"/>
      <c r="F80" s="73"/>
      <c r="G80" s="73"/>
      <c r="H80" s="73"/>
      <c r="I80" s="73"/>
      <c r="J80" s="73"/>
      <c r="K80" s="73"/>
      <c r="L80" s="73"/>
      <c r="M80" s="74"/>
      <c r="N80" s="71" t="str">
        <f t="shared" si="1"/>
        <v/>
      </c>
      <c r="O80" s="72"/>
      <c r="P80" s="72"/>
      <c r="Q80" s="72"/>
      <c r="R80" s="72"/>
      <c r="S80" s="72"/>
      <c r="T80" s="72"/>
      <c r="U80" s="72"/>
      <c r="V80" s="72"/>
    </row>
    <row r="81" spans="1:25" ht="27.75" customHeight="1">
      <c r="A81" s="87" t="str">
        <f>IF(ISBLANK(C81)," ",76-COUNTBLANK($C$6:C81))</f>
        <v xml:space="preserve"> </v>
      </c>
      <c r="B81" s="88"/>
      <c r="C81" s="88"/>
      <c r="D81" s="89"/>
      <c r="E81" s="89"/>
      <c r="F81" s="73"/>
      <c r="G81" s="73"/>
      <c r="H81" s="73"/>
      <c r="I81" s="73"/>
      <c r="J81" s="73"/>
      <c r="K81" s="73"/>
      <c r="L81" s="73"/>
      <c r="M81" s="74"/>
      <c r="N81" s="71" t="str">
        <f t="shared" si="1"/>
        <v/>
      </c>
      <c r="O81" s="72"/>
      <c r="P81" s="72"/>
      <c r="Q81" s="72"/>
      <c r="R81" s="72"/>
      <c r="S81" s="72"/>
      <c r="T81" s="72"/>
      <c r="U81" s="72"/>
      <c r="V81" s="72"/>
    </row>
    <row r="82" spans="1:25" ht="27.75" customHeight="1">
      <c r="A82" s="87" t="str">
        <f>IF(ISBLANK(C82)," ",77-COUNTBLANK($C$6:C82))</f>
        <v xml:space="preserve"> </v>
      </c>
      <c r="B82" s="88"/>
      <c r="C82" s="88"/>
      <c r="D82" s="89"/>
      <c r="E82" s="89"/>
      <c r="F82" s="73"/>
      <c r="G82" s="73"/>
      <c r="H82" s="73"/>
      <c r="I82" s="73"/>
      <c r="J82" s="73"/>
      <c r="K82" s="73"/>
      <c r="L82" s="73"/>
      <c r="M82" s="74"/>
      <c r="N82" s="71" t="str">
        <f t="shared" si="1"/>
        <v/>
      </c>
      <c r="O82" s="72"/>
      <c r="P82" s="72"/>
      <c r="Q82" s="72"/>
      <c r="R82" s="72"/>
      <c r="S82" s="72"/>
      <c r="T82" s="72"/>
      <c r="U82" s="72"/>
      <c r="V82" s="72"/>
    </row>
    <row r="83" spans="1:25" ht="27.75" customHeight="1">
      <c r="A83" s="87" t="str">
        <f>IF(ISBLANK(C83)," ",78-COUNTBLANK($C$6:C83))</f>
        <v xml:space="preserve"> </v>
      </c>
      <c r="B83" s="88"/>
      <c r="C83" s="88"/>
      <c r="D83" s="89"/>
      <c r="E83" s="89"/>
      <c r="F83" s="73"/>
      <c r="G83" s="73"/>
      <c r="H83" s="73"/>
      <c r="I83" s="73"/>
      <c r="J83" s="73"/>
      <c r="K83" s="73"/>
      <c r="L83" s="73"/>
      <c r="M83" s="74"/>
      <c r="N83" s="71" t="str">
        <f t="shared" si="1"/>
        <v/>
      </c>
      <c r="O83" s="72"/>
      <c r="P83" s="72"/>
      <c r="Q83" s="72"/>
      <c r="R83" s="72"/>
      <c r="S83" s="72"/>
      <c r="T83" s="72"/>
      <c r="U83" s="72"/>
      <c r="V83" s="72"/>
    </row>
    <row r="84" spans="1:25" ht="27.75" customHeight="1">
      <c r="A84" s="87" t="str">
        <f>IF(ISBLANK(C84)," ",79-COUNTBLANK($C$6:C84))</f>
        <v xml:space="preserve"> </v>
      </c>
      <c r="B84" s="88"/>
      <c r="C84" s="88"/>
      <c r="D84" s="89"/>
      <c r="E84" s="89"/>
      <c r="F84" s="73"/>
      <c r="G84" s="73"/>
      <c r="H84" s="73"/>
      <c r="I84" s="73"/>
      <c r="J84" s="73"/>
      <c r="K84" s="73"/>
      <c r="L84" s="73"/>
      <c r="M84" s="74"/>
      <c r="N84" s="71" t="str">
        <f t="shared" si="1"/>
        <v/>
      </c>
      <c r="O84" s="75"/>
      <c r="P84" s="72"/>
      <c r="Q84" s="72"/>
      <c r="R84" s="72"/>
      <c r="S84" s="72"/>
      <c r="T84" s="72"/>
      <c r="U84" s="72"/>
      <c r="V84" s="76"/>
    </row>
    <row r="85" spans="1:25" ht="27.75" customHeight="1">
      <c r="A85" s="87" t="str">
        <f>IF(ISBLANK(C85)," ",80-COUNTBLANK($C$6:C85))</f>
        <v xml:space="preserve"> </v>
      </c>
      <c r="B85" s="88"/>
      <c r="C85" s="88"/>
      <c r="D85" s="89"/>
      <c r="E85" s="89"/>
      <c r="F85" s="73"/>
      <c r="G85" s="73"/>
      <c r="H85" s="73"/>
      <c r="I85" s="73"/>
      <c r="J85" s="73"/>
      <c r="K85" s="73"/>
      <c r="L85" s="73"/>
      <c r="M85" s="74"/>
      <c r="N85" s="71" t="str">
        <f t="shared" si="1"/>
        <v/>
      </c>
      <c r="O85" s="75"/>
      <c r="P85" s="72"/>
      <c r="Q85" s="72"/>
      <c r="R85" s="72"/>
      <c r="S85" s="72"/>
      <c r="T85" s="72"/>
      <c r="U85" s="72"/>
      <c r="V85" s="76"/>
    </row>
    <row r="86" spans="1:25" ht="27.75" customHeight="1">
      <c r="A86" s="87" t="str">
        <f>IF(ISBLANK(C86)," ",81-COUNTBLANK($C$6:C86))</f>
        <v xml:space="preserve"> </v>
      </c>
      <c r="B86" s="88"/>
      <c r="C86" s="88"/>
      <c r="D86" s="89"/>
      <c r="E86" s="89"/>
      <c r="F86" s="73"/>
      <c r="G86" s="73"/>
      <c r="H86" s="73"/>
      <c r="I86" s="73"/>
      <c r="J86" s="73"/>
      <c r="K86" s="73"/>
      <c r="L86" s="73"/>
      <c r="M86" s="74"/>
      <c r="N86" s="71" t="str">
        <f t="shared" si="1"/>
        <v/>
      </c>
      <c r="O86" s="75"/>
      <c r="P86" s="72"/>
      <c r="Q86" s="72"/>
      <c r="R86" s="72"/>
      <c r="S86" s="72"/>
      <c r="T86" s="72"/>
      <c r="U86" s="72"/>
      <c r="V86" s="76"/>
    </row>
    <row r="87" spans="1:25" ht="27.75" customHeight="1">
      <c r="A87" s="87" t="str">
        <f>IF(ISBLANK(C87)," ",82-COUNTBLANK($C$6:C87))</f>
        <v xml:space="preserve"> </v>
      </c>
      <c r="B87" s="88"/>
      <c r="C87" s="88"/>
      <c r="D87" s="89"/>
      <c r="E87" s="89"/>
      <c r="F87" s="73"/>
      <c r="G87" s="73"/>
      <c r="H87" s="73"/>
      <c r="I87" s="73"/>
      <c r="J87" s="73"/>
      <c r="K87" s="73"/>
      <c r="L87" s="73"/>
      <c r="M87" s="74"/>
      <c r="N87" s="71" t="str">
        <f t="shared" si="1"/>
        <v/>
      </c>
      <c r="O87" s="75"/>
      <c r="P87" s="72"/>
      <c r="Q87" s="72"/>
      <c r="R87" s="72"/>
      <c r="S87" s="72"/>
      <c r="T87" s="72"/>
      <c r="U87" s="72"/>
      <c r="V87" s="76"/>
    </row>
    <row r="88" spans="1:25" ht="27.75" customHeight="1">
      <c r="A88" s="87" t="str">
        <f>IF(ISBLANK(C88)," ",83-COUNTBLANK($C$6:C88))</f>
        <v xml:space="preserve"> </v>
      </c>
      <c r="B88" s="88"/>
      <c r="C88" s="88"/>
      <c r="D88" s="89"/>
      <c r="E88" s="89"/>
      <c r="F88" s="73"/>
      <c r="G88" s="73"/>
      <c r="H88" s="73"/>
      <c r="I88" s="73"/>
      <c r="J88" s="73"/>
      <c r="K88" s="73"/>
      <c r="L88" s="73"/>
      <c r="M88" s="74"/>
      <c r="N88" s="71" t="str">
        <f t="shared" si="1"/>
        <v/>
      </c>
      <c r="O88" s="72"/>
      <c r="P88" s="72"/>
      <c r="Q88" s="72"/>
      <c r="R88" s="72"/>
      <c r="S88" s="72"/>
      <c r="T88" s="72"/>
      <c r="U88" s="72"/>
      <c r="V88" s="79"/>
      <c r="W88" s="72"/>
      <c r="X88" s="72"/>
      <c r="Y88" s="72"/>
    </row>
    <row r="89" spans="1:25" ht="27.75" customHeight="1">
      <c r="A89" s="80" t="s">
        <v>52</v>
      </c>
      <c r="B89" s="81"/>
      <c r="C89" s="96"/>
      <c r="D89" s="82"/>
      <c r="E89" s="82">
        <f>SUM(E69:E88)</f>
        <v>0</v>
      </c>
      <c r="F89" s="83"/>
      <c r="G89" s="83"/>
      <c r="H89" s="83"/>
      <c r="I89" s="83"/>
      <c r="J89" s="83"/>
      <c r="K89" s="83"/>
      <c r="L89" s="83"/>
      <c r="M89" s="84"/>
      <c r="N89" s="71" t="str">
        <f t="shared" si="1"/>
        <v/>
      </c>
      <c r="O89" s="75"/>
      <c r="P89" s="72"/>
      <c r="Q89" s="72"/>
      <c r="R89" s="72"/>
      <c r="S89" s="72"/>
      <c r="T89" s="72"/>
      <c r="U89" s="72"/>
      <c r="V89" s="79"/>
      <c r="W89" s="72"/>
      <c r="X89" s="72"/>
      <c r="Y89" s="72"/>
    </row>
    <row r="90" spans="1:25" ht="27.75" customHeight="1">
      <c r="A90" s="93" t="str">
        <f>IF(ISBLANK(C90)," ",85-COUNTBLANK($C$6:C90))</f>
        <v xml:space="preserve"> </v>
      </c>
      <c r="B90" s="94"/>
      <c r="C90" s="94"/>
      <c r="D90" s="95"/>
      <c r="E90" s="95"/>
      <c r="F90" s="85"/>
      <c r="G90" s="85"/>
      <c r="H90" s="85"/>
      <c r="I90" s="85"/>
      <c r="J90" s="85"/>
      <c r="K90" s="85"/>
      <c r="L90" s="85"/>
      <c r="M90" s="86"/>
      <c r="N90" s="71" t="str">
        <f t="shared" si="1"/>
        <v/>
      </c>
      <c r="O90" s="72"/>
      <c r="P90" s="72"/>
      <c r="Q90" s="72"/>
      <c r="R90" s="72"/>
      <c r="S90" s="72"/>
      <c r="T90" s="72"/>
      <c r="U90" s="72"/>
      <c r="V90" s="72"/>
    </row>
    <row r="91" spans="1:25" ht="27.75" customHeight="1">
      <c r="A91" s="87" t="str">
        <f>IF(ISBLANK(C91)," ",86-COUNTBLANK($C$6:C91))</f>
        <v xml:space="preserve"> </v>
      </c>
      <c r="B91" s="88"/>
      <c r="C91" s="88"/>
      <c r="D91" s="89"/>
      <c r="E91" s="89"/>
      <c r="F91" s="73"/>
      <c r="G91" s="73"/>
      <c r="H91" s="73"/>
      <c r="I91" s="73"/>
      <c r="J91" s="73"/>
      <c r="K91" s="73"/>
      <c r="L91" s="73"/>
      <c r="M91" s="74"/>
      <c r="N91" s="71" t="str">
        <f t="shared" si="1"/>
        <v/>
      </c>
      <c r="O91" s="72"/>
      <c r="P91" s="72"/>
      <c r="Q91" s="72"/>
      <c r="R91" s="72"/>
      <c r="S91" s="72"/>
      <c r="T91" s="72"/>
      <c r="U91" s="72"/>
      <c r="V91" s="72"/>
    </row>
    <row r="92" spans="1:25" ht="27.75" customHeight="1">
      <c r="A92" s="87" t="str">
        <f>IF(ISBLANK(C92)," ",87-COUNTBLANK($C$6:C92))</f>
        <v xml:space="preserve"> </v>
      </c>
      <c r="B92" s="88"/>
      <c r="C92" s="88"/>
      <c r="D92" s="89"/>
      <c r="E92" s="89"/>
      <c r="F92" s="73"/>
      <c r="G92" s="73"/>
      <c r="H92" s="73"/>
      <c r="I92" s="73"/>
      <c r="J92" s="73"/>
      <c r="K92" s="73"/>
      <c r="L92" s="73"/>
      <c r="M92" s="74"/>
      <c r="N92" s="71" t="str">
        <f t="shared" si="1"/>
        <v/>
      </c>
      <c r="O92" s="72"/>
      <c r="P92" s="72"/>
      <c r="Q92" s="72"/>
      <c r="R92" s="72"/>
      <c r="S92" s="72"/>
      <c r="T92" s="72"/>
      <c r="U92" s="72"/>
      <c r="V92" s="72"/>
    </row>
    <row r="93" spans="1:25" ht="27.75" customHeight="1">
      <c r="A93" s="87" t="str">
        <f>IF(ISBLANK(C93)," ",88-COUNTBLANK($C$6:C93))</f>
        <v xml:space="preserve"> </v>
      </c>
      <c r="B93" s="88"/>
      <c r="C93" s="88"/>
      <c r="D93" s="89"/>
      <c r="E93" s="89"/>
      <c r="F93" s="73"/>
      <c r="G93" s="73"/>
      <c r="H93" s="73"/>
      <c r="I93" s="73"/>
      <c r="J93" s="73"/>
      <c r="K93" s="73"/>
      <c r="L93" s="73"/>
      <c r="M93" s="74"/>
      <c r="N93" s="71" t="str">
        <f t="shared" si="1"/>
        <v/>
      </c>
      <c r="O93" s="72"/>
      <c r="P93" s="72"/>
      <c r="Q93" s="72"/>
      <c r="R93" s="72"/>
      <c r="S93" s="72"/>
      <c r="T93" s="72"/>
      <c r="U93" s="72"/>
      <c r="V93" s="72"/>
    </row>
    <row r="94" spans="1:25" ht="27.75" customHeight="1">
      <c r="A94" s="87" t="str">
        <f>IF(ISBLANK(C94)," ",89-COUNTBLANK($C$6:C94))</f>
        <v xml:space="preserve"> </v>
      </c>
      <c r="B94" s="88"/>
      <c r="C94" s="88"/>
      <c r="D94" s="89"/>
      <c r="E94" s="89"/>
      <c r="F94" s="73"/>
      <c r="G94" s="73"/>
      <c r="H94" s="73"/>
      <c r="I94" s="73"/>
      <c r="J94" s="73"/>
      <c r="K94" s="73"/>
      <c r="L94" s="73"/>
      <c r="M94" s="74"/>
      <c r="N94" s="71" t="str">
        <f t="shared" si="1"/>
        <v/>
      </c>
      <c r="O94" s="72"/>
      <c r="P94" s="72"/>
      <c r="Q94" s="72"/>
      <c r="R94" s="72"/>
      <c r="S94" s="72"/>
      <c r="T94" s="72"/>
      <c r="U94" s="72"/>
      <c r="V94" s="72"/>
    </row>
    <row r="95" spans="1:25" ht="27.75" customHeight="1">
      <c r="A95" s="87" t="str">
        <f>IF(ISBLANK(C95)," ",90-COUNTBLANK($C$6:C95))</f>
        <v xml:space="preserve"> </v>
      </c>
      <c r="B95" s="88"/>
      <c r="C95" s="88"/>
      <c r="D95" s="89"/>
      <c r="E95" s="89"/>
      <c r="F95" s="73"/>
      <c r="G95" s="73"/>
      <c r="H95" s="73"/>
      <c r="I95" s="73"/>
      <c r="J95" s="73"/>
      <c r="K95" s="73"/>
      <c r="L95" s="73"/>
      <c r="M95" s="74"/>
      <c r="N95" s="71" t="str">
        <f t="shared" si="1"/>
        <v/>
      </c>
      <c r="O95" s="72"/>
      <c r="P95" s="72"/>
      <c r="Q95" s="72"/>
      <c r="R95" s="72"/>
      <c r="S95" s="72"/>
      <c r="T95" s="72"/>
      <c r="U95" s="72"/>
      <c r="V95" s="72"/>
    </row>
    <row r="96" spans="1:25" ht="27.75" customHeight="1">
      <c r="A96" s="87" t="str">
        <f>IF(ISBLANK(C96)," ",91-COUNTBLANK($C$6:C96))</f>
        <v xml:space="preserve"> </v>
      </c>
      <c r="B96" s="88"/>
      <c r="C96" s="88"/>
      <c r="D96" s="89"/>
      <c r="E96" s="89"/>
      <c r="F96" s="73"/>
      <c r="G96" s="73"/>
      <c r="H96" s="73"/>
      <c r="I96" s="73"/>
      <c r="J96" s="73"/>
      <c r="K96" s="73"/>
      <c r="L96" s="73"/>
      <c r="M96" s="74"/>
      <c r="N96" s="71" t="str">
        <f t="shared" si="1"/>
        <v/>
      </c>
      <c r="O96" s="72"/>
      <c r="P96" s="72"/>
      <c r="Q96" s="72"/>
      <c r="R96" s="72"/>
      <c r="S96" s="72"/>
      <c r="T96" s="72"/>
      <c r="U96" s="72"/>
      <c r="V96" s="72"/>
    </row>
    <row r="97" spans="1:25" ht="27.75" customHeight="1">
      <c r="A97" s="87" t="str">
        <f>IF(ISBLANK(C97)," ",92-COUNTBLANK($C$6:C97))</f>
        <v xml:space="preserve"> </v>
      </c>
      <c r="B97" s="88"/>
      <c r="C97" s="88"/>
      <c r="D97" s="89"/>
      <c r="E97" s="89"/>
      <c r="F97" s="73"/>
      <c r="G97" s="73"/>
      <c r="H97" s="73"/>
      <c r="I97" s="73"/>
      <c r="J97" s="73"/>
      <c r="K97" s="73"/>
      <c r="L97" s="73"/>
      <c r="M97" s="74"/>
      <c r="N97" s="71" t="str">
        <f t="shared" si="1"/>
        <v/>
      </c>
      <c r="O97" s="72"/>
      <c r="P97" s="72"/>
      <c r="Q97" s="72"/>
      <c r="R97" s="72"/>
      <c r="S97" s="72"/>
      <c r="T97" s="72"/>
      <c r="U97" s="72"/>
      <c r="V97" s="72"/>
    </row>
    <row r="98" spans="1:25" ht="27.75" customHeight="1">
      <c r="A98" s="87" t="str">
        <f>IF(ISBLANK(C98)," ",93-COUNTBLANK($C$6:C98))</f>
        <v xml:space="preserve"> </v>
      </c>
      <c r="B98" s="88"/>
      <c r="C98" s="88"/>
      <c r="D98" s="89"/>
      <c r="E98" s="89"/>
      <c r="F98" s="73"/>
      <c r="G98" s="73"/>
      <c r="H98" s="73"/>
      <c r="I98" s="73"/>
      <c r="J98" s="73"/>
      <c r="K98" s="73"/>
      <c r="L98" s="73"/>
      <c r="M98" s="74"/>
      <c r="N98" s="71" t="str">
        <f t="shared" si="1"/>
        <v/>
      </c>
      <c r="O98" s="72"/>
      <c r="P98" s="72"/>
      <c r="Q98" s="72"/>
      <c r="R98" s="72"/>
      <c r="S98" s="72"/>
      <c r="T98" s="72"/>
      <c r="U98" s="72"/>
      <c r="V98" s="72"/>
    </row>
    <row r="99" spans="1:25" ht="27.75" customHeight="1">
      <c r="A99" s="87" t="str">
        <f>IF(ISBLANK(C99)," ",94-COUNTBLANK($C$6:C99))</f>
        <v xml:space="preserve"> </v>
      </c>
      <c r="B99" s="88"/>
      <c r="C99" s="88"/>
      <c r="D99" s="89"/>
      <c r="E99" s="89"/>
      <c r="F99" s="73"/>
      <c r="G99" s="73"/>
      <c r="H99" s="73"/>
      <c r="I99" s="73"/>
      <c r="J99" s="73"/>
      <c r="K99" s="73"/>
      <c r="L99" s="73"/>
      <c r="M99" s="74"/>
      <c r="N99" s="71" t="str">
        <f t="shared" si="1"/>
        <v/>
      </c>
      <c r="O99" s="72"/>
      <c r="P99" s="72"/>
      <c r="Q99" s="72"/>
      <c r="R99" s="72"/>
      <c r="S99" s="72"/>
      <c r="T99" s="72"/>
      <c r="U99" s="72"/>
      <c r="V99" s="72"/>
    </row>
    <row r="100" spans="1:25" ht="27.75" customHeight="1">
      <c r="A100" s="87" t="str">
        <f>IF(ISBLANK(C100)," ",95-COUNTBLANK($C$6:C100))</f>
        <v xml:space="preserve"> </v>
      </c>
      <c r="B100" s="88"/>
      <c r="C100" s="88"/>
      <c r="D100" s="89"/>
      <c r="E100" s="89"/>
      <c r="F100" s="73"/>
      <c r="G100" s="73"/>
      <c r="H100" s="73"/>
      <c r="I100" s="73"/>
      <c r="J100" s="73"/>
      <c r="K100" s="73"/>
      <c r="L100" s="73"/>
      <c r="M100" s="74"/>
      <c r="N100" s="71" t="str">
        <f t="shared" si="1"/>
        <v/>
      </c>
      <c r="O100" s="72"/>
      <c r="P100" s="72"/>
      <c r="Q100" s="72"/>
      <c r="R100" s="72"/>
      <c r="S100" s="72"/>
      <c r="T100" s="72"/>
      <c r="U100" s="72"/>
      <c r="V100" s="72"/>
    </row>
    <row r="101" spans="1:25" ht="27.75" customHeight="1">
      <c r="A101" s="87" t="str">
        <f>IF(ISBLANK(C101)," ",96-COUNTBLANK($C$6:C101))</f>
        <v xml:space="preserve"> </v>
      </c>
      <c r="B101" s="88"/>
      <c r="C101" s="88"/>
      <c r="D101" s="89"/>
      <c r="E101" s="89"/>
      <c r="F101" s="73"/>
      <c r="G101" s="73"/>
      <c r="H101" s="73"/>
      <c r="I101" s="73"/>
      <c r="J101" s="73"/>
      <c r="K101" s="73"/>
      <c r="L101" s="73"/>
      <c r="M101" s="74"/>
      <c r="N101" s="71" t="str">
        <f t="shared" si="1"/>
        <v/>
      </c>
      <c r="O101" s="72"/>
      <c r="P101" s="72"/>
      <c r="Q101" s="72"/>
      <c r="R101" s="72"/>
      <c r="S101" s="72"/>
      <c r="T101" s="72"/>
      <c r="U101" s="72"/>
      <c r="V101" s="72"/>
    </row>
    <row r="102" spans="1:25" ht="27.75" customHeight="1">
      <c r="A102" s="87" t="str">
        <f>IF(ISBLANK(C102)," ",97-COUNTBLANK($C$6:C102))</f>
        <v xml:space="preserve"> </v>
      </c>
      <c r="B102" s="88"/>
      <c r="C102" s="88"/>
      <c r="D102" s="89"/>
      <c r="E102" s="89"/>
      <c r="F102" s="73"/>
      <c r="G102" s="73"/>
      <c r="H102" s="73"/>
      <c r="I102" s="73"/>
      <c r="J102" s="73"/>
      <c r="K102" s="73"/>
      <c r="L102" s="73"/>
      <c r="M102" s="74"/>
      <c r="N102" s="71" t="str">
        <f t="shared" si="1"/>
        <v/>
      </c>
      <c r="O102" s="72"/>
      <c r="P102" s="72"/>
      <c r="Q102" s="72"/>
      <c r="R102" s="72"/>
      <c r="S102" s="72"/>
      <c r="T102" s="72"/>
      <c r="U102" s="72"/>
      <c r="V102" s="72"/>
    </row>
    <row r="103" spans="1:25" ht="27.75" customHeight="1">
      <c r="A103" s="87" t="str">
        <f>IF(ISBLANK(C103)," ",98-COUNTBLANK($C$6:C103))</f>
        <v xml:space="preserve"> </v>
      </c>
      <c r="B103" s="88"/>
      <c r="C103" s="88"/>
      <c r="D103" s="89"/>
      <c r="E103" s="89"/>
      <c r="F103" s="73"/>
      <c r="G103" s="73"/>
      <c r="H103" s="73"/>
      <c r="I103" s="73"/>
      <c r="J103" s="73"/>
      <c r="K103" s="73"/>
      <c r="L103" s="73"/>
      <c r="M103" s="74"/>
      <c r="N103" s="71" t="str">
        <f t="shared" si="1"/>
        <v/>
      </c>
      <c r="O103" s="72"/>
      <c r="P103" s="72"/>
      <c r="Q103" s="72"/>
      <c r="R103" s="72"/>
      <c r="S103" s="72"/>
      <c r="T103" s="72"/>
      <c r="U103" s="72"/>
      <c r="V103" s="72"/>
    </row>
    <row r="104" spans="1:25" ht="27.75" customHeight="1">
      <c r="A104" s="87" t="str">
        <f>IF(ISBLANK(C104)," ",99-COUNTBLANK($C$6:C104))</f>
        <v xml:space="preserve"> </v>
      </c>
      <c r="B104" s="88"/>
      <c r="C104" s="88"/>
      <c r="D104" s="89"/>
      <c r="E104" s="89"/>
      <c r="F104" s="73"/>
      <c r="G104" s="73"/>
      <c r="H104" s="73"/>
      <c r="I104" s="73"/>
      <c r="J104" s="73"/>
      <c r="K104" s="73"/>
      <c r="L104" s="73"/>
      <c r="M104" s="74"/>
      <c r="N104" s="71" t="str">
        <f t="shared" si="1"/>
        <v/>
      </c>
      <c r="O104" s="72"/>
      <c r="P104" s="72"/>
      <c r="Q104" s="72"/>
      <c r="R104" s="72"/>
      <c r="S104" s="72"/>
      <c r="T104" s="72"/>
      <c r="U104" s="72"/>
      <c r="V104" s="72"/>
    </row>
    <row r="105" spans="1:25" ht="27.75" customHeight="1">
      <c r="A105" s="87" t="str">
        <f>IF(ISBLANK(C105)," ",100-COUNTBLANK($C$6:C105))</f>
        <v xml:space="preserve"> </v>
      </c>
      <c r="B105" s="88"/>
      <c r="C105" s="88"/>
      <c r="D105" s="89"/>
      <c r="E105" s="89"/>
      <c r="F105" s="73"/>
      <c r="G105" s="73"/>
      <c r="H105" s="73"/>
      <c r="I105" s="73"/>
      <c r="J105" s="73"/>
      <c r="K105" s="73"/>
      <c r="L105" s="73"/>
      <c r="M105" s="74"/>
      <c r="N105" s="71" t="str">
        <f t="shared" si="1"/>
        <v/>
      </c>
      <c r="O105" s="75"/>
      <c r="P105" s="72"/>
      <c r="Q105" s="72"/>
      <c r="R105" s="72"/>
      <c r="S105" s="72"/>
      <c r="T105" s="72"/>
      <c r="U105" s="72"/>
      <c r="V105" s="76"/>
    </row>
    <row r="106" spans="1:25" ht="27.75" customHeight="1">
      <c r="A106" s="87" t="str">
        <f>IF(ISBLANK(C106)," ",101-COUNTBLANK($C$6:C106))</f>
        <v xml:space="preserve"> </v>
      </c>
      <c r="B106" s="88"/>
      <c r="C106" s="88"/>
      <c r="D106" s="89"/>
      <c r="E106" s="89"/>
      <c r="F106" s="73"/>
      <c r="G106" s="73"/>
      <c r="H106" s="73"/>
      <c r="I106" s="73"/>
      <c r="J106" s="73"/>
      <c r="K106" s="73"/>
      <c r="L106" s="73"/>
      <c r="M106" s="74"/>
      <c r="N106" s="71" t="str">
        <f t="shared" si="1"/>
        <v/>
      </c>
      <c r="O106" s="75"/>
      <c r="P106" s="72"/>
      <c r="Q106" s="72"/>
      <c r="R106" s="72"/>
      <c r="S106" s="72"/>
      <c r="T106" s="72"/>
      <c r="U106" s="72"/>
      <c r="V106" s="76"/>
    </row>
    <row r="107" spans="1:25" ht="27.75" customHeight="1">
      <c r="A107" s="87" t="str">
        <f>IF(ISBLANK(C107)," ",102-COUNTBLANK($C$6:C107))</f>
        <v xml:space="preserve"> </v>
      </c>
      <c r="B107" s="88"/>
      <c r="C107" s="88"/>
      <c r="D107" s="89"/>
      <c r="E107" s="89"/>
      <c r="F107" s="73"/>
      <c r="G107" s="73"/>
      <c r="H107" s="73"/>
      <c r="I107" s="73"/>
      <c r="J107" s="73"/>
      <c r="K107" s="73"/>
      <c r="L107" s="73"/>
      <c r="M107" s="74"/>
      <c r="N107" s="71" t="str">
        <f t="shared" si="1"/>
        <v/>
      </c>
      <c r="O107" s="75"/>
      <c r="P107" s="72"/>
      <c r="Q107" s="72"/>
      <c r="R107" s="72"/>
      <c r="S107" s="72"/>
      <c r="T107" s="72"/>
      <c r="U107" s="72"/>
      <c r="V107" s="76"/>
    </row>
    <row r="108" spans="1:25" ht="27.75" customHeight="1">
      <c r="A108" s="87" t="str">
        <f>IF(ISBLANK(C108)," ",103-COUNTBLANK($C$6:C108))</f>
        <v xml:space="preserve"> </v>
      </c>
      <c r="B108" s="88"/>
      <c r="C108" s="88"/>
      <c r="D108" s="89"/>
      <c r="E108" s="89"/>
      <c r="F108" s="73"/>
      <c r="G108" s="73"/>
      <c r="H108" s="73"/>
      <c r="I108" s="73"/>
      <c r="J108" s="73"/>
      <c r="K108" s="73"/>
      <c r="L108" s="73"/>
      <c r="M108" s="74"/>
      <c r="N108" s="71" t="str">
        <f t="shared" si="1"/>
        <v/>
      </c>
      <c r="O108" s="75"/>
      <c r="P108" s="72"/>
      <c r="Q108" s="72"/>
      <c r="R108" s="72"/>
      <c r="S108" s="72"/>
      <c r="T108" s="72"/>
      <c r="U108" s="72"/>
      <c r="V108" s="76"/>
    </row>
    <row r="109" spans="1:25" ht="27.75" customHeight="1">
      <c r="A109" s="87" t="str">
        <f>IF(ISBLANK(C109)," ",104-COUNTBLANK($C$6:C109))</f>
        <v xml:space="preserve"> </v>
      </c>
      <c r="B109" s="88"/>
      <c r="C109" s="88"/>
      <c r="D109" s="89"/>
      <c r="E109" s="89"/>
      <c r="F109" s="73"/>
      <c r="G109" s="73"/>
      <c r="H109" s="73"/>
      <c r="I109" s="73"/>
      <c r="J109" s="73"/>
      <c r="K109" s="73"/>
      <c r="L109" s="73"/>
      <c r="M109" s="74"/>
      <c r="N109" s="71" t="str">
        <f t="shared" si="1"/>
        <v/>
      </c>
      <c r="O109" s="72"/>
      <c r="P109" s="72"/>
      <c r="Q109" s="72"/>
      <c r="R109" s="72"/>
      <c r="S109" s="72"/>
      <c r="T109" s="72"/>
      <c r="U109" s="72"/>
      <c r="V109" s="79"/>
      <c r="W109" s="72"/>
      <c r="X109" s="72"/>
      <c r="Y109" s="72"/>
    </row>
    <row r="110" spans="1:25" ht="27.75" customHeight="1">
      <c r="A110" s="80" t="s">
        <v>52</v>
      </c>
      <c r="B110" s="81"/>
      <c r="C110" s="96"/>
      <c r="D110" s="82"/>
      <c r="E110" s="82">
        <f>SUM(E90:E109)</f>
        <v>0</v>
      </c>
      <c r="F110" s="83"/>
      <c r="G110" s="83"/>
      <c r="H110" s="83"/>
      <c r="I110" s="83"/>
      <c r="J110" s="83"/>
      <c r="K110" s="83"/>
      <c r="L110" s="83"/>
      <c r="M110" s="84"/>
      <c r="N110" s="71" t="str">
        <f t="shared" si="1"/>
        <v/>
      </c>
      <c r="O110" s="75"/>
      <c r="P110" s="72"/>
      <c r="Q110" s="72"/>
      <c r="R110" s="72"/>
      <c r="S110" s="72"/>
      <c r="T110" s="72"/>
      <c r="U110" s="72"/>
      <c r="V110" s="79"/>
      <c r="W110" s="72"/>
      <c r="X110" s="72"/>
      <c r="Y110" s="72"/>
    </row>
    <row r="111" spans="1:25" ht="27.75" customHeight="1">
      <c r="A111" s="93" t="str">
        <f>IF(ISBLANK(C111)," ",106-COUNTBLANK($C$6:C111))</f>
        <v xml:space="preserve"> </v>
      </c>
      <c r="B111" s="94"/>
      <c r="C111" s="94"/>
      <c r="D111" s="95"/>
      <c r="E111" s="95"/>
      <c r="F111" s="85"/>
      <c r="G111" s="85"/>
      <c r="H111" s="85"/>
      <c r="I111" s="85"/>
      <c r="J111" s="85"/>
      <c r="K111" s="85"/>
      <c r="L111" s="85"/>
      <c r="M111" s="86"/>
      <c r="N111" s="71" t="str">
        <f t="shared" si="1"/>
        <v/>
      </c>
      <c r="O111" s="72"/>
      <c r="P111" s="72"/>
      <c r="Q111" s="72"/>
      <c r="R111" s="72"/>
      <c r="S111" s="72"/>
      <c r="T111" s="72"/>
      <c r="U111" s="72"/>
      <c r="V111" s="72"/>
    </row>
    <row r="112" spans="1:25" ht="27.75" customHeight="1">
      <c r="A112" s="87" t="str">
        <f>IF(ISBLANK(C112)," ",107-COUNTBLANK($C$6:C112))</f>
        <v xml:space="preserve"> </v>
      </c>
      <c r="B112" s="88"/>
      <c r="C112" s="88"/>
      <c r="D112" s="89"/>
      <c r="E112" s="89"/>
      <c r="F112" s="73"/>
      <c r="G112" s="73"/>
      <c r="H112" s="73"/>
      <c r="I112" s="73"/>
      <c r="J112" s="73"/>
      <c r="K112" s="73"/>
      <c r="L112" s="73"/>
      <c r="M112" s="74"/>
      <c r="N112" s="71" t="str">
        <f t="shared" si="1"/>
        <v/>
      </c>
      <c r="O112" s="72"/>
      <c r="P112" s="72"/>
      <c r="Q112" s="72"/>
      <c r="R112" s="72"/>
      <c r="S112" s="72"/>
      <c r="T112" s="72"/>
      <c r="U112" s="72"/>
      <c r="V112" s="72"/>
    </row>
    <row r="113" spans="1:22" ht="27.75" customHeight="1">
      <c r="A113" s="87" t="str">
        <f>IF(ISBLANK(C113)," ",108-COUNTBLANK($C$6:C113))</f>
        <v xml:space="preserve"> </v>
      </c>
      <c r="B113" s="88"/>
      <c r="C113" s="88"/>
      <c r="D113" s="89"/>
      <c r="E113" s="89"/>
      <c r="F113" s="73"/>
      <c r="G113" s="73"/>
      <c r="H113" s="73"/>
      <c r="I113" s="73"/>
      <c r="J113" s="73"/>
      <c r="K113" s="73"/>
      <c r="L113" s="73"/>
      <c r="M113" s="74"/>
      <c r="N113" s="71" t="str">
        <f t="shared" si="1"/>
        <v/>
      </c>
      <c r="O113" s="72"/>
      <c r="P113" s="72"/>
      <c r="Q113" s="72"/>
      <c r="R113" s="72"/>
      <c r="S113" s="72"/>
      <c r="T113" s="72"/>
      <c r="U113" s="72"/>
      <c r="V113" s="72"/>
    </row>
    <row r="114" spans="1:22" ht="27.75" customHeight="1">
      <c r="A114" s="87" t="str">
        <f>IF(ISBLANK(C114)," ",109-COUNTBLANK($C$6:C114))</f>
        <v xml:space="preserve"> </v>
      </c>
      <c r="B114" s="88"/>
      <c r="C114" s="88"/>
      <c r="D114" s="89"/>
      <c r="E114" s="89"/>
      <c r="F114" s="73"/>
      <c r="G114" s="73"/>
      <c r="H114" s="73"/>
      <c r="I114" s="73"/>
      <c r="J114" s="73"/>
      <c r="K114" s="73"/>
      <c r="L114" s="73"/>
      <c r="M114" s="74"/>
      <c r="N114" s="71" t="str">
        <f t="shared" si="1"/>
        <v/>
      </c>
      <c r="O114" s="72"/>
      <c r="P114" s="72"/>
      <c r="Q114" s="72"/>
      <c r="R114" s="72"/>
      <c r="S114" s="72"/>
      <c r="T114" s="72"/>
      <c r="U114" s="72"/>
      <c r="V114" s="72"/>
    </row>
    <row r="115" spans="1:22" ht="27.75" customHeight="1">
      <c r="A115" s="87" t="str">
        <f>IF(ISBLANK(C115)," ",110-COUNTBLANK($C$6:C115))</f>
        <v xml:space="preserve"> </v>
      </c>
      <c r="B115" s="88"/>
      <c r="C115" s="88"/>
      <c r="D115" s="89"/>
      <c r="E115" s="89"/>
      <c r="F115" s="73"/>
      <c r="G115" s="73"/>
      <c r="H115" s="73"/>
      <c r="I115" s="73"/>
      <c r="J115" s="73"/>
      <c r="K115" s="73"/>
      <c r="L115" s="73"/>
      <c r="M115" s="74"/>
      <c r="N115" s="71" t="str">
        <f t="shared" si="1"/>
        <v/>
      </c>
      <c r="O115" s="72"/>
      <c r="P115" s="72"/>
      <c r="Q115" s="72"/>
      <c r="R115" s="72"/>
      <c r="S115" s="72"/>
      <c r="T115" s="72"/>
      <c r="U115" s="72"/>
      <c r="V115" s="72"/>
    </row>
    <row r="116" spans="1:22" ht="27.75" customHeight="1">
      <c r="A116" s="87" t="str">
        <f>IF(ISBLANK(C116)," ",111-COUNTBLANK($C$6:C116))</f>
        <v xml:space="preserve"> </v>
      </c>
      <c r="B116" s="88"/>
      <c r="C116" s="88"/>
      <c r="D116" s="89"/>
      <c r="E116" s="89"/>
      <c r="F116" s="73"/>
      <c r="G116" s="73"/>
      <c r="H116" s="73"/>
      <c r="I116" s="73"/>
      <c r="J116" s="73"/>
      <c r="K116" s="73"/>
      <c r="L116" s="73"/>
      <c r="M116" s="74"/>
      <c r="N116" s="71" t="str">
        <f t="shared" si="1"/>
        <v/>
      </c>
      <c r="O116" s="72"/>
      <c r="P116" s="72"/>
      <c r="Q116" s="72"/>
      <c r="R116" s="72"/>
      <c r="S116" s="72"/>
      <c r="T116" s="72"/>
      <c r="U116" s="72"/>
      <c r="V116" s="72"/>
    </row>
    <row r="117" spans="1:22" ht="27.75" customHeight="1">
      <c r="A117" s="87" t="str">
        <f>IF(ISBLANK(C117)," ",112-COUNTBLANK($C$6:C117))</f>
        <v xml:space="preserve"> </v>
      </c>
      <c r="B117" s="88"/>
      <c r="C117" s="88"/>
      <c r="D117" s="89"/>
      <c r="E117" s="89"/>
      <c r="F117" s="73"/>
      <c r="G117" s="73"/>
      <c r="H117" s="73"/>
      <c r="I117" s="73"/>
      <c r="J117" s="73"/>
      <c r="K117" s="73"/>
      <c r="L117" s="73"/>
      <c r="M117" s="74"/>
      <c r="N117" s="71" t="str">
        <f t="shared" si="1"/>
        <v/>
      </c>
      <c r="O117" s="72"/>
      <c r="P117" s="72"/>
      <c r="Q117" s="72"/>
      <c r="R117" s="72"/>
      <c r="S117" s="72"/>
      <c r="T117" s="72"/>
      <c r="U117" s="72"/>
      <c r="V117" s="72"/>
    </row>
    <row r="118" spans="1:22" ht="27.75" customHeight="1">
      <c r="A118" s="87" t="str">
        <f>IF(ISBLANK(C118)," ",113-COUNTBLANK($C$6:C118))</f>
        <v xml:space="preserve"> </v>
      </c>
      <c r="B118" s="88"/>
      <c r="C118" s="88"/>
      <c r="D118" s="89"/>
      <c r="E118" s="89"/>
      <c r="F118" s="73"/>
      <c r="G118" s="73"/>
      <c r="H118" s="73"/>
      <c r="I118" s="73"/>
      <c r="J118" s="73"/>
      <c r="K118" s="73"/>
      <c r="L118" s="73"/>
      <c r="M118" s="74"/>
      <c r="N118" s="71" t="str">
        <f t="shared" si="1"/>
        <v/>
      </c>
      <c r="O118" s="72"/>
      <c r="P118" s="72"/>
      <c r="Q118" s="72"/>
      <c r="R118" s="72"/>
      <c r="S118" s="72"/>
      <c r="T118" s="72"/>
      <c r="U118" s="72"/>
      <c r="V118" s="72"/>
    </row>
    <row r="119" spans="1:22" ht="27.75" customHeight="1">
      <c r="A119" s="87" t="str">
        <f>IF(ISBLANK(C119)," ",114-COUNTBLANK($C$6:C119))</f>
        <v xml:space="preserve"> </v>
      </c>
      <c r="B119" s="88"/>
      <c r="C119" s="88"/>
      <c r="D119" s="89"/>
      <c r="E119" s="89"/>
      <c r="F119" s="73"/>
      <c r="G119" s="73"/>
      <c r="H119" s="73"/>
      <c r="I119" s="73"/>
      <c r="J119" s="73"/>
      <c r="K119" s="73"/>
      <c r="L119" s="73"/>
      <c r="M119" s="74"/>
      <c r="N119" s="71" t="str">
        <f t="shared" si="1"/>
        <v/>
      </c>
      <c r="O119" s="72"/>
      <c r="P119" s="72"/>
      <c r="Q119" s="72"/>
      <c r="R119" s="72"/>
      <c r="S119" s="72"/>
      <c r="T119" s="72"/>
      <c r="U119" s="72"/>
      <c r="V119" s="72"/>
    </row>
    <row r="120" spans="1:22" ht="27.75" customHeight="1">
      <c r="A120" s="87" t="str">
        <f>IF(ISBLANK(C120)," ",115-COUNTBLANK($C$6:C120))</f>
        <v xml:space="preserve"> </v>
      </c>
      <c r="B120" s="88"/>
      <c r="C120" s="88"/>
      <c r="D120" s="89"/>
      <c r="E120" s="89"/>
      <c r="F120" s="73"/>
      <c r="G120" s="73"/>
      <c r="H120" s="73"/>
      <c r="I120" s="73"/>
      <c r="J120" s="73"/>
      <c r="K120" s="73"/>
      <c r="L120" s="73"/>
      <c r="M120" s="74"/>
      <c r="N120" s="71" t="str">
        <f t="shared" si="1"/>
        <v/>
      </c>
      <c r="O120" s="72"/>
      <c r="P120" s="72"/>
      <c r="Q120" s="72"/>
      <c r="R120" s="72"/>
      <c r="S120" s="72"/>
      <c r="T120" s="72"/>
      <c r="U120" s="72"/>
      <c r="V120" s="72"/>
    </row>
    <row r="121" spans="1:22" ht="27.75" customHeight="1">
      <c r="A121" s="87" t="str">
        <f>IF(ISBLANK(C121)," ",116-COUNTBLANK($C$6:C121))</f>
        <v xml:space="preserve"> </v>
      </c>
      <c r="B121" s="88"/>
      <c r="C121" s="88"/>
      <c r="D121" s="89"/>
      <c r="E121" s="89"/>
      <c r="F121" s="73"/>
      <c r="G121" s="73"/>
      <c r="H121" s="73"/>
      <c r="I121" s="73"/>
      <c r="J121" s="73"/>
      <c r="K121" s="73"/>
      <c r="L121" s="73"/>
      <c r="M121" s="74"/>
      <c r="N121" s="71" t="str">
        <f t="shared" si="1"/>
        <v/>
      </c>
      <c r="O121" s="72"/>
      <c r="P121" s="72"/>
      <c r="Q121" s="72"/>
      <c r="R121" s="72"/>
      <c r="S121" s="72"/>
      <c r="T121" s="72"/>
      <c r="U121" s="72"/>
      <c r="V121" s="72"/>
    </row>
    <row r="122" spans="1:22" ht="27.75" customHeight="1">
      <c r="A122" s="87" t="str">
        <f>IF(ISBLANK(C122)," ",117-COUNTBLANK($C$6:C122))</f>
        <v xml:space="preserve"> </v>
      </c>
      <c r="B122" s="88"/>
      <c r="C122" s="88"/>
      <c r="D122" s="89"/>
      <c r="E122" s="89"/>
      <c r="F122" s="73"/>
      <c r="G122" s="73"/>
      <c r="H122" s="73"/>
      <c r="I122" s="73"/>
      <c r="J122" s="73"/>
      <c r="K122" s="73"/>
      <c r="L122" s="73"/>
      <c r="M122" s="74"/>
      <c r="N122" s="71" t="str">
        <f t="shared" si="1"/>
        <v/>
      </c>
      <c r="O122" s="72"/>
      <c r="P122" s="72"/>
      <c r="Q122" s="72"/>
      <c r="R122" s="72"/>
      <c r="S122" s="72"/>
      <c r="T122" s="72"/>
      <c r="U122" s="72"/>
      <c r="V122" s="72"/>
    </row>
    <row r="123" spans="1:22" ht="27.75" customHeight="1">
      <c r="A123" s="87" t="str">
        <f>IF(ISBLANK(C123)," ",118-COUNTBLANK($C$6:C123))</f>
        <v xml:space="preserve"> </v>
      </c>
      <c r="B123" s="88"/>
      <c r="C123" s="88"/>
      <c r="D123" s="89"/>
      <c r="E123" s="89"/>
      <c r="F123" s="73"/>
      <c r="G123" s="73"/>
      <c r="H123" s="73"/>
      <c r="I123" s="73"/>
      <c r="J123" s="73"/>
      <c r="K123" s="73"/>
      <c r="L123" s="73"/>
      <c r="M123" s="74"/>
      <c r="N123" s="71" t="str">
        <f t="shared" si="1"/>
        <v/>
      </c>
      <c r="O123" s="72"/>
      <c r="P123" s="72"/>
      <c r="Q123" s="72"/>
      <c r="R123" s="72"/>
      <c r="S123" s="72"/>
      <c r="T123" s="72"/>
      <c r="U123" s="72"/>
      <c r="V123" s="72"/>
    </row>
    <row r="124" spans="1:22" ht="27.75" customHeight="1">
      <c r="A124" s="87" t="str">
        <f>IF(ISBLANK(C124)," ",119-COUNTBLANK($C$6:C124))</f>
        <v xml:space="preserve"> </v>
      </c>
      <c r="B124" s="88"/>
      <c r="C124" s="88"/>
      <c r="D124" s="89"/>
      <c r="E124" s="89"/>
      <c r="F124" s="73"/>
      <c r="G124" s="73"/>
      <c r="H124" s="73"/>
      <c r="I124" s="73"/>
      <c r="J124" s="73"/>
      <c r="K124" s="73"/>
      <c r="L124" s="73"/>
      <c r="M124" s="74"/>
      <c r="N124" s="71" t="str">
        <f t="shared" si="1"/>
        <v/>
      </c>
      <c r="O124" s="72"/>
      <c r="P124" s="72"/>
      <c r="Q124" s="72"/>
      <c r="R124" s="72"/>
      <c r="S124" s="72"/>
      <c r="T124" s="72"/>
      <c r="U124" s="72"/>
      <c r="V124" s="72"/>
    </row>
    <row r="125" spans="1:22" ht="27.75" customHeight="1">
      <c r="A125" s="87" t="str">
        <f>IF(ISBLANK(C125)," ",120-COUNTBLANK($C$6:C125))</f>
        <v xml:space="preserve"> </v>
      </c>
      <c r="B125" s="88"/>
      <c r="C125" s="88"/>
      <c r="D125" s="89"/>
      <c r="E125" s="89"/>
      <c r="F125" s="73"/>
      <c r="G125" s="73"/>
      <c r="H125" s="73"/>
      <c r="I125" s="73"/>
      <c r="J125" s="73"/>
      <c r="K125" s="73"/>
      <c r="L125" s="73"/>
      <c r="M125" s="74"/>
      <c r="N125" s="71" t="str">
        <f t="shared" si="1"/>
        <v/>
      </c>
      <c r="O125" s="72"/>
      <c r="P125" s="72"/>
      <c r="Q125" s="72"/>
      <c r="R125" s="72"/>
      <c r="S125" s="72"/>
      <c r="T125" s="72"/>
      <c r="U125" s="72"/>
      <c r="V125" s="72"/>
    </row>
    <row r="126" spans="1:22" ht="27.75" customHeight="1">
      <c r="A126" s="87" t="str">
        <f>IF(ISBLANK(C126)," ",121-COUNTBLANK($C$6:C126))</f>
        <v xml:space="preserve"> </v>
      </c>
      <c r="B126" s="88"/>
      <c r="C126" s="88"/>
      <c r="D126" s="89"/>
      <c r="E126" s="89"/>
      <c r="F126" s="73"/>
      <c r="G126" s="73"/>
      <c r="H126" s="73"/>
      <c r="I126" s="73"/>
      <c r="J126" s="73"/>
      <c r="K126" s="73"/>
      <c r="L126" s="73"/>
      <c r="M126" s="74"/>
      <c r="N126" s="71" t="str">
        <f t="shared" si="1"/>
        <v/>
      </c>
      <c r="O126" s="75"/>
      <c r="P126" s="72"/>
      <c r="Q126" s="72"/>
      <c r="R126" s="72"/>
      <c r="S126" s="72"/>
      <c r="T126" s="72"/>
      <c r="U126" s="72"/>
      <c r="V126" s="76"/>
    </row>
    <row r="127" spans="1:22" ht="27.75" customHeight="1">
      <c r="A127" s="87" t="str">
        <f>IF(ISBLANK(C127)," ",122-COUNTBLANK($C$6:C127))</f>
        <v xml:space="preserve"> </v>
      </c>
      <c r="B127" s="88"/>
      <c r="C127" s="88"/>
      <c r="D127" s="89"/>
      <c r="E127" s="89"/>
      <c r="F127" s="73"/>
      <c r="G127" s="73"/>
      <c r="H127" s="73"/>
      <c r="I127" s="73"/>
      <c r="J127" s="73"/>
      <c r="K127" s="73"/>
      <c r="L127" s="73"/>
      <c r="M127" s="74"/>
      <c r="N127" s="71" t="str">
        <f t="shared" si="1"/>
        <v/>
      </c>
      <c r="O127" s="75"/>
      <c r="P127" s="72"/>
      <c r="Q127" s="72"/>
      <c r="R127" s="72"/>
      <c r="S127" s="72"/>
      <c r="T127" s="72"/>
      <c r="U127" s="72"/>
      <c r="V127" s="76"/>
    </row>
    <row r="128" spans="1:22" ht="27.75" customHeight="1">
      <c r="A128" s="87" t="str">
        <f>IF(ISBLANK(C128)," ",123-COUNTBLANK($C$6:C128))</f>
        <v xml:space="preserve"> </v>
      </c>
      <c r="B128" s="88"/>
      <c r="C128" s="88"/>
      <c r="D128" s="89"/>
      <c r="E128" s="89"/>
      <c r="F128" s="73"/>
      <c r="G128" s="73"/>
      <c r="H128" s="73"/>
      <c r="I128" s="73"/>
      <c r="J128" s="73"/>
      <c r="K128" s="73"/>
      <c r="L128" s="73"/>
      <c r="M128" s="74"/>
      <c r="N128" s="71" t="str">
        <f t="shared" si="1"/>
        <v/>
      </c>
      <c r="O128" s="75"/>
      <c r="P128" s="72"/>
      <c r="Q128" s="72"/>
      <c r="R128" s="72"/>
      <c r="S128" s="72"/>
      <c r="T128" s="72"/>
      <c r="U128" s="72"/>
      <c r="V128" s="76"/>
    </row>
    <row r="129" spans="1:25" ht="27.75" customHeight="1">
      <c r="A129" s="87" t="str">
        <f>IF(ISBLANK(C129)," ",124-COUNTBLANK($C$6:C129))</f>
        <v xml:space="preserve"> </v>
      </c>
      <c r="B129" s="88"/>
      <c r="C129" s="88"/>
      <c r="D129" s="89"/>
      <c r="E129" s="89"/>
      <c r="F129" s="73"/>
      <c r="G129" s="73"/>
      <c r="H129" s="73"/>
      <c r="I129" s="73"/>
      <c r="J129" s="73"/>
      <c r="K129" s="73"/>
      <c r="L129" s="73"/>
      <c r="M129" s="74"/>
      <c r="N129" s="71" t="str">
        <f t="shared" si="1"/>
        <v/>
      </c>
      <c r="O129" s="75"/>
      <c r="P129" s="72"/>
      <c r="Q129" s="72"/>
      <c r="R129" s="72"/>
      <c r="S129" s="72"/>
      <c r="T129" s="72"/>
      <c r="U129" s="72"/>
      <c r="V129" s="76"/>
    </row>
    <row r="130" spans="1:25" ht="27.75" customHeight="1">
      <c r="A130" s="87" t="str">
        <f>IF(ISBLANK(C130)," ",125-COUNTBLANK($C$6:C130))</f>
        <v xml:space="preserve"> </v>
      </c>
      <c r="B130" s="88"/>
      <c r="C130" s="88"/>
      <c r="D130" s="89"/>
      <c r="E130" s="89"/>
      <c r="F130" s="73"/>
      <c r="G130" s="73"/>
      <c r="H130" s="73"/>
      <c r="I130" s="73"/>
      <c r="J130" s="73"/>
      <c r="K130" s="73"/>
      <c r="L130" s="73"/>
      <c r="M130" s="74"/>
      <c r="N130" s="71" t="str">
        <f t="shared" si="1"/>
        <v/>
      </c>
      <c r="O130" s="72"/>
      <c r="P130" s="72"/>
      <c r="Q130" s="72"/>
      <c r="R130" s="72"/>
      <c r="S130" s="72"/>
      <c r="T130" s="72"/>
      <c r="U130" s="72"/>
      <c r="V130" s="79"/>
      <c r="W130" s="72"/>
      <c r="X130" s="72"/>
      <c r="Y130" s="72"/>
    </row>
    <row r="131" spans="1:25" ht="27.75" customHeight="1">
      <c r="A131" s="80" t="s">
        <v>52</v>
      </c>
      <c r="B131" s="81"/>
      <c r="C131" s="96"/>
      <c r="D131" s="82"/>
      <c r="E131" s="82">
        <f>SUM(E111:E130)</f>
        <v>0</v>
      </c>
      <c r="F131" s="83"/>
      <c r="G131" s="83"/>
      <c r="H131" s="83"/>
      <c r="I131" s="83"/>
      <c r="J131" s="83"/>
      <c r="K131" s="83"/>
      <c r="L131" s="83"/>
      <c r="M131" s="84"/>
      <c r="N131" s="71" t="str">
        <f t="shared" si="1"/>
        <v/>
      </c>
      <c r="O131" s="75"/>
      <c r="P131" s="72"/>
      <c r="Q131" s="72"/>
      <c r="R131" s="72"/>
      <c r="S131" s="72"/>
      <c r="T131" s="72"/>
      <c r="U131" s="72"/>
      <c r="V131" s="79"/>
      <c r="W131" s="72"/>
      <c r="X131" s="72"/>
      <c r="Y131" s="72"/>
    </row>
    <row r="132" spans="1:25" ht="27.75" customHeight="1">
      <c r="A132" s="93" t="str">
        <f>IF(ISBLANK(C132)," ",127-COUNTBLANK($C$6:C132))</f>
        <v xml:space="preserve"> </v>
      </c>
      <c r="B132" s="94"/>
      <c r="C132" s="94"/>
      <c r="D132" s="95"/>
      <c r="E132" s="95"/>
      <c r="F132" s="85"/>
      <c r="G132" s="85"/>
      <c r="H132" s="85"/>
      <c r="I132" s="85"/>
      <c r="J132" s="85"/>
      <c r="K132" s="85"/>
      <c r="L132" s="85"/>
      <c r="M132" s="86"/>
      <c r="N132" s="71" t="str">
        <f t="shared" si="1"/>
        <v/>
      </c>
      <c r="O132" s="72"/>
      <c r="P132" s="72"/>
      <c r="Q132" s="72"/>
      <c r="R132" s="72"/>
      <c r="S132" s="72"/>
      <c r="T132" s="72"/>
      <c r="U132" s="72"/>
      <c r="V132" s="72"/>
    </row>
    <row r="133" spans="1:25" ht="27.75" customHeight="1">
      <c r="A133" s="87" t="str">
        <f>IF(ISBLANK(C133)," ",128-COUNTBLANK($C$6:C133))</f>
        <v xml:space="preserve"> </v>
      </c>
      <c r="B133" s="88"/>
      <c r="C133" s="88"/>
      <c r="D133" s="89"/>
      <c r="E133" s="89"/>
      <c r="F133" s="73"/>
      <c r="G133" s="73"/>
      <c r="H133" s="73"/>
      <c r="I133" s="73"/>
      <c r="J133" s="73"/>
      <c r="K133" s="73"/>
      <c r="L133" s="73"/>
      <c r="M133" s="74"/>
      <c r="N133" s="71" t="str">
        <f t="shared" si="1"/>
        <v/>
      </c>
      <c r="O133" s="72"/>
      <c r="P133" s="72"/>
      <c r="Q133" s="72"/>
      <c r="R133" s="72"/>
      <c r="S133" s="72"/>
      <c r="T133" s="72"/>
      <c r="U133" s="72"/>
      <c r="V133" s="72"/>
    </row>
    <row r="134" spans="1:25" ht="27.75" customHeight="1">
      <c r="A134" s="87" t="str">
        <f>IF(ISBLANK(C134)," ",129-COUNTBLANK($C$6:C134))</f>
        <v xml:space="preserve"> </v>
      </c>
      <c r="B134" s="88"/>
      <c r="C134" s="88"/>
      <c r="D134" s="89"/>
      <c r="E134" s="89"/>
      <c r="F134" s="73"/>
      <c r="G134" s="73"/>
      <c r="H134" s="73"/>
      <c r="I134" s="73"/>
      <c r="J134" s="73"/>
      <c r="K134" s="73"/>
      <c r="L134" s="73"/>
      <c r="M134" s="74"/>
      <c r="N134" s="71" t="str">
        <f t="shared" ref="N134:N197" si="2">CONCATENATE(C134,H134)</f>
        <v/>
      </c>
      <c r="O134" s="72"/>
      <c r="P134" s="72"/>
      <c r="Q134" s="72"/>
      <c r="R134" s="72"/>
      <c r="S134" s="72"/>
      <c r="T134" s="72"/>
      <c r="U134" s="72"/>
      <c r="V134" s="72"/>
    </row>
    <row r="135" spans="1:25" ht="27.75" customHeight="1">
      <c r="A135" s="87" t="str">
        <f>IF(ISBLANK(C135)," ",130-COUNTBLANK($C$6:C135))</f>
        <v xml:space="preserve"> </v>
      </c>
      <c r="B135" s="88"/>
      <c r="C135" s="88"/>
      <c r="D135" s="89"/>
      <c r="E135" s="89"/>
      <c r="F135" s="73"/>
      <c r="G135" s="73"/>
      <c r="H135" s="73"/>
      <c r="I135" s="73"/>
      <c r="J135" s="73"/>
      <c r="K135" s="73"/>
      <c r="L135" s="73"/>
      <c r="M135" s="74"/>
      <c r="N135" s="71" t="str">
        <f t="shared" si="2"/>
        <v/>
      </c>
      <c r="O135" s="72"/>
      <c r="P135" s="72"/>
      <c r="Q135" s="72"/>
      <c r="R135" s="72"/>
      <c r="S135" s="72"/>
      <c r="T135" s="72"/>
      <c r="U135" s="72"/>
      <c r="V135" s="72"/>
    </row>
    <row r="136" spans="1:25" ht="27.75" customHeight="1">
      <c r="A136" s="87" t="str">
        <f>IF(ISBLANK(C136)," ",131-COUNTBLANK($C$6:C136))</f>
        <v xml:space="preserve"> </v>
      </c>
      <c r="B136" s="88"/>
      <c r="C136" s="88"/>
      <c r="D136" s="89"/>
      <c r="E136" s="89"/>
      <c r="F136" s="73"/>
      <c r="G136" s="73"/>
      <c r="H136" s="73"/>
      <c r="I136" s="73"/>
      <c r="J136" s="73"/>
      <c r="K136" s="73"/>
      <c r="L136" s="73"/>
      <c r="M136" s="74"/>
      <c r="N136" s="71" t="str">
        <f t="shared" si="2"/>
        <v/>
      </c>
      <c r="O136" s="72"/>
      <c r="P136" s="72"/>
      <c r="Q136" s="72"/>
      <c r="R136" s="72"/>
      <c r="S136" s="72"/>
      <c r="T136" s="72"/>
      <c r="U136" s="72"/>
      <c r="V136" s="72"/>
    </row>
    <row r="137" spans="1:25" ht="27.75" customHeight="1">
      <c r="A137" s="87" t="str">
        <f>IF(ISBLANK(C137)," ",132-COUNTBLANK($C$6:C137))</f>
        <v xml:space="preserve"> </v>
      </c>
      <c r="B137" s="88"/>
      <c r="C137" s="88"/>
      <c r="D137" s="89"/>
      <c r="E137" s="89"/>
      <c r="F137" s="73"/>
      <c r="G137" s="73"/>
      <c r="H137" s="73"/>
      <c r="I137" s="73"/>
      <c r="J137" s="73"/>
      <c r="K137" s="73"/>
      <c r="L137" s="73"/>
      <c r="M137" s="74"/>
      <c r="N137" s="71" t="str">
        <f t="shared" si="2"/>
        <v/>
      </c>
      <c r="O137" s="72"/>
      <c r="P137" s="72"/>
      <c r="Q137" s="72"/>
      <c r="R137" s="72"/>
      <c r="S137" s="72"/>
      <c r="T137" s="72"/>
      <c r="U137" s="72"/>
      <c r="V137" s="72"/>
    </row>
    <row r="138" spans="1:25" ht="27.75" customHeight="1">
      <c r="A138" s="87" t="str">
        <f>IF(ISBLANK(C138)," ",133-COUNTBLANK($C$6:C138))</f>
        <v xml:space="preserve"> </v>
      </c>
      <c r="B138" s="88"/>
      <c r="C138" s="88"/>
      <c r="D138" s="89"/>
      <c r="E138" s="89"/>
      <c r="F138" s="73"/>
      <c r="G138" s="73"/>
      <c r="H138" s="73"/>
      <c r="I138" s="73"/>
      <c r="J138" s="73"/>
      <c r="K138" s="73"/>
      <c r="L138" s="73"/>
      <c r="M138" s="74"/>
      <c r="N138" s="71" t="str">
        <f t="shared" si="2"/>
        <v/>
      </c>
      <c r="O138" s="72"/>
      <c r="P138" s="72"/>
      <c r="Q138" s="72"/>
      <c r="R138" s="72"/>
      <c r="S138" s="72"/>
      <c r="T138" s="72"/>
      <c r="U138" s="72"/>
      <c r="V138" s="72"/>
    </row>
    <row r="139" spans="1:25" ht="27.75" customHeight="1">
      <c r="A139" s="87" t="str">
        <f>IF(ISBLANK(C139)," ",134-COUNTBLANK($C$6:C139))</f>
        <v xml:space="preserve"> </v>
      </c>
      <c r="B139" s="88"/>
      <c r="C139" s="88"/>
      <c r="D139" s="89"/>
      <c r="E139" s="89"/>
      <c r="F139" s="73"/>
      <c r="G139" s="73"/>
      <c r="H139" s="73"/>
      <c r="I139" s="73"/>
      <c r="J139" s="73"/>
      <c r="K139" s="73"/>
      <c r="L139" s="73"/>
      <c r="M139" s="74"/>
      <c r="N139" s="71" t="str">
        <f t="shared" si="2"/>
        <v/>
      </c>
      <c r="O139" s="72"/>
      <c r="P139" s="72"/>
      <c r="Q139" s="72"/>
      <c r="R139" s="72"/>
      <c r="S139" s="72"/>
      <c r="T139" s="72"/>
      <c r="U139" s="72"/>
      <c r="V139" s="72"/>
    </row>
    <row r="140" spans="1:25" ht="27.75" customHeight="1">
      <c r="A140" s="87" t="str">
        <f>IF(ISBLANK(C140)," ",135-COUNTBLANK($C$6:C140))</f>
        <v xml:space="preserve"> </v>
      </c>
      <c r="B140" s="88"/>
      <c r="C140" s="88"/>
      <c r="D140" s="89"/>
      <c r="E140" s="89"/>
      <c r="F140" s="73"/>
      <c r="G140" s="73"/>
      <c r="H140" s="73"/>
      <c r="I140" s="73"/>
      <c r="J140" s="73"/>
      <c r="K140" s="73"/>
      <c r="L140" s="73"/>
      <c r="M140" s="74"/>
      <c r="N140" s="71" t="str">
        <f t="shared" si="2"/>
        <v/>
      </c>
      <c r="O140" s="72"/>
      <c r="P140" s="72"/>
      <c r="Q140" s="72"/>
      <c r="R140" s="72"/>
      <c r="S140" s="72"/>
      <c r="T140" s="72"/>
      <c r="U140" s="72"/>
      <c r="V140" s="72"/>
    </row>
    <row r="141" spans="1:25" ht="27.75" customHeight="1">
      <c r="A141" s="87" t="str">
        <f>IF(ISBLANK(C141)," ",136-COUNTBLANK($C$6:C141))</f>
        <v xml:space="preserve"> </v>
      </c>
      <c r="B141" s="88"/>
      <c r="C141" s="88"/>
      <c r="D141" s="89"/>
      <c r="E141" s="89"/>
      <c r="F141" s="73"/>
      <c r="G141" s="73"/>
      <c r="H141" s="73"/>
      <c r="I141" s="73"/>
      <c r="J141" s="73"/>
      <c r="K141" s="73"/>
      <c r="L141" s="73"/>
      <c r="M141" s="74"/>
      <c r="N141" s="71" t="str">
        <f t="shared" si="2"/>
        <v/>
      </c>
      <c r="O141" s="72"/>
      <c r="P141" s="72"/>
      <c r="Q141" s="72"/>
      <c r="R141" s="72"/>
      <c r="S141" s="72"/>
      <c r="T141" s="72"/>
      <c r="U141" s="72"/>
      <c r="V141" s="72"/>
    </row>
    <row r="142" spans="1:25" ht="27.75" customHeight="1">
      <c r="A142" s="87" t="str">
        <f>IF(ISBLANK(C142)," ",137-COUNTBLANK($C$6:C142))</f>
        <v xml:space="preserve"> </v>
      </c>
      <c r="B142" s="88"/>
      <c r="C142" s="88"/>
      <c r="D142" s="89"/>
      <c r="E142" s="89"/>
      <c r="F142" s="73"/>
      <c r="G142" s="73"/>
      <c r="H142" s="73"/>
      <c r="I142" s="73"/>
      <c r="J142" s="73"/>
      <c r="K142" s="73"/>
      <c r="L142" s="73"/>
      <c r="M142" s="74"/>
      <c r="N142" s="71" t="str">
        <f t="shared" si="2"/>
        <v/>
      </c>
      <c r="O142" s="72"/>
      <c r="P142" s="72"/>
      <c r="Q142" s="72"/>
      <c r="R142" s="72"/>
      <c r="S142" s="72"/>
      <c r="T142" s="72"/>
      <c r="U142" s="72"/>
      <c r="V142" s="72"/>
    </row>
    <row r="143" spans="1:25" ht="27.75" customHeight="1">
      <c r="A143" s="87" t="str">
        <f>IF(ISBLANK(C143)," ",138-COUNTBLANK($C$6:C143))</f>
        <v xml:space="preserve"> </v>
      </c>
      <c r="B143" s="88"/>
      <c r="C143" s="88"/>
      <c r="D143" s="89"/>
      <c r="E143" s="89"/>
      <c r="F143" s="73"/>
      <c r="G143" s="73"/>
      <c r="H143" s="73"/>
      <c r="I143" s="73"/>
      <c r="J143" s="73"/>
      <c r="K143" s="73"/>
      <c r="L143" s="73"/>
      <c r="M143" s="74"/>
      <c r="N143" s="71" t="str">
        <f t="shared" si="2"/>
        <v/>
      </c>
      <c r="O143" s="72"/>
      <c r="P143" s="72"/>
      <c r="Q143" s="72"/>
      <c r="R143" s="72"/>
      <c r="S143" s="72"/>
      <c r="T143" s="72"/>
      <c r="U143" s="72"/>
      <c r="V143" s="72"/>
    </row>
    <row r="144" spans="1:25" ht="27.75" customHeight="1">
      <c r="A144" s="87" t="str">
        <f>IF(ISBLANK(C144)," ",139-COUNTBLANK($C$6:C144))</f>
        <v xml:space="preserve"> </v>
      </c>
      <c r="B144" s="88"/>
      <c r="C144" s="88"/>
      <c r="D144" s="89"/>
      <c r="E144" s="89"/>
      <c r="F144" s="73"/>
      <c r="G144" s="73"/>
      <c r="H144" s="73"/>
      <c r="I144" s="73"/>
      <c r="J144" s="73"/>
      <c r="K144" s="73"/>
      <c r="L144" s="73"/>
      <c r="M144" s="74"/>
      <c r="N144" s="71" t="str">
        <f t="shared" si="2"/>
        <v/>
      </c>
      <c r="O144" s="72"/>
      <c r="P144" s="72"/>
      <c r="Q144" s="72"/>
      <c r="R144" s="72"/>
      <c r="S144" s="72"/>
      <c r="T144" s="72"/>
      <c r="U144" s="72"/>
      <c r="V144" s="72"/>
    </row>
    <row r="145" spans="1:25" ht="27.75" customHeight="1">
      <c r="A145" s="87" t="str">
        <f>IF(ISBLANK(C145)," ",140-COUNTBLANK($C$6:C145))</f>
        <v xml:space="preserve"> </v>
      </c>
      <c r="B145" s="88"/>
      <c r="C145" s="88"/>
      <c r="D145" s="89"/>
      <c r="E145" s="89"/>
      <c r="F145" s="73"/>
      <c r="G145" s="73"/>
      <c r="H145" s="73"/>
      <c r="I145" s="73"/>
      <c r="J145" s="73"/>
      <c r="K145" s="73"/>
      <c r="L145" s="73"/>
      <c r="M145" s="74"/>
      <c r="N145" s="71" t="str">
        <f t="shared" si="2"/>
        <v/>
      </c>
      <c r="O145" s="72"/>
      <c r="P145" s="72"/>
      <c r="Q145" s="72"/>
      <c r="R145" s="72"/>
      <c r="S145" s="72"/>
      <c r="T145" s="72"/>
      <c r="U145" s="72"/>
      <c r="V145" s="72"/>
    </row>
    <row r="146" spans="1:25" ht="27.75" customHeight="1">
      <c r="A146" s="87" t="str">
        <f>IF(ISBLANK(C146)," ",141-COUNTBLANK($C$6:C146))</f>
        <v xml:space="preserve"> </v>
      </c>
      <c r="B146" s="88"/>
      <c r="C146" s="88"/>
      <c r="D146" s="89"/>
      <c r="E146" s="89"/>
      <c r="F146" s="73"/>
      <c r="G146" s="73"/>
      <c r="H146" s="73"/>
      <c r="I146" s="73"/>
      <c r="J146" s="73"/>
      <c r="K146" s="73"/>
      <c r="L146" s="73"/>
      <c r="M146" s="74"/>
      <c r="N146" s="71" t="str">
        <f t="shared" si="2"/>
        <v/>
      </c>
      <c r="O146" s="72"/>
      <c r="P146" s="72"/>
      <c r="Q146" s="72"/>
      <c r="R146" s="72"/>
      <c r="S146" s="72"/>
      <c r="T146" s="72"/>
      <c r="U146" s="72"/>
      <c r="V146" s="72"/>
    </row>
    <row r="147" spans="1:25" ht="27.75" customHeight="1">
      <c r="A147" s="87" t="str">
        <f>IF(ISBLANK(C147)," ",142-COUNTBLANK($C$6:C147))</f>
        <v xml:space="preserve"> </v>
      </c>
      <c r="B147" s="88"/>
      <c r="C147" s="88"/>
      <c r="D147" s="89"/>
      <c r="E147" s="89"/>
      <c r="F147" s="73"/>
      <c r="G147" s="73"/>
      <c r="H147" s="73"/>
      <c r="I147" s="73"/>
      <c r="J147" s="73"/>
      <c r="K147" s="73"/>
      <c r="L147" s="73"/>
      <c r="M147" s="74"/>
      <c r="N147" s="71" t="str">
        <f t="shared" si="2"/>
        <v/>
      </c>
      <c r="O147" s="75"/>
      <c r="P147" s="72"/>
      <c r="Q147" s="72"/>
      <c r="R147" s="72"/>
      <c r="S147" s="72"/>
      <c r="T147" s="72"/>
      <c r="U147" s="72"/>
      <c r="V147" s="76"/>
    </row>
    <row r="148" spans="1:25" ht="27.75" customHeight="1">
      <c r="A148" s="87" t="str">
        <f>IF(ISBLANK(C148)," ",143-COUNTBLANK($C$6:C148))</f>
        <v xml:space="preserve"> </v>
      </c>
      <c r="B148" s="88"/>
      <c r="C148" s="88"/>
      <c r="D148" s="89"/>
      <c r="E148" s="89"/>
      <c r="F148" s="73"/>
      <c r="G148" s="73"/>
      <c r="H148" s="73"/>
      <c r="I148" s="73"/>
      <c r="J148" s="73"/>
      <c r="K148" s="73"/>
      <c r="L148" s="73"/>
      <c r="M148" s="74"/>
      <c r="N148" s="71" t="str">
        <f t="shared" si="2"/>
        <v/>
      </c>
      <c r="O148" s="75"/>
      <c r="P148" s="72"/>
      <c r="Q148" s="72"/>
      <c r="R148" s="72"/>
      <c r="S148" s="72"/>
      <c r="T148" s="72"/>
      <c r="U148" s="72"/>
      <c r="V148" s="76"/>
    </row>
    <row r="149" spans="1:25" ht="27.75" customHeight="1">
      <c r="A149" s="87" t="str">
        <f>IF(ISBLANK(C149)," ",144-COUNTBLANK($C$6:C149))</f>
        <v xml:space="preserve"> </v>
      </c>
      <c r="B149" s="88"/>
      <c r="C149" s="88"/>
      <c r="D149" s="89"/>
      <c r="E149" s="89"/>
      <c r="F149" s="73"/>
      <c r="G149" s="73"/>
      <c r="H149" s="73"/>
      <c r="I149" s="73"/>
      <c r="J149" s="73"/>
      <c r="K149" s="73"/>
      <c r="L149" s="73"/>
      <c r="M149" s="74"/>
      <c r="N149" s="71" t="str">
        <f t="shared" si="2"/>
        <v/>
      </c>
      <c r="O149" s="75"/>
      <c r="P149" s="72"/>
      <c r="Q149" s="72"/>
      <c r="R149" s="72"/>
      <c r="S149" s="72"/>
      <c r="T149" s="72"/>
      <c r="U149" s="72"/>
      <c r="V149" s="76"/>
    </row>
    <row r="150" spans="1:25" ht="27.75" customHeight="1">
      <c r="A150" s="87" t="str">
        <f>IF(ISBLANK(C150)," ",145-COUNTBLANK($C$6:C150))</f>
        <v xml:space="preserve"> </v>
      </c>
      <c r="B150" s="88"/>
      <c r="C150" s="88"/>
      <c r="D150" s="89"/>
      <c r="E150" s="89"/>
      <c r="F150" s="73"/>
      <c r="G150" s="73"/>
      <c r="H150" s="73"/>
      <c r="I150" s="73"/>
      <c r="J150" s="73"/>
      <c r="K150" s="73"/>
      <c r="L150" s="73"/>
      <c r="M150" s="74"/>
      <c r="N150" s="71" t="str">
        <f t="shared" si="2"/>
        <v/>
      </c>
      <c r="O150" s="75"/>
      <c r="P150" s="72"/>
      <c r="Q150" s="72"/>
      <c r="R150" s="72"/>
      <c r="S150" s="72"/>
      <c r="T150" s="72"/>
      <c r="U150" s="72"/>
      <c r="V150" s="76"/>
    </row>
    <row r="151" spans="1:25" ht="27.75" customHeight="1">
      <c r="A151" s="87" t="str">
        <f>IF(ISBLANK(C151)," ",146-COUNTBLANK($C$6:C151))</f>
        <v xml:space="preserve"> </v>
      </c>
      <c r="B151" s="88"/>
      <c r="C151" s="88"/>
      <c r="D151" s="89"/>
      <c r="E151" s="89"/>
      <c r="F151" s="73"/>
      <c r="G151" s="73"/>
      <c r="H151" s="73"/>
      <c r="I151" s="73"/>
      <c r="J151" s="73"/>
      <c r="K151" s="73"/>
      <c r="L151" s="73"/>
      <c r="M151" s="74"/>
      <c r="N151" s="71" t="str">
        <f t="shared" si="2"/>
        <v/>
      </c>
      <c r="O151" s="72"/>
      <c r="P151" s="72"/>
      <c r="Q151" s="72"/>
      <c r="R151" s="72"/>
      <c r="S151" s="72"/>
      <c r="T151" s="72"/>
      <c r="U151" s="72"/>
      <c r="V151" s="79"/>
      <c r="W151" s="72"/>
      <c r="X151" s="72"/>
      <c r="Y151" s="72"/>
    </row>
    <row r="152" spans="1:25" ht="27.75" customHeight="1">
      <c r="A152" s="80" t="s">
        <v>52</v>
      </c>
      <c r="B152" s="81"/>
      <c r="C152" s="96"/>
      <c r="D152" s="82"/>
      <c r="E152" s="82">
        <f>SUM(E132:E151)</f>
        <v>0</v>
      </c>
      <c r="F152" s="83"/>
      <c r="G152" s="83"/>
      <c r="H152" s="83"/>
      <c r="I152" s="83"/>
      <c r="J152" s="83"/>
      <c r="K152" s="83"/>
      <c r="L152" s="83"/>
      <c r="M152" s="84"/>
      <c r="N152" s="71" t="str">
        <f t="shared" si="2"/>
        <v/>
      </c>
      <c r="O152" s="75"/>
      <c r="P152" s="72"/>
      <c r="Q152" s="72"/>
      <c r="R152" s="72"/>
      <c r="S152" s="72"/>
      <c r="T152" s="72"/>
      <c r="U152" s="72"/>
      <c r="V152" s="79"/>
      <c r="W152" s="72"/>
      <c r="X152" s="72"/>
      <c r="Y152" s="72"/>
    </row>
    <row r="153" spans="1:25" ht="27.75" customHeight="1">
      <c r="A153" s="93" t="str">
        <f>IF(ISBLANK(C153)," ",148-COUNTBLANK($C$6:C153))</f>
        <v xml:space="preserve"> </v>
      </c>
      <c r="B153" s="94"/>
      <c r="C153" s="94"/>
      <c r="D153" s="95"/>
      <c r="E153" s="95"/>
      <c r="F153" s="85"/>
      <c r="G153" s="85"/>
      <c r="H153" s="85"/>
      <c r="I153" s="85"/>
      <c r="J153" s="85"/>
      <c r="K153" s="85"/>
      <c r="L153" s="85"/>
      <c r="M153" s="86"/>
      <c r="N153" s="71" t="str">
        <f t="shared" si="2"/>
        <v/>
      </c>
      <c r="O153" s="72"/>
      <c r="P153" s="72"/>
      <c r="Q153" s="72"/>
      <c r="R153" s="72"/>
      <c r="S153" s="72"/>
      <c r="T153" s="72"/>
      <c r="U153" s="72"/>
      <c r="V153" s="72"/>
    </row>
    <row r="154" spans="1:25" ht="27.75" customHeight="1">
      <c r="A154" s="87" t="str">
        <f>IF(ISBLANK(C154)," ",149-COUNTBLANK($C$6:C154))</f>
        <v xml:space="preserve"> </v>
      </c>
      <c r="B154" s="88"/>
      <c r="C154" s="88"/>
      <c r="D154" s="89"/>
      <c r="E154" s="89"/>
      <c r="F154" s="73"/>
      <c r="G154" s="73"/>
      <c r="H154" s="73"/>
      <c r="I154" s="73"/>
      <c r="J154" s="73"/>
      <c r="K154" s="73"/>
      <c r="L154" s="73"/>
      <c r="M154" s="74"/>
      <c r="N154" s="71" t="str">
        <f t="shared" si="2"/>
        <v/>
      </c>
      <c r="O154" s="72"/>
      <c r="P154" s="72"/>
      <c r="Q154" s="72"/>
      <c r="R154" s="72"/>
      <c r="S154" s="72"/>
      <c r="T154" s="72"/>
      <c r="U154" s="72"/>
      <c r="V154" s="72"/>
    </row>
    <row r="155" spans="1:25" ht="27.75" customHeight="1">
      <c r="A155" s="87" t="str">
        <f>IF(ISBLANK(C155)," ",150-COUNTBLANK($C$6:C155))</f>
        <v xml:space="preserve"> </v>
      </c>
      <c r="B155" s="88"/>
      <c r="C155" s="88"/>
      <c r="D155" s="89"/>
      <c r="E155" s="89"/>
      <c r="F155" s="73"/>
      <c r="G155" s="73"/>
      <c r="H155" s="73"/>
      <c r="I155" s="73"/>
      <c r="J155" s="73"/>
      <c r="K155" s="73"/>
      <c r="L155" s="73"/>
      <c r="M155" s="74"/>
      <c r="N155" s="71" t="str">
        <f t="shared" si="2"/>
        <v/>
      </c>
      <c r="O155" s="72"/>
      <c r="P155" s="72"/>
      <c r="Q155" s="72"/>
      <c r="R155" s="72"/>
      <c r="S155" s="72"/>
      <c r="T155" s="72"/>
      <c r="U155" s="72"/>
      <c r="V155" s="72"/>
    </row>
    <row r="156" spans="1:25" ht="27.75" customHeight="1">
      <c r="A156" s="87" t="str">
        <f>IF(ISBLANK(C156)," ",151-COUNTBLANK($C$6:C156))</f>
        <v xml:space="preserve"> </v>
      </c>
      <c r="B156" s="88"/>
      <c r="C156" s="88"/>
      <c r="D156" s="89"/>
      <c r="E156" s="89"/>
      <c r="F156" s="73"/>
      <c r="G156" s="73"/>
      <c r="H156" s="73"/>
      <c r="I156" s="73"/>
      <c r="J156" s="73"/>
      <c r="K156" s="73"/>
      <c r="L156" s="73"/>
      <c r="M156" s="74"/>
      <c r="N156" s="71" t="str">
        <f t="shared" si="2"/>
        <v/>
      </c>
      <c r="O156" s="72"/>
      <c r="P156" s="72"/>
      <c r="Q156" s="72"/>
      <c r="R156" s="72"/>
      <c r="S156" s="72"/>
      <c r="T156" s="72"/>
      <c r="U156" s="72"/>
      <c r="V156" s="72"/>
    </row>
    <row r="157" spans="1:25" ht="27.75" customHeight="1">
      <c r="A157" s="87" t="str">
        <f>IF(ISBLANK(C157)," ",152-COUNTBLANK($C$6:C157))</f>
        <v xml:space="preserve"> </v>
      </c>
      <c r="B157" s="88"/>
      <c r="C157" s="88"/>
      <c r="D157" s="89"/>
      <c r="E157" s="89"/>
      <c r="F157" s="73"/>
      <c r="G157" s="73"/>
      <c r="H157" s="73"/>
      <c r="I157" s="73"/>
      <c r="J157" s="73"/>
      <c r="K157" s="73"/>
      <c r="L157" s="73"/>
      <c r="M157" s="74"/>
      <c r="N157" s="71" t="str">
        <f t="shared" si="2"/>
        <v/>
      </c>
      <c r="O157" s="72"/>
      <c r="P157" s="72"/>
      <c r="Q157" s="72"/>
      <c r="R157" s="72"/>
      <c r="S157" s="72"/>
      <c r="T157" s="72"/>
      <c r="U157" s="72"/>
      <c r="V157" s="72"/>
    </row>
    <row r="158" spans="1:25" ht="27.75" customHeight="1">
      <c r="A158" s="87" t="str">
        <f>IF(ISBLANK(C158)," ",153-COUNTBLANK($C$6:C158))</f>
        <v xml:space="preserve"> </v>
      </c>
      <c r="B158" s="88"/>
      <c r="C158" s="88"/>
      <c r="D158" s="89"/>
      <c r="E158" s="89"/>
      <c r="F158" s="73"/>
      <c r="G158" s="73"/>
      <c r="H158" s="73"/>
      <c r="I158" s="73"/>
      <c r="J158" s="73"/>
      <c r="K158" s="73"/>
      <c r="L158" s="73"/>
      <c r="M158" s="74"/>
      <c r="N158" s="71" t="str">
        <f t="shared" si="2"/>
        <v/>
      </c>
      <c r="O158" s="72"/>
      <c r="P158" s="72"/>
      <c r="Q158" s="72"/>
      <c r="R158" s="72"/>
      <c r="S158" s="72"/>
      <c r="T158" s="72"/>
      <c r="U158" s="72"/>
      <c r="V158" s="72"/>
    </row>
    <row r="159" spans="1:25" ht="27.75" customHeight="1">
      <c r="A159" s="87" t="str">
        <f>IF(ISBLANK(C159)," ",154-COUNTBLANK($C$6:C159))</f>
        <v xml:space="preserve"> </v>
      </c>
      <c r="B159" s="88"/>
      <c r="C159" s="88"/>
      <c r="D159" s="89"/>
      <c r="E159" s="89"/>
      <c r="F159" s="73"/>
      <c r="G159" s="73"/>
      <c r="H159" s="73"/>
      <c r="I159" s="73"/>
      <c r="J159" s="73"/>
      <c r="K159" s="73"/>
      <c r="L159" s="73"/>
      <c r="M159" s="74"/>
      <c r="N159" s="71" t="str">
        <f t="shared" si="2"/>
        <v/>
      </c>
      <c r="O159" s="72"/>
      <c r="P159" s="72"/>
      <c r="Q159" s="72"/>
      <c r="R159" s="72"/>
      <c r="S159" s="72"/>
      <c r="T159" s="72"/>
      <c r="U159" s="72"/>
      <c r="V159" s="72"/>
    </row>
    <row r="160" spans="1:25" ht="27.75" customHeight="1">
      <c r="A160" s="87" t="str">
        <f>IF(ISBLANK(C160)," ",155-COUNTBLANK($C$6:C160))</f>
        <v xml:space="preserve"> </v>
      </c>
      <c r="B160" s="88"/>
      <c r="C160" s="88"/>
      <c r="D160" s="89"/>
      <c r="E160" s="89"/>
      <c r="F160" s="73"/>
      <c r="G160" s="73"/>
      <c r="H160" s="73"/>
      <c r="I160" s="73"/>
      <c r="J160" s="73"/>
      <c r="K160" s="73"/>
      <c r="L160" s="73"/>
      <c r="M160" s="74"/>
      <c r="N160" s="71" t="str">
        <f t="shared" si="2"/>
        <v/>
      </c>
      <c r="O160" s="72"/>
      <c r="P160" s="72"/>
      <c r="Q160" s="72"/>
      <c r="R160" s="72"/>
      <c r="S160" s="72"/>
      <c r="T160" s="72"/>
      <c r="U160" s="72"/>
      <c r="V160" s="72"/>
    </row>
    <row r="161" spans="1:25" ht="27.75" customHeight="1">
      <c r="A161" s="87" t="str">
        <f>IF(ISBLANK(C161)," ",156-COUNTBLANK($C$6:C161))</f>
        <v xml:space="preserve"> </v>
      </c>
      <c r="B161" s="88"/>
      <c r="C161" s="88"/>
      <c r="D161" s="89"/>
      <c r="E161" s="89"/>
      <c r="F161" s="73"/>
      <c r="G161" s="73"/>
      <c r="H161" s="73"/>
      <c r="I161" s="73"/>
      <c r="J161" s="73"/>
      <c r="K161" s="73"/>
      <c r="L161" s="73"/>
      <c r="M161" s="74"/>
      <c r="N161" s="71" t="str">
        <f t="shared" si="2"/>
        <v/>
      </c>
      <c r="O161" s="72"/>
      <c r="P161" s="72"/>
      <c r="Q161" s="72"/>
      <c r="R161" s="72"/>
      <c r="S161" s="72"/>
      <c r="T161" s="72"/>
      <c r="U161" s="72"/>
      <c r="V161" s="72"/>
    </row>
    <row r="162" spans="1:25" ht="27.75" customHeight="1">
      <c r="A162" s="87" t="str">
        <f>IF(ISBLANK(C162)," ",157-COUNTBLANK($C$6:C162))</f>
        <v xml:space="preserve"> </v>
      </c>
      <c r="B162" s="88"/>
      <c r="C162" s="88"/>
      <c r="D162" s="89"/>
      <c r="E162" s="89"/>
      <c r="F162" s="73"/>
      <c r="G162" s="73"/>
      <c r="H162" s="73"/>
      <c r="I162" s="73"/>
      <c r="J162" s="73"/>
      <c r="K162" s="73"/>
      <c r="L162" s="73"/>
      <c r="M162" s="74"/>
      <c r="N162" s="71" t="str">
        <f t="shared" si="2"/>
        <v/>
      </c>
      <c r="O162" s="72"/>
      <c r="P162" s="72"/>
      <c r="Q162" s="72"/>
      <c r="R162" s="72"/>
      <c r="S162" s="72"/>
      <c r="T162" s="72"/>
      <c r="U162" s="72"/>
      <c r="V162" s="72"/>
    </row>
    <row r="163" spans="1:25" ht="27.75" customHeight="1">
      <c r="A163" s="87" t="str">
        <f>IF(ISBLANK(C163)," ",158-COUNTBLANK($C$6:C163))</f>
        <v xml:space="preserve"> </v>
      </c>
      <c r="B163" s="88"/>
      <c r="C163" s="88"/>
      <c r="D163" s="89"/>
      <c r="E163" s="89"/>
      <c r="F163" s="73"/>
      <c r="G163" s="73"/>
      <c r="H163" s="73"/>
      <c r="I163" s="73"/>
      <c r="J163" s="73"/>
      <c r="K163" s="73"/>
      <c r="L163" s="73"/>
      <c r="M163" s="74"/>
      <c r="N163" s="71" t="str">
        <f t="shared" si="2"/>
        <v/>
      </c>
      <c r="O163" s="72"/>
      <c r="P163" s="72"/>
      <c r="Q163" s="72"/>
      <c r="R163" s="72"/>
      <c r="S163" s="72"/>
      <c r="T163" s="72"/>
      <c r="U163" s="72"/>
      <c r="V163" s="72"/>
    </row>
    <row r="164" spans="1:25" ht="27.75" customHeight="1">
      <c r="A164" s="87" t="str">
        <f>IF(ISBLANK(C164)," ",159-COUNTBLANK($C$6:C164))</f>
        <v xml:space="preserve"> </v>
      </c>
      <c r="B164" s="88"/>
      <c r="C164" s="88"/>
      <c r="D164" s="89"/>
      <c r="E164" s="89"/>
      <c r="F164" s="73"/>
      <c r="G164" s="73"/>
      <c r="H164" s="73"/>
      <c r="I164" s="73"/>
      <c r="J164" s="73"/>
      <c r="K164" s="73"/>
      <c r="L164" s="73"/>
      <c r="M164" s="74"/>
      <c r="N164" s="71" t="str">
        <f t="shared" si="2"/>
        <v/>
      </c>
      <c r="O164" s="72"/>
      <c r="P164" s="72"/>
      <c r="Q164" s="72"/>
      <c r="R164" s="72"/>
      <c r="S164" s="72"/>
      <c r="T164" s="72"/>
      <c r="U164" s="72"/>
      <c r="V164" s="72"/>
    </row>
    <row r="165" spans="1:25" ht="27.75" customHeight="1">
      <c r="A165" s="87" t="str">
        <f>IF(ISBLANK(C165)," ",160-COUNTBLANK($C$6:C165))</f>
        <v xml:space="preserve"> </v>
      </c>
      <c r="B165" s="88"/>
      <c r="C165" s="88"/>
      <c r="D165" s="89"/>
      <c r="E165" s="89"/>
      <c r="F165" s="73"/>
      <c r="G165" s="73"/>
      <c r="H165" s="73"/>
      <c r="I165" s="73"/>
      <c r="J165" s="73"/>
      <c r="K165" s="73"/>
      <c r="L165" s="73"/>
      <c r="M165" s="74"/>
      <c r="N165" s="71" t="str">
        <f t="shared" si="2"/>
        <v/>
      </c>
      <c r="O165" s="72"/>
      <c r="P165" s="72"/>
      <c r="Q165" s="72"/>
      <c r="R165" s="72"/>
      <c r="S165" s="72"/>
      <c r="T165" s="72"/>
      <c r="U165" s="72"/>
      <c r="V165" s="72"/>
    </row>
    <row r="166" spans="1:25" ht="27.75" customHeight="1">
      <c r="A166" s="87" t="str">
        <f>IF(ISBLANK(C166)," ",161-COUNTBLANK($C$6:C166))</f>
        <v xml:space="preserve"> </v>
      </c>
      <c r="B166" s="88"/>
      <c r="C166" s="88"/>
      <c r="D166" s="89"/>
      <c r="E166" s="89"/>
      <c r="F166" s="73"/>
      <c r="G166" s="73"/>
      <c r="H166" s="73"/>
      <c r="I166" s="73"/>
      <c r="J166" s="73"/>
      <c r="K166" s="73"/>
      <c r="L166" s="73"/>
      <c r="M166" s="74"/>
      <c r="N166" s="71" t="str">
        <f t="shared" si="2"/>
        <v/>
      </c>
      <c r="O166" s="72"/>
      <c r="P166" s="72"/>
      <c r="Q166" s="72"/>
      <c r="R166" s="72"/>
      <c r="S166" s="72"/>
      <c r="T166" s="72"/>
      <c r="U166" s="72"/>
      <c r="V166" s="72"/>
    </row>
    <row r="167" spans="1:25" ht="27.75" customHeight="1">
      <c r="A167" s="87" t="str">
        <f>IF(ISBLANK(C167)," ",162-COUNTBLANK($C$6:C167))</f>
        <v xml:space="preserve"> </v>
      </c>
      <c r="B167" s="88"/>
      <c r="C167" s="88"/>
      <c r="D167" s="89"/>
      <c r="E167" s="89"/>
      <c r="F167" s="73"/>
      <c r="G167" s="73"/>
      <c r="H167" s="73"/>
      <c r="I167" s="73"/>
      <c r="J167" s="73"/>
      <c r="K167" s="73"/>
      <c r="L167" s="73"/>
      <c r="M167" s="74"/>
      <c r="N167" s="71" t="str">
        <f t="shared" si="2"/>
        <v/>
      </c>
      <c r="O167" s="72"/>
      <c r="P167" s="72"/>
      <c r="Q167" s="72"/>
      <c r="R167" s="72"/>
      <c r="S167" s="72"/>
      <c r="T167" s="72"/>
      <c r="U167" s="72"/>
      <c r="V167" s="72"/>
    </row>
    <row r="168" spans="1:25" ht="27.75" customHeight="1">
      <c r="A168" s="87" t="str">
        <f>IF(ISBLANK(C168)," ",163-COUNTBLANK($C$6:C168))</f>
        <v xml:space="preserve"> </v>
      </c>
      <c r="B168" s="88"/>
      <c r="C168" s="88"/>
      <c r="D168" s="89"/>
      <c r="E168" s="89"/>
      <c r="F168" s="73"/>
      <c r="G168" s="73"/>
      <c r="H168" s="73"/>
      <c r="I168" s="73"/>
      <c r="J168" s="73"/>
      <c r="K168" s="73"/>
      <c r="L168" s="73"/>
      <c r="M168" s="74"/>
      <c r="N168" s="71" t="str">
        <f t="shared" si="2"/>
        <v/>
      </c>
      <c r="O168" s="75"/>
      <c r="P168" s="72"/>
      <c r="Q168" s="72"/>
      <c r="R168" s="72"/>
      <c r="S168" s="72"/>
      <c r="T168" s="72"/>
      <c r="U168" s="72"/>
      <c r="V168" s="76"/>
    </row>
    <row r="169" spans="1:25" ht="27.75" customHeight="1">
      <c r="A169" s="87" t="str">
        <f>IF(ISBLANK(C169)," ",164-COUNTBLANK($C$6:C169))</f>
        <v xml:space="preserve"> </v>
      </c>
      <c r="B169" s="88"/>
      <c r="C169" s="88"/>
      <c r="D169" s="89"/>
      <c r="E169" s="89"/>
      <c r="F169" s="73"/>
      <c r="G169" s="73"/>
      <c r="H169" s="73"/>
      <c r="I169" s="73"/>
      <c r="J169" s="73"/>
      <c r="K169" s="73"/>
      <c r="L169" s="73"/>
      <c r="M169" s="74"/>
      <c r="N169" s="71" t="str">
        <f t="shared" si="2"/>
        <v/>
      </c>
      <c r="O169" s="75"/>
      <c r="P169" s="72"/>
      <c r="Q169" s="72"/>
      <c r="R169" s="72"/>
      <c r="S169" s="72"/>
      <c r="T169" s="72"/>
      <c r="U169" s="72"/>
      <c r="V169" s="76"/>
    </row>
    <row r="170" spans="1:25" ht="27.75" customHeight="1">
      <c r="A170" s="87" t="str">
        <f>IF(ISBLANK(C170)," ",165-COUNTBLANK($C$6:C170))</f>
        <v xml:space="preserve"> </v>
      </c>
      <c r="B170" s="88"/>
      <c r="C170" s="88"/>
      <c r="D170" s="89"/>
      <c r="E170" s="89"/>
      <c r="F170" s="73"/>
      <c r="G170" s="73"/>
      <c r="H170" s="73"/>
      <c r="I170" s="73"/>
      <c r="J170" s="73"/>
      <c r="K170" s="73"/>
      <c r="L170" s="73"/>
      <c r="M170" s="74"/>
      <c r="N170" s="71" t="str">
        <f t="shared" si="2"/>
        <v/>
      </c>
      <c r="O170" s="75"/>
      <c r="P170" s="72"/>
      <c r="Q170" s="72"/>
      <c r="R170" s="72"/>
      <c r="S170" s="72"/>
      <c r="T170" s="72"/>
      <c r="U170" s="72"/>
      <c r="V170" s="76"/>
    </row>
    <row r="171" spans="1:25" ht="27.75" customHeight="1">
      <c r="A171" s="87" t="str">
        <f>IF(ISBLANK(C171)," ",166-COUNTBLANK($C$6:C171))</f>
        <v xml:space="preserve"> </v>
      </c>
      <c r="B171" s="88"/>
      <c r="C171" s="88"/>
      <c r="D171" s="89"/>
      <c r="E171" s="89"/>
      <c r="F171" s="73"/>
      <c r="G171" s="73"/>
      <c r="H171" s="73"/>
      <c r="I171" s="73"/>
      <c r="J171" s="73"/>
      <c r="K171" s="73"/>
      <c r="L171" s="73"/>
      <c r="M171" s="74"/>
      <c r="N171" s="71" t="str">
        <f t="shared" si="2"/>
        <v/>
      </c>
      <c r="O171" s="75"/>
      <c r="P171" s="72"/>
      <c r="Q171" s="72"/>
      <c r="R171" s="72"/>
      <c r="S171" s="72"/>
      <c r="T171" s="72"/>
      <c r="U171" s="72"/>
      <c r="V171" s="76"/>
    </row>
    <row r="172" spans="1:25" ht="27.75" customHeight="1">
      <c r="A172" s="87" t="str">
        <f>IF(ISBLANK(C172)," ",167-COUNTBLANK($C$6:C172))</f>
        <v xml:space="preserve"> </v>
      </c>
      <c r="B172" s="88"/>
      <c r="C172" s="88"/>
      <c r="D172" s="89"/>
      <c r="E172" s="89"/>
      <c r="F172" s="73"/>
      <c r="G172" s="73"/>
      <c r="H172" s="73"/>
      <c r="I172" s="73"/>
      <c r="J172" s="73"/>
      <c r="K172" s="73"/>
      <c r="L172" s="73"/>
      <c r="M172" s="74"/>
      <c r="N172" s="71" t="str">
        <f t="shared" si="2"/>
        <v/>
      </c>
      <c r="O172" s="72"/>
      <c r="P172" s="72"/>
      <c r="Q172" s="72"/>
      <c r="R172" s="72"/>
      <c r="S172" s="72"/>
      <c r="T172" s="72"/>
      <c r="U172" s="72"/>
      <c r="V172" s="79"/>
      <c r="W172" s="72"/>
      <c r="X172" s="72"/>
      <c r="Y172" s="72"/>
    </row>
    <row r="173" spans="1:25" ht="27.75" customHeight="1">
      <c r="A173" s="80" t="s">
        <v>52</v>
      </c>
      <c r="B173" s="81"/>
      <c r="C173" s="96"/>
      <c r="D173" s="82"/>
      <c r="E173" s="82">
        <f>SUM(E153:E172)</f>
        <v>0</v>
      </c>
      <c r="F173" s="83"/>
      <c r="G173" s="83"/>
      <c r="H173" s="83"/>
      <c r="I173" s="83"/>
      <c r="J173" s="83"/>
      <c r="K173" s="83"/>
      <c r="L173" s="83"/>
      <c r="M173" s="84"/>
      <c r="N173" s="71" t="str">
        <f t="shared" si="2"/>
        <v/>
      </c>
      <c r="O173" s="75"/>
      <c r="P173" s="72"/>
      <c r="Q173" s="72"/>
      <c r="R173" s="72"/>
      <c r="S173" s="72"/>
      <c r="T173" s="72"/>
      <c r="U173" s="72"/>
      <c r="V173" s="79"/>
      <c r="W173" s="72"/>
      <c r="X173" s="72"/>
      <c r="Y173" s="72"/>
    </row>
    <row r="174" spans="1:25" ht="27.75" customHeight="1">
      <c r="A174" s="93" t="str">
        <f>IF(ISBLANK(C174)," ",169-COUNTBLANK($C$6:C174))</f>
        <v xml:space="preserve"> </v>
      </c>
      <c r="B174" s="94"/>
      <c r="C174" s="94"/>
      <c r="D174" s="95"/>
      <c r="E174" s="95"/>
      <c r="F174" s="85"/>
      <c r="G174" s="85"/>
      <c r="H174" s="85"/>
      <c r="I174" s="85"/>
      <c r="J174" s="85"/>
      <c r="K174" s="85"/>
      <c r="L174" s="85"/>
      <c r="M174" s="86"/>
      <c r="N174" s="71" t="str">
        <f t="shared" si="2"/>
        <v/>
      </c>
      <c r="O174" s="72"/>
      <c r="P174" s="72"/>
      <c r="Q174" s="72"/>
      <c r="R174" s="72"/>
      <c r="S174" s="72"/>
      <c r="T174" s="72"/>
      <c r="U174" s="72"/>
      <c r="V174" s="72"/>
    </row>
    <row r="175" spans="1:25" ht="27.75" customHeight="1">
      <c r="A175" s="87" t="str">
        <f>IF(ISBLANK(C175)," ",170-COUNTBLANK($C$6:C175))</f>
        <v xml:space="preserve"> </v>
      </c>
      <c r="B175" s="88"/>
      <c r="C175" s="88"/>
      <c r="D175" s="89"/>
      <c r="E175" s="89"/>
      <c r="F175" s="73"/>
      <c r="G175" s="73"/>
      <c r="H175" s="73"/>
      <c r="I175" s="73"/>
      <c r="J175" s="73"/>
      <c r="K175" s="73"/>
      <c r="L175" s="73"/>
      <c r="M175" s="74"/>
      <c r="N175" s="71" t="str">
        <f t="shared" si="2"/>
        <v/>
      </c>
      <c r="O175" s="72"/>
      <c r="P175" s="72"/>
      <c r="Q175" s="72"/>
      <c r="R175" s="72"/>
      <c r="S175" s="72"/>
      <c r="T175" s="72"/>
      <c r="U175" s="72"/>
      <c r="V175" s="72"/>
    </row>
    <row r="176" spans="1:25" ht="27.75" customHeight="1">
      <c r="A176" s="87" t="str">
        <f>IF(ISBLANK(C176)," ",171-COUNTBLANK($C$6:C176))</f>
        <v xml:space="preserve"> </v>
      </c>
      <c r="B176" s="88"/>
      <c r="C176" s="88"/>
      <c r="D176" s="89"/>
      <c r="E176" s="89"/>
      <c r="F176" s="73"/>
      <c r="G176" s="73"/>
      <c r="H176" s="73"/>
      <c r="I176" s="73"/>
      <c r="J176" s="73"/>
      <c r="K176" s="73"/>
      <c r="L176" s="73"/>
      <c r="M176" s="74"/>
      <c r="N176" s="71" t="str">
        <f t="shared" si="2"/>
        <v/>
      </c>
      <c r="O176" s="72"/>
      <c r="P176" s="72"/>
      <c r="Q176" s="72"/>
      <c r="R176" s="72"/>
      <c r="S176" s="72"/>
      <c r="T176" s="72"/>
      <c r="U176" s="72"/>
      <c r="V176" s="72"/>
    </row>
    <row r="177" spans="1:22" ht="27.75" customHeight="1">
      <c r="A177" s="87" t="str">
        <f>IF(ISBLANK(C177)," ",172-COUNTBLANK($C$6:C177))</f>
        <v xml:space="preserve"> </v>
      </c>
      <c r="B177" s="88"/>
      <c r="C177" s="88"/>
      <c r="D177" s="89"/>
      <c r="E177" s="89"/>
      <c r="F177" s="73"/>
      <c r="G177" s="73"/>
      <c r="H177" s="73"/>
      <c r="I177" s="73"/>
      <c r="J177" s="73"/>
      <c r="K177" s="73"/>
      <c r="L177" s="73"/>
      <c r="M177" s="74"/>
      <c r="N177" s="71" t="str">
        <f t="shared" si="2"/>
        <v/>
      </c>
      <c r="O177" s="72"/>
      <c r="P177" s="72"/>
      <c r="Q177" s="72"/>
      <c r="R177" s="72"/>
      <c r="S177" s="72"/>
      <c r="T177" s="72"/>
      <c r="U177" s="72"/>
      <c r="V177" s="72"/>
    </row>
    <row r="178" spans="1:22" ht="27.75" customHeight="1">
      <c r="A178" s="87" t="str">
        <f>IF(ISBLANK(C178)," ",173-COUNTBLANK($C$6:C178))</f>
        <v xml:space="preserve"> </v>
      </c>
      <c r="B178" s="88"/>
      <c r="C178" s="88"/>
      <c r="D178" s="89"/>
      <c r="E178" s="89"/>
      <c r="F178" s="73"/>
      <c r="G178" s="73"/>
      <c r="H178" s="73"/>
      <c r="I178" s="73"/>
      <c r="J178" s="73"/>
      <c r="K178" s="73"/>
      <c r="L178" s="73"/>
      <c r="M178" s="74"/>
      <c r="N178" s="71" t="str">
        <f t="shared" si="2"/>
        <v/>
      </c>
      <c r="O178" s="72"/>
      <c r="P178" s="72"/>
      <c r="Q178" s="72"/>
      <c r="R178" s="72"/>
      <c r="S178" s="72"/>
      <c r="T178" s="72"/>
      <c r="U178" s="72"/>
      <c r="V178" s="72"/>
    </row>
    <row r="179" spans="1:22" ht="27.75" customHeight="1">
      <c r="A179" s="87" t="str">
        <f>IF(ISBLANK(C179)," ",174-COUNTBLANK($C$6:C179))</f>
        <v xml:space="preserve"> </v>
      </c>
      <c r="B179" s="88"/>
      <c r="C179" s="88"/>
      <c r="D179" s="89"/>
      <c r="E179" s="89"/>
      <c r="F179" s="73"/>
      <c r="G179" s="73"/>
      <c r="H179" s="73"/>
      <c r="I179" s="73"/>
      <c r="J179" s="73"/>
      <c r="K179" s="73"/>
      <c r="L179" s="73"/>
      <c r="M179" s="74"/>
      <c r="N179" s="71" t="str">
        <f t="shared" si="2"/>
        <v/>
      </c>
      <c r="O179" s="72"/>
      <c r="P179" s="72"/>
      <c r="Q179" s="72"/>
      <c r="R179" s="72"/>
      <c r="S179" s="72"/>
      <c r="T179" s="72"/>
      <c r="U179" s="72"/>
      <c r="V179" s="72"/>
    </row>
    <row r="180" spans="1:22" ht="27.75" customHeight="1">
      <c r="A180" s="87" t="str">
        <f>IF(ISBLANK(C180)," ",175-COUNTBLANK($C$6:C180))</f>
        <v xml:space="preserve"> </v>
      </c>
      <c r="B180" s="88"/>
      <c r="C180" s="88"/>
      <c r="D180" s="89"/>
      <c r="E180" s="89"/>
      <c r="F180" s="73"/>
      <c r="G180" s="73"/>
      <c r="H180" s="73"/>
      <c r="I180" s="73"/>
      <c r="J180" s="73"/>
      <c r="K180" s="73"/>
      <c r="L180" s="73"/>
      <c r="M180" s="74"/>
      <c r="N180" s="71" t="str">
        <f t="shared" si="2"/>
        <v/>
      </c>
      <c r="O180" s="72"/>
      <c r="P180" s="72"/>
      <c r="Q180" s="72"/>
      <c r="R180" s="72"/>
      <c r="S180" s="72"/>
      <c r="T180" s="72"/>
      <c r="U180" s="72"/>
      <c r="V180" s="72"/>
    </row>
    <row r="181" spans="1:22" ht="27.75" customHeight="1">
      <c r="A181" s="87" t="str">
        <f>IF(ISBLANK(C181)," ",176-COUNTBLANK($C$6:C181))</f>
        <v xml:space="preserve"> </v>
      </c>
      <c r="B181" s="88"/>
      <c r="C181" s="88"/>
      <c r="D181" s="89"/>
      <c r="E181" s="89"/>
      <c r="F181" s="73"/>
      <c r="G181" s="73"/>
      <c r="H181" s="73"/>
      <c r="I181" s="73"/>
      <c r="J181" s="73"/>
      <c r="K181" s="73"/>
      <c r="L181" s="73"/>
      <c r="M181" s="74"/>
      <c r="N181" s="71" t="str">
        <f t="shared" si="2"/>
        <v/>
      </c>
      <c r="O181" s="72"/>
      <c r="P181" s="72"/>
      <c r="Q181" s="72"/>
      <c r="R181" s="72"/>
      <c r="S181" s="72"/>
      <c r="T181" s="72"/>
      <c r="U181" s="72"/>
      <c r="V181" s="72"/>
    </row>
    <row r="182" spans="1:22" ht="27.75" customHeight="1">
      <c r="A182" s="87" t="str">
        <f>IF(ISBLANK(C182)," ",177-COUNTBLANK($C$6:C182))</f>
        <v xml:space="preserve"> </v>
      </c>
      <c r="B182" s="88"/>
      <c r="C182" s="88"/>
      <c r="D182" s="89"/>
      <c r="E182" s="89"/>
      <c r="F182" s="73"/>
      <c r="G182" s="73"/>
      <c r="H182" s="73"/>
      <c r="I182" s="73"/>
      <c r="J182" s="73"/>
      <c r="K182" s="73"/>
      <c r="L182" s="73"/>
      <c r="M182" s="74"/>
      <c r="N182" s="71" t="str">
        <f t="shared" si="2"/>
        <v/>
      </c>
      <c r="O182" s="72"/>
      <c r="P182" s="72"/>
      <c r="Q182" s="72"/>
      <c r="R182" s="72"/>
      <c r="S182" s="72"/>
      <c r="T182" s="72"/>
      <c r="U182" s="72"/>
      <c r="V182" s="72"/>
    </row>
    <row r="183" spans="1:22" ht="27.75" customHeight="1">
      <c r="A183" s="87" t="str">
        <f>IF(ISBLANK(C183)," ",178-COUNTBLANK($C$6:C183))</f>
        <v xml:space="preserve"> </v>
      </c>
      <c r="B183" s="88"/>
      <c r="C183" s="88"/>
      <c r="D183" s="89"/>
      <c r="E183" s="89"/>
      <c r="F183" s="73"/>
      <c r="G183" s="73"/>
      <c r="H183" s="73"/>
      <c r="I183" s="73"/>
      <c r="J183" s="73"/>
      <c r="K183" s="73"/>
      <c r="L183" s="73"/>
      <c r="M183" s="74"/>
      <c r="N183" s="71" t="str">
        <f t="shared" si="2"/>
        <v/>
      </c>
      <c r="O183" s="72"/>
      <c r="P183" s="72"/>
      <c r="Q183" s="72"/>
      <c r="R183" s="72"/>
      <c r="S183" s="72"/>
      <c r="T183" s="72"/>
      <c r="U183" s="72"/>
      <c r="V183" s="72"/>
    </row>
    <row r="184" spans="1:22" ht="27.75" customHeight="1">
      <c r="A184" s="87" t="str">
        <f>IF(ISBLANK(C184)," ",179-COUNTBLANK($C$6:C184))</f>
        <v xml:space="preserve"> </v>
      </c>
      <c r="B184" s="88"/>
      <c r="C184" s="88"/>
      <c r="D184" s="89"/>
      <c r="E184" s="89"/>
      <c r="F184" s="73"/>
      <c r="G184" s="73"/>
      <c r="H184" s="73"/>
      <c r="I184" s="73"/>
      <c r="J184" s="73"/>
      <c r="K184" s="73"/>
      <c r="L184" s="73"/>
      <c r="M184" s="74"/>
      <c r="N184" s="71" t="str">
        <f t="shared" si="2"/>
        <v/>
      </c>
      <c r="O184" s="72"/>
      <c r="P184" s="72"/>
      <c r="Q184" s="72"/>
      <c r="R184" s="72"/>
      <c r="S184" s="72"/>
      <c r="T184" s="72"/>
      <c r="U184" s="72"/>
      <c r="V184" s="72"/>
    </row>
    <row r="185" spans="1:22" ht="27.75" customHeight="1">
      <c r="A185" s="87" t="str">
        <f>IF(ISBLANK(C185)," ",180-COUNTBLANK($C$6:C185))</f>
        <v xml:space="preserve"> </v>
      </c>
      <c r="B185" s="88"/>
      <c r="C185" s="88"/>
      <c r="D185" s="89"/>
      <c r="E185" s="89"/>
      <c r="F185" s="73"/>
      <c r="G185" s="73"/>
      <c r="H185" s="73"/>
      <c r="I185" s="73"/>
      <c r="J185" s="73"/>
      <c r="K185" s="73"/>
      <c r="L185" s="73"/>
      <c r="M185" s="74"/>
      <c r="N185" s="71" t="str">
        <f t="shared" si="2"/>
        <v/>
      </c>
      <c r="O185" s="72"/>
      <c r="P185" s="72"/>
      <c r="Q185" s="72"/>
      <c r="R185" s="72"/>
      <c r="S185" s="72"/>
      <c r="T185" s="72"/>
      <c r="U185" s="72"/>
      <c r="V185" s="72"/>
    </row>
    <row r="186" spans="1:22" ht="27.75" customHeight="1">
      <c r="A186" s="87" t="str">
        <f>IF(ISBLANK(C186)," ",181-COUNTBLANK($C$6:C186))</f>
        <v xml:space="preserve"> </v>
      </c>
      <c r="B186" s="88"/>
      <c r="C186" s="88"/>
      <c r="D186" s="89"/>
      <c r="E186" s="89"/>
      <c r="F186" s="73"/>
      <c r="G186" s="73"/>
      <c r="H186" s="73"/>
      <c r="I186" s="73"/>
      <c r="J186" s="73"/>
      <c r="K186" s="73"/>
      <c r="L186" s="73"/>
      <c r="M186" s="74"/>
      <c r="N186" s="71" t="str">
        <f t="shared" si="2"/>
        <v/>
      </c>
      <c r="O186" s="72"/>
      <c r="P186" s="72"/>
      <c r="Q186" s="72"/>
      <c r="R186" s="72"/>
      <c r="S186" s="72"/>
      <c r="T186" s="72"/>
      <c r="U186" s="72"/>
      <c r="V186" s="72"/>
    </row>
    <row r="187" spans="1:22" ht="27.75" customHeight="1">
      <c r="A187" s="87" t="str">
        <f>IF(ISBLANK(C187)," ",182-COUNTBLANK($C$6:C187))</f>
        <v xml:space="preserve"> </v>
      </c>
      <c r="B187" s="88"/>
      <c r="C187" s="88"/>
      <c r="D187" s="89"/>
      <c r="E187" s="89"/>
      <c r="F187" s="73"/>
      <c r="G187" s="73"/>
      <c r="H187" s="73"/>
      <c r="I187" s="73"/>
      <c r="J187" s="73"/>
      <c r="K187" s="73"/>
      <c r="L187" s="73"/>
      <c r="M187" s="74"/>
      <c r="N187" s="71" t="str">
        <f t="shared" si="2"/>
        <v/>
      </c>
      <c r="O187" s="72"/>
      <c r="P187" s="72"/>
      <c r="Q187" s="72"/>
      <c r="R187" s="72"/>
      <c r="S187" s="72"/>
      <c r="T187" s="72"/>
      <c r="U187" s="72"/>
      <c r="V187" s="72"/>
    </row>
    <row r="188" spans="1:22" ht="27.75" customHeight="1">
      <c r="A188" s="87" t="str">
        <f>IF(ISBLANK(C188)," ",183-COUNTBLANK($C$6:C188))</f>
        <v xml:space="preserve"> </v>
      </c>
      <c r="B188" s="88"/>
      <c r="C188" s="88"/>
      <c r="D188" s="89"/>
      <c r="E188" s="89"/>
      <c r="F188" s="73"/>
      <c r="G188" s="73"/>
      <c r="H188" s="73"/>
      <c r="I188" s="73"/>
      <c r="J188" s="73"/>
      <c r="K188" s="73"/>
      <c r="L188" s="73"/>
      <c r="M188" s="74"/>
      <c r="N188" s="71" t="str">
        <f t="shared" si="2"/>
        <v/>
      </c>
      <c r="O188" s="72"/>
      <c r="P188" s="72"/>
      <c r="Q188" s="72"/>
      <c r="R188" s="72"/>
      <c r="S188" s="72"/>
      <c r="T188" s="72"/>
      <c r="U188" s="72"/>
      <c r="V188" s="72"/>
    </row>
    <row r="189" spans="1:22" ht="27.75" customHeight="1">
      <c r="A189" s="87" t="str">
        <f>IF(ISBLANK(C189)," ",184-COUNTBLANK($C$6:C189))</f>
        <v xml:space="preserve"> </v>
      </c>
      <c r="B189" s="88"/>
      <c r="C189" s="88"/>
      <c r="D189" s="89"/>
      <c r="E189" s="89"/>
      <c r="F189" s="73"/>
      <c r="G189" s="73"/>
      <c r="H189" s="73"/>
      <c r="I189" s="73"/>
      <c r="J189" s="73"/>
      <c r="K189" s="73"/>
      <c r="L189" s="73"/>
      <c r="M189" s="74"/>
      <c r="N189" s="71" t="str">
        <f t="shared" si="2"/>
        <v/>
      </c>
      <c r="O189" s="75"/>
      <c r="P189" s="72"/>
      <c r="Q189" s="72"/>
      <c r="R189" s="72"/>
      <c r="S189" s="72"/>
      <c r="T189" s="72"/>
      <c r="U189" s="72"/>
      <c r="V189" s="76"/>
    </row>
    <row r="190" spans="1:22" ht="27.75" customHeight="1">
      <c r="A190" s="87" t="str">
        <f>IF(ISBLANK(C190)," ",185-COUNTBLANK($C$6:C190))</f>
        <v xml:space="preserve"> </v>
      </c>
      <c r="B190" s="88"/>
      <c r="C190" s="88"/>
      <c r="D190" s="89"/>
      <c r="E190" s="89"/>
      <c r="F190" s="73"/>
      <c r="G190" s="73"/>
      <c r="H190" s="73"/>
      <c r="I190" s="73"/>
      <c r="J190" s="73"/>
      <c r="K190" s="73"/>
      <c r="L190" s="73"/>
      <c r="M190" s="74"/>
      <c r="N190" s="71" t="str">
        <f t="shared" si="2"/>
        <v/>
      </c>
      <c r="O190" s="75"/>
      <c r="P190" s="72"/>
      <c r="Q190" s="72"/>
      <c r="R190" s="72"/>
      <c r="S190" s="72"/>
      <c r="T190" s="72"/>
      <c r="U190" s="72"/>
      <c r="V190" s="76"/>
    </row>
    <row r="191" spans="1:22" ht="27.75" customHeight="1">
      <c r="A191" s="87" t="str">
        <f>IF(ISBLANK(C191)," ",186-COUNTBLANK($C$6:C191))</f>
        <v xml:space="preserve"> </v>
      </c>
      <c r="B191" s="88"/>
      <c r="C191" s="88"/>
      <c r="D191" s="89"/>
      <c r="E191" s="89"/>
      <c r="F191" s="73"/>
      <c r="G191" s="73"/>
      <c r="H191" s="73"/>
      <c r="I191" s="73"/>
      <c r="J191" s="73"/>
      <c r="K191" s="73"/>
      <c r="L191" s="73"/>
      <c r="M191" s="74"/>
      <c r="N191" s="71" t="str">
        <f t="shared" si="2"/>
        <v/>
      </c>
      <c r="O191" s="75"/>
      <c r="P191" s="72"/>
      <c r="Q191" s="72"/>
      <c r="R191" s="72"/>
      <c r="S191" s="72"/>
      <c r="T191" s="72"/>
      <c r="U191" s="72"/>
      <c r="V191" s="76"/>
    </row>
    <row r="192" spans="1:22" ht="27.75" customHeight="1">
      <c r="A192" s="87" t="str">
        <f>IF(ISBLANK(C192)," ",187-COUNTBLANK($C$6:C192))</f>
        <v xml:space="preserve"> </v>
      </c>
      <c r="B192" s="88"/>
      <c r="C192" s="88"/>
      <c r="D192" s="89"/>
      <c r="E192" s="89"/>
      <c r="F192" s="73"/>
      <c r="G192" s="73"/>
      <c r="H192" s="73"/>
      <c r="I192" s="73"/>
      <c r="J192" s="73"/>
      <c r="K192" s="73"/>
      <c r="L192" s="73"/>
      <c r="M192" s="74"/>
      <c r="N192" s="71" t="str">
        <f t="shared" si="2"/>
        <v/>
      </c>
      <c r="O192" s="75"/>
      <c r="P192" s="72"/>
      <c r="Q192" s="72"/>
      <c r="R192" s="72"/>
      <c r="S192" s="72"/>
      <c r="T192" s="72"/>
      <c r="U192" s="72"/>
      <c r="V192" s="76"/>
    </row>
    <row r="193" spans="1:25" ht="27.75" customHeight="1">
      <c r="A193" s="87" t="str">
        <f>IF(ISBLANK(C193)," ",188-COUNTBLANK($C$6:C193))</f>
        <v xml:space="preserve"> </v>
      </c>
      <c r="B193" s="88"/>
      <c r="C193" s="88"/>
      <c r="D193" s="89"/>
      <c r="E193" s="89"/>
      <c r="F193" s="73"/>
      <c r="G193" s="73"/>
      <c r="H193" s="73"/>
      <c r="I193" s="73"/>
      <c r="J193" s="73"/>
      <c r="K193" s="73"/>
      <c r="L193" s="73"/>
      <c r="M193" s="74"/>
      <c r="N193" s="71" t="str">
        <f t="shared" si="2"/>
        <v/>
      </c>
      <c r="O193" s="72"/>
      <c r="P193" s="72"/>
      <c r="Q193" s="72"/>
      <c r="R193" s="72"/>
      <c r="S193" s="72"/>
      <c r="T193" s="72"/>
      <c r="U193" s="72"/>
      <c r="V193" s="79"/>
      <c r="W193" s="72"/>
      <c r="X193" s="72"/>
      <c r="Y193" s="72"/>
    </row>
    <row r="194" spans="1:25" ht="27.75" customHeight="1">
      <c r="A194" s="80" t="s">
        <v>52</v>
      </c>
      <c r="B194" s="81"/>
      <c r="C194" s="96"/>
      <c r="D194" s="82"/>
      <c r="E194" s="82">
        <f>SUM(E174:E193)</f>
        <v>0</v>
      </c>
      <c r="F194" s="83"/>
      <c r="G194" s="83"/>
      <c r="H194" s="83"/>
      <c r="I194" s="83"/>
      <c r="J194" s="83"/>
      <c r="K194" s="83"/>
      <c r="L194" s="83"/>
      <c r="M194" s="84"/>
      <c r="N194" s="71" t="str">
        <f t="shared" si="2"/>
        <v/>
      </c>
      <c r="O194" s="75"/>
      <c r="P194" s="72"/>
      <c r="Q194" s="72"/>
      <c r="R194" s="72"/>
      <c r="S194" s="72"/>
      <c r="T194" s="72"/>
      <c r="U194" s="72"/>
      <c r="V194" s="79"/>
      <c r="W194" s="72"/>
      <c r="X194" s="72"/>
      <c r="Y194" s="72"/>
    </row>
    <row r="195" spans="1:25" ht="27.75" customHeight="1">
      <c r="A195" s="93" t="str">
        <f>IF(ISBLANK(C195)," ",190-COUNTBLANK($C$6:C195))</f>
        <v xml:space="preserve"> </v>
      </c>
      <c r="B195" s="94"/>
      <c r="C195" s="94"/>
      <c r="D195" s="95"/>
      <c r="E195" s="95"/>
      <c r="F195" s="85"/>
      <c r="G195" s="85"/>
      <c r="H195" s="85"/>
      <c r="I195" s="85"/>
      <c r="J195" s="85"/>
      <c r="K195" s="85"/>
      <c r="L195" s="85"/>
      <c r="M195" s="86"/>
      <c r="N195" s="71" t="str">
        <f t="shared" si="2"/>
        <v/>
      </c>
      <c r="O195" s="72"/>
      <c r="P195" s="72"/>
      <c r="Q195" s="72"/>
      <c r="R195" s="72"/>
      <c r="S195" s="72"/>
      <c r="T195" s="72"/>
      <c r="U195" s="72"/>
      <c r="V195" s="72"/>
    </row>
    <row r="196" spans="1:25" ht="27.75" customHeight="1">
      <c r="A196" s="87" t="str">
        <f>IF(ISBLANK(C196)," ",191-COUNTBLANK($C$6:C196))</f>
        <v xml:space="preserve"> </v>
      </c>
      <c r="B196" s="88"/>
      <c r="C196" s="88"/>
      <c r="D196" s="89"/>
      <c r="E196" s="89"/>
      <c r="F196" s="73"/>
      <c r="G196" s="73"/>
      <c r="H196" s="73"/>
      <c r="I196" s="73"/>
      <c r="J196" s="73"/>
      <c r="K196" s="73"/>
      <c r="L196" s="73"/>
      <c r="M196" s="74"/>
      <c r="N196" s="71" t="str">
        <f t="shared" si="2"/>
        <v/>
      </c>
      <c r="O196" s="72"/>
      <c r="P196" s="72"/>
      <c r="Q196" s="72"/>
      <c r="R196" s="72"/>
      <c r="S196" s="72"/>
      <c r="T196" s="72"/>
      <c r="U196" s="72"/>
      <c r="V196" s="72"/>
    </row>
    <row r="197" spans="1:25" ht="27.75" customHeight="1">
      <c r="A197" s="87" t="str">
        <f>IF(ISBLANK(C197)," ",192-COUNTBLANK($C$6:C197))</f>
        <v xml:space="preserve"> </v>
      </c>
      <c r="B197" s="88"/>
      <c r="C197" s="88"/>
      <c r="D197" s="89"/>
      <c r="E197" s="89"/>
      <c r="F197" s="73"/>
      <c r="G197" s="73"/>
      <c r="H197" s="73"/>
      <c r="I197" s="73"/>
      <c r="J197" s="73"/>
      <c r="K197" s="73"/>
      <c r="L197" s="73"/>
      <c r="M197" s="74"/>
      <c r="N197" s="71" t="str">
        <f t="shared" si="2"/>
        <v/>
      </c>
      <c r="O197" s="72"/>
      <c r="P197" s="72"/>
      <c r="Q197" s="72"/>
      <c r="R197" s="72"/>
      <c r="S197" s="72"/>
      <c r="T197" s="72"/>
      <c r="U197" s="72"/>
      <c r="V197" s="72"/>
    </row>
    <row r="198" spans="1:25" ht="27.75" customHeight="1">
      <c r="A198" s="87" t="str">
        <f>IF(ISBLANK(C198)," ",193-COUNTBLANK($C$6:C198))</f>
        <v xml:space="preserve"> </v>
      </c>
      <c r="B198" s="88"/>
      <c r="C198" s="88"/>
      <c r="D198" s="89"/>
      <c r="E198" s="89"/>
      <c r="F198" s="73"/>
      <c r="G198" s="73"/>
      <c r="H198" s="73"/>
      <c r="I198" s="73"/>
      <c r="J198" s="73"/>
      <c r="K198" s="73"/>
      <c r="L198" s="73"/>
      <c r="M198" s="74"/>
      <c r="N198" s="71" t="str">
        <f t="shared" ref="N198:N261" si="3">CONCATENATE(C198,H198)</f>
        <v/>
      </c>
      <c r="O198" s="72"/>
      <c r="P198" s="72"/>
      <c r="Q198" s="72"/>
      <c r="R198" s="72"/>
      <c r="S198" s="72"/>
      <c r="T198" s="72"/>
      <c r="U198" s="72"/>
      <c r="V198" s="72"/>
    </row>
    <row r="199" spans="1:25" ht="27.75" customHeight="1">
      <c r="A199" s="87" t="str">
        <f>IF(ISBLANK(C199)," ",194-COUNTBLANK($C$6:C199))</f>
        <v xml:space="preserve"> </v>
      </c>
      <c r="B199" s="88"/>
      <c r="C199" s="88"/>
      <c r="D199" s="89"/>
      <c r="E199" s="89"/>
      <c r="F199" s="73"/>
      <c r="G199" s="73"/>
      <c r="H199" s="73"/>
      <c r="I199" s="73"/>
      <c r="J199" s="73"/>
      <c r="K199" s="73"/>
      <c r="L199" s="73"/>
      <c r="M199" s="74"/>
      <c r="N199" s="71" t="str">
        <f t="shared" si="3"/>
        <v/>
      </c>
      <c r="O199" s="72"/>
      <c r="P199" s="72"/>
      <c r="Q199" s="72"/>
      <c r="R199" s="72"/>
      <c r="S199" s="72"/>
      <c r="T199" s="72"/>
      <c r="U199" s="72"/>
      <c r="V199" s="72"/>
    </row>
    <row r="200" spans="1:25" ht="27.75" customHeight="1">
      <c r="A200" s="87" t="str">
        <f>IF(ISBLANK(C200)," ",195-COUNTBLANK($C$6:C200))</f>
        <v xml:space="preserve"> </v>
      </c>
      <c r="B200" s="88"/>
      <c r="C200" s="88"/>
      <c r="D200" s="89"/>
      <c r="E200" s="89"/>
      <c r="F200" s="73"/>
      <c r="G200" s="73"/>
      <c r="H200" s="73"/>
      <c r="I200" s="73"/>
      <c r="J200" s="73"/>
      <c r="K200" s="73"/>
      <c r="L200" s="73"/>
      <c r="M200" s="74"/>
      <c r="N200" s="71" t="str">
        <f t="shared" si="3"/>
        <v/>
      </c>
      <c r="O200" s="72"/>
      <c r="P200" s="72"/>
      <c r="Q200" s="72"/>
      <c r="R200" s="72"/>
      <c r="S200" s="72"/>
      <c r="T200" s="72"/>
      <c r="U200" s="72"/>
      <c r="V200" s="72"/>
    </row>
    <row r="201" spans="1:25" ht="27.75" customHeight="1">
      <c r="A201" s="87" t="str">
        <f>IF(ISBLANK(C201)," ",196-COUNTBLANK($C$6:C201))</f>
        <v xml:space="preserve"> </v>
      </c>
      <c r="B201" s="88"/>
      <c r="C201" s="88"/>
      <c r="D201" s="89"/>
      <c r="E201" s="89"/>
      <c r="F201" s="73"/>
      <c r="G201" s="73"/>
      <c r="H201" s="73"/>
      <c r="I201" s="73"/>
      <c r="J201" s="73"/>
      <c r="K201" s="73"/>
      <c r="L201" s="73"/>
      <c r="M201" s="74"/>
      <c r="N201" s="71" t="str">
        <f t="shared" si="3"/>
        <v/>
      </c>
      <c r="O201" s="72"/>
      <c r="P201" s="72"/>
      <c r="Q201" s="72"/>
      <c r="R201" s="72"/>
      <c r="S201" s="72"/>
      <c r="T201" s="72"/>
      <c r="U201" s="72"/>
      <c r="V201" s="72"/>
    </row>
    <row r="202" spans="1:25" ht="27.75" customHeight="1">
      <c r="A202" s="87" t="str">
        <f>IF(ISBLANK(C202)," ",197-COUNTBLANK($C$6:C202))</f>
        <v xml:space="preserve"> </v>
      </c>
      <c r="B202" s="88"/>
      <c r="C202" s="88"/>
      <c r="D202" s="89"/>
      <c r="E202" s="89"/>
      <c r="F202" s="73"/>
      <c r="G202" s="73"/>
      <c r="H202" s="73"/>
      <c r="I202" s="73"/>
      <c r="J202" s="73"/>
      <c r="K202" s="73"/>
      <c r="L202" s="73"/>
      <c r="M202" s="74"/>
      <c r="N202" s="71" t="str">
        <f t="shared" si="3"/>
        <v/>
      </c>
      <c r="O202" s="72"/>
      <c r="P202" s="72"/>
      <c r="Q202" s="72"/>
      <c r="R202" s="72"/>
      <c r="S202" s="72"/>
      <c r="T202" s="72"/>
      <c r="U202" s="72"/>
      <c r="V202" s="72"/>
    </row>
    <row r="203" spans="1:25" ht="27.75" customHeight="1">
      <c r="A203" s="87" t="str">
        <f>IF(ISBLANK(C203)," ",198-COUNTBLANK($C$6:C203))</f>
        <v xml:space="preserve"> </v>
      </c>
      <c r="B203" s="88"/>
      <c r="C203" s="88"/>
      <c r="D203" s="89"/>
      <c r="E203" s="89"/>
      <c r="F203" s="73"/>
      <c r="G203" s="73"/>
      <c r="H203" s="73"/>
      <c r="I203" s="73"/>
      <c r="J203" s="73"/>
      <c r="K203" s="73"/>
      <c r="L203" s="73"/>
      <c r="M203" s="74"/>
      <c r="N203" s="71" t="str">
        <f t="shared" si="3"/>
        <v/>
      </c>
      <c r="O203" s="72"/>
      <c r="P203" s="72"/>
      <c r="Q203" s="72"/>
      <c r="R203" s="72"/>
      <c r="S203" s="72"/>
      <c r="T203" s="72"/>
      <c r="U203" s="72"/>
      <c r="V203" s="72"/>
    </row>
    <row r="204" spans="1:25" ht="27.75" customHeight="1">
      <c r="A204" s="87" t="str">
        <f>IF(ISBLANK(C204)," ",199-COUNTBLANK($C$6:C204))</f>
        <v xml:space="preserve"> </v>
      </c>
      <c r="B204" s="88"/>
      <c r="C204" s="88"/>
      <c r="D204" s="89"/>
      <c r="E204" s="89"/>
      <c r="F204" s="73"/>
      <c r="G204" s="73"/>
      <c r="H204" s="73"/>
      <c r="I204" s="73"/>
      <c r="J204" s="73"/>
      <c r="K204" s="73"/>
      <c r="L204" s="73"/>
      <c r="M204" s="74"/>
      <c r="N204" s="71" t="str">
        <f t="shared" si="3"/>
        <v/>
      </c>
      <c r="O204" s="72"/>
      <c r="P204" s="72"/>
      <c r="Q204" s="72"/>
      <c r="R204" s="72"/>
      <c r="S204" s="72"/>
      <c r="T204" s="72"/>
      <c r="U204" s="72"/>
      <c r="V204" s="72"/>
    </row>
    <row r="205" spans="1:25" ht="27.75" customHeight="1">
      <c r="A205" s="87" t="str">
        <f>IF(ISBLANK(C205)," ",200-COUNTBLANK($C$6:C205))</f>
        <v xml:space="preserve"> </v>
      </c>
      <c r="B205" s="88"/>
      <c r="C205" s="88"/>
      <c r="D205" s="89"/>
      <c r="E205" s="89"/>
      <c r="F205" s="73"/>
      <c r="G205" s="73"/>
      <c r="H205" s="73"/>
      <c r="I205" s="73"/>
      <c r="J205" s="73"/>
      <c r="K205" s="73"/>
      <c r="L205" s="73"/>
      <c r="M205" s="74"/>
      <c r="N205" s="71" t="str">
        <f t="shared" si="3"/>
        <v/>
      </c>
      <c r="O205" s="72"/>
      <c r="P205" s="72"/>
      <c r="Q205" s="72"/>
      <c r="R205" s="72"/>
      <c r="S205" s="72"/>
      <c r="T205" s="72"/>
      <c r="U205" s="72"/>
      <c r="V205" s="72"/>
    </row>
    <row r="206" spans="1:25" ht="27.75" customHeight="1">
      <c r="A206" s="87" t="str">
        <f>IF(ISBLANK(C206)," ",201-COUNTBLANK($C$6:C206))</f>
        <v xml:space="preserve"> </v>
      </c>
      <c r="B206" s="88"/>
      <c r="C206" s="88"/>
      <c r="D206" s="89"/>
      <c r="E206" s="89"/>
      <c r="F206" s="73"/>
      <c r="G206" s="73"/>
      <c r="H206" s="73"/>
      <c r="I206" s="73"/>
      <c r="J206" s="73"/>
      <c r="K206" s="73"/>
      <c r="L206" s="73"/>
      <c r="M206" s="74"/>
      <c r="N206" s="71" t="str">
        <f t="shared" si="3"/>
        <v/>
      </c>
      <c r="O206" s="72"/>
      <c r="P206" s="72"/>
      <c r="Q206" s="72"/>
      <c r="R206" s="72"/>
      <c r="S206" s="72"/>
      <c r="T206" s="72"/>
      <c r="U206" s="72"/>
      <c r="V206" s="72"/>
    </row>
    <row r="207" spans="1:25" ht="27.75" customHeight="1">
      <c r="A207" s="87" t="str">
        <f>IF(ISBLANK(C207)," ",202-COUNTBLANK($C$6:C207))</f>
        <v xml:space="preserve"> </v>
      </c>
      <c r="B207" s="88"/>
      <c r="C207" s="88"/>
      <c r="D207" s="89"/>
      <c r="E207" s="89"/>
      <c r="F207" s="73"/>
      <c r="G207" s="73"/>
      <c r="H207" s="73"/>
      <c r="I207" s="73"/>
      <c r="J207" s="73"/>
      <c r="K207" s="73"/>
      <c r="L207" s="73"/>
      <c r="M207" s="74"/>
      <c r="N207" s="71" t="str">
        <f t="shared" si="3"/>
        <v/>
      </c>
      <c r="O207" s="72"/>
      <c r="P207" s="72"/>
      <c r="Q207" s="72"/>
      <c r="R207" s="72"/>
      <c r="S207" s="72"/>
      <c r="T207" s="72"/>
      <c r="U207" s="72"/>
      <c r="V207" s="72"/>
    </row>
    <row r="208" spans="1:25" ht="27.75" customHeight="1">
      <c r="A208" s="87" t="str">
        <f>IF(ISBLANK(C208)," ",203-COUNTBLANK($C$6:C208))</f>
        <v xml:space="preserve"> </v>
      </c>
      <c r="B208" s="88"/>
      <c r="C208" s="88"/>
      <c r="D208" s="89"/>
      <c r="E208" s="89"/>
      <c r="F208" s="73"/>
      <c r="G208" s="73"/>
      <c r="H208" s="73"/>
      <c r="I208" s="73"/>
      <c r="J208" s="73"/>
      <c r="K208" s="73"/>
      <c r="L208" s="73"/>
      <c r="M208" s="74"/>
      <c r="N208" s="71" t="str">
        <f t="shared" si="3"/>
        <v/>
      </c>
      <c r="O208" s="72"/>
      <c r="P208" s="72"/>
      <c r="Q208" s="72"/>
      <c r="R208" s="72"/>
      <c r="S208" s="72"/>
      <c r="T208" s="72"/>
      <c r="U208" s="72"/>
      <c r="V208" s="72"/>
    </row>
    <row r="209" spans="1:25" ht="27.75" customHeight="1">
      <c r="A209" s="87" t="str">
        <f>IF(ISBLANK(C209)," ",204-COUNTBLANK($C$6:C209))</f>
        <v xml:space="preserve"> </v>
      </c>
      <c r="B209" s="88"/>
      <c r="C209" s="88"/>
      <c r="D209" s="89"/>
      <c r="E209" s="89"/>
      <c r="F209" s="73"/>
      <c r="G209" s="73"/>
      <c r="H209" s="73"/>
      <c r="I209" s="73"/>
      <c r="J209" s="73"/>
      <c r="K209" s="73"/>
      <c r="L209" s="73"/>
      <c r="M209" s="74"/>
      <c r="N209" s="71" t="str">
        <f t="shared" si="3"/>
        <v/>
      </c>
      <c r="O209" s="72"/>
      <c r="P209" s="72"/>
      <c r="Q209" s="72"/>
      <c r="R209" s="72"/>
      <c r="S209" s="72"/>
      <c r="T209" s="72"/>
      <c r="U209" s="72"/>
      <c r="V209" s="72"/>
    </row>
    <row r="210" spans="1:25" ht="27.75" customHeight="1">
      <c r="A210" s="87" t="str">
        <f>IF(ISBLANK(C210)," ",205-COUNTBLANK($C$6:C210))</f>
        <v xml:space="preserve"> </v>
      </c>
      <c r="B210" s="88"/>
      <c r="C210" s="88"/>
      <c r="D210" s="89"/>
      <c r="E210" s="89"/>
      <c r="F210" s="73"/>
      <c r="G210" s="73"/>
      <c r="H210" s="73"/>
      <c r="I210" s="73"/>
      <c r="J210" s="73"/>
      <c r="K210" s="73"/>
      <c r="L210" s="73"/>
      <c r="M210" s="74"/>
      <c r="N210" s="71" t="str">
        <f t="shared" si="3"/>
        <v/>
      </c>
      <c r="O210" s="75"/>
      <c r="P210" s="72"/>
      <c r="Q210" s="72"/>
      <c r="R210" s="72"/>
      <c r="S210" s="72"/>
      <c r="T210" s="72"/>
      <c r="U210" s="72"/>
      <c r="V210" s="76"/>
    </row>
    <row r="211" spans="1:25" ht="27.75" customHeight="1">
      <c r="A211" s="87" t="str">
        <f>IF(ISBLANK(C211)," ",206-COUNTBLANK($C$6:C211))</f>
        <v xml:space="preserve"> </v>
      </c>
      <c r="B211" s="88"/>
      <c r="C211" s="88"/>
      <c r="D211" s="89"/>
      <c r="E211" s="89"/>
      <c r="F211" s="73"/>
      <c r="G211" s="73"/>
      <c r="H211" s="73"/>
      <c r="I211" s="73"/>
      <c r="J211" s="73"/>
      <c r="K211" s="73"/>
      <c r="L211" s="73"/>
      <c r="M211" s="74"/>
      <c r="N211" s="71" t="str">
        <f t="shared" si="3"/>
        <v/>
      </c>
      <c r="O211" s="75"/>
      <c r="P211" s="72"/>
      <c r="Q211" s="72"/>
      <c r="R211" s="72"/>
      <c r="S211" s="72"/>
      <c r="T211" s="72"/>
      <c r="U211" s="72"/>
      <c r="V211" s="76"/>
    </row>
    <row r="212" spans="1:25" ht="27.75" customHeight="1">
      <c r="A212" s="87" t="str">
        <f>IF(ISBLANK(C212)," ",207-COUNTBLANK($C$6:C212))</f>
        <v xml:space="preserve"> </v>
      </c>
      <c r="B212" s="88"/>
      <c r="C212" s="88"/>
      <c r="D212" s="89"/>
      <c r="E212" s="89"/>
      <c r="F212" s="73"/>
      <c r="G212" s="73"/>
      <c r="H212" s="73"/>
      <c r="I212" s="73"/>
      <c r="J212" s="73"/>
      <c r="K212" s="73"/>
      <c r="L212" s="73"/>
      <c r="M212" s="74"/>
      <c r="N212" s="71" t="str">
        <f t="shared" si="3"/>
        <v/>
      </c>
      <c r="O212" s="75"/>
      <c r="P212" s="72"/>
      <c r="Q212" s="72"/>
      <c r="R212" s="72"/>
      <c r="S212" s="72"/>
      <c r="T212" s="72"/>
      <c r="U212" s="72"/>
      <c r="V212" s="76"/>
    </row>
    <row r="213" spans="1:25" ht="27.75" customHeight="1">
      <c r="A213" s="87" t="str">
        <f>IF(ISBLANK(C213)," ",208-COUNTBLANK($C$6:C213))</f>
        <v xml:space="preserve"> </v>
      </c>
      <c r="B213" s="88"/>
      <c r="C213" s="88"/>
      <c r="D213" s="89"/>
      <c r="E213" s="89"/>
      <c r="F213" s="73"/>
      <c r="G213" s="73"/>
      <c r="H213" s="73"/>
      <c r="I213" s="73"/>
      <c r="J213" s="73"/>
      <c r="K213" s="73"/>
      <c r="L213" s="73"/>
      <c r="M213" s="74"/>
      <c r="N213" s="71" t="str">
        <f t="shared" si="3"/>
        <v/>
      </c>
      <c r="O213" s="75"/>
      <c r="P213" s="72"/>
      <c r="Q213" s="72"/>
      <c r="R213" s="72"/>
      <c r="S213" s="72"/>
      <c r="T213" s="72"/>
      <c r="U213" s="72"/>
      <c r="V213" s="76"/>
    </row>
    <row r="214" spans="1:25" ht="27.75" customHeight="1">
      <c r="A214" s="87" t="str">
        <f>IF(ISBLANK(C214)," ",209-COUNTBLANK($C$6:C214))</f>
        <v xml:space="preserve"> </v>
      </c>
      <c r="B214" s="88"/>
      <c r="C214" s="88"/>
      <c r="D214" s="89"/>
      <c r="E214" s="89"/>
      <c r="F214" s="73"/>
      <c r="G214" s="73"/>
      <c r="H214" s="73"/>
      <c r="I214" s="73"/>
      <c r="J214" s="73"/>
      <c r="K214" s="73"/>
      <c r="L214" s="73"/>
      <c r="M214" s="74"/>
      <c r="N214" s="71" t="str">
        <f t="shared" si="3"/>
        <v/>
      </c>
      <c r="O214" s="72"/>
      <c r="P214" s="72"/>
      <c r="Q214" s="72"/>
      <c r="R214" s="72"/>
      <c r="S214" s="72"/>
      <c r="T214" s="72"/>
      <c r="U214" s="72"/>
      <c r="V214" s="79"/>
      <c r="W214" s="72"/>
      <c r="X214" s="72"/>
      <c r="Y214" s="72"/>
    </row>
    <row r="215" spans="1:25" ht="27.75" customHeight="1">
      <c r="A215" s="80" t="s">
        <v>52</v>
      </c>
      <c r="B215" s="81"/>
      <c r="C215" s="96"/>
      <c r="D215" s="82"/>
      <c r="E215" s="82">
        <f>SUM(E195:E214)</f>
        <v>0</v>
      </c>
      <c r="F215" s="83"/>
      <c r="G215" s="83"/>
      <c r="H215" s="83"/>
      <c r="I215" s="83"/>
      <c r="J215" s="83"/>
      <c r="K215" s="83"/>
      <c r="L215" s="83"/>
      <c r="M215" s="84"/>
      <c r="N215" s="71" t="str">
        <f t="shared" si="3"/>
        <v/>
      </c>
      <c r="O215" s="75"/>
      <c r="P215" s="72"/>
      <c r="Q215" s="72"/>
      <c r="R215" s="72"/>
      <c r="S215" s="72"/>
      <c r="T215" s="72"/>
      <c r="U215" s="72"/>
      <c r="V215" s="79"/>
      <c r="W215" s="72"/>
      <c r="X215" s="72"/>
      <c r="Y215" s="72"/>
    </row>
    <row r="216" spans="1:25" ht="27.75" customHeight="1">
      <c r="A216" s="93" t="str">
        <f>IF(ISBLANK(C216)," ",211-COUNTBLANK($C$6:C216))</f>
        <v xml:space="preserve"> </v>
      </c>
      <c r="B216" s="94"/>
      <c r="C216" s="94"/>
      <c r="D216" s="95"/>
      <c r="E216" s="95"/>
      <c r="F216" s="85"/>
      <c r="G216" s="85"/>
      <c r="H216" s="85"/>
      <c r="I216" s="85"/>
      <c r="J216" s="85"/>
      <c r="K216" s="85"/>
      <c r="L216" s="85"/>
      <c r="M216" s="86"/>
      <c r="N216" s="71" t="str">
        <f t="shared" si="3"/>
        <v/>
      </c>
      <c r="O216" s="72"/>
      <c r="P216" s="72"/>
      <c r="Q216" s="72"/>
      <c r="R216" s="72"/>
      <c r="S216" s="72"/>
      <c r="T216" s="72"/>
      <c r="U216" s="72"/>
      <c r="V216" s="72"/>
    </row>
    <row r="217" spans="1:25" ht="27.75" customHeight="1">
      <c r="A217" s="87" t="str">
        <f>IF(ISBLANK(C217)," ",212-COUNTBLANK($C$6:C217))</f>
        <v xml:space="preserve"> </v>
      </c>
      <c r="B217" s="88"/>
      <c r="C217" s="88"/>
      <c r="D217" s="89"/>
      <c r="E217" s="89"/>
      <c r="F217" s="73"/>
      <c r="G217" s="73"/>
      <c r="H217" s="73"/>
      <c r="I217" s="73"/>
      <c r="J217" s="73"/>
      <c r="K217" s="73"/>
      <c r="L217" s="73"/>
      <c r="M217" s="74"/>
      <c r="N217" s="71" t="str">
        <f t="shared" si="3"/>
        <v/>
      </c>
      <c r="O217" s="72"/>
      <c r="P217" s="72"/>
      <c r="Q217" s="72"/>
      <c r="R217" s="72"/>
      <c r="S217" s="72"/>
      <c r="T217" s="72"/>
      <c r="U217" s="72"/>
      <c r="V217" s="72"/>
    </row>
    <row r="218" spans="1:25" ht="27.75" customHeight="1">
      <c r="A218" s="87" t="str">
        <f>IF(ISBLANK(C218)," ",213-COUNTBLANK($C$6:C218))</f>
        <v xml:space="preserve"> </v>
      </c>
      <c r="B218" s="88"/>
      <c r="C218" s="88"/>
      <c r="D218" s="89"/>
      <c r="E218" s="89"/>
      <c r="F218" s="73"/>
      <c r="G218" s="73"/>
      <c r="H218" s="73"/>
      <c r="I218" s="73"/>
      <c r="J218" s="73"/>
      <c r="K218" s="73"/>
      <c r="L218" s="73"/>
      <c r="M218" s="74"/>
      <c r="N218" s="71" t="str">
        <f t="shared" si="3"/>
        <v/>
      </c>
      <c r="O218" s="72"/>
      <c r="P218" s="72"/>
      <c r="Q218" s="72"/>
      <c r="R218" s="72"/>
      <c r="S218" s="72"/>
      <c r="T218" s="72"/>
      <c r="U218" s="72"/>
      <c r="V218" s="72"/>
    </row>
    <row r="219" spans="1:25" ht="27.75" customHeight="1">
      <c r="A219" s="87" t="str">
        <f>IF(ISBLANK(C219)," ",214-COUNTBLANK($C$6:C219))</f>
        <v xml:space="preserve"> </v>
      </c>
      <c r="B219" s="88"/>
      <c r="C219" s="88"/>
      <c r="D219" s="89"/>
      <c r="E219" s="89"/>
      <c r="F219" s="73"/>
      <c r="G219" s="73"/>
      <c r="H219" s="73"/>
      <c r="I219" s="73"/>
      <c r="J219" s="73"/>
      <c r="K219" s="73"/>
      <c r="L219" s="73"/>
      <c r="M219" s="74"/>
      <c r="N219" s="71" t="str">
        <f t="shared" si="3"/>
        <v/>
      </c>
      <c r="O219" s="72"/>
      <c r="P219" s="72"/>
      <c r="Q219" s="72"/>
      <c r="R219" s="72"/>
      <c r="S219" s="72"/>
      <c r="T219" s="72"/>
      <c r="U219" s="72"/>
      <c r="V219" s="72"/>
    </row>
    <row r="220" spans="1:25" ht="27.75" customHeight="1">
      <c r="A220" s="87" t="str">
        <f>IF(ISBLANK(C220)," ",215-COUNTBLANK($C$6:C220))</f>
        <v xml:space="preserve"> </v>
      </c>
      <c r="B220" s="88"/>
      <c r="C220" s="88"/>
      <c r="D220" s="89"/>
      <c r="E220" s="89"/>
      <c r="F220" s="73"/>
      <c r="G220" s="73"/>
      <c r="H220" s="73"/>
      <c r="I220" s="73"/>
      <c r="J220" s="73"/>
      <c r="K220" s="73"/>
      <c r="L220" s="73"/>
      <c r="M220" s="74"/>
      <c r="N220" s="71" t="str">
        <f t="shared" si="3"/>
        <v/>
      </c>
      <c r="O220" s="72"/>
      <c r="P220" s="72"/>
      <c r="Q220" s="72"/>
      <c r="R220" s="72"/>
      <c r="S220" s="72"/>
      <c r="T220" s="72"/>
      <c r="U220" s="72"/>
      <c r="V220" s="72"/>
    </row>
    <row r="221" spans="1:25" ht="27.75" customHeight="1">
      <c r="A221" s="87" t="str">
        <f>IF(ISBLANK(C221)," ",216-COUNTBLANK($C$6:C221))</f>
        <v xml:space="preserve"> </v>
      </c>
      <c r="B221" s="88"/>
      <c r="C221" s="88"/>
      <c r="D221" s="89"/>
      <c r="E221" s="89"/>
      <c r="F221" s="73"/>
      <c r="G221" s="73"/>
      <c r="H221" s="73"/>
      <c r="I221" s="73"/>
      <c r="J221" s="73"/>
      <c r="K221" s="73"/>
      <c r="L221" s="73"/>
      <c r="M221" s="74"/>
      <c r="N221" s="71" t="str">
        <f t="shared" si="3"/>
        <v/>
      </c>
      <c r="O221" s="72"/>
      <c r="P221" s="72"/>
      <c r="Q221" s="72"/>
      <c r="R221" s="72"/>
      <c r="S221" s="72"/>
      <c r="T221" s="72"/>
      <c r="U221" s="72"/>
      <c r="V221" s="72"/>
    </row>
    <row r="222" spans="1:25" ht="27.75" customHeight="1">
      <c r="A222" s="87" t="str">
        <f>IF(ISBLANK(C222)," ",217-COUNTBLANK($C$6:C222))</f>
        <v xml:space="preserve"> </v>
      </c>
      <c r="B222" s="88"/>
      <c r="C222" s="88"/>
      <c r="D222" s="89"/>
      <c r="E222" s="89"/>
      <c r="F222" s="73"/>
      <c r="G222" s="73"/>
      <c r="H222" s="73"/>
      <c r="I222" s="73"/>
      <c r="J222" s="73"/>
      <c r="K222" s="73"/>
      <c r="L222" s="73"/>
      <c r="M222" s="74"/>
      <c r="N222" s="71" t="str">
        <f t="shared" si="3"/>
        <v/>
      </c>
      <c r="O222" s="72"/>
      <c r="P222" s="72"/>
      <c r="Q222" s="72"/>
      <c r="R222" s="72"/>
      <c r="S222" s="72"/>
      <c r="T222" s="72"/>
      <c r="U222" s="72"/>
      <c r="V222" s="72"/>
    </row>
    <row r="223" spans="1:25" ht="27.75" customHeight="1">
      <c r="A223" s="87" t="str">
        <f>IF(ISBLANK(C223)," ",218-COUNTBLANK($C$6:C223))</f>
        <v xml:space="preserve"> </v>
      </c>
      <c r="B223" s="88"/>
      <c r="C223" s="88"/>
      <c r="D223" s="89"/>
      <c r="E223" s="89"/>
      <c r="F223" s="73"/>
      <c r="G223" s="73"/>
      <c r="H223" s="73"/>
      <c r="I223" s="73"/>
      <c r="J223" s="73"/>
      <c r="K223" s="73"/>
      <c r="L223" s="73"/>
      <c r="M223" s="74"/>
      <c r="N223" s="71" t="str">
        <f t="shared" si="3"/>
        <v/>
      </c>
      <c r="O223" s="72"/>
      <c r="P223" s="72"/>
      <c r="Q223" s="72"/>
      <c r="R223" s="72"/>
      <c r="S223" s="72"/>
      <c r="T223" s="72"/>
      <c r="U223" s="72"/>
      <c r="V223" s="72"/>
    </row>
    <row r="224" spans="1:25" ht="27.75" customHeight="1">
      <c r="A224" s="87" t="str">
        <f>IF(ISBLANK(C224)," ",219-COUNTBLANK($C$6:C224))</f>
        <v xml:space="preserve"> </v>
      </c>
      <c r="B224" s="88"/>
      <c r="C224" s="88"/>
      <c r="D224" s="89"/>
      <c r="E224" s="89"/>
      <c r="F224" s="73"/>
      <c r="G224" s="73"/>
      <c r="H224" s="73"/>
      <c r="I224" s="73"/>
      <c r="J224" s="73"/>
      <c r="K224" s="73"/>
      <c r="L224" s="73"/>
      <c r="M224" s="74"/>
      <c r="N224" s="71" t="str">
        <f t="shared" si="3"/>
        <v/>
      </c>
      <c r="O224" s="72"/>
      <c r="P224" s="72"/>
      <c r="Q224" s="72"/>
      <c r="R224" s="72"/>
      <c r="S224" s="72"/>
      <c r="T224" s="72"/>
      <c r="U224" s="72"/>
      <c r="V224" s="72"/>
    </row>
    <row r="225" spans="1:25" ht="27.75" customHeight="1">
      <c r="A225" s="87" t="str">
        <f>IF(ISBLANK(C225)," ",220-COUNTBLANK($C$6:C225))</f>
        <v xml:space="preserve"> </v>
      </c>
      <c r="B225" s="88"/>
      <c r="C225" s="88"/>
      <c r="D225" s="89"/>
      <c r="E225" s="89"/>
      <c r="F225" s="73"/>
      <c r="G225" s="73"/>
      <c r="H225" s="73"/>
      <c r="I225" s="73"/>
      <c r="J225" s="73"/>
      <c r="K225" s="73"/>
      <c r="L225" s="73"/>
      <c r="M225" s="74"/>
      <c r="N225" s="71" t="str">
        <f t="shared" si="3"/>
        <v/>
      </c>
      <c r="O225" s="72"/>
      <c r="P225" s="72"/>
      <c r="Q225" s="72"/>
      <c r="R225" s="72"/>
      <c r="S225" s="72"/>
      <c r="T225" s="72"/>
      <c r="U225" s="72"/>
      <c r="V225" s="72"/>
    </row>
    <row r="226" spans="1:25" ht="27.75" customHeight="1">
      <c r="A226" s="87" t="str">
        <f>IF(ISBLANK(C226)," ",221-COUNTBLANK($C$6:C226))</f>
        <v xml:space="preserve"> </v>
      </c>
      <c r="B226" s="88"/>
      <c r="C226" s="88"/>
      <c r="D226" s="89"/>
      <c r="E226" s="89"/>
      <c r="F226" s="73"/>
      <c r="G226" s="73"/>
      <c r="H226" s="73"/>
      <c r="I226" s="73"/>
      <c r="J226" s="73"/>
      <c r="K226" s="73"/>
      <c r="L226" s="73"/>
      <c r="M226" s="74"/>
      <c r="N226" s="71" t="str">
        <f t="shared" si="3"/>
        <v/>
      </c>
      <c r="O226" s="72"/>
      <c r="P226" s="72"/>
      <c r="Q226" s="72"/>
      <c r="R226" s="72"/>
      <c r="S226" s="72"/>
      <c r="T226" s="72"/>
      <c r="U226" s="72"/>
      <c r="V226" s="72"/>
    </row>
    <row r="227" spans="1:25" ht="27.75" customHeight="1">
      <c r="A227" s="87" t="str">
        <f>IF(ISBLANK(C227)," ",222-COUNTBLANK($C$6:C227))</f>
        <v xml:space="preserve"> </v>
      </c>
      <c r="B227" s="88"/>
      <c r="C227" s="88"/>
      <c r="D227" s="89"/>
      <c r="E227" s="89"/>
      <c r="F227" s="73"/>
      <c r="G227" s="73"/>
      <c r="H227" s="73"/>
      <c r="I227" s="73"/>
      <c r="J227" s="73"/>
      <c r="K227" s="73"/>
      <c r="L227" s="73"/>
      <c r="M227" s="74"/>
      <c r="N227" s="71" t="str">
        <f t="shared" si="3"/>
        <v/>
      </c>
      <c r="O227" s="72"/>
      <c r="P227" s="72"/>
      <c r="Q227" s="72"/>
      <c r="R227" s="72"/>
      <c r="S227" s="72"/>
      <c r="T227" s="72"/>
      <c r="U227" s="72"/>
      <c r="V227" s="72"/>
    </row>
    <row r="228" spans="1:25" ht="27.75" customHeight="1">
      <c r="A228" s="87" t="str">
        <f>IF(ISBLANK(C228)," ",223-COUNTBLANK($C$6:C228))</f>
        <v xml:space="preserve"> </v>
      </c>
      <c r="B228" s="88"/>
      <c r="C228" s="88"/>
      <c r="D228" s="89"/>
      <c r="E228" s="89"/>
      <c r="F228" s="73"/>
      <c r="G228" s="73"/>
      <c r="H228" s="73"/>
      <c r="I228" s="73"/>
      <c r="J228" s="73"/>
      <c r="K228" s="73"/>
      <c r="L228" s="73"/>
      <c r="M228" s="74"/>
      <c r="N228" s="71" t="str">
        <f t="shared" si="3"/>
        <v/>
      </c>
      <c r="O228" s="72"/>
      <c r="P228" s="72"/>
      <c r="Q228" s="72"/>
      <c r="R228" s="72"/>
      <c r="S228" s="72"/>
      <c r="T228" s="72"/>
      <c r="U228" s="72"/>
      <c r="V228" s="72"/>
    </row>
    <row r="229" spans="1:25" ht="27.75" customHeight="1">
      <c r="A229" s="87" t="str">
        <f>IF(ISBLANK(C229)," ",224-COUNTBLANK($C$6:C229))</f>
        <v xml:space="preserve"> </v>
      </c>
      <c r="B229" s="88"/>
      <c r="C229" s="88"/>
      <c r="D229" s="89"/>
      <c r="E229" s="89"/>
      <c r="F229" s="73"/>
      <c r="G229" s="73"/>
      <c r="H229" s="73"/>
      <c r="I229" s="73"/>
      <c r="J229" s="73"/>
      <c r="K229" s="73"/>
      <c r="L229" s="73"/>
      <c r="M229" s="74"/>
      <c r="N229" s="71" t="str">
        <f t="shared" si="3"/>
        <v/>
      </c>
      <c r="O229" s="72"/>
      <c r="P229" s="72"/>
      <c r="Q229" s="72"/>
      <c r="R229" s="72"/>
      <c r="S229" s="72"/>
      <c r="T229" s="72"/>
      <c r="U229" s="72"/>
      <c r="V229" s="72"/>
    </row>
    <row r="230" spans="1:25" ht="27.75" customHeight="1">
      <c r="A230" s="87" t="str">
        <f>IF(ISBLANK(C230)," ",225-COUNTBLANK($C$6:C230))</f>
        <v xml:space="preserve"> </v>
      </c>
      <c r="B230" s="88"/>
      <c r="C230" s="88"/>
      <c r="D230" s="89"/>
      <c r="E230" s="89"/>
      <c r="F230" s="73"/>
      <c r="G230" s="73"/>
      <c r="H230" s="73"/>
      <c r="I230" s="73"/>
      <c r="J230" s="73"/>
      <c r="K230" s="73"/>
      <c r="L230" s="73"/>
      <c r="M230" s="74"/>
      <c r="N230" s="71" t="str">
        <f t="shared" si="3"/>
        <v/>
      </c>
      <c r="O230" s="72"/>
      <c r="P230" s="72"/>
      <c r="Q230" s="72"/>
      <c r="R230" s="72"/>
      <c r="S230" s="72"/>
      <c r="T230" s="72"/>
      <c r="U230" s="72"/>
      <c r="V230" s="72"/>
    </row>
    <row r="231" spans="1:25" ht="27.75" customHeight="1">
      <c r="A231" s="87" t="str">
        <f>IF(ISBLANK(C231)," ",226-COUNTBLANK($C$6:C231))</f>
        <v xml:space="preserve"> </v>
      </c>
      <c r="B231" s="88"/>
      <c r="C231" s="88"/>
      <c r="D231" s="89"/>
      <c r="E231" s="89"/>
      <c r="F231" s="73"/>
      <c r="G231" s="73"/>
      <c r="H231" s="73"/>
      <c r="I231" s="73"/>
      <c r="J231" s="73"/>
      <c r="K231" s="73"/>
      <c r="L231" s="73"/>
      <c r="M231" s="74"/>
      <c r="N231" s="71" t="str">
        <f t="shared" si="3"/>
        <v/>
      </c>
      <c r="O231" s="75"/>
      <c r="P231" s="72"/>
      <c r="Q231" s="72"/>
      <c r="R231" s="72"/>
      <c r="S231" s="72"/>
      <c r="T231" s="72"/>
      <c r="U231" s="72"/>
      <c r="V231" s="76"/>
    </row>
    <row r="232" spans="1:25" ht="27.75" customHeight="1">
      <c r="A232" s="87" t="str">
        <f>IF(ISBLANK(C232)," ",227-COUNTBLANK($C$6:C232))</f>
        <v xml:space="preserve"> </v>
      </c>
      <c r="B232" s="88"/>
      <c r="C232" s="88"/>
      <c r="D232" s="89"/>
      <c r="E232" s="89"/>
      <c r="F232" s="73"/>
      <c r="G232" s="73"/>
      <c r="H232" s="73"/>
      <c r="I232" s="73"/>
      <c r="J232" s="73"/>
      <c r="K232" s="73"/>
      <c r="L232" s="73"/>
      <c r="M232" s="74"/>
      <c r="N232" s="71" t="str">
        <f t="shared" si="3"/>
        <v/>
      </c>
      <c r="O232" s="75"/>
      <c r="P232" s="72"/>
      <c r="Q232" s="72"/>
      <c r="R232" s="72"/>
      <c r="S232" s="72"/>
      <c r="T232" s="72"/>
      <c r="U232" s="72"/>
      <c r="V232" s="76"/>
    </row>
    <row r="233" spans="1:25" ht="27.75" customHeight="1">
      <c r="A233" s="87" t="str">
        <f>IF(ISBLANK(C233)," ",228-COUNTBLANK($C$6:C233))</f>
        <v xml:space="preserve"> </v>
      </c>
      <c r="B233" s="88"/>
      <c r="C233" s="88"/>
      <c r="D233" s="89"/>
      <c r="E233" s="89"/>
      <c r="F233" s="73"/>
      <c r="G233" s="73"/>
      <c r="H233" s="73"/>
      <c r="I233" s="73"/>
      <c r="J233" s="73"/>
      <c r="K233" s="73"/>
      <c r="L233" s="73"/>
      <c r="M233" s="74"/>
      <c r="N233" s="71" t="str">
        <f t="shared" si="3"/>
        <v/>
      </c>
      <c r="O233" s="75"/>
      <c r="P233" s="72"/>
      <c r="Q233" s="72"/>
      <c r="R233" s="72"/>
      <c r="S233" s="72"/>
      <c r="T233" s="72"/>
      <c r="U233" s="72"/>
      <c r="V233" s="76"/>
    </row>
    <row r="234" spans="1:25" ht="27.75" customHeight="1">
      <c r="A234" s="87" t="str">
        <f>IF(ISBLANK(C234)," ",229-COUNTBLANK($C$6:C234))</f>
        <v xml:space="preserve"> </v>
      </c>
      <c r="B234" s="88"/>
      <c r="C234" s="88"/>
      <c r="D234" s="89"/>
      <c r="E234" s="89"/>
      <c r="F234" s="73"/>
      <c r="G234" s="73"/>
      <c r="H234" s="73"/>
      <c r="I234" s="73"/>
      <c r="J234" s="73"/>
      <c r="K234" s="73"/>
      <c r="L234" s="73"/>
      <c r="M234" s="74"/>
      <c r="N234" s="71" t="str">
        <f t="shared" si="3"/>
        <v/>
      </c>
      <c r="O234" s="75"/>
      <c r="P234" s="72"/>
      <c r="Q234" s="72"/>
      <c r="R234" s="72"/>
      <c r="S234" s="72"/>
      <c r="T234" s="72"/>
      <c r="U234" s="72"/>
      <c r="V234" s="76"/>
    </row>
    <row r="235" spans="1:25" ht="27.75" customHeight="1">
      <c r="A235" s="87" t="str">
        <f>IF(ISBLANK(C235)," ",230-COUNTBLANK($C$6:C235))</f>
        <v xml:space="preserve"> </v>
      </c>
      <c r="B235" s="88"/>
      <c r="C235" s="88"/>
      <c r="D235" s="89"/>
      <c r="E235" s="89"/>
      <c r="F235" s="73"/>
      <c r="G235" s="73"/>
      <c r="H235" s="73"/>
      <c r="I235" s="73"/>
      <c r="J235" s="73"/>
      <c r="K235" s="73"/>
      <c r="L235" s="73"/>
      <c r="M235" s="74"/>
      <c r="N235" s="71" t="str">
        <f t="shared" si="3"/>
        <v/>
      </c>
      <c r="O235" s="72"/>
      <c r="P235" s="72"/>
      <c r="Q235" s="72"/>
      <c r="R235" s="72"/>
      <c r="S235" s="72"/>
      <c r="T235" s="72"/>
      <c r="U235" s="72"/>
      <c r="V235" s="79"/>
      <c r="W235" s="72"/>
      <c r="X235" s="72"/>
      <c r="Y235" s="72"/>
    </row>
    <row r="236" spans="1:25" ht="27.75" customHeight="1">
      <c r="A236" s="80" t="s">
        <v>52</v>
      </c>
      <c r="B236" s="81"/>
      <c r="C236" s="96"/>
      <c r="D236" s="82"/>
      <c r="E236" s="82">
        <f>SUM(E216:E235)</f>
        <v>0</v>
      </c>
      <c r="F236" s="83"/>
      <c r="G236" s="83"/>
      <c r="H236" s="83"/>
      <c r="I236" s="83"/>
      <c r="J236" s="83"/>
      <c r="K236" s="83"/>
      <c r="L236" s="83"/>
      <c r="M236" s="84"/>
      <c r="N236" s="71" t="str">
        <f t="shared" si="3"/>
        <v/>
      </c>
      <c r="O236" s="75"/>
      <c r="P236" s="72"/>
      <c r="Q236" s="72"/>
      <c r="R236" s="72"/>
      <c r="S236" s="72"/>
      <c r="T236" s="72"/>
      <c r="U236" s="72"/>
      <c r="V236" s="79"/>
      <c r="W236" s="72"/>
      <c r="X236" s="72"/>
      <c r="Y236" s="72"/>
    </row>
    <row r="237" spans="1:25" ht="27.75" customHeight="1">
      <c r="A237" s="93" t="str">
        <f>IF(ISBLANK(C237)," ",232-COUNTBLANK($C$6:C237))</f>
        <v xml:space="preserve"> </v>
      </c>
      <c r="B237" s="94"/>
      <c r="C237" s="94"/>
      <c r="D237" s="95"/>
      <c r="E237" s="95"/>
      <c r="F237" s="85"/>
      <c r="G237" s="85"/>
      <c r="H237" s="85"/>
      <c r="I237" s="85"/>
      <c r="J237" s="85"/>
      <c r="K237" s="85"/>
      <c r="L237" s="85"/>
      <c r="M237" s="86"/>
      <c r="N237" s="71" t="str">
        <f t="shared" si="3"/>
        <v/>
      </c>
      <c r="O237" s="72"/>
      <c r="P237" s="72"/>
      <c r="Q237" s="72"/>
      <c r="R237" s="72"/>
      <c r="S237" s="72"/>
      <c r="T237" s="72"/>
      <c r="U237" s="72"/>
      <c r="V237" s="72"/>
    </row>
    <row r="238" spans="1:25" ht="27.75" customHeight="1">
      <c r="A238" s="87" t="str">
        <f>IF(ISBLANK(C238)," ",233-COUNTBLANK($C$6:C238))</f>
        <v xml:space="preserve"> </v>
      </c>
      <c r="B238" s="88"/>
      <c r="C238" s="88"/>
      <c r="D238" s="89"/>
      <c r="E238" s="89"/>
      <c r="F238" s="73"/>
      <c r="G238" s="73"/>
      <c r="H238" s="73"/>
      <c r="I238" s="73"/>
      <c r="J238" s="73"/>
      <c r="K238" s="73"/>
      <c r="L238" s="73"/>
      <c r="M238" s="74"/>
      <c r="N238" s="71" t="str">
        <f t="shared" si="3"/>
        <v/>
      </c>
      <c r="O238" s="72"/>
      <c r="P238" s="72"/>
      <c r="Q238" s="72"/>
      <c r="R238" s="72"/>
      <c r="S238" s="72"/>
      <c r="T238" s="72"/>
      <c r="U238" s="72"/>
      <c r="V238" s="72"/>
    </row>
    <row r="239" spans="1:25" ht="27.75" customHeight="1">
      <c r="A239" s="87" t="str">
        <f>IF(ISBLANK(C239)," ",234-COUNTBLANK($C$6:C239))</f>
        <v xml:space="preserve"> </v>
      </c>
      <c r="B239" s="88"/>
      <c r="C239" s="88"/>
      <c r="D239" s="89"/>
      <c r="E239" s="89"/>
      <c r="F239" s="73"/>
      <c r="G239" s="73"/>
      <c r="H239" s="73"/>
      <c r="I239" s="73"/>
      <c r="J239" s="73"/>
      <c r="K239" s="73"/>
      <c r="L239" s="73"/>
      <c r="M239" s="74"/>
      <c r="N239" s="71" t="str">
        <f t="shared" si="3"/>
        <v/>
      </c>
      <c r="O239" s="72"/>
      <c r="P239" s="72"/>
      <c r="Q239" s="72"/>
      <c r="R239" s="72"/>
      <c r="S239" s="72"/>
      <c r="T239" s="72"/>
      <c r="U239" s="72"/>
      <c r="V239" s="72"/>
    </row>
    <row r="240" spans="1:25" ht="27.75" customHeight="1">
      <c r="A240" s="87" t="str">
        <f>IF(ISBLANK(C240)," ",235-COUNTBLANK($C$6:C240))</f>
        <v xml:space="preserve"> </v>
      </c>
      <c r="B240" s="88"/>
      <c r="C240" s="88"/>
      <c r="D240" s="89"/>
      <c r="E240" s="89"/>
      <c r="F240" s="73"/>
      <c r="G240" s="73"/>
      <c r="H240" s="73"/>
      <c r="I240" s="73"/>
      <c r="J240" s="73"/>
      <c r="K240" s="73"/>
      <c r="L240" s="73"/>
      <c r="M240" s="74"/>
      <c r="N240" s="71" t="str">
        <f t="shared" si="3"/>
        <v/>
      </c>
      <c r="O240" s="72"/>
      <c r="P240" s="72"/>
      <c r="Q240" s="72"/>
      <c r="R240" s="72"/>
      <c r="S240" s="72"/>
      <c r="T240" s="72"/>
      <c r="U240" s="72"/>
      <c r="V240" s="72"/>
    </row>
    <row r="241" spans="1:25" ht="27.75" customHeight="1">
      <c r="A241" s="87" t="str">
        <f>IF(ISBLANK(C241)," ",236-COUNTBLANK($C$6:C241))</f>
        <v xml:space="preserve"> </v>
      </c>
      <c r="B241" s="88"/>
      <c r="C241" s="88"/>
      <c r="D241" s="89"/>
      <c r="E241" s="89"/>
      <c r="F241" s="73"/>
      <c r="G241" s="73"/>
      <c r="H241" s="73"/>
      <c r="I241" s="73"/>
      <c r="J241" s="73"/>
      <c r="K241" s="73"/>
      <c r="L241" s="73"/>
      <c r="M241" s="74"/>
      <c r="N241" s="71" t="str">
        <f t="shared" si="3"/>
        <v/>
      </c>
      <c r="O241" s="72"/>
      <c r="P241" s="72"/>
      <c r="Q241" s="72"/>
      <c r="R241" s="72"/>
      <c r="S241" s="72"/>
      <c r="T241" s="72"/>
      <c r="U241" s="72"/>
      <c r="V241" s="72"/>
    </row>
    <row r="242" spans="1:25" ht="27.75" customHeight="1">
      <c r="A242" s="87" t="str">
        <f>IF(ISBLANK(C242)," ",237-COUNTBLANK($C$6:C242))</f>
        <v xml:space="preserve"> </v>
      </c>
      <c r="B242" s="88"/>
      <c r="C242" s="88"/>
      <c r="D242" s="89"/>
      <c r="E242" s="89"/>
      <c r="F242" s="73"/>
      <c r="G242" s="73"/>
      <c r="H242" s="73"/>
      <c r="I242" s="73"/>
      <c r="J242" s="73"/>
      <c r="K242" s="73"/>
      <c r="L242" s="73"/>
      <c r="M242" s="74"/>
      <c r="N242" s="71" t="str">
        <f t="shared" si="3"/>
        <v/>
      </c>
      <c r="O242" s="72"/>
      <c r="P242" s="72"/>
      <c r="Q242" s="72"/>
      <c r="R242" s="72"/>
      <c r="S242" s="72"/>
      <c r="T242" s="72"/>
      <c r="U242" s="72"/>
      <c r="V242" s="72"/>
    </row>
    <row r="243" spans="1:25" ht="27.75" customHeight="1">
      <c r="A243" s="87" t="str">
        <f>IF(ISBLANK(C243)," ",238-COUNTBLANK($C$6:C243))</f>
        <v xml:space="preserve"> </v>
      </c>
      <c r="B243" s="88"/>
      <c r="C243" s="88"/>
      <c r="D243" s="89"/>
      <c r="E243" s="89"/>
      <c r="F243" s="73"/>
      <c r="G243" s="73"/>
      <c r="H243" s="73"/>
      <c r="I243" s="73"/>
      <c r="J243" s="73"/>
      <c r="K243" s="73"/>
      <c r="L243" s="73"/>
      <c r="M243" s="74"/>
      <c r="N243" s="71" t="str">
        <f t="shared" si="3"/>
        <v/>
      </c>
      <c r="O243" s="72"/>
      <c r="P243" s="72"/>
      <c r="Q243" s="72"/>
      <c r="R243" s="72"/>
      <c r="S243" s="72"/>
      <c r="T243" s="72"/>
      <c r="U243" s="72"/>
      <c r="V243" s="72"/>
    </row>
    <row r="244" spans="1:25" ht="27.75" customHeight="1">
      <c r="A244" s="87" t="str">
        <f>IF(ISBLANK(C244)," ",239-COUNTBLANK($C$6:C244))</f>
        <v xml:space="preserve"> </v>
      </c>
      <c r="B244" s="88"/>
      <c r="C244" s="88"/>
      <c r="D244" s="89"/>
      <c r="E244" s="89"/>
      <c r="F244" s="73"/>
      <c r="G244" s="73"/>
      <c r="H244" s="73"/>
      <c r="I244" s="73"/>
      <c r="J244" s="73"/>
      <c r="K244" s="73"/>
      <c r="L244" s="73"/>
      <c r="M244" s="74"/>
      <c r="N244" s="71" t="str">
        <f t="shared" si="3"/>
        <v/>
      </c>
      <c r="O244" s="72"/>
      <c r="P244" s="72"/>
      <c r="Q244" s="72"/>
      <c r="R244" s="72"/>
      <c r="S244" s="72"/>
      <c r="T244" s="72"/>
      <c r="U244" s="72"/>
      <c r="V244" s="72"/>
    </row>
    <row r="245" spans="1:25" ht="27.75" customHeight="1">
      <c r="A245" s="87" t="str">
        <f>IF(ISBLANK(C245)," ",240-COUNTBLANK($C$6:C245))</f>
        <v xml:space="preserve"> </v>
      </c>
      <c r="B245" s="88"/>
      <c r="C245" s="88"/>
      <c r="D245" s="89"/>
      <c r="E245" s="89"/>
      <c r="F245" s="73"/>
      <c r="G245" s="73"/>
      <c r="H245" s="73"/>
      <c r="I245" s="73"/>
      <c r="J245" s="73"/>
      <c r="K245" s="73"/>
      <c r="L245" s="73"/>
      <c r="M245" s="74"/>
      <c r="N245" s="71" t="str">
        <f t="shared" si="3"/>
        <v/>
      </c>
      <c r="O245" s="72"/>
      <c r="P245" s="72"/>
      <c r="Q245" s="72"/>
      <c r="R245" s="72"/>
      <c r="S245" s="72"/>
      <c r="T245" s="72"/>
      <c r="U245" s="72"/>
      <c r="V245" s="72"/>
    </row>
    <row r="246" spans="1:25" ht="27.75" customHeight="1">
      <c r="A246" s="87" t="str">
        <f>IF(ISBLANK(C246)," ",241-COUNTBLANK($C$6:C246))</f>
        <v xml:space="preserve"> </v>
      </c>
      <c r="B246" s="88"/>
      <c r="C246" s="88"/>
      <c r="D246" s="89"/>
      <c r="E246" s="89"/>
      <c r="F246" s="73"/>
      <c r="G246" s="73"/>
      <c r="H246" s="73"/>
      <c r="I246" s="73"/>
      <c r="J246" s="73"/>
      <c r="K246" s="73"/>
      <c r="L246" s="73"/>
      <c r="M246" s="74"/>
      <c r="N246" s="71" t="str">
        <f t="shared" si="3"/>
        <v/>
      </c>
      <c r="O246" s="72"/>
      <c r="P246" s="72"/>
      <c r="Q246" s="72"/>
      <c r="R246" s="72"/>
      <c r="S246" s="72"/>
      <c r="T246" s="72"/>
      <c r="U246" s="72"/>
      <c r="V246" s="72"/>
    </row>
    <row r="247" spans="1:25" ht="27.75" customHeight="1">
      <c r="A247" s="87" t="str">
        <f>IF(ISBLANK(C247)," ",242-COUNTBLANK($C$6:C247))</f>
        <v xml:space="preserve"> </v>
      </c>
      <c r="B247" s="88"/>
      <c r="C247" s="88"/>
      <c r="D247" s="89"/>
      <c r="E247" s="89"/>
      <c r="F247" s="73"/>
      <c r="G247" s="73"/>
      <c r="H247" s="73"/>
      <c r="I247" s="73"/>
      <c r="J247" s="73"/>
      <c r="K247" s="73"/>
      <c r="L247" s="73"/>
      <c r="M247" s="74"/>
      <c r="N247" s="71" t="str">
        <f t="shared" si="3"/>
        <v/>
      </c>
      <c r="O247" s="72"/>
      <c r="P247" s="72"/>
      <c r="Q247" s="72"/>
      <c r="R247" s="72"/>
      <c r="S247" s="72"/>
      <c r="T247" s="72"/>
      <c r="U247" s="72"/>
      <c r="V247" s="72"/>
    </row>
    <row r="248" spans="1:25" ht="27.75" customHeight="1">
      <c r="A248" s="87" t="str">
        <f>IF(ISBLANK(C248)," ",243-COUNTBLANK($C$6:C248))</f>
        <v xml:space="preserve"> </v>
      </c>
      <c r="B248" s="88"/>
      <c r="C248" s="88"/>
      <c r="D248" s="89"/>
      <c r="E248" s="89"/>
      <c r="F248" s="73"/>
      <c r="G248" s="73"/>
      <c r="H248" s="73"/>
      <c r="I248" s="73"/>
      <c r="J248" s="73"/>
      <c r="K248" s="73"/>
      <c r="L248" s="73"/>
      <c r="M248" s="74"/>
      <c r="N248" s="71" t="str">
        <f t="shared" si="3"/>
        <v/>
      </c>
      <c r="O248" s="72"/>
      <c r="P248" s="72"/>
      <c r="Q248" s="72"/>
      <c r="R248" s="72"/>
      <c r="S248" s="72"/>
      <c r="T248" s="72"/>
      <c r="U248" s="72"/>
      <c r="V248" s="72"/>
    </row>
    <row r="249" spans="1:25" ht="27.75" customHeight="1">
      <c r="A249" s="87" t="str">
        <f>IF(ISBLANK(C249)," ",244-COUNTBLANK($C$6:C249))</f>
        <v xml:space="preserve"> </v>
      </c>
      <c r="B249" s="88"/>
      <c r="C249" s="88"/>
      <c r="D249" s="89"/>
      <c r="E249" s="89"/>
      <c r="F249" s="73"/>
      <c r="G249" s="73"/>
      <c r="H249" s="73"/>
      <c r="I249" s="73"/>
      <c r="J249" s="73"/>
      <c r="K249" s="73"/>
      <c r="L249" s="73"/>
      <c r="M249" s="74"/>
      <c r="N249" s="71" t="str">
        <f t="shared" si="3"/>
        <v/>
      </c>
      <c r="O249" s="72"/>
      <c r="P249" s="72"/>
      <c r="Q249" s="72"/>
      <c r="R249" s="72"/>
      <c r="S249" s="72"/>
      <c r="T249" s="72"/>
      <c r="U249" s="72"/>
      <c r="V249" s="72"/>
    </row>
    <row r="250" spans="1:25" ht="27.75" customHeight="1">
      <c r="A250" s="87" t="str">
        <f>IF(ISBLANK(C250)," ",245-COUNTBLANK($C$6:C250))</f>
        <v xml:space="preserve"> </v>
      </c>
      <c r="B250" s="88"/>
      <c r="C250" s="88"/>
      <c r="D250" s="89"/>
      <c r="E250" s="89"/>
      <c r="F250" s="73"/>
      <c r="G250" s="73"/>
      <c r="H250" s="73"/>
      <c r="I250" s="73"/>
      <c r="J250" s="73"/>
      <c r="K250" s="73"/>
      <c r="L250" s="73"/>
      <c r="M250" s="74"/>
      <c r="N250" s="71" t="str">
        <f t="shared" si="3"/>
        <v/>
      </c>
      <c r="O250" s="72"/>
      <c r="P250" s="72"/>
      <c r="Q250" s="72"/>
      <c r="R250" s="72"/>
      <c r="S250" s="72"/>
      <c r="T250" s="72"/>
      <c r="U250" s="72"/>
      <c r="V250" s="72"/>
    </row>
    <row r="251" spans="1:25" ht="27.75" customHeight="1">
      <c r="A251" s="87" t="str">
        <f>IF(ISBLANK(C251)," ",246-COUNTBLANK($C$6:C251))</f>
        <v xml:space="preserve"> </v>
      </c>
      <c r="B251" s="88"/>
      <c r="C251" s="88"/>
      <c r="D251" s="89"/>
      <c r="E251" s="89"/>
      <c r="F251" s="73"/>
      <c r="G251" s="73"/>
      <c r="H251" s="73"/>
      <c r="I251" s="73"/>
      <c r="J251" s="73"/>
      <c r="K251" s="73"/>
      <c r="L251" s="73"/>
      <c r="M251" s="74"/>
      <c r="N251" s="71" t="str">
        <f t="shared" si="3"/>
        <v/>
      </c>
      <c r="O251" s="72"/>
      <c r="P251" s="72"/>
      <c r="Q251" s="72"/>
      <c r="R251" s="72"/>
      <c r="S251" s="72"/>
      <c r="T251" s="72"/>
      <c r="U251" s="72"/>
      <c r="V251" s="72"/>
    </row>
    <row r="252" spans="1:25" ht="27.75" customHeight="1">
      <c r="A252" s="87" t="str">
        <f>IF(ISBLANK(C252)," ",247-COUNTBLANK($C$6:C252))</f>
        <v xml:space="preserve"> </v>
      </c>
      <c r="B252" s="88"/>
      <c r="C252" s="88"/>
      <c r="D252" s="89"/>
      <c r="E252" s="89"/>
      <c r="F252" s="73"/>
      <c r="G252" s="73"/>
      <c r="H252" s="73"/>
      <c r="I252" s="73"/>
      <c r="J252" s="73"/>
      <c r="K252" s="73"/>
      <c r="L252" s="73"/>
      <c r="M252" s="74"/>
      <c r="N252" s="71" t="str">
        <f t="shared" si="3"/>
        <v/>
      </c>
      <c r="O252" s="75"/>
      <c r="P252" s="72"/>
      <c r="Q252" s="72"/>
      <c r="R252" s="72"/>
      <c r="S252" s="72"/>
      <c r="T252" s="72"/>
      <c r="U252" s="72"/>
      <c r="V252" s="76"/>
    </row>
    <row r="253" spans="1:25" ht="27.75" customHeight="1">
      <c r="A253" s="87" t="str">
        <f>IF(ISBLANK(C253)," ",248-COUNTBLANK($C$6:C253))</f>
        <v xml:space="preserve"> </v>
      </c>
      <c r="B253" s="88"/>
      <c r="C253" s="88"/>
      <c r="D253" s="89"/>
      <c r="E253" s="89"/>
      <c r="F253" s="73"/>
      <c r="G253" s="73"/>
      <c r="H253" s="73"/>
      <c r="I253" s="73"/>
      <c r="J253" s="73"/>
      <c r="K253" s="73"/>
      <c r="L253" s="73"/>
      <c r="M253" s="74"/>
      <c r="N253" s="71" t="str">
        <f t="shared" si="3"/>
        <v/>
      </c>
      <c r="O253" s="75"/>
      <c r="P253" s="72"/>
      <c r="Q253" s="72"/>
      <c r="R253" s="72"/>
      <c r="S253" s="72"/>
      <c r="T253" s="72"/>
      <c r="U253" s="72"/>
      <c r="V253" s="76"/>
    </row>
    <row r="254" spans="1:25" ht="27.75" customHeight="1">
      <c r="A254" s="87" t="str">
        <f>IF(ISBLANK(C254)," ",249-COUNTBLANK($C$6:C254))</f>
        <v xml:space="preserve"> </v>
      </c>
      <c r="B254" s="88"/>
      <c r="C254" s="88"/>
      <c r="D254" s="89"/>
      <c r="E254" s="89"/>
      <c r="F254" s="73"/>
      <c r="G254" s="73"/>
      <c r="H254" s="73"/>
      <c r="I254" s="73"/>
      <c r="J254" s="73"/>
      <c r="K254" s="73"/>
      <c r="L254" s="73"/>
      <c r="M254" s="74"/>
      <c r="N254" s="71" t="str">
        <f t="shared" si="3"/>
        <v/>
      </c>
      <c r="O254" s="75"/>
      <c r="P254" s="72"/>
      <c r="Q254" s="72"/>
      <c r="R254" s="72"/>
      <c r="S254" s="72"/>
      <c r="T254" s="72"/>
      <c r="U254" s="72"/>
      <c r="V254" s="76"/>
    </row>
    <row r="255" spans="1:25" ht="27.75" customHeight="1">
      <c r="A255" s="87" t="str">
        <f>IF(ISBLANK(C255)," ",250-COUNTBLANK($C$6:C255))</f>
        <v xml:space="preserve"> </v>
      </c>
      <c r="B255" s="88"/>
      <c r="C255" s="88"/>
      <c r="D255" s="89"/>
      <c r="E255" s="89"/>
      <c r="F255" s="73"/>
      <c r="G255" s="73"/>
      <c r="H255" s="73"/>
      <c r="I255" s="73"/>
      <c r="J255" s="73"/>
      <c r="K255" s="73"/>
      <c r="L255" s="73"/>
      <c r="M255" s="74"/>
      <c r="N255" s="71" t="str">
        <f t="shared" si="3"/>
        <v/>
      </c>
      <c r="O255" s="75"/>
      <c r="P255" s="72"/>
      <c r="Q255" s="72"/>
      <c r="R255" s="72"/>
      <c r="S255" s="72"/>
      <c r="T255" s="72"/>
      <c r="U255" s="72"/>
      <c r="V255" s="76"/>
    </row>
    <row r="256" spans="1:25" ht="27.75" customHeight="1">
      <c r="A256" s="87" t="str">
        <f>IF(ISBLANK(C256)," ",251-COUNTBLANK($C$6:C256))</f>
        <v xml:space="preserve"> </v>
      </c>
      <c r="B256" s="88"/>
      <c r="C256" s="88"/>
      <c r="D256" s="89"/>
      <c r="E256" s="89"/>
      <c r="F256" s="73"/>
      <c r="G256" s="73"/>
      <c r="H256" s="73"/>
      <c r="I256" s="73"/>
      <c r="J256" s="73"/>
      <c r="K256" s="73"/>
      <c r="L256" s="73"/>
      <c r="M256" s="74"/>
      <c r="N256" s="71" t="str">
        <f t="shared" si="3"/>
        <v/>
      </c>
      <c r="O256" s="72"/>
      <c r="P256" s="72"/>
      <c r="Q256" s="72"/>
      <c r="R256" s="72"/>
      <c r="S256" s="72"/>
      <c r="T256" s="72"/>
      <c r="U256" s="72"/>
      <c r="V256" s="79"/>
      <c r="W256" s="72"/>
      <c r="X256" s="72"/>
      <c r="Y256" s="72"/>
    </row>
    <row r="257" spans="1:25" ht="27.75" customHeight="1">
      <c r="A257" s="80" t="s">
        <v>52</v>
      </c>
      <c r="B257" s="81"/>
      <c r="C257" s="96"/>
      <c r="D257" s="82"/>
      <c r="E257" s="82">
        <f>SUM(E237:E256)</f>
        <v>0</v>
      </c>
      <c r="F257" s="83"/>
      <c r="G257" s="83"/>
      <c r="H257" s="83"/>
      <c r="I257" s="83"/>
      <c r="J257" s="83"/>
      <c r="K257" s="83"/>
      <c r="L257" s="83"/>
      <c r="M257" s="84"/>
      <c r="N257" s="71" t="str">
        <f t="shared" si="3"/>
        <v/>
      </c>
      <c r="O257" s="75"/>
      <c r="P257" s="72"/>
      <c r="Q257" s="72"/>
      <c r="R257" s="72"/>
      <c r="S257" s="72"/>
      <c r="T257" s="72"/>
      <c r="U257" s="72"/>
      <c r="V257" s="79"/>
      <c r="W257" s="72"/>
      <c r="X257" s="72"/>
      <c r="Y257" s="72"/>
    </row>
    <row r="258" spans="1:25" ht="27.75" customHeight="1">
      <c r="A258" s="93" t="str">
        <f>IF(ISBLANK(C258)," ",253-COUNTBLANK($C$6:C258))</f>
        <v xml:space="preserve"> </v>
      </c>
      <c r="B258" s="94"/>
      <c r="C258" s="94"/>
      <c r="D258" s="95"/>
      <c r="E258" s="95"/>
      <c r="F258" s="85"/>
      <c r="G258" s="85"/>
      <c r="H258" s="85"/>
      <c r="I258" s="85"/>
      <c r="J258" s="85"/>
      <c r="K258" s="85"/>
      <c r="L258" s="85"/>
      <c r="M258" s="86"/>
      <c r="N258" s="71" t="str">
        <f t="shared" si="3"/>
        <v/>
      </c>
      <c r="O258" s="72"/>
      <c r="P258" s="72"/>
      <c r="Q258" s="72"/>
      <c r="R258" s="72"/>
      <c r="S258" s="72"/>
      <c r="T258" s="72"/>
      <c r="U258" s="72"/>
      <c r="V258" s="72"/>
    </row>
    <row r="259" spans="1:25" ht="27.75" customHeight="1">
      <c r="A259" s="87" t="str">
        <f>IF(ISBLANK(C259)," ",254-COUNTBLANK($C$6:C259))</f>
        <v xml:space="preserve"> </v>
      </c>
      <c r="B259" s="88"/>
      <c r="C259" s="88"/>
      <c r="D259" s="89"/>
      <c r="E259" s="89"/>
      <c r="F259" s="73"/>
      <c r="G259" s="73"/>
      <c r="H259" s="73"/>
      <c r="I259" s="73"/>
      <c r="J259" s="73"/>
      <c r="K259" s="73"/>
      <c r="L259" s="73"/>
      <c r="M259" s="74"/>
      <c r="N259" s="71" t="str">
        <f t="shared" si="3"/>
        <v/>
      </c>
      <c r="O259" s="72"/>
      <c r="P259" s="72"/>
      <c r="Q259" s="72"/>
      <c r="R259" s="72"/>
      <c r="S259" s="72"/>
      <c r="T259" s="72"/>
      <c r="U259" s="72"/>
      <c r="V259" s="72"/>
    </row>
    <row r="260" spans="1:25" ht="27.75" customHeight="1">
      <c r="A260" s="87" t="str">
        <f>IF(ISBLANK(C260)," ",255-COUNTBLANK($C$6:C260))</f>
        <v xml:space="preserve"> </v>
      </c>
      <c r="B260" s="88"/>
      <c r="C260" s="88"/>
      <c r="D260" s="89"/>
      <c r="E260" s="89"/>
      <c r="F260" s="73"/>
      <c r="G260" s="73"/>
      <c r="H260" s="73"/>
      <c r="I260" s="73"/>
      <c r="J260" s="73"/>
      <c r="K260" s="73"/>
      <c r="L260" s="73"/>
      <c r="M260" s="74"/>
      <c r="N260" s="71" t="str">
        <f t="shared" si="3"/>
        <v/>
      </c>
      <c r="O260" s="72"/>
      <c r="P260" s="72"/>
      <c r="Q260" s="72"/>
      <c r="R260" s="72"/>
      <c r="S260" s="72"/>
      <c r="T260" s="72"/>
      <c r="U260" s="72"/>
      <c r="V260" s="72"/>
    </row>
    <row r="261" spans="1:25" ht="27.75" customHeight="1">
      <c r="A261" s="87" t="str">
        <f>IF(ISBLANK(C261)," ",256-COUNTBLANK($C$6:C261))</f>
        <v xml:space="preserve"> </v>
      </c>
      <c r="B261" s="88"/>
      <c r="C261" s="88"/>
      <c r="D261" s="89"/>
      <c r="E261" s="89"/>
      <c r="F261" s="73"/>
      <c r="G261" s="73"/>
      <c r="H261" s="73"/>
      <c r="I261" s="73"/>
      <c r="J261" s="73"/>
      <c r="K261" s="73"/>
      <c r="L261" s="73"/>
      <c r="M261" s="74"/>
      <c r="N261" s="71" t="str">
        <f t="shared" si="3"/>
        <v/>
      </c>
      <c r="O261" s="72"/>
      <c r="P261" s="72"/>
      <c r="Q261" s="72"/>
      <c r="R261" s="72"/>
      <c r="S261" s="72"/>
      <c r="T261" s="72"/>
      <c r="U261" s="72"/>
      <c r="V261" s="72"/>
    </row>
    <row r="262" spans="1:25" ht="27.75" customHeight="1">
      <c r="A262" s="87" t="str">
        <f>IF(ISBLANK(C262)," ",257-COUNTBLANK($C$6:C262))</f>
        <v xml:space="preserve"> </v>
      </c>
      <c r="B262" s="88"/>
      <c r="C262" s="88"/>
      <c r="D262" s="89"/>
      <c r="E262" s="89"/>
      <c r="F262" s="73"/>
      <c r="G262" s="73"/>
      <c r="H262" s="73"/>
      <c r="I262" s="73"/>
      <c r="J262" s="73"/>
      <c r="K262" s="73"/>
      <c r="L262" s="73"/>
      <c r="M262" s="74"/>
      <c r="N262" s="71" t="str">
        <f t="shared" ref="N262:N325" si="4">CONCATENATE(C262,H262)</f>
        <v/>
      </c>
      <c r="O262" s="72"/>
      <c r="P262" s="72"/>
      <c r="Q262" s="72"/>
      <c r="R262" s="72"/>
      <c r="S262" s="72"/>
      <c r="T262" s="72"/>
      <c r="U262" s="72"/>
      <c r="V262" s="72"/>
    </row>
    <row r="263" spans="1:25" ht="27.75" customHeight="1">
      <c r="A263" s="87" t="str">
        <f>IF(ISBLANK(C263)," ",258-COUNTBLANK($C$6:C263))</f>
        <v xml:space="preserve"> </v>
      </c>
      <c r="B263" s="88"/>
      <c r="C263" s="88"/>
      <c r="D263" s="89"/>
      <c r="E263" s="89"/>
      <c r="F263" s="73"/>
      <c r="G263" s="73"/>
      <c r="H263" s="73"/>
      <c r="I263" s="73"/>
      <c r="J263" s="73"/>
      <c r="K263" s="73"/>
      <c r="L263" s="73"/>
      <c r="M263" s="74"/>
      <c r="N263" s="71" t="str">
        <f t="shared" si="4"/>
        <v/>
      </c>
      <c r="O263" s="72"/>
      <c r="P263" s="72"/>
      <c r="Q263" s="72"/>
      <c r="R263" s="72"/>
      <c r="S263" s="72"/>
      <c r="T263" s="72"/>
      <c r="U263" s="72"/>
      <c r="V263" s="72"/>
    </row>
    <row r="264" spans="1:25" ht="27.75" customHeight="1">
      <c r="A264" s="87" t="str">
        <f>IF(ISBLANK(C264)," ",259-COUNTBLANK($C$6:C264))</f>
        <v xml:space="preserve"> </v>
      </c>
      <c r="B264" s="88"/>
      <c r="C264" s="88"/>
      <c r="D264" s="89"/>
      <c r="E264" s="89"/>
      <c r="F264" s="73"/>
      <c r="G264" s="73"/>
      <c r="H264" s="73"/>
      <c r="I264" s="73"/>
      <c r="J264" s="73"/>
      <c r="K264" s="73"/>
      <c r="L264" s="73"/>
      <c r="M264" s="74"/>
      <c r="N264" s="71" t="str">
        <f t="shared" si="4"/>
        <v/>
      </c>
      <c r="O264" s="72"/>
      <c r="P264" s="72"/>
      <c r="Q264" s="72"/>
      <c r="R264" s="72"/>
      <c r="S264" s="72"/>
      <c r="T264" s="72"/>
      <c r="U264" s="72"/>
      <c r="V264" s="72"/>
    </row>
    <row r="265" spans="1:25" ht="27.75" customHeight="1">
      <c r="A265" s="87" t="str">
        <f>IF(ISBLANK(C265)," ",260-COUNTBLANK($C$6:C265))</f>
        <v xml:space="preserve"> </v>
      </c>
      <c r="B265" s="88"/>
      <c r="C265" s="88"/>
      <c r="D265" s="89"/>
      <c r="E265" s="89"/>
      <c r="F265" s="73"/>
      <c r="G265" s="73"/>
      <c r="H265" s="73"/>
      <c r="I265" s="73"/>
      <c r="J265" s="73"/>
      <c r="K265" s="73"/>
      <c r="L265" s="73"/>
      <c r="M265" s="74"/>
      <c r="N265" s="71" t="str">
        <f t="shared" si="4"/>
        <v/>
      </c>
      <c r="O265" s="72"/>
      <c r="P265" s="72"/>
      <c r="Q265" s="72"/>
      <c r="R265" s="72"/>
      <c r="S265" s="72"/>
      <c r="T265" s="72"/>
      <c r="U265" s="72"/>
      <c r="V265" s="72"/>
    </row>
    <row r="266" spans="1:25" ht="27.75" customHeight="1">
      <c r="A266" s="87" t="str">
        <f>IF(ISBLANK(C266)," ",261-COUNTBLANK($C$6:C266))</f>
        <v xml:space="preserve"> </v>
      </c>
      <c r="B266" s="88"/>
      <c r="C266" s="88"/>
      <c r="D266" s="89"/>
      <c r="E266" s="89"/>
      <c r="F266" s="73"/>
      <c r="G266" s="73"/>
      <c r="H266" s="73"/>
      <c r="I266" s="73"/>
      <c r="J266" s="73"/>
      <c r="K266" s="73"/>
      <c r="L266" s="73"/>
      <c r="M266" s="74"/>
      <c r="N266" s="71" t="str">
        <f t="shared" si="4"/>
        <v/>
      </c>
      <c r="O266" s="72"/>
      <c r="P266" s="72"/>
      <c r="Q266" s="72"/>
      <c r="R266" s="72"/>
      <c r="S266" s="72"/>
      <c r="T266" s="72"/>
      <c r="U266" s="72"/>
      <c r="V266" s="72"/>
    </row>
    <row r="267" spans="1:25" ht="27.75" customHeight="1">
      <c r="A267" s="87" t="str">
        <f>IF(ISBLANK(C267)," ",262-COUNTBLANK($C$6:C267))</f>
        <v xml:space="preserve"> </v>
      </c>
      <c r="B267" s="88"/>
      <c r="C267" s="88"/>
      <c r="D267" s="89"/>
      <c r="E267" s="89"/>
      <c r="F267" s="73"/>
      <c r="G267" s="73"/>
      <c r="H267" s="73"/>
      <c r="I267" s="73"/>
      <c r="J267" s="73"/>
      <c r="K267" s="73"/>
      <c r="L267" s="73"/>
      <c r="M267" s="74"/>
      <c r="N267" s="71" t="str">
        <f t="shared" si="4"/>
        <v/>
      </c>
      <c r="O267" s="72"/>
      <c r="P267" s="72"/>
      <c r="Q267" s="72"/>
      <c r="R267" s="72"/>
      <c r="S267" s="72"/>
      <c r="T267" s="72"/>
      <c r="U267" s="72"/>
      <c r="V267" s="72"/>
    </row>
    <row r="268" spans="1:25" ht="27.75" customHeight="1">
      <c r="A268" s="87" t="str">
        <f>IF(ISBLANK(C268)," ",263-COUNTBLANK($C$6:C268))</f>
        <v xml:space="preserve"> </v>
      </c>
      <c r="B268" s="88"/>
      <c r="C268" s="88"/>
      <c r="D268" s="89"/>
      <c r="E268" s="89"/>
      <c r="F268" s="73"/>
      <c r="G268" s="73"/>
      <c r="H268" s="73"/>
      <c r="I268" s="73"/>
      <c r="J268" s="73"/>
      <c r="K268" s="73"/>
      <c r="L268" s="73"/>
      <c r="M268" s="74"/>
      <c r="N268" s="71" t="str">
        <f t="shared" si="4"/>
        <v/>
      </c>
      <c r="O268" s="72"/>
      <c r="P268" s="72"/>
      <c r="Q268" s="72"/>
      <c r="R268" s="72"/>
      <c r="S268" s="72"/>
      <c r="T268" s="72"/>
      <c r="U268" s="72"/>
      <c r="V268" s="72"/>
    </row>
    <row r="269" spans="1:25" ht="27.75" customHeight="1">
      <c r="A269" s="87" t="str">
        <f>IF(ISBLANK(C269)," ",264-COUNTBLANK($C$6:C269))</f>
        <v xml:space="preserve"> </v>
      </c>
      <c r="B269" s="88"/>
      <c r="C269" s="88"/>
      <c r="D269" s="89"/>
      <c r="E269" s="89"/>
      <c r="F269" s="73"/>
      <c r="G269" s="73"/>
      <c r="H269" s="73"/>
      <c r="I269" s="73"/>
      <c r="J269" s="73"/>
      <c r="K269" s="73"/>
      <c r="L269" s="73"/>
      <c r="M269" s="74"/>
      <c r="N269" s="71" t="str">
        <f t="shared" si="4"/>
        <v/>
      </c>
      <c r="O269" s="72"/>
      <c r="P269" s="72"/>
      <c r="Q269" s="72"/>
      <c r="R269" s="72"/>
      <c r="S269" s="72"/>
      <c r="T269" s="72"/>
      <c r="U269" s="72"/>
      <c r="V269" s="72"/>
    </row>
    <row r="270" spans="1:25" ht="27.75" customHeight="1">
      <c r="A270" s="87" t="str">
        <f>IF(ISBLANK(C270)," ",265-COUNTBLANK($C$6:C270))</f>
        <v xml:space="preserve"> </v>
      </c>
      <c r="B270" s="88"/>
      <c r="C270" s="88"/>
      <c r="D270" s="89"/>
      <c r="E270" s="89"/>
      <c r="F270" s="73"/>
      <c r="G270" s="73"/>
      <c r="H270" s="73"/>
      <c r="I270" s="73"/>
      <c r="J270" s="73"/>
      <c r="K270" s="73"/>
      <c r="L270" s="73"/>
      <c r="M270" s="74"/>
      <c r="N270" s="71" t="str">
        <f t="shared" si="4"/>
        <v/>
      </c>
      <c r="O270" s="72"/>
      <c r="P270" s="72"/>
      <c r="Q270" s="72"/>
      <c r="R270" s="72"/>
      <c r="S270" s="72"/>
      <c r="T270" s="72"/>
      <c r="U270" s="72"/>
      <c r="V270" s="72"/>
    </row>
    <row r="271" spans="1:25" ht="27.75" customHeight="1">
      <c r="A271" s="87" t="str">
        <f>IF(ISBLANK(C271)," ",266-COUNTBLANK($C$6:C271))</f>
        <v xml:space="preserve"> </v>
      </c>
      <c r="B271" s="88"/>
      <c r="C271" s="88"/>
      <c r="D271" s="89"/>
      <c r="E271" s="89"/>
      <c r="F271" s="73"/>
      <c r="G271" s="73"/>
      <c r="H271" s="73"/>
      <c r="I271" s="73"/>
      <c r="J271" s="73"/>
      <c r="K271" s="73"/>
      <c r="L271" s="73"/>
      <c r="M271" s="74"/>
      <c r="N271" s="71" t="str">
        <f t="shared" si="4"/>
        <v/>
      </c>
      <c r="O271" s="72"/>
      <c r="P271" s="72"/>
      <c r="Q271" s="72"/>
      <c r="R271" s="72"/>
      <c r="S271" s="72"/>
      <c r="T271" s="72"/>
      <c r="U271" s="72"/>
      <c r="V271" s="72"/>
    </row>
    <row r="272" spans="1:25" ht="27.75" customHeight="1">
      <c r="A272" s="87" t="str">
        <f>IF(ISBLANK(C272)," ",267-COUNTBLANK($C$6:C272))</f>
        <v xml:space="preserve"> </v>
      </c>
      <c r="B272" s="88"/>
      <c r="C272" s="88"/>
      <c r="D272" s="89"/>
      <c r="E272" s="89"/>
      <c r="F272" s="73"/>
      <c r="G272" s="73"/>
      <c r="H272" s="73"/>
      <c r="I272" s="73"/>
      <c r="J272" s="73"/>
      <c r="K272" s="73"/>
      <c r="L272" s="73"/>
      <c r="M272" s="74"/>
      <c r="N272" s="71" t="str">
        <f t="shared" si="4"/>
        <v/>
      </c>
      <c r="O272" s="72"/>
      <c r="P272" s="72"/>
      <c r="Q272" s="72"/>
      <c r="R272" s="72"/>
      <c r="S272" s="72"/>
      <c r="T272" s="72"/>
      <c r="U272" s="72"/>
      <c r="V272" s="72"/>
    </row>
    <row r="273" spans="1:25" ht="27.75" customHeight="1">
      <c r="A273" s="87" t="str">
        <f>IF(ISBLANK(C273)," ",268-COUNTBLANK($C$6:C273))</f>
        <v xml:space="preserve"> </v>
      </c>
      <c r="B273" s="88"/>
      <c r="C273" s="88"/>
      <c r="D273" s="89"/>
      <c r="E273" s="89"/>
      <c r="F273" s="73"/>
      <c r="G273" s="73"/>
      <c r="H273" s="73"/>
      <c r="I273" s="73"/>
      <c r="J273" s="73"/>
      <c r="K273" s="73"/>
      <c r="L273" s="73"/>
      <c r="M273" s="74"/>
      <c r="N273" s="71" t="str">
        <f t="shared" si="4"/>
        <v/>
      </c>
      <c r="O273" s="75"/>
      <c r="P273" s="72"/>
      <c r="Q273" s="72"/>
      <c r="R273" s="72"/>
      <c r="S273" s="72"/>
      <c r="T273" s="72"/>
      <c r="U273" s="72"/>
      <c r="V273" s="76"/>
    </row>
    <row r="274" spans="1:25" ht="27.75" customHeight="1">
      <c r="A274" s="87" t="str">
        <f>IF(ISBLANK(C274)," ",269-COUNTBLANK($C$6:C274))</f>
        <v xml:space="preserve"> </v>
      </c>
      <c r="B274" s="88"/>
      <c r="C274" s="88"/>
      <c r="D274" s="89"/>
      <c r="E274" s="89"/>
      <c r="F274" s="73"/>
      <c r="G274" s="73"/>
      <c r="H274" s="73"/>
      <c r="I274" s="73"/>
      <c r="J274" s="73"/>
      <c r="K274" s="73"/>
      <c r="L274" s="73"/>
      <c r="M274" s="74"/>
      <c r="N274" s="71" t="str">
        <f t="shared" si="4"/>
        <v/>
      </c>
      <c r="O274" s="75"/>
      <c r="P274" s="72"/>
      <c r="Q274" s="72"/>
      <c r="R274" s="72"/>
      <c r="S274" s="72"/>
      <c r="T274" s="72"/>
      <c r="U274" s="72"/>
      <c r="V274" s="76"/>
    </row>
    <row r="275" spans="1:25" ht="27.75" customHeight="1">
      <c r="A275" s="87" t="str">
        <f>IF(ISBLANK(C275)," ",270-COUNTBLANK($C$6:C275))</f>
        <v xml:space="preserve"> </v>
      </c>
      <c r="B275" s="88"/>
      <c r="C275" s="88"/>
      <c r="D275" s="89"/>
      <c r="E275" s="89"/>
      <c r="F275" s="73"/>
      <c r="G275" s="73"/>
      <c r="H275" s="73"/>
      <c r="I275" s="73"/>
      <c r="J275" s="73"/>
      <c r="K275" s="73"/>
      <c r="L275" s="73"/>
      <c r="M275" s="74"/>
      <c r="N275" s="71" t="str">
        <f t="shared" si="4"/>
        <v/>
      </c>
      <c r="O275" s="75"/>
      <c r="P275" s="72"/>
      <c r="Q275" s="72"/>
      <c r="R275" s="72"/>
      <c r="S275" s="72"/>
      <c r="T275" s="72"/>
      <c r="U275" s="72"/>
      <c r="V275" s="76"/>
    </row>
    <row r="276" spans="1:25" ht="27.75" customHeight="1">
      <c r="A276" s="87" t="str">
        <f>IF(ISBLANK(C276)," ",271-COUNTBLANK($C$6:C276))</f>
        <v xml:space="preserve"> </v>
      </c>
      <c r="B276" s="88"/>
      <c r="C276" s="88"/>
      <c r="D276" s="89"/>
      <c r="E276" s="89"/>
      <c r="F276" s="73"/>
      <c r="G276" s="73"/>
      <c r="H276" s="73"/>
      <c r="I276" s="73"/>
      <c r="J276" s="73"/>
      <c r="K276" s="73"/>
      <c r="L276" s="73"/>
      <c r="M276" s="74"/>
      <c r="N276" s="71" t="str">
        <f t="shared" si="4"/>
        <v/>
      </c>
      <c r="O276" s="75"/>
      <c r="P276" s="72"/>
      <c r="Q276" s="72"/>
      <c r="R276" s="72"/>
      <c r="S276" s="72"/>
      <c r="T276" s="72"/>
      <c r="U276" s="72"/>
      <c r="V276" s="76"/>
    </row>
    <row r="277" spans="1:25" ht="27.75" customHeight="1">
      <c r="A277" s="87" t="str">
        <f>IF(ISBLANK(C277)," ",272-COUNTBLANK($C$6:C277))</f>
        <v xml:space="preserve"> </v>
      </c>
      <c r="B277" s="88"/>
      <c r="C277" s="88"/>
      <c r="D277" s="89"/>
      <c r="E277" s="89"/>
      <c r="F277" s="73"/>
      <c r="G277" s="73"/>
      <c r="H277" s="73"/>
      <c r="I277" s="73"/>
      <c r="J277" s="73"/>
      <c r="K277" s="73"/>
      <c r="L277" s="73"/>
      <c r="M277" s="74"/>
      <c r="N277" s="71" t="str">
        <f t="shared" si="4"/>
        <v/>
      </c>
      <c r="O277" s="72"/>
      <c r="P277" s="72"/>
      <c r="Q277" s="72"/>
      <c r="R277" s="72"/>
      <c r="S277" s="72"/>
      <c r="T277" s="72"/>
      <c r="U277" s="72"/>
      <c r="V277" s="79"/>
      <c r="W277" s="72"/>
      <c r="X277" s="72"/>
      <c r="Y277" s="72"/>
    </row>
    <row r="278" spans="1:25" ht="27.75" customHeight="1">
      <c r="A278" s="80" t="s">
        <v>52</v>
      </c>
      <c r="B278" s="81"/>
      <c r="C278" s="96"/>
      <c r="D278" s="82"/>
      <c r="E278" s="82">
        <f>SUM(E258:E277)</f>
        <v>0</v>
      </c>
      <c r="F278" s="83"/>
      <c r="G278" s="83"/>
      <c r="H278" s="83"/>
      <c r="I278" s="83"/>
      <c r="J278" s="83"/>
      <c r="K278" s="83"/>
      <c r="L278" s="83"/>
      <c r="M278" s="84"/>
      <c r="N278" s="71" t="str">
        <f t="shared" si="4"/>
        <v/>
      </c>
      <c r="O278" s="75"/>
      <c r="P278" s="72"/>
      <c r="Q278" s="72"/>
      <c r="R278" s="72"/>
      <c r="S278" s="72"/>
      <c r="T278" s="72"/>
      <c r="U278" s="72"/>
      <c r="V278" s="79"/>
      <c r="W278" s="72"/>
      <c r="X278" s="72"/>
      <c r="Y278" s="72"/>
    </row>
    <row r="279" spans="1:25" ht="27.75" customHeight="1">
      <c r="A279" s="93" t="str">
        <f>IF(ISBLANK(C279)," ",274-COUNTBLANK($C$6:C279))</f>
        <v xml:space="preserve"> </v>
      </c>
      <c r="B279" s="94"/>
      <c r="C279" s="94"/>
      <c r="D279" s="95"/>
      <c r="E279" s="95"/>
      <c r="F279" s="85"/>
      <c r="G279" s="85"/>
      <c r="H279" s="85"/>
      <c r="I279" s="85"/>
      <c r="J279" s="85"/>
      <c r="K279" s="85"/>
      <c r="L279" s="85"/>
      <c r="M279" s="86"/>
      <c r="N279" s="71" t="str">
        <f t="shared" si="4"/>
        <v/>
      </c>
      <c r="O279" s="72"/>
      <c r="P279" s="72"/>
      <c r="Q279" s="72"/>
      <c r="R279" s="72"/>
      <c r="S279" s="72"/>
      <c r="T279" s="72"/>
      <c r="U279" s="72"/>
      <c r="V279" s="72"/>
    </row>
    <row r="280" spans="1:25" ht="27.75" customHeight="1">
      <c r="A280" s="87" t="str">
        <f>IF(ISBLANK(C280)," ",275-COUNTBLANK($C$6:C280))</f>
        <v xml:space="preserve"> </v>
      </c>
      <c r="B280" s="88"/>
      <c r="C280" s="88"/>
      <c r="D280" s="89"/>
      <c r="E280" s="89"/>
      <c r="F280" s="73"/>
      <c r="G280" s="73"/>
      <c r="H280" s="73"/>
      <c r="I280" s="73"/>
      <c r="J280" s="73"/>
      <c r="K280" s="73"/>
      <c r="L280" s="73"/>
      <c r="M280" s="74"/>
      <c r="N280" s="71" t="str">
        <f t="shared" si="4"/>
        <v/>
      </c>
      <c r="O280" s="72"/>
      <c r="P280" s="72"/>
      <c r="Q280" s="72"/>
      <c r="R280" s="72"/>
      <c r="S280" s="72"/>
      <c r="T280" s="72"/>
      <c r="U280" s="72"/>
      <c r="V280" s="72"/>
    </row>
    <row r="281" spans="1:25" ht="27.75" customHeight="1">
      <c r="A281" s="87" t="str">
        <f>IF(ISBLANK(C281)," ",276-COUNTBLANK($C$6:C281))</f>
        <v xml:space="preserve"> </v>
      </c>
      <c r="B281" s="88"/>
      <c r="C281" s="88"/>
      <c r="D281" s="89"/>
      <c r="E281" s="89"/>
      <c r="F281" s="73"/>
      <c r="G281" s="73"/>
      <c r="H281" s="73"/>
      <c r="I281" s="73"/>
      <c r="J281" s="73"/>
      <c r="K281" s="73"/>
      <c r="L281" s="73"/>
      <c r="M281" s="74"/>
      <c r="N281" s="71" t="str">
        <f t="shared" si="4"/>
        <v/>
      </c>
      <c r="O281" s="72"/>
      <c r="P281" s="72"/>
      <c r="Q281" s="72"/>
      <c r="R281" s="72"/>
      <c r="S281" s="72"/>
      <c r="T281" s="72"/>
      <c r="U281" s="72"/>
      <c r="V281" s="72"/>
    </row>
    <row r="282" spans="1:25" ht="27.75" customHeight="1">
      <c r="A282" s="87" t="str">
        <f>IF(ISBLANK(C282)," ",277-COUNTBLANK($C$6:C282))</f>
        <v xml:space="preserve"> </v>
      </c>
      <c r="B282" s="88"/>
      <c r="C282" s="88"/>
      <c r="D282" s="89"/>
      <c r="E282" s="89"/>
      <c r="F282" s="73"/>
      <c r="G282" s="73"/>
      <c r="H282" s="73"/>
      <c r="I282" s="73"/>
      <c r="J282" s="73"/>
      <c r="K282" s="73"/>
      <c r="L282" s="73"/>
      <c r="M282" s="74"/>
      <c r="N282" s="71" t="str">
        <f t="shared" si="4"/>
        <v/>
      </c>
      <c r="O282" s="72"/>
      <c r="P282" s="72"/>
      <c r="Q282" s="72"/>
      <c r="R282" s="72"/>
      <c r="S282" s="72"/>
      <c r="T282" s="72"/>
      <c r="U282" s="72"/>
      <c r="V282" s="72"/>
    </row>
    <row r="283" spans="1:25" ht="27.75" customHeight="1">
      <c r="A283" s="87" t="str">
        <f>IF(ISBLANK(C283)," ",278-COUNTBLANK($C$6:C283))</f>
        <v xml:space="preserve"> </v>
      </c>
      <c r="B283" s="88"/>
      <c r="C283" s="88"/>
      <c r="D283" s="89"/>
      <c r="E283" s="89"/>
      <c r="F283" s="73"/>
      <c r="G283" s="73"/>
      <c r="H283" s="73"/>
      <c r="I283" s="73"/>
      <c r="J283" s="73"/>
      <c r="K283" s="73"/>
      <c r="L283" s="73"/>
      <c r="M283" s="74"/>
      <c r="N283" s="71" t="str">
        <f t="shared" si="4"/>
        <v/>
      </c>
      <c r="O283" s="72"/>
      <c r="P283" s="72"/>
      <c r="Q283" s="72"/>
      <c r="R283" s="72"/>
      <c r="S283" s="72"/>
      <c r="T283" s="72"/>
      <c r="U283" s="72"/>
      <c r="V283" s="72"/>
    </row>
    <row r="284" spans="1:25" ht="27.75" customHeight="1">
      <c r="A284" s="87" t="str">
        <f>IF(ISBLANK(C284)," ",279-COUNTBLANK($C$6:C284))</f>
        <v xml:space="preserve"> </v>
      </c>
      <c r="B284" s="88"/>
      <c r="C284" s="88"/>
      <c r="D284" s="89"/>
      <c r="E284" s="89"/>
      <c r="F284" s="73"/>
      <c r="G284" s="73"/>
      <c r="H284" s="73"/>
      <c r="I284" s="73"/>
      <c r="J284" s="73"/>
      <c r="K284" s="73"/>
      <c r="L284" s="73"/>
      <c r="M284" s="74"/>
      <c r="N284" s="71" t="str">
        <f t="shared" si="4"/>
        <v/>
      </c>
      <c r="O284" s="72"/>
      <c r="P284" s="72"/>
      <c r="Q284" s="72"/>
      <c r="R284" s="72"/>
      <c r="S284" s="72"/>
      <c r="T284" s="72"/>
      <c r="U284" s="72"/>
      <c r="V284" s="72"/>
    </row>
    <row r="285" spans="1:25" ht="27.75" customHeight="1">
      <c r="A285" s="87" t="str">
        <f>IF(ISBLANK(C285)," ",280-COUNTBLANK($C$6:C285))</f>
        <v xml:space="preserve"> </v>
      </c>
      <c r="B285" s="88"/>
      <c r="C285" s="88"/>
      <c r="D285" s="89"/>
      <c r="E285" s="89"/>
      <c r="F285" s="73"/>
      <c r="G285" s="73"/>
      <c r="H285" s="73"/>
      <c r="I285" s="73"/>
      <c r="J285" s="73"/>
      <c r="K285" s="73"/>
      <c r="L285" s="73"/>
      <c r="M285" s="74"/>
      <c r="N285" s="71" t="str">
        <f t="shared" si="4"/>
        <v/>
      </c>
      <c r="O285" s="72"/>
      <c r="P285" s="72"/>
      <c r="Q285" s="72"/>
      <c r="R285" s="72"/>
      <c r="S285" s="72"/>
      <c r="T285" s="72"/>
      <c r="U285" s="72"/>
      <c r="V285" s="72"/>
    </row>
    <row r="286" spans="1:25" ht="27.75" customHeight="1">
      <c r="A286" s="87" t="str">
        <f>IF(ISBLANK(C286)," ",281-COUNTBLANK($C$6:C286))</f>
        <v xml:space="preserve"> </v>
      </c>
      <c r="B286" s="88"/>
      <c r="C286" s="88"/>
      <c r="D286" s="89"/>
      <c r="E286" s="89"/>
      <c r="F286" s="73"/>
      <c r="G286" s="73"/>
      <c r="H286" s="73"/>
      <c r="I286" s="73"/>
      <c r="J286" s="73"/>
      <c r="K286" s="73"/>
      <c r="L286" s="73"/>
      <c r="M286" s="74"/>
      <c r="N286" s="71" t="str">
        <f t="shared" si="4"/>
        <v/>
      </c>
      <c r="O286" s="72"/>
      <c r="P286" s="72"/>
      <c r="Q286" s="72"/>
      <c r="R286" s="72"/>
      <c r="S286" s="72"/>
      <c r="T286" s="72"/>
      <c r="U286" s="72"/>
      <c r="V286" s="72"/>
    </row>
    <row r="287" spans="1:25" ht="27.75" customHeight="1">
      <c r="A287" s="87" t="str">
        <f>IF(ISBLANK(C287)," ",282-COUNTBLANK($C$6:C287))</f>
        <v xml:space="preserve"> </v>
      </c>
      <c r="B287" s="88"/>
      <c r="C287" s="88"/>
      <c r="D287" s="89"/>
      <c r="E287" s="89"/>
      <c r="F287" s="73"/>
      <c r="G287" s="73"/>
      <c r="H287" s="73"/>
      <c r="I287" s="73"/>
      <c r="J287" s="73"/>
      <c r="K287" s="73"/>
      <c r="L287" s="73"/>
      <c r="M287" s="74"/>
      <c r="N287" s="71" t="str">
        <f t="shared" si="4"/>
        <v/>
      </c>
      <c r="O287" s="72"/>
      <c r="P287" s="72"/>
      <c r="Q287" s="72"/>
      <c r="R287" s="72"/>
      <c r="S287" s="72"/>
      <c r="T287" s="72"/>
      <c r="U287" s="72"/>
      <c r="V287" s="72"/>
    </row>
    <row r="288" spans="1:25" ht="27.75" customHeight="1">
      <c r="A288" s="87" t="str">
        <f>IF(ISBLANK(C288)," ",283-COUNTBLANK($C$6:C288))</f>
        <v xml:space="preserve"> </v>
      </c>
      <c r="B288" s="88"/>
      <c r="C288" s="88"/>
      <c r="D288" s="89"/>
      <c r="E288" s="89"/>
      <c r="F288" s="73"/>
      <c r="G288" s="73"/>
      <c r="H288" s="73"/>
      <c r="I288" s="73"/>
      <c r="J288" s="73"/>
      <c r="K288" s="73"/>
      <c r="L288" s="73"/>
      <c r="M288" s="74"/>
      <c r="N288" s="71" t="str">
        <f t="shared" si="4"/>
        <v/>
      </c>
      <c r="O288" s="72"/>
      <c r="P288" s="72"/>
      <c r="Q288" s="72"/>
      <c r="R288" s="72"/>
      <c r="S288" s="72"/>
      <c r="T288" s="72"/>
      <c r="U288" s="72"/>
      <c r="V288" s="72"/>
    </row>
    <row r="289" spans="1:25" ht="27.75" customHeight="1">
      <c r="A289" s="87" t="str">
        <f>IF(ISBLANK(C289)," ",284-COUNTBLANK($C$6:C289))</f>
        <v xml:space="preserve"> </v>
      </c>
      <c r="B289" s="88"/>
      <c r="C289" s="88"/>
      <c r="D289" s="89"/>
      <c r="E289" s="89"/>
      <c r="F289" s="73"/>
      <c r="G289" s="73"/>
      <c r="H289" s="73"/>
      <c r="I289" s="73"/>
      <c r="J289" s="73"/>
      <c r="K289" s="73"/>
      <c r="L289" s="73"/>
      <c r="M289" s="74"/>
      <c r="N289" s="71" t="str">
        <f t="shared" si="4"/>
        <v/>
      </c>
      <c r="O289" s="72"/>
      <c r="P289" s="72"/>
      <c r="Q289" s="72"/>
      <c r="R289" s="72"/>
      <c r="S289" s="72"/>
      <c r="T289" s="72"/>
      <c r="U289" s="72"/>
      <c r="V289" s="72"/>
    </row>
    <row r="290" spans="1:25" ht="27.75" customHeight="1">
      <c r="A290" s="87" t="str">
        <f>IF(ISBLANK(C290)," ",285-COUNTBLANK($C$6:C290))</f>
        <v xml:space="preserve"> </v>
      </c>
      <c r="B290" s="88"/>
      <c r="C290" s="88"/>
      <c r="D290" s="89"/>
      <c r="E290" s="89"/>
      <c r="F290" s="73"/>
      <c r="G290" s="73"/>
      <c r="H290" s="73"/>
      <c r="I290" s="73"/>
      <c r="J290" s="73"/>
      <c r="K290" s="73"/>
      <c r="L290" s="73"/>
      <c r="M290" s="74"/>
      <c r="N290" s="71" t="str">
        <f t="shared" si="4"/>
        <v/>
      </c>
      <c r="O290" s="72"/>
      <c r="P290" s="72"/>
      <c r="Q290" s="72"/>
      <c r="R290" s="72"/>
      <c r="S290" s="72"/>
      <c r="T290" s="72"/>
      <c r="U290" s="72"/>
      <c r="V290" s="72"/>
    </row>
    <row r="291" spans="1:25" ht="27.75" customHeight="1">
      <c r="A291" s="87" t="str">
        <f>IF(ISBLANK(C291)," ",286-COUNTBLANK($C$6:C291))</f>
        <v xml:space="preserve"> </v>
      </c>
      <c r="B291" s="88"/>
      <c r="C291" s="88"/>
      <c r="D291" s="89"/>
      <c r="E291" s="89"/>
      <c r="F291" s="73"/>
      <c r="G291" s="73"/>
      <c r="H291" s="73"/>
      <c r="I291" s="73"/>
      <c r="J291" s="73"/>
      <c r="K291" s="73"/>
      <c r="L291" s="73"/>
      <c r="M291" s="74"/>
      <c r="N291" s="71" t="str">
        <f t="shared" si="4"/>
        <v/>
      </c>
      <c r="O291" s="72"/>
      <c r="P291" s="72"/>
      <c r="Q291" s="72"/>
      <c r="R291" s="72"/>
      <c r="S291" s="72"/>
      <c r="T291" s="72"/>
      <c r="U291" s="72"/>
      <c r="V291" s="72"/>
    </row>
    <row r="292" spans="1:25" ht="27.75" customHeight="1">
      <c r="A292" s="87" t="str">
        <f>IF(ISBLANK(C292)," ",287-COUNTBLANK($C$6:C292))</f>
        <v xml:space="preserve"> </v>
      </c>
      <c r="B292" s="88"/>
      <c r="C292" s="88"/>
      <c r="D292" s="89"/>
      <c r="E292" s="89"/>
      <c r="F292" s="73"/>
      <c r="G292" s="73"/>
      <c r="H292" s="73"/>
      <c r="I292" s="73"/>
      <c r="J292" s="73"/>
      <c r="K292" s="73"/>
      <c r="L292" s="73"/>
      <c r="M292" s="74"/>
      <c r="N292" s="71" t="str">
        <f t="shared" si="4"/>
        <v/>
      </c>
      <c r="O292" s="72"/>
      <c r="P292" s="72"/>
      <c r="Q292" s="72"/>
      <c r="R292" s="72"/>
      <c r="S292" s="72"/>
      <c r="T292" s="72"/>
      <c r="U292" s="72"/>
      <c r="V292" s="72"/>
    </row>
    <row r="293" spans="1:25" ht="27.75" customHeight="1">
      <c r="A293" s="87" t="str">
        <f>IF(ISBLANK(C293)," ",288-COUNTBLANK($C$6:C293))</f>
        <v xml:space="preserve"> </v>
      </c>
      <c r="B293" s="88"/>
      <c r="C293" s="88"/>
      <c r="D293" s="89"/>
      <c r="E293" s="89"/>
      <c r="F293" s="73"/>
      <c r="G293" s="73"/>
      <c r="H293" s="73"/>
      <c r="I293" s="73"/>
      <c r="J293" s="73"/>
      <c r="K293" s="73"/>
      <c r="L293" s="73"/>
      <c r="M293" s="74"/>
      <c r="N293" s="71" t="str">
        <f t="shared" si="4"/>
        <v/>
      </c>
      <c r="O293" s="72"/>
      <c r="P293" s="72"/>
      <c r="Q293" s="72"/>
      <c r="R293" s="72"/>
      <c r="S293" s="72"/>
      <c r="T293" s="72"/>
      <c r="U293" s="72"/>
      <c r="V293" s="72"/>
    </row>
    <row r="294" spans="1:25" ht="27.75" customHeight="1">
      <c r="A294" s="87" t="str">
        <f>IF(ISBLANK(C294)," ",289-COUNTBLANK($C$6:C294))</f>
        <v xml:space="preserve"> </v>
      </c>
      <c r="B294" s="88"/>
      <c r="C294" s="88"/>
      <c r="D294" s="89"/>
      <c r="E294" s="89"/>
      <c r="F294" s="73"/>
      <c r="G294" s="73"/>
      <c r="H294" s="73"/>
      <c r="I294" s="73"/>
      <c r="J294" s="73"/>
      <c r="K294" s="73"/>
      <c r="L294" s="73"/>
      <c r="M294" s="74"/>
      <c r="N294" s="71" t="str">
        <f t="shared" si="4"/>
        <v/>
      </c>
      <c r="O294" s="75"/>
      <c r="P294" s="72"/>
      <c r="Q294" s="72"/>
      <c r="R294" s="72"/>
      <c r="S294" s="72"/>
      <c r="T294" s="72"/>
      <c r="U294" s="72"/>
      <c r="V294" s="76"/>
    </row>
    <row r="295" spans="1:25" ht="27.75" customHeight="1">
      <c r="A295" s="87" t="str">
        <f>IF(ISBLANK(C295)," ",290-COUNTBLANK($C$6:C295))</f>
        <v xml:space="preserve"> </v>
      </c>
      <c r="B295" s="88"/>
      <c r="C295" s="88"/>
      <c r="D295" s="89"/>
      <c r="E295" s="89"/>
      <c r="F295" s="73"/>
      <c r="G295" s="73"/>
      <c r="H295" s="73"/>
      <c r="I295" s="73"/>
      <c r="J295" s="73"/>
      <c r="K295" s="73"/>
      <c r="L295" s="73"/>
      <c r="M295" s="74"/>
      <c r="N295" s="71" t="str">
        <f t="shared" si="4"/>
        <v/>
      </c>
      <c r="O295" s="75"/>
      <c r="P295" s="72"/>
      <c r="Q295" s="72"/>
      <c r="R295" s="72"/>
      <c r="S295" s="72"/>
      <c r="T295" s="72"/>
      <c r="U295" s="72"/>
      <c r="V295" s="76"/>
    </row>
    <row r="296" spans="1:25" ht="27.75" customHeight="1">
      <c r="A296" s="87" t="str">
        <f>IF(ISBLANK(C296)," ",291-COUNTBLANK($C$6:C296))</f>
        <v xml:space="preserve"> </v>
      </c>
      <c r="B296" s="88"/>
      <c r="C296" s="88"/>
      <c r="D296" s="89"/>
      <c r="E296" s="89"/>
      <c r="F296" s="73"/>
      <c r="G296" s="73"/>
      <c r="H296" s="73"/>
      <c r="I296" s="73"/>
      <c r="J296" s="73"/>
      <c r="K296" s="73"/>
      <c r="L296" s="73"/>
      <c r="M296" s="74"/>
      <c r="N296" s="71" t="str">
        <f t="shared" si="4"/>
        <v/>
      </c>
      <c r="O296" s="75"/>
      <c r="P296" s="72"/>
      <c r="Q296" s="72"/>
      <c r="R296" s="72"/>
      <c r="S296" s="72"/>
      <c r="T296" s="72"/>
      <c r="U296" s="72"/>
      <c r="V296" s="76"/>
    </row>
    <row r="297" spans="1:25" ht="27.75" customHeight="1">
      <c r="A297" s="87" t="str">
        <f>IF(ISBLANK(C297)," ",292-COUNTBLANK($C$6:C297))</f>
        <v xml:space="preserve"> </v>
      </c>
      <c r="B297" s="88"/>
      <c r="C297" s="88"/>
      <c r="D297" s="89"/>
      <c r="E297" s="89"/>
      <c r="F297" s="73"/>
      <c r="G297" s="73"/>
      <c r="H297" s="73"/>
      <c r="I297" s="73"/>
      <c r="J297" s="73"/>
      <c r="K297" s="73"/>
      <c r="L297" s="73"/>
      <c r="M297" s="74"/>
      <c r="N297" s="71" t="str">
        <f t="shared" si="4"/>
        <v/>
      </c>
      <c r="O297" s="75"/>
      <c r="P297" s="72"/>
      <c r="Q297" s="72"/>
      <c r="R297" s="72"/>
      <c r="S297" s="72"/>
      <c r="T297" s="72"/>
      <c r="U297" s="72"/>
      <c r="V297" s="76"/>
    </row>
    <row r="298" spans="1:25" ht="27.75" customHeight="1">
      <c r="A298" s="87" t="str">
        <f>IF(ISBLANK(C298)," ",293-COUNTBLANK($C$6:C298))</f>
        <v xml:space="preserve"> </v>
      </c>
      <c r="B298" s="88"/>
      <c r="C298" s="88"/>
      <c r="D298" s="89"/>
      <c r="E298" s="89"/>
      <c r="F298" s="73"/>
      <c r="G298" s="73"/>
      <c r="H298" s="73"/>
      <c r="I298" s="73"/>
      <c r="J298" s="73"/>
      <c r="K298" s="73"/>
      <c r="L298" s="73"/>
      <c r="M298" s="74"/>
      <c r="N298" s="71" t="str">
        <f t="shared" si="4"/>
        <v/>
      </c>
      <c r="O298" s="72"/>
      <c r="P298" s="72"/>
      <c r="Q298" s="72"/>
      <c r="R298" s="72"/>
      <c r="S298" s="72"/>
      <c r="T298" s="72"/>
      <c r="U298" s="72"/>
      <c r="V298" s="79"/>
      <c r="W298" s="72"/>
      <c r="X298" s="72"/>
      <c r="Y298" s="72"/>
    </row>
    <row r="299" spans="1:25" ht="27.75" customHeight="1">
      <c r="A299" s="80" t="s">
        <v>52</v>
      </c>
      <c r="B299" s="81"/>
      <c r="C299" s="96"/>
      <c r="D299" s="82"/>
      <c r="E299" s="82">
        <f>SUM(E279:E298)</f>
        <v>0</v>
      </c>
      <c r="F299" s="83"/>
      <c r="G299" s="83"/>
      <c r="H299" s="83"/>
      <c r="I299" s="83"/>
      <c r="J299" s="83"/>
      <c r="K299" s="83"/>
      <c r="L299" s="83"/>
      <c r="M299" s="84"/>
      <c r="N299" s="71" t="str">
        <f t="shared" si="4"/>
        <v/>
      </c>
      <c r="O299" s="75"/>
      <c r="P299" s="72"/>
      <c r="Q299" s="72"/>
      <c r="R299" s="72"/>
      <c r="S299" s="72"/>
      <c r="T299" s="72"/>
      <c r="U299" s="72"/>
      <c r="V299" s="79"/>
      <c r="W299" s="72"/>
      <c r="X299" s="72"/>
      <c r="Y299" s="72"/>
    </row>
    <row r="300" spans="1:25" ht="27.75" customHeight="1">
      <c r="A300" s="93" t="str">
        <f>IF(ISBLANK(C300)," ",295-COUNTBLANK($C$6:C300))</f>
        <v xml:space="preserve"> </v>
      </c>
      <c r="B300" s="94"/>
      <c r="C300" s="94"/>
      <c r="D300" s="95"/>
      <c r="E300" s="95"/>
      <c r="F300" s="85"/>
      <c r="G300" s="85"/>
      <c r="H300" s="85"/>
      <c r="I300" s="85"/>
      <c r="J300" s="85"/>
      <c r="K300" s="85"/>
      <c r="L300" s="85"/>
      <c r="M300" s="86"/>
      <c r="N300" s="71" t="str">
        <f t="shared" si="4"/>
        <v/>
      </c>
      <c r="O300" s="72"/>
      <c r="P300" s="72"/>
      <c r="Q300" s="72"/>
      <c r="R300" s="72"/>
      <c r="S300" s="72"/>
      <c r="T300" s="72"/>
      <c r="U300" s="72"/>
      <c r="V300" s="72"/>
    </row>
    <row r="301" spans="1:25" ht="27.75" customHeight="1">
      <c r="A301" s="87" t="str">
        <f>IF(ISBLANK(C301)," ",296-COUNTBLANK($C$6:C301))</f>
        <v xml:space="preserve"> </v>
      </c>
      <c r="B301" s="88"/>
      <c r="C301" s="88"/>
      <c r="D301" s="89"/>
      <c r="E301" s="89"/>
      <c r="F301" s="73"/>
      <c r="G301" s="73"/>
      <c r="H301" s="73"/>
      <c r="I301" s="73"/>
      <c r="J301" s="73"/>
      <c r="K301" s="73"/>
      <c r="L301" s="73"/>
      <c r="M301" s="74"/>
      <c r="N301" s="71" t="str">
        <f t="shared" si="4"/>
        <v/>
      </c>
      <c r="O301" s="72"/>
      <c r="P301" s="72"/>
      <c r="Q301" s="72"/>
      <c r="R301" s="72"/>
      <c r="S301" s="72"/>
      <c r="T301" s="72"/>
      <c r="U301" s="72"/>
      <c r="V301" s="72"/>
    </row>
    <row r="302" spans="1:25" ht="27.75" customHeight="1">
      <c r="A302" s="87" t="str">
        <f>IF(ISBLANK(C302)," ",297-COUNTBLANK($C$6:C302))</f>
        <v xml:space="preserve"> </v>
      </c>
      <c r="B302" s="88"/>
      <c r="C302" s="88"/>
      <c r="D302" s="89"/>
      <c r="E302" s="89"/>
      <c r="F302" s="73"/>
      <c r="G302" s="73"/>
      <c r="H302" s="73"/>
      <c r="I302" s="73"/>
      <c r="J302" s="73"/>
      <c r="K302" s="73"/>
      <c r="L302" s="73"/>
      <c r="M302" s="74"/>
      <c r="N302" s="71" t="str">
        <f t="shared" si="4"/>
        <v/>
      </c>
      <c r="O302" s="72"/>
      <c r="P302" s="72"/>
      <c r="Q302" s="72"/>
      <c r="R302" s="72"/>
      <c r="S302" s="72"/>
      <c r="T302" s="72"/>
      <c r="U302" s="72"/>
      <c r="V302" s="72"/>
    </row>
    <row r="303" spans="1:25" ht="27.75" customHeight="1">
      <c r="A303" s="87" t="str">
        <f>IF(ISBLANK(C303)," ",298-COUNTBLANK($C$6:C303))</f>
        <v xml:space="preserve"> </v>
      </c>
      <c r="B303" s="88"/>
      <c r="C303" s="88"/>
      <c r="D303" s="89"/>
      <c r="E303" s="89"/>
      <c r="F303" s="73"/>
      <c r="G303" s="73"/>
      <c r="H303" s="73"/>
      <c r="I303" s="73"/>
      <c r="J303" s="73"/>
      <c r="K303" s="73"/>
      <c r="L303" s="73"/>
      <c r="M303" s="74"/>
      <c r="N303" s="71" t="str">
        <f t="shared" si="4"/>
        <v/>
      </c>
      <c r="O303" s="72"/>
      <c r="P303" s="72"/>
      <c r="Q303" s="72"/>
      <c r="R303" s="72"/>
      <c r="S303" s="72"/>
      <c r="T303" s="72"/>
      <c r="U303" s="72"/>
      <c r="V303" s="72"/>
    </row>
    <row r="304" spans="1:25" ht="27.75" customHeight="1">
      <c r="A304" s="87" t="str">
        <f>IF(ISBLANK(C304)," ",299-COUNTBLANK($C$6:C304))</f>
        <v xml:space="preserve"> </v>
      </c>
      <c r="B304" s="88"/>
      <c r="C304" s="88"/>
      <c r="D304" s="89"/>
      <c r="E304" s="89"/>
      <c r="F304" s="73"/>
      <c r="G304" s="73"/>
      <c r="H304" s="73"/>
      <c r="I304" s="73"/>
      <c r="J304" s="73"/>
      <c r="K304" s="73"/>
      <c r="L304" s="73"/>
      <c r="M304" s="74"/>
      <c r="N304" s="71" t="str">
        <f t="shared" si="4"/>
        <v/>
      </c>
      <c r="O304" s="72"/>
      <c r="P304" s="72"/>
      <c r="Q304" s="72"/>
      <c r="R304" s="72"/>
      <c r="S304" s="72"/>
      <c r="T304" s="72"/>
      <c r="U304" s="72"/>
      <c r="V304" s="72"/>
    </row>
    <row r="305" spans="1:25" ht="27.75" customHeight="1">
      <c r="A305" s="87" t="str">
        <f>IF(ISBLANK(C305)," ",300-COUNTBLANK($C$6:C305))</f>
        <v xml:space="preserve"> </v>
      </c>
      <c r="B305" s="88"/>
      <c r="C305" s="88"/>
      <c r="D305" s="89"/>
      <c r="E305" s="89"/>
      <c r="F305" s="73"/>
      <c r="G305" s="73"/>
      <c r="H305" s="73"/>
      <c r="I305" s="73"/>
      <c r="J305" s="73"/>
      <c r="K305" s="73"/>
      <c r="L305" s="73"/>
      <c r="M305" s="74"/>
      <c r="N305" s="71" t="str">
        <f t="shared" si="4"/>
        <v/>
      </c>
      <c r="O305" s="72"/>
      <c r="P305" s="72"/>
      <c r="Q305" s="72"/>
      <c r="R305" s="72"/>
      <c r="S305" s="72"/>
      <c r="T305" s="72"/>
      <c r="U305" s="72"/>
      <c r="V305" s="72"/>
    </row>
    <row r="306" spans="1:25" ht="27.75" customHeight="1">
      <c r="A306" s="87" t="str">
        <f>IF(ISBLANK(C306)," ",301-COUNTBLANK($C$6:C306))</f>
        <v xml:space="preserve"> </v>
      </c>
      <c r="B306" s="88"/>
      <c r="C306" s="88"/>
      <c r="D306" s="89"/>
      <c r="E306" s="89"/>
      <c r="F306" s="73"/>
      <c r="G306" s="73"/>
      <c r="H306" s="73"/>
      <c r="I306" s="73"/>
      <c r="J306" s="73"/>
      <c r="K306" s="73"/>
      <c r="L306" s="73"/>
      <c r="M306" s="74"/>
      <c r="N306" s="71" t="str">
        <f t="shared" si="4"/>
        <v/>
      </c>
      <c r="O306" s="72"/>
      <c r="P306" s="72"/>
      <c r="Q306" s="72"/>
      <c r="R306" s="72"/>
      <c r="S306" s="72"/>
      <c r="T306" s="72"/>
      <c r="U306" s="72"/>
      <c r="V306" s="72"/>
    </row>
    <row r="307" spans="1:25" ht="27.75" customHeight="1">
      <c r="A307" s="87" t="str">
        <f>IF(ISBLANK(C307)," ",302-COUNTBLANK($C$6:C307))</f>
        <v xml:space="preserve"> </v>
      </c>
      <c r="B307" s="88"/>
      <c r="C307" s="88"/>
      <c r="D307" s="89"/>
      <c r="E307" s="89"/>
      <c r="F307" s="73"/>
      <c r="G307" s="73"/>
      <c r="H307" s="73"/>
      <c r="I307" s="73"/>
      <c r="J307" s="73"/>
      <c r="K307" s="73"/>
      <c r="L307" s="73"/>
      <c r="M307" s="74"/>
      <c r="N307" s="71" t="str">
        <f t="shared" si="4"/>
        <v/>
      </c>
      <c r="O307" s="72"/>
      <c r="P307" s="72"/>
      <c r="Q307" s="72"/>
      <c r="R307" s="72"/>
      <c r="S307" s="72"/>
      <c r="T307" s="72"/>
      <c r="U307" s="72"/>
      <c r="V307" s="72"/>
    </row>
    <row r="308" spans="1:25" ht="27.75" customHeight="1">
      <c r="A308" s="87" t="str">
        <f>IF(ISBLANK(C308)," ",303-COUNTBLANK($C$6:C308))</f>
        <v xml:space="preserve"> </v>
      </c>
      <c r="B308" s="88"/>
      <c r="C308" s="88"/>
      <c r="D308" s="89"/>
      <c r="E308" s="89"/>
      <c r="F308" s="73"/>
      <c r="G308" s="73"/>
      <c r="H308" s="73"/>
      <c r="I308" s="73"/>
      <c r="J308" s="73"/>
      <c r="K308" s="73"/>
      <c r="L308" s="73"/>
      <c r="M308" s="74"/>
      <c r="N308" s="71" t="str">
        <f t="shared" si="4"/>
        <v/>
      </c>
      <c r="O308" s="72"/>
      <c r="P308" s="72"/>
      <c r="Q308" s="72"/>
      <c r="R308" s="72"/>
      <c r="S308" s="72"/>
      <c r="T308" s="72"/>
      <c r="U308" s="72"/>
      <c r="V308" s="72"/>
    </row>
    <row r="309" spans="1:25" ht="27.75" customHeight="1">
      <c r="A309" s="87" t="str">
        <f>IF(ISBLANK(C309)," ",304-COUNTBLANK($C$6:C309))</f>
        <v xml:space="preserve"> </v>
      </c>
      <c r="B309" s="88"/>
      <c r="C309" s="88"/>
      <c r="D309" s="89"/>
      <c r="E309" s="89"/>
      <c r="F309" s="73"/>
      <c r="G309" s="73"/>
      <c r="H309" s="73"/>
      <c r="I309" s="73"/>
      <c r="J309" s="73"/>
      <c r="K309" s="73"/>
      <c r="L309" s="73"/>
      <c r="M309" s="74"/>
      <c r="N309" s="71" t="str">
        <f t="shared" si="4"/>
        <v/>
      </c>
      <c r="O309" s="72"/>
      <c r="P309" s="72"/>
      <c r="Q309" s="72"/>
      <c r="R309" s="72"/>
      <c r="S309" s="72"/>
      <c r="T309" s="72"/>
      <c r="U309" s="72"/>
      <c r="V309" s="72"/>
    </row>
    <row r="310" spans="1:25" ht="27.75" customHeight="1">
      <c r="A310" s="87" t="str">
        <f>IF(ISBLANK(C310)," ",305-COUNTBLANK($C$6:C310))</f>
        <v xml:space="preserve"> </v>
      </c>
      <c r="B310" s="88"/>
      <c r="C310" s="88"/>
      <c r="D310" s="89"/>
      <c r="E310" s="89"/>
      <c r="F310" s="73"/>
      <c r="G310" s="73"/>
      <c r="H310" s="73"/>
      <c r="I310" s="73"/>
      <c r="J310" s="73"/>
      <c r="K310" s="73"/>
      <c r="L310" s="73"/>
      <c r="M310" s="74"/>
      <c r="N310" s="71" t="str">
        <f t="shared" si="4"/>
        <v/>
      </c>
      <c r="O310" s="72"/>
      <c r="P310" s="72"/>
      <c r="Q310" s="72"/>
      <c r="R310" s="72"/>
      <c r="S310" s="72"/>
      <c r="T310" s="72"/>
      <c r="U310" s="72"/>
      <c r="V310" s="72"/>
    </row>
    <row r="311" spans="1:25" ht="27.75" customHeight="1">
      <c r="A311" s="87" t="str">
        <f>IF(ISBLANK(C311)," ",306-COUNTBLANK($C$6:C311))</f>
        <v xml:space="preserve"> </v>
      </c>
      <c r="B311" s="88"/>
      <c r="C311" s="88"/>
      <c r="D311" s="89"/>
      <c r="E311" s="89"/>
      <c r="F311" s="73"/>
      <c r="G311" s="73"/>
      <c r="H311" s="73"/>
      <c r="I311" s="73"/>
      <c r="J311" s="73"/>
      <c r="K311" s="73"/>
      <c r="L311" s="73"/>
      <c r="M311" s="74"/>
      <c r="N311" s="71" t="str">
        <f t="shared" si="4"/>
        <v/>
      </c>
      <c r="O311" s="72"/>
      <c r="P311" s="72"/>
      <c r="Q311" s="72"/>
      <c r="R311" s="72"/>
      <c r="S311" s="72"/>
      <c r="T311" s="72"/>
      <c r="U311" s="72"/>
      <c r="V311" s="72"/>
    </row>
    <row r="312" spans="1:25" ht="27.75" customHeight="1">
      <c r="A312" s="87" t="str">
        <f>IF(ISBLANK(C312)," ",307-COUNTBLANK($C$6:C312))</f>
        <v xml:space="preserve"> </v>
      </c>
      <c r="B312" s="88"/>
      <c r="C312" s="88"/>
      <c r="D312" s="89"/>
      <c r="E312" s="89"/>
      <c r="F312" s="73"/>
      <c r="G312" s="73"/>
      <c r="H312" s="73"/>
      <c r="I312" s="73"/>
      <c r="J312" s="73"/>
      <c r="K312" s="73"/>
      <c r="L312" s="73"/>
      <c r="M312" s="74"/>
      <c r="N312" s="71" t="str">
        <f t="shared" si="4"/>
        <v/>
      </c>
      <c r="O312" s="72"/>
      <c r="P312" s="72"/>
      <c r="Q312" s="72"/>
      <c r="R312" s="72"/>
      <c r="S312" s="72"/>
      <c r="T312" s="72"/>
      <c r="U312" s="72"/>
      <c r="V312" s="72"/>
    </row>
    <row r="313" spans="1:25" ht="27.75" customHeight="1">
      <c r="A313" s="87" t="str">
        <f>IF(ISBLANK(C313)," ",308-COUNTBLANK($C$6:C313))</f>
        <v xml:space="preserve"> </v>
      </c>
      <c r="B313" s="88"/>
      <c r="C313" s="88"/>
      <c r="D313" s="89"/>
      <c r="E313" s="89"/>
      <c r="F313" s="73"/>
      <c r="G313" s="73"/>
      <c r="H313" s="73"/>
      <c r="I313" s="73"/>
      <c r="J313" s="73"/>
      <c r="K313" s="73"/>
      <c r="L313" s="73"/>
      <c r="M313" s="74"/>
      <c r="N313" s="71" t="str">
        <f t="shared" si="4"/>
        <v/>
      </c>
      <c r="O313" s="72"/>
      <c r="P313" s="72"/>
      <c r="Q313" s="72"/>
      <c r="R313" s="72"/>
      <c r="S313" s="72"/>
      <c r="T313" s="72"/>
      <c r="U313" s="72"/>
      <c r="V313" s="72"/>
    </row>
    <row r="314" spans="1:25" ht="27.75" customHeight="1">
      <c r="A314" s="87" t="str">
        <f>IF(ISBLANK(C314)," ",309-COUNTBLANK($C$6:C314))</f>
        <v xml:space="preserve"> </v>
      </c>
      <c r="B314" s="88"/>
      <c r="C314" s="88"/>
      <c r="D314" s="89"/>
      <c r="E314" s="89"/>
      <c r="F314" s="73"/>
      <c r="G314" s="73"/>
      <c r="H314" s="73"/>
      <c r="I314" s="73"/>
      <c r="J314" s="73"/>
      <c r="K314" s="73"/>
      <c r="L314" s="73"/>
      <c r="M314" s="74"/>
      <c r="N314" s="71" t="str">
        <f t="shared" si="4"/>
        <v/>
      </c>
      <c r="O314" s="72"/>
      <c r="P314" s="72"/>
      <c r="Q314" s="72"/>
      <c r="R314" s="72"/>
      <c r="S314" s="72"/>
      <c r="T314" s="72"/>
      <c r="U314" s="72"/>
      <c r="V314" s="72"/>
    </row>
    <row r="315" spans="1:25" ht="27.75" customHeight="1">
      <c r="A315" s="87" t="str">
        <f>IF(ISBLANK(C315)," ",310-COUNTBLANK($C$6:C315))</f>
        <v xml:space="preserve"> </v>
      </c>
      <c r="B315" s="88"/>
      <c r="C315" s="88"/>
      <c r="D315" s="89"/>
      <c r="E315" s="89"/>
      <c r="F315" s="73"/>
      <c r="G315" s="73"/>
      <c r="H315" s="73"/>
      <c r="I315" s="73"/>
      <c r="J315" s="73"/>
      <c r="K315" s="73"/>
      <c r="L315" s="73"/>
      <c r="M315" s="74"/>
      <c r="N315" s="71" t="str">
        <f t="shared" si="4"/>
        <v/>
      </c>
      <c r="O315" s="75"/>
      <c r="P315" s="72"/>
      <c r="Q315" s="72"/>
      <c r="R315" s="72"/>
      <c r="S315" s="72"/>
      <c r="T315" s="72"/>
      <c r="U315" s="72"/>
      <c r="V315" s="76"/>
    </row>
    <row r="316" spans="1:25" ht="27.75" customHeight="1">
      <c r="A316" s="87" t="str">
        <f>IF(ISBLANK(C316)," ",311-COUNTBLANK($C$6:C316))</f>
        <v xml:space="preserve"> </v>
      </c>
      <c r="B316" s="88"/>
      <c r="C316" s="88"/>
      <c r="D316" s="89"/>
      <c r="E316" s="89"/>
      <c r="F316" s="73"/>
      <c r="G316" s="73"/>
      <c r="H316" s="73"/>
      <c r="I316" s="73"/>
      <c r="J316" s="73"/>
      <c r="K316" s="73"/>
      <c r="L316" s="73"/>
      <c r="M316" s="74"/>
      <c r="N316" s="71" t="str">
        <f t="shared" si="4"/>
        <v/>
      </c>
      <c r="O316" s="75"/>
      <c r="P316" s="72"/>
      <c r="Q316" s="72"/>
      <c r="R316" s="72"/>
      <c r="S316" s="72"/>
      <c r="T316" s="72"/>
      <c r="U316" s="72"/>
      <c r="V316" s="76"/>
    </row>
    <row r="317" spans="1:25" ht="27.75" customHeight="1">
      <c r="A317" s="87" t="str">
        <f>IF(ISBLANK(C317)," ",312-COUNTBLANK($C$6:C317))</f>
        <v xml:space="preserve"> </v>
      </c>
      <c r="B317" s="88"/>
      <c r="C317" s="88"/>
      <c r="D317" s="89"/>
      <c r="E317" s="89"/>
      <c r="F317" s="73"/>
      <c r="G317" s="73"/>
      <c r="H317" s="73"/>
      <c r="I317" s="73"/>
      <c r="J317" s="73"/>
      <c r="K317" s="73"/>
      <c r="L317" s="73"/>
      <c r="M317" s="74"/>
      <c r="N317" s="71" t="str">
        <f t="shared" si="4"/>
        <v/>
      </c>
      <c r="O317" s="75"/>
      <c r="P317" s="72"/>
      <c r="Q317" s="72"/>
      <c r="R317" s="72"/>
      <c r="S317" s="72"/>
      <c r="T317" s="72"/>
      <c r="U317" s="72"/>
      <c r="V317" s="76"/>
    </row>
    <row r="318" spans="1:25" ht="27.75" customHeight="1">
      <c r="A318" s="87" t="str">
        <f>IF(ISBLANK(C318)," ",313-COUNTBLANK($C$6:C318))</f>
        <v xml:space="preserve"> </v>
      </c>
      <c r="B318" s="88"/>
      <c r="C318" s="88"/>
      <c r="D318" s="89"/>
      <c r="E318" s="89"/>
      <c r="F318" s="73"/>
      <c r="G318" s="73"/>
      <c r="H318" s="73"/>
      <c r="I318" s="73"/>
      <c r="J318" s="73"/>
      <c r="K318" s="73"/>
      <c r="L318" s="73"/>
      <c r="M318" s="74"/>
      <c r="N318" s="71" t="str">
        <f t="shared" si="4"/>
        <v/>
      </c>
      <c r="O318" s="75"/>
      <c r="P318" s="72"/>
      <c r="Q318" s="72"/>
      <c r="R318" s="72"/>
      <c r="S318" s="72"/>
      <c r="T318" s="72"/>
      <c r="U318" s="72"/>
      <c r="V318" s="76"/>
    </row>
    <row r="319" spans="1:25" ht="27.75" customHeight="1">
      <c r="A319" s="87" t="str">
        <f>IF(ISBLANK(C319)," ",314-COUNTBLANK($C$6:C319))</f>
        <v xml:space="preserve"> </v>
      </c>
      <c r="B319" s="88"/>
      <c r="C319" s="88"/>
      <c r="D319" s="89"/>
      <c r="E319" s="89"/>
      <c r="F319" s="73"/>
      <c r="G319" s="73"/>
      <c r="H319" s="73"/>
      <c r="I319" s="73"/>
      <c r="J319" s="73"/>
      <c r="K319" s="73"/>
      <c r="L319" s="73"/>
      <c r="M319" s="74"/>
      <c r="N319" s="71" t="str">
        <f t="shared" si="4"/>
        <v/>
      </c>
      <c r="O319" s="72"/>
      <c r="P319" s="72"/>
      <c r="Q319" s="72"/>
      <c r="R319" s="72"/>
      <c r="S319" s="72"/>
      <c r="T319" s="72"/>
      <c r="U319" s="72"/>
      <c r="V319" s="79"/>
      <c r="W319" s="72"/>
      <c r="X319" s="72"/>
      <c r="Y319" s="72"/>
    </row>
    <row r="320" spans="1:25" ht="27.75" customHeight="1">
      <c r="A320" s="80" t="s">
        <v>52</v>
      </c>
      <c r="B320" s="81"/>
      <c r="C320" s="96"/>
      <c r="D320" s="82"/>
      <c r="E320" s="82">
        <f>SUM(E300:E319)</f>
        <v>0</v>
      </c>
      <c r="F320" s="83"/>
      <c r="G320" s="83"/>
      <c r="H320" s="83"/>
      <c r="I320" s="83"/>
      <c r="J320" s="83"/>
      <c r="K320" s="83"/>
      <c r="L320" s="83"/>
      <c r="M320" s="84"/>
      <c r="N320" s="71" t="str">
        <f t="shared" si="4"/>
        <v/>
      </c>
      <c r="O320" s="75"/>
      <c r="P320" s="72"/>
      <c r="Q320" s="72"/>
      <c r="R320" s="72"/>
      <c r="S320" s="72"/>
      <c r="T320" s="72"/>
      <c r="U320" s="72"/>
      <c r="V320" s="79"/>
      <c r="W320" s="72"/>
      <c r="X320" s="72"/>
      <c r="Y320" s="72"/>
    </row>
    <row r="321" spans="1:22" ht="27.75" customHeight="1">
      <c r="A321" s="93" t="str">
        <f>IF(ISBLANK(C321)," ",316-COUNTBLANK($C$6:C321))</f>
        <v xml:space="preserve"> </v>
      </c>
      <c r="B321" s="94"/>
      <c r="C321" s="94"/>
      <c r="D321" s="95"/>
      <c r="E321" s="95"/>
      <c r="F321" s="85"/>
      <c r="G321" s="85"/>
      <c r="H321" s="85"/>
      <c r="I321" s="85"/>
      <c r="J321" s="85"/>
      <c r="K321" s="85"/>
      <c r="L321" s="85"/>
      <c r="M321" s="86"/>
      <c r="N321" s="71" t="str">
        <f t="shared" si="4"/>
        <v/>
      </c>
      <c r="O321" s="72"/>
      <c r="P321" s="72"/>
      <c r="Q321" s="72"/>
      <c r="R321" s="72"/>
      <c r="S321" s="72"/>
      <c r="T321" s="72"/>
      <c r="U321" s="72"/>
      <c r="V321" s="72"/>
    </row>
    <row r="322" spans="1:22" ht="27.75" customHeight="1">
      <c r="A322" s="87" t="str">
        <f>IF(ISBLANK(C322)," ",317-COUNTBLANK($C$6:C322))</f>
        <v xml:space="preserve"> </v>
      </c>
      <c r="B322" s="88"/>
      <c r="C322" s="88"/>
      <c r="D322" s="89"/>
      <c r="E322" s="89"/>
      <c r="F322" s="73"/>
      <c r="G322" s="73"/>
      <c r="H322" s="73"/>
      <c r="I322" s="73"/>
      <c r="J322" s="73"/>
      <c r="K322" s="73"/>
      <c r="L322" s="73"/>
      <c r="M322" s="74"/>
      <c r="N322" s="71" t="str">
        <f t="shared" si="4"/>
        <v/>
      </c>
      <c r="O322" s="72"/>
      <c r="P322" s="72"/>
      <c r="Q322" s="72"/>
      <c r="R322" s="72"/>
      <c r="S322" s="72"/>
      <c r="T322" s="72"/>
      <c r="U322" s="72"/>
      <c r="V322" s="72"/>
    </row>
    <row r="323" spans="1:22" ht="27.75" customHeight="1">
      <c r="A323" s="87" t="str">
        <f>IF(ISBLANK(C323)," ",318-COUNTBLANK($C$6:C323))</f>
        <v xml:space="preserve"> </v>
      </c>
      <c r="B323" s="88"/>
      <c r="C323" s="88"/>
      <c r="D323" s="89"/>
      <c r="E323" s="89"/>
      <c r="F323" s="73"/>
      <c r="G323" s="73"/>
      <c r="H323" s="73"/>
      <c r="I323" s="73"/>
      <c r="J323" s="73"/>
      <c r="K323" s="73"/>
      <c r="L323" s="73"/>
      <c r="M323" s="74"/>
      <c r="N323" s="71" t="str">
        <f t="shared" si="4"/>
        <v/>
      </c>
      <c r="O323" s="72"/>
      <c r="P323" s="72"/>
      <c r="Q323" s="72"/>
      <c r="R323" s="72"/>
      <c r="S323" s="72"/>
      <c r="T323" s="72"/>
      <c r="U323" s="72"/>
      <c r="V323" s="72"/>
    </row>
    <row r="324" spans="1:22" ht="27.75" customHeight="1">
      <c r="A324" s="87" t="str">
        <f>IF(ISBLANK(C324)," ",319-COUNTBLANK($C$6:C324))</f>
        <v xml:space="preserve"> </v>
      </c>
      <c r="B324" s="88"/>
      <c r="C324" s="88"/>
      <c r="D324" s="89"/>
      <c r="E324" s="89"/>
      <c r="F324" s="73"/>
      <c r="G324" s="73"/>
      <c r="H324" s="73"/>
      <c r="I324" s="73"/>
      <c r="J324" s="73"/>
      <c r="K324" s="73"/>
      <c r="L324" s="73"/>
      <c r="M324" s="74"/>
      <c r="N324" s="71" t="str">
        <f t="shared" si="4"/>
        <v/>
      </c>
      <c r="O324" s="72"/>
      <c r="P324" s="72"/>
      <c r="Q324" s="72"/>
      <c r="R324" s="72"/>
      <c r="S324" s="72"/>
      <c r="T324" s="72"/>
      <c r="U324" s="72"/>
      <c r="V324" s="72"/>
    </row>
    <row r="325" spans="1:22" ht="27.75" customHeight="1">
      <c r="A325" s="87" t="str">
        <f>IF(ISBLANK(C325)," ",320-COUNTBLANK($C$6:C325))</f>
        <v xml:space="preserve"> </v>
      </c>
      <c r="B325" s="88"/>
      <c r="C325" s="88"/>
      <c r="D325" s="89"/>
      <c r="E325" s="89"/>
      <c r="F325" s="73"/>
      <c r="G325" s="73"/>
      <c r="H325" s="73"/>
      <c r="I325" s="73"/>
      <c r="J325" s="73"/>
      <c r="K325" s="73"/>
      <c r="L325" s="73"/>
      <c r="M325" s="74"/>
      <c r="N325" s="71" t="str">
        <f t="shared" si="4"/>
        <v/>
      </c>
      <c r="O325" s="72"/>
      <c r="P325" s="72"/>
      <c r="Q325" s="72"/>
      <c r="R325" s="72"/>
      <c r="S325" s="72"/>
      <c r="T325" s="72"/>
      <c r="U325" s="72"/>
      <c r="V325" s="72"/>
    </row>
    <row r="326" spans="1:22" ht="27.75" customHeight="1">
      <c r="A326" s="87" t="str">
        <f>IF(ISBLANK(C326)," ",321-COUNTBLANK($C$6:C326))</f>
        <v xml:space="preserve"> </v>
      </c>
      <c r="B326" s="88"/>
      <c r="C326" s="88"/>
      <c r="D326" s="89"/>
      <c r="E326" s="89"/>
      <c r="F326" s="73"/>
      <c r="G326" s="73"/>
      <c r="H326" s="73"/>
      <c r="I326" s="73"/>
      <c r="J326" s="73"/>
      <c r="K326" s="73"/>
      <c r="L326" s="73"/>
      <c r="M326" s="74"/>
      <c r="N326" s="71" t="str">
        <f t="shared" ref="N326:N389" si="5">CONCATENATE(C326,H326)</f>
        <v/>
      </c>
      <c r="O326" s="72"/>
      <c r="P326" s="72"/>
      <c r="Q326" s="72"/>
      <c r="R326" s="72"/>
      <c r="S326" s="72"/>
      <c r="T326" s="72"/>
      <c r="U326" s="72"/>
      <c r="V326" s="72"/>
    </row>
    <row r="327" spans="1:22" ht="27.75" customHeight="1">
      <c r="A327" s="87" t="str">
        <f>IF(ISBLANK(C327)," ",322-COUNTBLANK($C$6:C327))</f>
        <v xml:space="preserve"> </v>
      </c>
      <c r="B327" s="88"/>
      <c r="C327" s="88"/>
      <c r="D327" s="89"/>
      <c r="E327" s="89"/>
      <c r="F327" s="73"/>
      <c r="G327" s="73"/>
      <c r="H327" s="73"/>
      <c r="I327" s="73"/>
      <c r="J327" s="73"/>
      <c r="K327" s="73"/>
      <c r="L327" s="73"/>
      <c r="M327" s="74"/>
      <c r="N327" s="71" t="str">
        <f t="shared" si="5"/>
        <v/>
      </c>
      <c r="O327" s="72"/>
      <c r="P327" s="72"/>
      <c r="Q327" s="72"/>
      <c r="R327" s="72"/>
      <c r="S327" s="72"/>
      <c r="T327" s="72"/>
      <c r="U327" s="72"/>
      <c r="V327" s="72"/>
    </row>
    <row r="328" spans="1:22" ht="27.75" customHeight="1">
      <c r="A328" s="87" t="str">
        <f>IF(ISBLANK(C328)," ",323-COUNTBLANK($C$6:C328))</f>
        <v xml:space="preserve"> </v>
      </c>
      <c r="B328" s="88"/>
      <c r="C328" s="88"/>
      <c r="D328" s="89"/>
      <c r="E328" s="89"/>
      <c r="F328" s="73"/>
      <c r="G328" s="73"/>
      <c r="H328" s="73"/>
      <c r="I328" s="73"/>
      <c r="J328" s="73"/>
      <c r="K328" s="73"/>
      <c r="L328" s="73"/>
      <c r="M328" s="74"/>
      <c r="N328" s="71" t="str">
        <f t="shared" si="5"/>
        <v/>
      </c>
      <c r="O328" s="72"/>
      <c r="P328" s="72"/>
      <c r="Q328" s="72"/>
      <c r="R328" s="72"/>
      <c r="S328" s="72"/>
      <c r="T328" s="72"/>
      <c r="U328" s="72"/>
      <c r="V328" s="72"/>
    </row>
    <row r="329" spans="1:22" ht="27.75" customHeight="1">
      <c r="A329" s="87" t="str">
        <f>IF(ISBLANK(C329)," ",324-COUNTBLANK($C$6:C329))</f>
        <v xml:space="preserve"> </v>
      </c>
      <c r="B329" s="88"/>
      <c r="C329" s="88"/>
      <c r="D329" s="89"/>
      <c r="E329" s="89"/>
      <c r="F329" s="73"/>
      <c r="G329" s="73"/>
      <c r="H329" s="73"/>
      <c r="I329" s="73"/>
      <c r="J329" s="73"/>
      <c r="K329" s="73"/>
      <c r="L329" s="73"/>
      <c r="M329" s="74"/>
      <c r="N329" s="71" t="str">
        <f t="shared" si="5"/>
        <v/>
      </c>
      <c r="O329" s="72"/>
      <c r="P329" s="72"/>
      <c r="Q329" s="72"/>
      <c r="R329" s="72"/>
      <c r="S329" s="72"/>
      <c r="T329" s="72"/>
      <c r="U329" s="72"/>
      <c r="V329" s="72"/>
    </row>
    <row r="330" spans="1:22" ht="27.75" customHeight="1">
      <c r="A330" s="87" t="str">
        <f>IF(ISBLANK(C330)," ",325-COUNTBLANK($C$6:C330))</f>
        <v xml:space="preserve"> </v>
      </c>
      <c r="B330" s="88"/>
      <c r="C330" s="88"/>
      <c r="D330" s="89"/>
      <c r="E330" s="89"/>
      <c r="F330" s="73"/>
      <c r="G330" s="73"/>
      <c r="H330" s="73"/>
      <c r="I330" s="73"/>
      <c r="J330" s="73"/>
      <c r="K330" s="73"/>
      <c r="L330" s="73"/>
      <c r="M330" s="74"/>
      <c r="N330" s="71" t="str">
        <f t="shared" si="5"/>
        <v/>
      </c>
      <c r="O330" s="72"/>
      <c r="P330" s="72"/>
      <c r="Q330" s="72"/>
      <c r="R330" s="72"/>
      <c r="S330" s="72"/>
      <c r="T330" s="72"/>
      <c r="U330" s="72"/>
      <c r="V330" s="72"/>
    </row>
    <row r="331" spans="1:22" ht="27.75" customHeight="1">
      <c r="A331" s="87" t="str">
        <f>IF(ISBLANK(C331)," ",326-COUNTBLANK($C$6:C331))</f>
        <v xml:space="preserve"> </v>
      </c>
      <c r="B331" s="88"/>
      <c r="C331" s="88"/>
      <c r="D331" s="89"/>
      <c r="E331" s="89"/>
      <c r="F331" s="73"/>
      <c r="G331" s="73"/>
      <c r="H331" s="73"/>
      <c r="I331" s="73"/>
      <c r="J331" s="73"/>
      <c r="K331" s="73"/>
      <c r="L331" s="73"/>
      <c r="M331" s="74"/>
      <c r="N331" s="71" t="str">
        <f t="shared" si="5"/>
        <v/>
      </c>
      <c r="O331" s="72"/>
      <c r="P331" s="72"/>
      <c r="Q331" s="72"/>
      <c r="R331" s="72"/>
      <c r="S331" s="72"/>
      <c r="T331" s="72"/>
      <c r="U331" s="72"/>
      <c r="V331" s="72"/>
    </row>
    <row r="332" spans="1:22" ht="27.75" customHeight="1">
      <c r="A332" s="87" t="str">
        <f>IF(ISBLANK(C332)," ",327-COUNTBLANK($C$6:C332))</f>
        <v xml:space="preserve"> </v>
      </c>
      <c r="B332" s="88"/>
      <c r="C332" s="88"/>
      <c r="D332" s="89"/>
      <c r="E332" s="89"/>
      <c r="F332" s="73"/>
      <c r="G332" s="73"/>
      <c r="H332" s="73"/>
      <c r="I332" s="73"/>
      <c r="J332" s="73"/>
      <c r="K332" s="73"/>
      <c r="L332" s="73"/>
      <c r="M332" s="74"/>
      <c r="N332" s="71" t="str">
        <f t="shared" si="5"/>
        <v/>
      </c>
      <c r="O332" s="72"/>
      <c r="P332" s="72"/>
      <c r="Q332" s="72"/>
      <c r="R332" s="72"/>
      <c r="S332" s="72"/>
      <c r="T332" s="72"/>
      <c r="U332" s="72"/>
      <c r="V332" s="72"/>
    </row>
    <row r="333" spans="1:22" ht="27.75" customHeight="1">
      <c r="A333" s="87" t="str">
        <f>IF(ISBLANK(C333)," ",328-COUNTBLANK($C$6:C333))</f>
        <v xml:space="preserve"> </v>
      </c>
      <c r="B333" s="88"/>
      <c r="C333" s="88"/>
      <c r="D333" s="89"/>
      <c r="E333" s="89"/>
      <c r="F333" s="73"/>
      <c r="G333" s="73"/>
      <c r="H333" s="73"/>
      <c r="I333" s="73"/>
      <c r="J333" s="73"/>
      <c r="K333" s="73"/>
      <c r="L333" s="73"/>
      <c r="M333" s="74"/>
      <c r="N333" s="71" t="str">
        <f t="shared" si="5"/>
        <v/>
      </c>
      <c r="O333" s="72"/>
      <c r="P333" s="72"/>
      <c r="Q333" s="72"/>
      <c r="R333" s="72"/>
      <c r="S333" s="72"/>
      <c r="T333" s="72"/>
      <c r="U333" s="72"/>
      <c r="V333" s="72"/>
    </row>
    <row r="334" spans="1:22" ht="27.75" customHeight="1">
      <c r="A334" s="87" t="str">
        <f>IF(ISBLANK(C334)," ",329-COUNTBLANK($C$6:C334))</f>
        <v xml:space="preserve"> </v>
      </c>
      <c r="B334" s="88"/>
      <c r="C334" s="88"/>
      <c r="D334" s="89"/>
      <c r="E334" s="89"/>
      <c r="F334" s="73"/>
      <c r="G334" s="73"/>
      <c r="H334" s="73"/>
      <c r="I334" s="73"/>
      <c r="J334" s="73"/>
      <c r="K334" s="73"/>
      <c r="L334" s="73"/>
      <c r="M334" s="74"/>
      <c r="N334" s="71" t="str">
        <f t="shared" si="5"/>
        <v/>
      </c>
      <c r="O334" s="72"/>
      <c r="P334" s="72"/>
      <c r="Q334" s="72"/>
      <c r="R334" s="72"/>
      <c r="S334" s="72"/>
      <c r="T334" s="72"/>
      <c r="U334" s="72"/>
      <c r="V334" s="72"/>
    </row>
    <row r="335" spans="1:22" ht="27.75" customHeight="1">
      <c r="A335" s="87" t="str">
        <f>IF(ISBLANK(C335)," ",330-COUNTBLANK($C$6:C335))</f>
        <v xml:space="preserve"> </v>
      </c>
      <c r="B335" s="88"/>
      <c r="C335" s="88"/>
      <c r="D335" s="89"/>
      <c r="E335" s="89"/>
      <c r="F335" s="73"/>
      <c r="G335" s="73"/>
      <c r="H335" s="73"/>
      <c r="I335" s="73"/>
      <c r="J335" s="73"/>
      <c r="K335" s="73"/>
      <c r="L335" s="73"/>
      <c r="M335" s="74"/>
      <c r="N335" s="71" t="str">
        <f t="shared" si="5"/>
        <v/>
      </c>
      <c r="O335" s="72"/>
      <c r="P335" s="72"/>
      <c r="Q335" s="72"/>
      <c r="R335" s="72"/>
      <c r="S335" s="72"/>
      <c r="T335" s="72"/>
      <c r="U335" s="72"/>
      <c r="V335" s="72"/>
    </row>
    <row r="336" spans="1:22" ht="27.75" customHeight="1">
      <c r="A336" s="87" t="str">
        <f>IF(ISBLANK(C336)," ",331-COUNTBLANK($C$6:C336))</f>
        <v xml:space="preserve"> </v>
      </c>
      <c r="B336" s="88"/>
      <c r="C336" s="88"/>
      <c r="D336" s="89"/>
      <c r="E336" s="89"/>
      <c r="F336" s="73"/>
      <c r="G336" s="73"/>
      <c r="H336" s="73"/>
      <c r="I336" s="73"/>
      <c r="J336" s="73"/>
      <c r="K336" s="73"/>
      <c r="L336" s="73"/>
      <c r="M336" s="74"/>
      <c r="N336" s="71" t="str">
        <f t="shared" si="5"/>
        <v/>
      </c>
      <c r="O336" s="75"/>
      <c r="P336" s="72"/>
      <c r="Q336" s="72"/>
      <c r="R336" s="72"/>
      <c r="S336" s="72"/>
      <c r="T336" s="72"/>
      <c r="U336" s="72"/>
      <c r="V336" s="76"/>
    </row>
    <row r="337" spans="1:25" ht="27.75" customHeight="1">
      <c r="A337" s="87" t="str">
        <f>IF(ISBLANK(C337)," ",332-COUNTBLANK($C$6:C337))</f>
        <v xml:space="preserve"> </v>
      </c>
      <c r="B337" s="88"/>
      <c r="C337" s="88"/>
      <c r="D337" s="89"/>
      <c r="E337" s="89"/>
      <c r="F337" s="73"/>
      <c r="G337" s="73"/>
      <c r="H337" s="73"/>
      <c r="I337" s="73"/>
      <c r="J337" s="73"/>
      <c r="K337" s="73"/>
      <c r="L337" s="73"/>
      <c r="M337" s="74"/>
      <c r="N337" s="71" t="str">
        <f t="shared" si="5"/>
        <v/>
      </c>
      <c r="O337" s="75"/>
      <c r="P337" s="72"/>
      <c r="Q337" s="72"/>
      <c r="R337" s="72"/>
      <c r="S337" s="72"/>
      <c r="T337" s="72"/>
      <c r="U337" s="72"/>
      <c r="V337" s="76"/>
    </row>
    <row r="338" spans="1:25" ht="27.75" customHeight="1">
      <c r="A338" s="87" t="str">
        <f>IF(ISBLANK(C338)," ",333-COUNTBLANK($C$6:C338))</f>
        <v xml:space="preserve"> </v>
      </c>
      <c r="B338" s="88"/>
      <c r="C338" s="88"/>
      <c r="D338" s="89"/>
      <c r="E338" s="89"/>
      <c r="F338" s="73"/>
      <c r="G338" s="73"/>
      <c r="H338" s="73"/>
      <c r="I338" s="73"/>
      <c r="J338" s="73"/>
      <c r="K338" s="73"/>
      <c r="L338" s="73"/>
      <c r="M338" s="74"/>
      <c r="N338" s="71" t="str">
        <f t="shared" si="5"/>
        <v/>
      </c>
      <c r="O338" s="75"/>
      <c r="P338" s="72"/>
      <c r="Q338" s="72"/>
      <c r="R338" s="72"/>
      <c r="S338" s="72"/>
      <c r="T338" s="72"/>
      <c r="U338" s="72"/>
      <c r="V338" s="76"/>
    </row>
    <row r="339" spans="1:25" ht="27.75" customHeight="1">
      <c r="A339" s="87" t="str">
        <f>IF(ISBLANK(C339)," ",334-COUNTBLANK($C$6:C339))</f>
        <v xml:space="preserve"> </v>
      </c>
      <c r="B339" s="88"/>
      <c r="C339" s="88"/>
      <c r="D339" s="89"/>
      <c r="E339" s="89"/>
      <c r="F339" s="73"/>
      <c r="G339" s="73"/>
      <c r="H339" s="73"/>
      <c r="I339" s="73"/>
      <c r="J339" s="73"/>
      <c r="K339" s="73"/>
      <c r="L339" s="73"/>
      <c r="M339" s="74"/>
      <c r="N339" s="71" t="str">
        <f t="shared" si="5"/>
        <v/>
      </c>
      <c r="O339" s="75"/>
      <c r="P339" s="72"/>
      <c r="Q339" s="72"/>
      <c r="R339" s="72"/>
      <c r="S339" s="72"/>
      <c r="T339" s="72"/>
      <c r="U339" s="72"/>
      <c r="V339" s="76"/>
    </row>
    <row r="340" spans="1:25" ht="27.75" customHeight="1">
      <c r="A340" s="87" t="str">
        <f>IF(ISBLANK(C340)," ",335-COUNTBLANK($C$6:C340))</f>
        <v xml:space="preserve"> </v>
      </c>
      <c r="B340" s="88"/>
      <c r="C340" s="88"/>
      <c r="D340" s="89"/>
      <c r="E340" s="89"/>
      <c r="F340" s="73"/>
      <c r="G340" s="73"/>
      <c r="H340" s="73"/>
      <c r="I340" s="73"/>
      <c r="J340" s="73"/>
      <c r="K340" s="73"/>
      <c r="L340" s="73"/>
      <c r="M340" s="74"/>
      <c r="N340" s="71" t="str">
        <f t="shared" si="5"/>
        <v/>
      </c>
      <c r="O340" s="72"/>
      <c r="P340" s="72"/>
      <c r="Q340" s="72"/>
      <c r="R340" s="72"/>
      <c r="S340" s="72"/>
      <c r="T340" s="72"/>
      <c r="U340" s="72"/>
      <c r="V340" s="79"/>
      <c r="W340" s="72"/>
      <c r="X340" s="72"/>
      <c r="Y340" s="72"/>
    </row>
    <row r="341" spans="1:25" ht="27.75" customHeight="1">
      <c r="A341" s="80" t="s">
        <v>52</v>
      </c>
      <c r="B341" s="81"/>
      <c r="C341" s="96"/>
      <c r="D341" s="82"/>
      <c r="E341" s="82">
        <f>SUM(E321:E340)</f>
        <v>0</v>
      </c>
      <c r="F341" s="83"/>
      <c r="G341" s="83"/>
      <c r="H341" s="83"/>
      <c r="I341" s="83"/>
      <c r="J341" s="83"/>
      <c r="K341" s="83"/>
      <c r="L341" s="83"/>
      <c r="M341" s="84"/>
      <c r="N341" s="71" t="str">
        <f t="shared" si="5"/>
        <v/>
      </c>
      <c r="O341" s="75"/>
      <c r="P341" s="72"/>
      <c r="Q341" s="72"/>
      <c r="R341" s="72"/>
      <c r="S341" s="72"/>
      <c r="T341" s="72"/>
      <c r="U341" s="72"/>
      <c r="V341" s="79"/>
      <c r="W341" s="72"/>
      <c r="X341" s="72"/>
      <c r="Y341" s="72"/>
    </row>
    <row r="342" spans="1:25" ht="27.75" customHeight="1">
      <c r="A342" s="93" t="str">
        <f>IF(ISBLANK(C342)," ",337-COUNTBLANK($C$6:C342))</f>
        <v xml:space="preserve"> </v>
      </c>
      <c r="B342" s="94"/>
      <c r="C342" s="94"/>
      <c r="D342" s="95"/>
      <c r="E342" s="95"/>
      <c r="F342" s="85"/>
      <c r="G342" s="85"/>
      <c r="H342" s="85"/>
      <c r="I342" s="85"/>
      <c r="J342" s="85"/>
      <c r="K342" s="85"/>
      <c r="L342" s="85"/>
      <c r="M342" s="86"/>
      <c r="N342" s="71" t="str">
        <f t="shared" si="5"/>
        <v/>
      </c>
      <c r="O342" s="72"/>
      <c r="P342" s="72"/>
      <c r="Q342" s="72"/>
      <c r="R342" s="72"/>
      <c r="S342" s="72"/>
      <c r="T342" s="72"/>
      <c r="U342" s="72"/>
      <c r="V342" s="72"/>
    </row>
    <row r="343" spans="1:25" ht="27.75" customHeight="1">
      <c r="A343" s="87" t="str">
        <f>IF(ISBLANK(C343)," ",338-COUNTBLANK($C$6:C343))</f>
        <v xml:space="preserve"> </v>
      </c>
      <c r="B343" s="88"/>
      <c r="C343" s="88"/>
      <c r="D343" s="89"/>
      <c r="E343" s="89"/>
      <c r="F343" s="73"/>
      <c r="G343" s="73"/>
      <c r="H343" s="73"/>
      <c r="I343" s="73"/>
      <c r="J343" s="73"/>
      <c r="K343" s="73"/>
      <c r="L343" s="73"/>
      <c r="M343" s="74"/>
      <c r="N343" s="71" t="str">
        <f t="shared" si="5"/>
        <v/>
      </c>
      <c r="O343" s="72"/>
      <c r="P343" s="72"/>
      <c r="Q343" s="72"/>
      <c r="R343" s="72"/>
      <c r="S343" s="72"/>
      <c r="T343" s="72"/>
      <c r="U343" s="72"/>
      <c r="V343" s="72"/>
    </row>
    <row r="344" spans="1:25" ht="27.75" customHeight="1">
      <c r="A344" s="87" t="str">
        <f>IF(ISBLANK(C344)," ",339-COUNTBLANK($C$6:C344))</f>
        <v xml:space="preserve"> </v>
      </c>
      <c r="B344" s="88"/>
      <c r="C344" s="88"/>
      <c r="D344" s="89"/>
      <c r="E344" s="89"/>
      <c r="F344" s="73"/>
      <c r="G344" s="73"/>
      <c r="H344" s="73"/>
      <c r="I344" s="73"/>
      <c r="J344" s="73"/>
      <c r="K344" s="73"/>
      <c r="L344" s="73"/>
      <c r="M344" s="74"/>
      <c r="N344" s="71" t="str">
        <f t="shared" si="5"/>
        <v/>
      </c>
      <c r="O344" s="72"/>
      <c r="P344" s="72"/>
      <c r="Q344" s="72"/>
      <c r="R344" s="72"/>
      <c r="S344" s="72"/>
      <c r="T344" s="72"/>
      <c r="U344" s="72"/>
      <c r="V344" s="72"/>
    </row>
    <row r="345" spans="1:25" ht="27.75" customHeight="1">
      <c r="A345" s="87" t="str">
        <f>IF(ISBLANK(C345)," ",340-COUNTBLANK($C$6:C345))</f>
        <v xml:space="preserve"> </v>
      </c>
      <c r="B345" s="88"/>
      <c r="C345" s="88"/>
      <c r="D345" s="89"/>
      <c r="E345" s="89"/>
      <c r="F345" s="73"/>
      <c r="G345" s="73"/>
      <c r="H345" s="73"/>
      <c r="I345" s="73"/>
      <c r="J345" s="73"/>
      <c r="K345" s="73"/>
      <c r="L345" s="73"/>
      <c r="M345" s="74"/>
      <c r="N345" s="71" t="str">
        <f t="shared" si="5"/>
        <v/>
      </c>
      <c r="O345" s="72"/>
      <c r="P345" s="72"/>
      <c r="Q345" s="72"/>
      <c r="R345" s="72"/>
      <c r="S345" s="72"/>
      <c r="T345" s="72"/>
      <c r="U345" s="72"/>
      <c r="V345" s="72"/>
    </row>
    <row r="346" spans="1:25" ht="27.75" customHeight="1">
      <c r="A346" s="87" t="str">
        <f>IF(ISBLANK(C346)," ",341-COUNTBLANK($C$6:C346))</f>
        <v xml:space="preserve"> </v>
      </c>
      <c r="B346" s="88"/>
      <c r="C346" s="88"/>
      <c r="D346" s="89"/>
      <c r="E346" s="89"/>
      <c r="F346" s="73"/>
      <c r="G346" s="73"/>
      <c r="H346" s="73"/>
      <c r="I346" s="73"/>
      <c r="J346" s="73"/>
      <c r="K346" s="73"/>
      <c r="L346" s="73"/>
      <c r="M346" s="74"/>
      <c r="N346" s="71" t="str">
        <f t="shared" si="5"/>
        <v/>
      </c>
      <c r="O346" s="72"/>
      <c r="P346" s="72"/>
      <c r="Q346" s="72"/>
      <c r="R346" s="72"/>
      <c r="S346" s="72"/>
      <c r="T346" s="72"/>
      <c r="U346" s="72"/>
      <c r="V346" s="72"/>
    </row>
    <row r="347" spans="1:25" ht="27.75" customHeight="1">
      <c r="A347" s="87" t="str">
        <f>IF(ISBLANK(C347)," ",342-COUNTBLANK($C$6:C347))</f>
        <v xml:space="preserve"> </v>
      </c>
      <c r="B347" s="88"/>
      <c r="C347" s="88"/>
      <c r="D347" s="89"/>
      <c r="E347" s="89"/>
      <c r="F347" s="73"/>
      <c r="G347" s="73"/>
      <c r="H347" s="73"/>
      <c r="I347" s="73"/>
      <c r="J347" s="73"/>
      <c r="K347" s="73"/>
      <c r="L347" s="73"/>
      <c r="M347" s="74"/>
      <c r="N347" s="71" t="str">
        <f t="shared" si="5"/>
        <v/>
      </c>
      <c r="O347" s="72"/>
      <c r="P347" s="72"/>
      <c r="Q347" s="72"/>
      <c r="R347" s="72"/>
      <c r="S347" s="72"/>
      <c r="T347" s="72"/>
      <c r="U347" s="72"/>
      <c r="V347" s="72"/>
    </row>
    <row r="348" spans="1:25" ht="27.75" customHeight="1">
      <c r="A348" s="87" t="str">
        <f>IF(ISBLANK(C348)," ",343-COUNTBLANK($C$6:C348))</f>
        <v xml:space="preserve"> </v>
      </c>
      <c r="B348" s="88"/>
      <c r="C348" s="88"/>
      <c r="D348" s="89"/>
      <c r="E348" s="89"/>
      <c r="F348" s="73"/>
      <c r="G348" s="73"/>
      <c r="H348" s="73"/>
      <c r="I348" s="73"/>
      <c r="J348" s="73"/>
      <c r="K348" s="73"/>
      <c r="L348" s="73"/>
      <c r="M348" s="74"/>
      <c r="N348" s="71" t="str">
        <f t="shared" si="5"/>
        <v/>
      </c>
      <c r="O348" s="72"/>
      <c r="P348" s="72"/>
      <c r="Q348" s="72"/>
      <c r="R348" s="72"/>
      <c r="S348" s="72"/>
      <c r="T348" s="72"/>
      <c r="U348" s="72"/>
      <c r="V348" s="72"/>
    </row>
    <row r="349" spans="1:25" ht="27.75" customHeight="1">
      <c r="A349" s="87" t="str">
        <f>IF(ISBLANK(C349)," ",344-COUNTBLANK($C$6:C349))</f>
        <v xml:space="preserve"> </v>
      </c>
      <c r="B349" s="88"/>
      <c r="C349" s="88"/>
      <c r="D349" s="89"/>
      <c r="E349" s="89"/>
      <c r="F349" s="73"/>
      <c r="G349" s="73"/>
      <c r="H349" s="73"/>
      <c r="I349" s="73"/>
      <c r="J349" s="73"/>
      <c r="K349" s="73"/>
      <c r="L349" s="73"/>
      <c r="M349" s="74"/>
      <c r="N349" s="71" t="str">
        <f t="shared" si="5"/>
        <v/>
      </c>
      <c r="O349" s="72"/>
      <c r="P349" s="72"/>
      <c r="Q349" s="72"/>
      <c r="R349" s="72"/>
      <c r="S349" s="72"/>
      <c r="T349" s="72"/>
      <c r="U349" s="72"/>
      <c r="V349" s="72"/>
    </row>
    <row r="350" spans="1:25" ht="27.75" customHeight="1">
      <c r="A350" s="87" t="str">
        <f>IF(ISBLANK(C350)," ",345-COUNTBLANK($C$6:C350))</f>
        <v xml:space="preserve"> </v>
      </c>
      <c r="B350" s="88"/>
      <c r="C350" s="88"/>
      <c r="D350" s="89"/>
      <c r="E350" s="89"/>
      <c r="F350" s="73"/>
      <c r="G350" s="73"/>
      <c r="H350" s="73"/>
      <c r="I350" s="73"/>
      <c r="J350" s="73"/>
      <c r="K350" s="73"/>
      <c r="L350" s="73"/>
      <c r="M350" s="74"/>
      <c r="N350" s="71" t="str">
        <f t="shared" si="5"/>
        <v/>
      </c>
      <c r="O350" s="72"/>
      <c r="P350" s="72"/>
      <c r="Q350" s="72"/>
      <c r="R350" s="72"/>
      <c r="S350" s="72"/>
      <c r="T350" s="72"/>
      <c r="U350" s="72"/>
      <c r="V350" s="72"/>
    </row>
    <row r="351" spans="1:25" ht="27.75" customHeight="1">
      <c r="A351" s="87" t="str">
        <f>IF(ISBLANK(C351)," ",346-COUNTBLANK($C$6:C351))</f>
        <v xml:space="preserve"> </v>
      </c>
      <c r="B351" s="88"/>
      <c r="C351" s="88"/>
      <c r="D351" s="89"/>
      <c r="E351" s="89"/>
      <c r="F351" s="73"/>
      <c r="G351" s="73"/>
      <c r="H351" s="73"/>
      <c r="I351" s="73"/>
      <c r="J351" s="73"/>
      <c r="K351" s="73"/>
      <c r="L351" s="73"/>
      <c r="M351" s="74"/>
      <c r="N351" s="71" t="str">
        <f t="shared" si="5"/>
        <v/>
      </c>
      <c r="O351" s="72"/>
      <c r="P351" s="72"/>
      <c r="Q351" s="72"/>
      <c r="R351" s="72"/>
      <c r="S351" s="72"/>
      <c r="T351" s="72"/>
      <c r="U351" s="72"/>
      <c r="V351" s="72"/>
    </row>
    <row r="352" spans="1:25" ht="27.75" customHeight="1">
      <c r="A352" s="87" t="str">
        <f>IF(ISBLANK(C352)," ",347-COUNTBLANK($C$6:C352))</f>
        <v xml:space="preserve"> </v>
      </c>
      <c r="B352" s="88"/>
      <c r="C352" s="88"/>
      <c r="D352" s="89"/>
      <c r="E352" s="89"/>
      <c r="F352" s="73"/>
      <c r="G352" s="73"/>
      <c r="H352" s="73"/>
      <c r="I352" s="73"/>
      <c r="J352" s="73"/>
      <c r="K352" s="73"/>
      <c r="L352" s="73"/>
      <c r="M352" s="74"/>
      <c r="N352" s="71" t="str">
        <f t="shared" si="5"/>
        <v/>
      </c>
      <c r="O352" s="72"/>
      <c r="P352" s="72"/>
      <c r="Q352" s="72"/>
      <c r="R352" s="72"/>
      <c r="S352" s="72"/>
      <c r="T352" s="72"/>
      <c r="U352" s="72"/>
      <c r="V352" s="72"/>
    </row>
    <row r="353" spans="1:25" ht="27.75" customHeight="1">
      <c r="A353" s="87" t="str">
        <f>IF(ISBLANK(C353)," ",348-COUNTBLANK($C$6:C353))</f>
        <v xml:space="preserve"> </v>
      </c>
      <c r="B353" s="88"/>
      <c r="C353" s="88"/>
      <c r="D353" s="89"/>
      <c r="E353" s="89"/>
      <c r="F353" s="73"/>
      <c r="G353" s="73"/>
      <c r="H353" s="73"/>
      <c r="I353" s="73"/>
      <c r="J353" s="73"/>
      <c r="K353" s="73"/>
      <c r="L353" s="73"/>
      <c r="M353" s="74"/>
      <c r="N353" s="71" t="str">
        <f t="shared" si="5"/>
        <v/>
      </c>
      <c r="O353" s="72"/>
      <c r="P353" s="72"/>
      <c r="Q353" s="72"/>
      <c r="R353" s="72"/>
      <c r="S353" s="72"/>
      <c r="T353" s="72"/>
      <c r="U353" s="72"/>
      <c r="V353" s="72"/>
    </row>
    <row r="354" spans="1:25" ht="27.75" customHeight="1">
      <c r="A354" s="87" t="str">
        <f>IF(ISBLANK(C354)," ",349-COUNTBLANK($C$6:C354))</f>
        <v xml:space="preserve"> </v>
      </c>
      <c r="B354" s="88"/>
      <c r="C354" s="88"/>
      <c r="D354" s="89"/>
      <c r="E354" s="89"/>
      <c r="F354" s="73"/>
      <c r="G354" s="73"/>
      <c r="H354" s="73"/>
      <c r="I354" s="73"/>
      <c r="J354" s="73"/>
      <c r="K354" s="73"/>
      <c r="L354" s="73"/>
      <c r="M354" s="74"/>
      <c r="N354" s="71" t="str">
        <f t="shared" si="5"/>
        <v/>
      </c>
      <c r="O354" s="72"/>
      <c r="P354" s="72"/>
      <c r="Q354" s="72"/>
      <c r="R354" s="72"/>
      <c r="S354" s="72"/>
      <c r="T354" s="72"/>
      <c r="U354" s="72"/>
      <c r="V354" s="72"/>
    </row>
    <row r="355" spans="1:25" ht="27.75" customHeight="1">
      <c r="A355" s="87" t="str">
        <f>IF(ISBLANK(C355)," ",350-COUNTBLANK($C$6:C355))</f>
        <v xml:space="preserve"> </v>
      </c>
      <c r="B355" s="88"/>
      <c r="C355" s="88"/>
      <c r="D355" s="89"/>
      <c r="E355" s="89"/>
      <c r="F355" s="73"/>
      <c r="G355" s="73"/>
      <c r="H355" s="73"/>
      <c r="I355" s="73"/>
      <c r="J355" s="73"/>
      <c r="K355" s="73"/>
      <c r="L355" s="73"/>
      <c r="M355" s="74"/>
      <c r="N355" s="71" t="str">
        <f t="shared" si="5"/>
        <v/>
      </c>
      <c r="O355" s="72"/>
      <c r="P355" s="72"/>
      <c r="Q355" s="72"/>
      <c r="R355" s="72"/>
      <c r="S355" s="72"/>
      <c r="T355" s="72"/>
      <c r="U355" s="72"/>
      <c r="V355" s="72"/>
    </row>
    <row r="356" spans="1:25" ht="27.75" customHeight="1">
      <c r="A356" s="87" t="str">
        <f>IF(ISBLANK(C356)," ",351-COUNTBLANK($C$6:C356))</f>
        <v xml:space="preserve"> </v>
      </c>
      <c r="B356" s="88"/>
      <c r="C356" s="88"/>
      <c r="D356" s="89"/>
      <c r="E356" s="89"/>
      <c r="F356" s="73"/>
      <c r="G356" s="73"/>
      <c r="H356" s="73"/>
      <c r="I356" s="73"/>
      <c r="J356" s="73"/>
      <c r="K356" s="73"/>
      <c r="L356" s="73"/>
      <c r="M356" s="74"/>
      <c r="N356" s="71" t="str">
        <f t="shared" si="5"/>
        <v/>
      </c>
      <c r="O356" s="72"/>
      <c r="P356" s="72"/>
      <c r="Q356" s="72"/>
      <c r="R356" s="72"/>
      <c r="S356" s="72"/>
      <c r="T356" s="72"/>
      <c r="U356" s="72"/>
      <c r="V356" s="72"/>
    </row>
    <row r="357" spans="1:25" ht="27.75" customHeight="1">
      <c r="A357" s="87" t="str">
        <f>IF(ISBLANK(C357)," ",352-COUNTBLANK($C$6:C357))</f>
        <v xml:space="preserve"> </v>
      </c>
      <c r="B357" s="88"/>
      <c r="C357" s="88"/>
      <c r="D357" s="89"/>
      <c r="E357" s="89"/>
      <c r="F357" s="73"/>
      <c r="G357" s="73"/>
      <c r="H357" s="73"/>
      <c r="I357" s="73"/>
      <c r="J357" s="73"/>
      <c r="K357" s="73"/>
      <c r="L357" s="73"/>
      <c r="M357" s="74"/>
      <c r="N357" s="71" t="str">
        <f t="shared" si="5"/>
        <v/>
      </c>
      <c r="O357" s="75"/>
      <c r="P357" s="72"/>
      <c r="Q357" s="72"/>
      <c r="R357" s="72"/>
      <c r="S357" s="72"/>
      <c r="T357" s="72"/>
      <c r="U357" s="72"/>
      <c r="V357" s="76"/>
    </row>
    <row r="358" spans="1:25" ht="27.75" customHeight="1">
      <c r="A358" s="87" t="str">
        <f>IF(ISBLANK(C358)," ",353-COUNTBLANK($C$6:C358))</f>
        <v xml:space="preserve"> </v>
      </c>
      <c r="B358" s="88"/>
      <c r="C358" s="88"/>
      <c r="D358" s="89"/>
      <c r="E358" s="89"/>
      <c r="F358" s="73"/>
      <c r="G358" s="73"/>
      <c r="H358" s="73"/>
      <c r="I358" s="73"/>
      <c r="J358" s="73"/>
      <c r="K358" s="73"/>
      <c r="L358" s="73"/>
      <c r="M358" s="74"/>
      <c r="N358" s="71" t="str">
        <f t="shared" si="5"/>
        <v/>
      </c>
      <c r="O358" s="75"/>
      <c r="P358" s="72"/>
      <c r="Q358" s="72"/>
      <c r="R358" s="72"/>
      <c r="S358" s="72"/>
      <c r="T358" s="72"/>
      <c r="U358" s="72"/>
      <c r="V358" s="76"/>
    </row>
    <row r="359" spans="1:25" ht="27.75" customHeight="1">
      <c r="A359" s="87" t="str">
        <f>IF(ISBLANK(C359)," ",354-COUNTBLANK($C$6:C359))</f>
        <v xml:space="preserve"> </v>
      </c>
      <c r="B359" s="88"/>
      <c r="C359" s="88"/>
      <c r="D359" s="89"/>
      <c r="E359" s="89"/>
      <c r="F359" s="73"/>
      <c r="G359" s="73"/>
      <c r="H359" s="73"/>
      <c r="I359" s="73"/>
      <c r="J359" s="73"/>
      <c r="K359" s="73"/>
      <c r="L359" s="73"/>
      <c r="M359" s="74"/>
      <c r="N359" s="71" t="str">
        <f t="shared" si="5"/>
        <v/>
      </c>
      <c r="O359" s="75"/>
      <c r="P359" s="72"/>
      <c r="Q359" s="72"/>
      <c r="R359" s="72"/>
      <c r="S359" s="72"/>
      <c r="T359" s="72"/>
      <c r="U359" s="72"/>
      <c r="V359" s="76"/>
    </row>
    <row r="360" spans="1:25" ht="27.75" customHeight="1">
      <c r="A360" s="87" t="str">
        <f>IF(ISBLANK(C360)," ",355-COUNTBLANK($C$6:C360))</f>
        <v xml:space="preserve"> </v>
      </c>
      <c r="B360" s="88"/>
      <c r="C360" s="88"/>
      <c r="D360" s="89"/>
      <c r="E360" s="89"/>
      <c r="F360" s="73"/>
      <c r="G360" s="73"/>
      <c r="H360" s="73"/>
      <c r="I360" s="73"/>
      <c r="J360" s="73"/>
      <c r="K360" s="73"/>
      <c r="L360" s="73"/>
      <c r="M360" s="74"/>
      <c r="N360" s="71" t="str">
        <f t="shared" si="5"/>
        <v/>
      </c>
      <c r="O360" s="75"/>
      <c r="P360" s="72"/>
      <c r="Q360" s="72"/>
      <c r="R360" s="72"/>
      <c r="S360" s="72"/>
      <c r="T360" s="72"/>
      <c r="U360" s="72"/>
      <c r="V360" s="76"/>
    </row>
    <row r="361" spans="1:25" ht="27.75" customHeight="1">
      <c r="A361" s="87" t="str">
        <f>IF(ISBLANK(C361)," ",356-COUNTBLANK($C$6:C361))</f>
        <v xml:space="preserve"> </v>
      </c>
      <c r="B361" s="88"/>
      <c r="C361" s="88"/>
      <c r="D361" s="89"/>
      <c r="E361" s="89"/>
      <c r="F361" s="73"/>
      <c r="G361" s="73"/>
      <c r="H361" s="73"/>
      <c r="I361" s="73"/>
      <c r="J361" s="73"/>
      <c r="K361" s="73"/>
      <c r="L361" s="73"/>
      <c r="M361" s="74"/>
      <c r="N361" s="71" t="str">
        <f t="shared" si="5"/>
        <v/>
      </c>
      <c r="O361" s="72"/>
      <c r="P361" s="72"/>
      <c r="Q361" s="72"/>
      <c r="R361" s="72"/>
      <c r="S361" s="72"/>
      <c r="T361" s="72"/>
      <c r="U361" s="72"/>
      <c r="V361" s="79"/>
      <c r="W361" s="72"/>
      <c r="X361" s="72"/>
      <c r="Y361" s="72"/>
    </row>
    <row r="362" spans="1:25" ht="27.75" customHeight="1">
      <c r="A362" s="80" t="s">
        <v>52</v>
      </c>
      <c r="B362" s="81"/>
      <c r="C362" s="96"/>
      <c r="D362" s="82"/>
      <c r="E362" s="82">
        <f>SUM(E342:E361)</f>
        <v>0</v>
      </c>
      <c r="F362" s="83"/>
      <c r="G362" s="83"/>
      <c r="H362" s="83"/>
      <c r="I362" s="83"/>
      <c r="J362" s="83"/>
      <c r="K362" s="83"/>
      <c r="L362" s="83"/>
      <c r="M362" s="84"/>
      <c r="N362" s="71" t="str">
        <f t="shared" si="5"/>
        <v/>
      </c>
      <c r="O362" s="75"/>
      <c r="P362" s="72"/>
      <c r="Q362" s="72"/>
      <c r="R362" s="72"/>
      <c r="S362" s="72"/>
      <c r="T362" s="72"/>
      <c r="U362" s="72"/>
      <c r="V362" s="79"/>
      <c r="W362" s="72"/>
      <c r="X362" s="72"/>
      <c r="Y362" s="72"/>
    </row>
    <row r="363" spans="1:25" ht="27.75" customHeight="1">
      <c r="A363" s="93" t="str">
        <f>IF(ISBLANK(C363)," ",358-COUNTBLANK($C$6:C363))</f>
        <v xml:space="preserve"> </v>
      </c>
      <c r="B363" s="94"/>
      <c r="C363" s="94"/>
      <c r="D363" s="95"/>
      <c r="E363" s="95"/>
      <c r="F363" s="85"/>
      <c r="G363" s="85"/>
      <c r="H363" s="85"/>
      <c r="I363" s="85"/>
      <c r="J363" s="85"/>
      <c r="K363" s="85"/>
      <c r="L363" s="85"/>
      <c r="M363" s="86"/>
      <c r="N363" s="71" t="str">
        <f t="shared" si="5"/>
        <v/>
      </c>
      <c r="O363" s="72"/>
      <c r="P363" s="72"/>
      <c r="Q363" s="72"/>
      <c r="R363" s="72"/>
      <c r="S363" s="72"/>
      <c r="T363" s="72"/>
      <c r="U363" s="72"/>
      <c r="V363" s="72"/>
    </row>
    <row r="364" spans="1:25" ht="27.75" customHeight="1">
      <c r="A364" s="87" t="str">
        <f>IF(ISBLANK(C364)," ",359-COUNTBLANK($C$6:C364))</f>
        <v xml:space="preserve"> </v>
      </c>
      <c r="B364" s="88"/>
      <c r="C364" s="88"/>
      <c r="D364" s="89"/>
      <c r="E364" s="89"/>
      <c r="F364" s="73"/>
      <c r="G364" s="73"/>
      <c r="H364" s="73"/>
      <c r="I364" s="73"/>
      <c r="J364" s="73"/>
      <c r="K364" s="73"/>
      <c r="L364" s="73"/>
      <c r="M364" s="74"/>
      <c r="N364" s="71" t="str">
        <f t="shared" si="5"/>
        <v/>
      </c>
      <c r="O364" s="72"/>
      <c r="P364" s="72"/>
      <c r="Q364" s="72"/>
      <c r="R364" s="72"/>
      <c r="S364" s="72"/>
      <c r="T364" s="72"/>
      <c r="U364" s="72"/>
      <c r="V364" s="72"/>
    </row>
    <row r="365" spans="1:25" ht="27.75" customHeight="1">
      <c r="A365" s="87" t="str">
        <f>IF(ISBLANK(C365)," ",360-COUNTBLANK($C$6:C365))</f>
        <v xml:space="preserve"> </v>
      </c>
      <c r="B365" s="88"/>
      <c r="C365" s="88"/>
      <c r="D365" s="89"/>
      <c r="E365" s="89"/>
      <c r="F365" s="73"/>
      <c r="G365" s="73"/>
      <c r="H365" s="73"/>
      <c r="I365" s="73"/>
      <c r="J365" s="73"/>
      <c r="K365" s="73"/>
      <c r="L365" s="73"/>
      <c r="M365" s="74"/>
      <c r="N365" s="71" t="str">
        <f t="shared" si="5"/>
        <v/>
      </c>
      <c r="O365" s="72"/>
      <c r="P365" s="72"/>
      <c r="Q365" s="72"/>
      <c r="R365" s="72"/>
      <c r="S365" s="72"/>
      <c r="T365" s="72"/>
      <c r="U365" s="72"/>
      <c r="V365" s="72"/>
    </row>
    <row r="366" spans="1:25" ht="27.75" customHeight="1">
      <c r="A366" s="87" t="str">
        <f>IF(ISBLANK(C366)," ",361-COUNTBLANK($C$6:C366))</f>
        <v xml:space="preserve"> </v>
      </c>
      <c r="B366" s="88"/>
      <c r="C366" s="88"/>
      <c r="D366" s="89"/>
      <c r="E366" s="89"/>
      <c r="F366" s="73"/>
      <c r="G366" s="73"/>
      <c r="H366" s="73"/>
      <c r="I366" s="73"/>
      <c r="J366" s="73"/>
      <c r="K366" s="73"/>
      <c r="L366" s="73"/>
      <c r="M366" s="74"/>
      <c r="N366" s="71" t="str">
        <f t="shared" si="5"/>
        <v/>
      </c>
      <c r="O366" s="72"/>
      <c r="P366" s="72"/>
      <c r="Q366" s="72"/>
      <c r="R366" s="72"/>
      <c r="S366" s="72"/>
      <c r="T366" s="72"/>
      <c r="U366" s="72"/>
      <c r="V366" s="72"/>
    </row>
    <row r="367" spans="1:25" ht="27.75" customHeight="1">
      <c r="A367" s="87" t="str">
        <f>IF(ISBLANK(C367)," ",362-COUNTBLANK($C$6:C367))</f>
        <v xml:space="preserve"> </v>
      </c>
      <c r="B367" s="88"/>
      <c r="C367" s="88"/>
      <c r="D367" s="89"/>
      <c r="E367" s="89"/>
      <c r="F367" s="73"/>
      <c r="G367" s="73"/>
      <c r="H367" s="73"/>
      <c r="I367" s="73"/>
      <c r="J367" s="73"/>
      <c r="K367" s="73"/>
      <c r="L367" s="73"/>
      <c r="M367" s="74"/>
      <c r="N367" s="71" t="str">
        <f t="shared" si="5"/>
        <v/>
      </c>
      <c r="O367" s="72"/>
      <c r="P367" s="72"/>
      <c r="Q367" s="72"/>
      <c r="R367" s="72"/>
      <c r="S367" s="72"/>
      <c r="T367" s="72"/>
      <c r="U367" s="72"/>
      <c r="V367" s="72"/>
    </row>
    <row r="368" spans="1:25" ht="27.75" customHeight="1">
      <c r="A368" s="87" t="str">
        <f>IF(ISBLANK(C368)," ",363-COUNTBLANK($C$6:C368))</f>
        <v xml:space="preserve"> </v>
      </c>
      <c r="B368" s="88"/>
      <c r="C368" s="88"/>
      <c r="D368" s="89"/>
      <c r="E368" s="89"/>
      <c r="F368" s="73"/>
      <c r="G368" s="73"/>
      <c r="H368" s="73"/>
      <c r="I368" s="73"/>
      <c r="J368" s="73"/>
      <c r="K368" s="73"/>
      <c r="L368" s="73"/>
      <c r="M368" s="74"/>
      <c r="N368" s="71" t="str">
        <f t="shared" si="5"/>
        <v/>
      </c>
      <c r="O368" s="72"/>
      <c r="P368" s="72"/>
      <c r="Q368" s="72"/>
      <c r="R368" s="72"/>
      <c r="S368" s="72"/>
      <c r="T368" s="72"/>
      <c r="U368" s="72"/>
      <c r="V368" s="72"/>
    </row>
    <row r="369" spans="1:25" ht="27.75" customHeight="1">
      <c r="A369" s="87" t="str">
        <f>IF(ISBLANK(C369)," ",364-COUNTBLANK($C$6:C369))</f>
        <v xml:space="preserve"> </v>
      </c>
      <c r="B369" s="88"/>
      <c r="C369" s="88"/>
      <c r="D369" s="89"/>
      <c r="E369" s="89"/>
      <c r="F369" s="73"/>
      <c r="G369" s="73"/>
      <c r="H369" s="73"/>
      <c r="I369" s="73"/>
      <c r="J369" s="73"/>
      <c r="K369" s="73"/>
      <c r="L369" s="73"/>
      <c r="M369" s="74"/>
      <c r="N369" s="71" t="str">
        <f t="shared" si="5"/>
        <v/>
      </c>
      <c r="O369" s="72"/>
      <c r="P369" s="72"/>
      <c r="Q369" s="72"/>
      <c r="R369" s="72"/>
      <c r="S369" s="72"/>
      <c r="T369" s="72"/>
      <c r="U369" s="72"/>
      <c r="V369" s="72"/>
    </row>
    <row r="370" spans="1:25" ht="27.75" customHeight="1">
      <c r="A370" s="87" t="str">
        <f>IF(ISBLANK(C370)," ",365-COUNTBLANK($C$6:C370))</f>
        <v xml:space="preserve"> </v>
      </c>
      <c r="B370" s="88"/>
      <c r="C370" s="88"/>
      <c r="D370" s="89"/>
      <c r="E370" s="89"/>
      <c r="F370" s="73"/>
      <c r="G370" s="73"/>
      <c r="H370" s="73"/>
      <c r="I370" s="73"/>
      <c r="J370" s="73"/>
      <c r="K370" s="73"/>
      <c r="L370" s="73"/>
      <c r="M370" s="74"/>
      <c r="N370" s="71" t="str">
        <f t="shared" si="5"/>
        <v/>
      </c>
      <c r="O370" s="72"/>
      <c r="P370" s="72"/>
      <c r="Q370" s="72"/>
      <c r="R370" s="72"/>
      <c r="S370" s="72"/>
      <c r="T370" s="72"/>
      <c r="U370" s="72"/>
      <c r="V370" s="72"/>
    </row>
    <row r="371" spans="1:25" ht="27.75" customHeight="1">
      <c r="A371" s="87" t="str">
        <f>IF(ISBLANK(C371)," ",366-COUNTBLANK($C$6:C371))</f>
        <v xml:space="preserve"> </v>
      </c>
      <c r="B371" s="88"/>
      <c r="C371" s="88"/>
      <c r="D371" s="89"/>
      <c r="E371" s="89"/>
      <c r="F371" s="73"/>
      <c r="G371" s="73"/>
      <c r="H371" s="73"/>
      <c r="I371" s="73"/>
      <c r="J371" s="73"/>
      <c r="K371" s="73"/>
      <c r="L371" s="73"/>
      <c r="M371" s="74"/>
      <c r="N371" s="71" t="str">
        <f t="shared" si="5"/>
        <v/>
      </c>
      <c r="O371" s="72"/>
      <c r="P371" s="72"/>
      <c r="Q371" s="72"/>
      <c r="R371" s="72"/>
      <c r="S371" s="72"/>
      <c r="T371" s="72"/>
      <c r="U371" s="72"/>
      <c r="V371" s="72"/>
    </row>
    <row r="372" spans="1:25" ht="27.75" customHeight="1">
      <c r="A372" s="87" t="str">
        <f>IF(ISBLANK(C372)," ",367-COUNTBLANK($C$6:C372))</f>
        <v xml:space="preserve"> </v>
      </c>
      <c r="B372" s="88"/>
      <c r="C372" s="88"/>
      <c r="D372" s="89"/>
      <c r="E372" s="89"/>
      <c r="F372" s="73"/>
      <c r="G372" s="73"/>
      <c r="H372" s="73"/>
      <c r="I372" s="73"/>
      <c r="J372" s="73"/>
      <c r="K372" s="73"/>
      <c r="L372" s="73"/>
      <c r="M372" s="74"/>
      <c r="N372" s="71" t="str">
        <f t="shared" si="5"/>
        <v/>
      </c>
      <c r="O372" s="72"/>
      <c r="P372" s="72"/>
      <c r="Q372" s="72"/>
      <c r="R372" s="72"/>
      <c r="S372" s="72"/>
      <c r="T372" s="72"/>
      <c r="U372" s="72"/>
      <c r="V372" s="72"/>
    </row>
    <row r="373" spans="1:25" ht="27.75" customHeight="1">
      <c r="A373" s="87" t="str">
        <f>IF(ISBLANK(C373)," ",368-COUNTBLANK($C$6:C373))</f>
        <v xml:space="preserve"> </v>
      </c>
      <c r="B373" s="88"/>
      <c r="C373" s="88"/>
      <c r="D373" s="89"/>
      <c r="E373" s="89"/>
      <c r="F373" s="73"/>
      <c r="G373" s="73"/>
      <c r="H373" s="73"/>
      <c r="I373" s="73"/>
      <c r="J373" s="73"/>
      <c r="K373" s="73"/>
      <c r="L373" s="73"/>
      <c r="M373" s="74"/>
      <c r="N373" s="71" t="str">
        <f t="shared" si="5"/>
        <v/>
      </c>
      <c r="O373" s="72"/>
      <c r="P373" s="72"/>
      <c r="Q373" s="72"/>
      <c r="R373" s="72"/>
      <c r="S373" s="72"/>
      <c r="T373" s="72"/>
      <c r="U373" s="72"/>
      <c r="V373" s="72"/>
    </row>
    <row r="374" spans="1:25" ht="27.75" customHeight="1">
      <c r="A374" s="87" t="str">
        <f>IF(ISBLANK(C374)," ",369-COUNTBLANK($C$6:C374))</f>
        <v xml:space="preserve"> </v>
      </c>
      <c r="B374" s="88"/>
      <c r="C374" s="88"/>
      <c r="D374" s="89"/>
      <c r="E374" s="89"/>
      <c r="F374" s="73"/>
      <c r="G374" s="73"/>
      <c r="H374" s="73"/>
      <c r="I374" s="73"/>
      <c r="J374" s="73"/>
      <c r="K374" s="73"/>
      <c r="L374" s="73"/>
      <c r="M374" s="74"/>
      <c r="N374" s="71" t="str">
        <f t="shared" si="5"/>
        <v/>
      </c>
      <c r="O374" s="72"/>
      <c r="P374" s="72"/>
      <c r="Q374" s="72"/>
      <c r="R374" s="72"/>
      <c r="S374" s="72"/>
      <c r="T374" s="72"/>
      <c r="U374" s="72"/>
      <c r="V374" s="72"/>
    </row>
    <row r="375" spans="1:25" ht="27.75" customHeight="1">
      <c r="A375" s="87" t="str">
        <f>IF(ISBLANK(C375)," ",370-COUNTBLANK($C$6:C375))</f>
        <v xml:space="preserve"> </v>
      </c>
      <c r="B375" s="88"/>
      <c r="C375" s="88"/>
      <c r="D375" s="89"/>
      <c r="E375" s="89"/>
      <c r="F375" s="73"/>
      <c r="G375" s="73"/>
      <c r="H375" s="73"/>
      <c r="I375" s="73"/>
      <c r="J375" s="73"/>
      <c r="K375" s="73"/>
      <c r="L375" s="73"/>
      <c r="M375" s="74"/>
      <c r="N375" s="71" t="str">
        <f t="shared" si="5"/>
        <v/>
      </c>
      <c r="O375" s="72"/>
      <c r="P375" s="72"/>
      <c r="Q375" s="72"/>
      <c r="R375" s="72"/>
      <c r="S375" s="72"/>
      <c r="T375" s="72"/>
      <c r="U375" s="72"/>
      <c r="V375" s="72"/>
    </row>
    <row r="376" spans="1:25" ht="27.75" customHeight="1">
      <c r="A376" s="87" t="str">
        <f>IF(ISBLANK(C376)," ",371-COUNTBLANK($C$6:C376))</f>
        <v xml:space="preserve"> </v>
      </c>
      <c r="B376" s="88"/>
      <c r="C376" s="88"/>
      <c r="D376" s="89"/>
      <c r="E376" s="89"/>
      <c r="F376" s="73"/>
      <c r="G376" s="73"/>
      <c r="H376" s="73"/>
      <c r="I376" s="73"/>
      <c r="J376" s="73"/>
      <c r="K376" s="73"/>
      <c r="L376" s="73"/>
      <c r="M376" s="74"/>
      <c r="N376" s="71" t="str">
        <f t="shared" si="5"/>
        <v/>
      </c>
      <c r="O376" s="72"/>
      <c r="P376" s="72"/>
      <c r="Q376" s="72"/>
      <c r="R376" s="72"/>
      <c r="S376" s="72"/>
      <c r="T376" s="72"/>
      <c r="U376" s="72"/>
      <c r="V376" s="72"/>
    </row>
    <row r="377" spans="1:25" ht="27.75" customHeight="1">
      <c r="A377" s="87" t="str">
        <f>IF(ISBLANK(C377)," ",372-COUNTBLANK($C$6:C377))</f>
        <v xml:space="preserve"> </v>
      </c>
      <c r="B377" s="88"/>
      <c r="C377" s="88"/>
      <c r="D377" s="89"/>
      <c r="E377" s="89"/>
      <c r="F377" s="73"/>
      <c r="G377" s="73"/>
      <c r="H377" s="73"/>
      <c r="I377" s="73"/>
      <c r="J377" s="73"/>
      <c r="K377" s="73"/>
      <c r="L377" s="73"/>
      <c r="M377" s="74"/>
      <c r="N377" s="71" t="str">
        <f t="shared" si="5"/>
        <v/>
      </c>
      <c r="O377" s="72"/>
      <c r="P377" s="72"/>
      <c r="Q377" s="72"/>
      <c r="R377" s="72"/>
      <c r="S377" s="72"/>
      <c r="T377" s="72"/>
      <c r="U377" s="72"/>
      <c r="V377" s="72"/>
    </row>
    <row r="378" spans="1:25" ht="27.75" customHeight="1">
      <c r="A378" s="87" t="str">
        <f>IF(ISBLANK(C378)," ",373-COUNTBLANK($C$6:C378))</f>
        <v xml:space="preserve"> </v>
      </c>
      <c r="B378" s="88"/>
      <c r="C378" s="88"/>
      <c r="D378" s="89"/>
      <c r="E378" s="89"/>
      <c r="F378" s="73"/>
      <c r="G378" s="73"/>
      <c r="H378" s="73"/>
      <c r="I378" s="73"/>
      <c r="J378" s="73"/>
      <c r="K378" s="73"/>
      <c r="L378" s="73"/>
      <c r="M378" s="74"/>
      <c r="N378" s="71" t="str">
        <f t="shared" si="5"/>
        <v/>
      </c>
      <c r="O378" s="75"/>
      <c r="P378" s="72"/>
      <c r="Q378" s="72"/>
      <c r="R378" s="72"/>
      <c r="S378" s="72"/>
      <c r="T378" s="72"/>
      <c r="U378" s="72"/>
      <c r="V378" s="76"/>
    </row>
    <row r="379" spans="1:25" ht="27.75" customHeight="1">
      <c r="A379" s="87" t="str">
        <f>IF(ISBLANK(C379)," ",374-COUNTBLANK($C$6:C379))</f>
        <v xml:space="preserve"> </v>
      </c>
      <c r="B379" s="88"/>
      <c r="C379" s="88"/>
      <c r="D379" s="89"/>
      <c r="E379" s="89"/>
      <c r="F379" s="73"/>
      <c r="G379" s="73"/>
      <c r="H379" s="73"/>
      <c r="I379" s="73"/>
      <c r="J379" s="73"/>
      <c r="K379" s="73"/>
      <c r="L379" s="73"/>
      <c r="M379" s="74"/>
      <c r="N379" s="71" t="str">
        <f t="shared" si="5"/>
        <v/>
      </c>
      <c r="O379" s="75"/>
      <c r="P379" s="72"/>
      <c r="Q379" s="72"/>
      <c r="R379" s="72"/>
      <c r="S379" s="72"/>
      <c r="T379" s="72"/>
      <c r="U379" s="72"/>
      <c r="V379" s="76"/>
    </row>
    <row r="380" spans="1:25" ht="27.75" customHeight="1">
      <c r="A380" s="87" t="str">
        <f>IF(ISBLANK(C380)," ",375-COUNTBLANK($C$6:C380))</f>
        <v xml:space="preserve"> </v>
      </c>
      <c r="B380" s="88"/>
      <c r="C380" s="88"/>
      <c r="D380" s="89"/>
      <c r="E380" s="89"/>
      <c r="F380" s="73"/>
      <c r="G380" s="73"/>
      <c r="H380" s="73"/>
      <c r="I380" s="73"/>
      <c r="J380" s="73"/>
      <c r="K380" s="73"/>
      <c r="L380" s="73"/>
      <c r="M380" s="74"/>
      <c r="N380" s="71" t="str">
        <f t="shared" si="5"/>
        <v/>
      </c>
      <c r="O380" s="75"/>
      <c r="P380" s="72"/>
      <c r="Q380" s="72"/>
      <c r="R380" s="72"/>
      <c r="S380" s="72"/>
      <c r="T380" s="72"/>
      <c r="U380" s="72"/>
      <c r="V380" s="76"/>
    </row>
    <row r="381" spans="1:25" ht="27.75" customHeight="1">
      <c r="A381" s="87" t="str">
        <f>IF(ISBLANK(C381)," ",376-COUNTBLANK($C$6:C381))</f>
        <v xml:space="preserve"> </v>
      </c>
      <c r="B381" s="88"/>
      <c r="C381" s="88"/>
      <c r="D381" s="89"/>
      <c r="E381" s="89"/>
      <c r="F381" s="73"/>
      <c r="G381" s="73"/>
      <c r="H381" s="73"/>
      <c r="I381" s="73"/>
      <c r="J381" s="73"/>
      <c r="K381" s="73"/>
      <c r="L381" s="73"/>
      <c r="M381" s="74"/>
      <c r="N381" s="71" t="str">
        <f t="shared" si="5"/>
        <v/>
      </c>
      <c r="O381" s="75"/>
      <c r="P381" s="72"/>
      <c r="Q381" s="72"/>
      <c r="R381" s="72"/>
      <c r="S381" s="72"/>
      <c r="T381" s="72"/>
      <c r="U381" s="72"/>
      <c r="V381" s="76"/>
    </row>
    <row r="382" spans="1:25" ht="27.75" customHeight="1">
      <c r="A382" s="87" t="str">
        <f>IF(ISBLANK(C382)," ",377-COUNTBLANK($C$6:C382))</f>
        <v xml:space="preserve"> </v>
      </c>
      <c r="B382" s="88"/>
      <c r="C382" s="88"/>
      <c r="D382" s="89"/>
      <c r="E382" s="89"/>
      <c r="F382" s="73"/>
      <c r="G382" s="73"/>
      <c r="H382" s="73"/>
      <c r="I382" s="73"/>
      <c r="J382" s="73"/>
      <c r="K382" s="73"/>
      <c r="L382" s="73"/>
      <c r="M382" s="74"/>
      <c r="N382" s="71" t="str">
        <f t="shared" si="5"/>
        <v/>
      </c>
      <c r="O382" s="72"/>
      <c r="P382" s="72"/>
      <c r="Q382" s="72"/>
      <c r="R382" s="72"/>
      <c r="S382" s="72"/>
      <c r="T382" s="72"/>
      <c r="U382" s="72"/>
      <c r="V382" s="79"/>
      <c r="W382" s="72"/>
      <c r="X382" s="72"/>
      <c r="Y382" s="72"/>
    </row>
    <row r="383" spans="1:25" ht="27.75" customHeight="1">
      <c r="A383" s="80" t="s">
        <v>52</v>
      </c>
      <c r="B383" s="81"/>
      <c r="C383" s="96"/>
      <c r="D383" s="82"/>
      <c r="E383" s="82">
        <f>SUM(E363:E382)</f>
        <v>0</v>
      </c>
      <c r="F383" s="83"/>
      <c r="G383" s="83"/>
      <c r="H383" s="83"/>
      <c r="I383" s="83"/>
      <c r="J383" s="83"/>
      <c r="K383" s="83"/>
      <c r="L383" s="83"/>
      <c r="M383" s="84"/>
      <c r="N383" s="71" t="str">
        <f t="shared" si="5"/>
        <v/>
      </c>
      <c r="O383" s="75"/>
      <c r="P383" s="72"/>
      <c r="Q383" s="72"/>
      <c r="R383" s="72"/>
      <c r="S383" s="72"/>
      <c r="T383" s="72"/>
      <c r="U383" s="72"/>
      <c r="V383" s="79"/>
      <c r="W383" s="72"/>
      <c r="X383" s="72"/>
      <c r="Y383" s="72"/>
    </row>
    <row r="384" spans="1:25" ht="27.75" customHeight="1">
      <c r="A384" s="93" t="str">
        <f>IF(ISBLANK(C384)," ",379-COUNTBLANK($C$6:C384))</f>
        <v xml:space="preserve"> </v>
      </c>
      <c r="B384" s="94"/>
      <c r="C384" s="94"/>
      <c r="D384" s="95"/>
      <c r="E384" s="95"/>
      <c r="F384" s="85"/>
      <c r="G384" s="85"/>
      <c r="H384" s="85"/>
      <c r="I384" s="85"/>
      <c r="J384" s="85"/>
      <c r="K384" s="85"/>
      <c r="L384" s="85"/>
      <c r="M384" s="86"/>
      <c r="N384" s="71" t="str">
        <f t="shared" si="5"/>
        <v/>
      </c>
      <c r="O384" s="72"/>
      <c r="P384" s="72"/>
      <c r="Q384" s="72"/>
      <c r="R384" s="72"/>
      <c r="S384" s="72"/>
      <c r="T384" s="72"/>
      <c r="U384" s="72"/>
      <c r="V384" s="72"/>
    </row>
    <row r="385" spans="1:22" ht="27.75" customHeight="1">
      <c r="A385" s="87" t="str">
        <f>IF(ISBLANK(C385)," ",380-COUNTBLANK($C$6:C385))</f>
        <v xml:space="preserve"> </v>
      </c>
      <c r="B385" s="88"/>
      <c r="C385" s="88"/>
      <c r="D385" s="89"/>
      <c r="E385" s="89"/>
      <c r="F385" s="73"/>
      <c r="G385" s="73"/>
      <c r="H385" s="73"/>
      <c r="I385" s="73"/>
      <c r="J385" s="73"/>
      <c r="K385" s="73"/>
      <c r="L385" s="73"/>
      <c r="M385" s="74"/>
      <c r="N385" s="71" t="str">
        <f t="shared" si="5"/>
        <v/>
      </c>
      <c r="O385" s="72"/>
      <c r="P385" s="72"/>
      <c r="Q385" s="72"/>
      <c r="R385" s="72"/>
      <c r="S385" s="72"/>
      <c r="T385" s="72"/>
      <c r="U385" s="72"/>
      <c r="V385" s="72"/>
    </row>
    <row r="386" spans="1:22" ht="27.75" customHeight="1">
      <c r="A386" s="87" t="str">
        <f>IF(ISBLANK(C386)," ",381-COUNTBLANK($C$6:C386))</f>
        <v xml:space="preserve"> </v>
      </c>
      <c r="B386" s="88"/>
      <c r="C386" s="88"/>
      <c r="D386" s="89"/>
      <c r="E386" s="89"/>
      <c r="F386" s="73"/>
      <c r="G386" s="73"/>
      <c r="H386" s="73"/>
      <c r="I386" s="73"/>
      <c r="J386" s="73"/>
      <c r="K386" s="73"/>
      <c r="L386" s="73"/>
      <c r="M386" s="74"/>
      <c r="N386" s="71" t="str">
        <f t="shared" si="5"/>
        <v/>
      </c>
      <c r="O386" s="72"/>
      <c r="P386" s="72"/>
      <c r="Q386" s="72"/>
      <c r="R386" s="72"/>
      <c r="S386" s="72"/>
      <c r="T386" s="72"/>
      <c r="U386" s="72"/>
      <c r="V386" s="72"/>
    </row>
    <row r="387" spans="1:22" ht="27.75" customHeight="1">
      <c r="A387" s="87" t="str">
        <f>IF(ISBLANK(C387)," ",382-COUNTBLANK($C$6:C387))</f>
        <v xml:space="preserve"> </v>
      </c>
      <c r="B387" s="88"/>
      <c r="C387" s="88"/>
      <c r="D387" s="89"/>
      <c r="E387" s="89"/>
      <c r="F387" s="73"/>
      <c r="G387" s="73"/>
      <c r="H387" s="73"/>
      <c r="I387" s="73"/>
      <c r="J387" s="73"/>
      <c r="K387" s="73"/>
      <c r="L387" s="73"/>
      <c r="M387" s="74"/>
      <c r="N387" s="71" t="str">
        <f t="shared" si="5"/>
        <v/>
      </c>
      <c r="O387" s="72"/>
      <c r="P387" s="72"/>
      <c r="Q387" s="72"/>
      <c r="R387" s="72"/>
      <c r="S387" s="72"/>
      <c r="T387" s="72"/>
      <c r="U387" s="72"/>
      <c r="V387" s="72"/>
    </row>
    <row r="388" spans="1:22" ht="27.75" customHeight="1">
      <c r="A388" s="87" t="str">
        <f>IF(ISBLANK(C388)," ",383-COUNTBLANK($C$6:C388))</f>
        <v xml:space="preserve"> </v>
      </c>
      <c r="B388" s="88"/>
      <c r="C388" s="88"/>
      <c r="D388" s="89"/>
      <c r="E388" s="89"/>
      <c r="F388" s="73"/>
      <c r="G388" s="73"/>
      <c r="H388" s="73"/>
      <c r="I388" s="73"/>
      <c r="J388" s="73"/>
      <c r="K388" s="73"/>
      <c r="L388" s="73"/>
      <c r="M388" s="74"/>
      <c r="N388" s="71" t="str">
        <f t="shared" si="5"/>
        <v/>
      </c>
      <c r="O388" s="72"/>
      <c r="P388" s="72"/>
      <c r="Q388" s="72"/>
      <c r="R388" s="72"/>
      <c r="S388" s="72"/>
      <c r="T388" s="72"/>
      <c r="U388" s="72"/>
      <c r="V388" s="72"/>
    </row>
    <row r="389" spans="1:22" ht="27.75" customHeight="1">
      <c r="A389" s="87" t="str">
        <f>IF(ISBLANK(C389)," ",384-COUNTBLANK($C$6:C389))</f>
        <v xml:space="preserve"> </v>
      </c>
      <c r="B389" s="88"/>
      <c r="C389" s="88"/>
      <c r="D389" s="89"/>
      <c r="E389" s="89"/>
      <c r="F389" s="73"/>
      <c r="G389" s="73"/>
      <c r="H389" s="73"/>
      <c r="I389" s="73"/>
      <c r="J389" s="73"/>
      <c r="K389" s="73"/>
      <c r="L389" s="73"/>
      <c r="M389" s="74"/>
      <c r="N389" s="71" t="str">
        <f t="shared" si="5"/>
        <v/>
      </c>
      <c r="O389" s="72"/>
      <c r="P389" s="72"/>
      <c r="Q389" s="72"/>
      <c r="R389" s="72"/>
      <c r="S389" s="72"/>
      <c r="T389" s="72"/>
      <c r="U389" s="72"/>
      <c r="V389" s="72"/>
    </row>
    <row r="390" spans="1:22" ht="27.75" customHeight="1">
      <c r="A390" s="87" t="str">
        <f>IF(ISBLANK(C390)," ",385-COUNTBLANK($C$6:C390))</f>
        <v xml:space="preserve"> </v>
      </c>
      <c r="B390" s="88"/>
      <c r="C390" s="88"/>
      <c r="D390" s="89"/>
      <c r="E390" s="89"/>
      <c r="F390" s="73"/>
      <c r="G390" s="73"/>
      <c r="H390" s="73"/>
      <c r="I390" s="73"/>
      <c r="J390" s="73"/>
      <c r="K390" s="73"/>
      <c r="L390" s="73"/>
      <c r="M390" s="74"/>
      <c r="N390" s="71" t="str">
        <f t="shared" ref="N390:N453" si="6">CONCATENATE(C390,H390)</f>
        <v/>
      </c>
      <c r="O390" s="72"/>
      <c r="P390" s="72"/>
      <c r="Q390" s="72"/>
      <c r="R390" s="72"/>
      <c r="S390" s="72"/>
      <c r="T390" s="72"/>
      <c r="U390" s="72"/>
      <c r="V390" s="72"/>
    </row>
    <row r="391" spans="1:22" ht="27.75" customHeight="1">
      <c r="A391" s="87" t="str">
        <f>IF(ISBLANK(C391)," ",386-COUNTBLANK($C$6:C391))</f>
        <v xml:space="preserve"> </v>
      </c>
      <c r="B391" s="88"/>
      <c r="C391" s="88"/>
      <c r="D391" s="89"/>
      <c r="E391" s="89"/>
      <c r="F391" s="73"/>
      <c r="G391" s="73"/>
      <c r="H391" s="73"/>
      <c r="I391" s="73"/>
      <c r="J391" s="73"/>
      <c r="K391" s="73"/>
      <c r="L391" s="73"/>
      <c r="M391" s="74"/>
      <c r="N391" s="71" t="str">
        <f t="shared" si="6"/>
        <v/>
      </c>
      <c r="O391" s="72"/>
      <c r="P391" s="72"/>
      <c r="Q391" s="72"/>
      <c r="R391" s="72"/>
      <c r="S391" s="72"/>
      <c r="T391" s="72"/>
      <c r="U391" s="72"/>
      <c r="V391" s="72"/>
    </row>
    <row r="392" spans="1:22" ht="27.75" customHeight="1">
      <c r="A392" s="87" t="str">
        <f>IF(ISBLANK(C392)," ",387-COUNTBLANK($C$6:C392))</f>
        <v xml:space="preserve"> </v>
      </c>
      <c r="B392" s="88"/>
      <c r="C392" s="88"/>
      <c r="D392" s="89"/>
      <c r="E392" s="89"/>
      <c r="F392" s="73"/>
      <c r="G392" s="73"/>
      <c r="H392" s="73"/>
      <c r="I392" s="73"/>
      <c r="J392" s="73"/>
      <c r="K392" s="73"/>
      <c r="L392" s="73"/>
      <c r="M392" s="74"/>
      <c r="N392" s="71" t="str">
        <f t="shared" si="6"/>
        <v/>
      </c>
      <c r="O392" s="72"/>
      <c r="P392" s="72"/>
      <c r="Q392" s="72"/>
      <c r="R392" s="72"/>
      <c r="S392" s="72"/>
      <c r="T392" s="72"/>
      <c r="U392" s="72"/>
      <c r="V392" s="72"/>
    </row>
    <row r="393" spans="1:22" ht="27.75" customHeight="1">
      <c r="A393" s="87" t="str">
        <f>IF(ISBLANK(C393)," ",388-COUNTBLANK($C$6:C393))</f>
        <v xml:space="preserve"> </v>
      </c>
      <c r="B393" s="88"/>
      <c r="C393" s="88"/>
      <c r="D393" s="89"/>
      <c r="E393" s="89"/>
      <c r="F393" s="73"/>
      <c r="G393" s="73"/>
      <c r="H393" s="73"/>
      <c r="I393" s="73"/>
      <c r="J393" s="73"/>
      <c r="K393" s="73"/>
      <c r="L393" s="73"/>
      <c r="M393" s="74"/>
      <c r="N393" s="71" t="str">
        <f t="shared" si="6"/>
        <v/>
      </c>
      <c r="O393" s="72"/>
      <c r="P393" s="72"/>
      <c r="Q393" s="72"/>
      <c r="R393" s="72"/>
      <c r="S393" s="72"/>
      <c r="T393" s="72"/>
      <c r="U393" s="72"/>
      <c r="V393" s="72"/>
    </row>
    <row r="394" spans="1:22" ht="27.75" customHeight="1">
      <c r="A394" s="87" t="str">
        <f>IF(ISBLANK(C394)," ",389-COUNTBLANK($C$6:C394))</f>
        <v xml:space="preserve"> </v>
      </c>
      <c r="B394" s="88"/>
      <c r="C394" s="88"/>
      <c r="D394" s="89"/>
      <c r="E394" s="89"/>
      <c r="F394" s="73"/>
      <c r="G394" s="73"/>
      <c r="H394" s="73"/>
      <c r="I394" s="73"/>
      <c r="J394" s="73"/>
      <c r="K394" s="73"/>
      <c r="L394" s="73"/>
      <c r="M394" s="74"/>
      <c r="N394" s="71" t="str">
        <f t="shared" si="6"/>
        <v/>
      </c>
      <c r="O394" s="72"/>
      <c r="P394" s="72"/>
      <c r="Q394" s="72"/>
      <c r="R394" s="72"/>
      <c r="S394" s="72"/>
      <c r="T394" s="72"/>
      <c r="U394" s="72"/>
      <c r="V394" s="72"/>
    </row>
    <row r="395" spans="1:22" ht="27.75" customHeight="1">
      <c r="A395" s="87" t="str">
        <f>IF(ISBLANK(C395)," ",390-COUNTBLANK($C$6:C395))</f>
        <v xml:space="preserve"> </v>
      </c>
      <c r="B395" s="88"/>
      <c r="C395" s="88"/>
      <c r="D395" s="89"/>
      <c r="E395" s="89"/>
      <c r="F395" s="73"/>
      <c r="G395" s="73"/>
      <c r="H395" s="73"/>
      <c r="I395" s="73"/>
      <c r="J395" s="73"/>
      <c r="K395" s="73"/>
      <c r="L395" s="73"/>
      <c r="M395" s="74"/>
      <c r="N395" s="71" t="str">
        <f t="shared" si="6"/>
        <v/>
      </c>
      <c r="O395" s="72"/>
      <c r="P395" s="72"/>
      <c r="Q395" s="72"/>
      <c r="R395" s="72"/>
      <c r="S395" s="72"/>
      <c r="T395" s="72"/>
      <c r="U395" s="72"/>
      <c r="V395" s="72"/>
    </row>
    <row r="396" spans="1:22" ht="27.75" customHeight="1">
      <c r="A396" s="87" t="str">
        <f>IF(ISBLANK(C396)," ",391-COUNTBLANK($C$6:C396))</f>
        <v xml:space="preserve"> </v>
      </c>
      <c r="B396" s="88"/>
      <c r="C396" s="88"/>
      <c r="D396" s="89"/>
      <c r="E396" s="89"/>
      <c r="F396" s="73"/>
      <c r="G396" s="73"/>
      <c r="H396" s="73"/>
      <c r="I396" s="73"/>
      <c r="J396" s="73"/>
      <c r="K396" s="73"/>
      <c r="L396" s="73"/>
      <c r="M396" s="74"/>
      <c r="N396" s="71" t="str">
        <f t="shared" si="6"/>
        <v/>
      </c>
      <c r="O396" s="72"/>
      <c r="P396" s="72"/>
      <c r="Q396" s="72"/>
      <c r="R396" s="72"/>
      <c r="S396" s="72"/>
      <c r="T396" s="72"/>
      <c r="U396" s="72"/>
      <c r="V396" s="72"/>
    </row>
    <row r="397" spans="1:22" ht="27.75" customHeight="1">
      <c r="A397" s="87" t="str">
        <f>IF(ISBLANK(C397)," ",392-COUNTBLANK($C$6:C397))</f>
        <v xml:space="preserve"> </v>
      </c>
      <c r="B397" s="88"/>
      <c r="C397" s="88"/>
      <c r="D397" s="89"/>
      <c r="E397" s="89"/>
      <c r="F397" s="73"/>
      <c r="G397" s="73"/>
      <c r="H397" s="73"/>
      <c r="I397" s="73"/>
      <c r="J397" s="73"/>
      <c r="K397" s="73"/>
      <c r="L397" s="73"/>
      <c r="M397" s="74"/>
      <c r="N397" s="71" t="str">
        <f t="shared" si="6"/>
        <v/>
      </c>
      <c r="O397" s="72"/>
      <c r="P397" s="72"/>
      <c r="Q397" s="72"/>
      <c r="R397" s="72"/>
      <c r="S397" s="72"/>
      <c r="T397" s="72"/>
      <c r="U397" s="72"/>
      <c r="V397" s="72"/>
    </row>
    <row r="398" spans="1:22" ht="27.75" customHeight="1">
      <c r="A398" s="87" t="str">
        <f>IF(ISBLANK(C398)," ",393-COUNTBLANK($C$6:C398))</f>
        <v xml:space="preserve"> </v>
      </c>
      <c r="B398" s="88"/>
      <c r="C398" s="88"/>
      <c r="D398" s="89"/>
      <c r="E398" s="89"/>
      <c r="F398" s="73"/>
      <c r="G398" s="73"/>
      <c r="H398" s="73"/>
      <c r="I398" s="73"/>
      <c r="J398" s="73"/>
      <c r="K398" s="73"/>
      <c r="L398" s="73"/>
      <c r="M398" s="74"/>
      <c r="N398" s="71" t="str">
        <f t="shared" si="6"/>
        <v/>
      </c>
      <c r="O398" s="72"/>
      <c r="P398" s="72"/>
      <c r="Q398" s="72"/>
      <c r="R398" s="72"/>
      <c r="S398" s="72"/>
      <c r="T398" s="72"/>
      <c r="U398" s="72"/>
      <c r="V398" s="72"/>
    </row>
    <row r="399" spans="1:22" ht="27.75" customHeight="1">
      <c r="A399" s="87" t="str">
        <f>IF(ISBLANK(C399)," ",394-COUNTBLANK($C$6:C399))</f>
        <v xml:space="preserve"> </v>
      </c>
      <c r="B399" s="88"/>
      <c r="C399" s="88"/>
      <c r="D399" s="89"/>
      <c r="E399" s="89"/>
      <c r="F399" s="73"/>
      <c r="G399" s="73"/>
      <c r="H399" s="73"/>
      <c r="I399" s="73"/>
      <c r="J399" s="73"/>
      <c r="K399" s="73"/>
      <c r="L399" s="73"/>
      <c r="M399" s="74"/>
      <c r="N399" s="71" t="str">
        <f t="shared" si="6"/>
        <v/>
      </c>
      <c r="O399" s="75"/>
      <c r="P399" s="72"/>
      <c r="Q399" s="72"/>
      <c r="R399" s="72"/>
      <c r="S399" s="72"/>
      <c r="T399" s="72"/>
      <c r="U399" s="72"/>
      <c r="V399" s="76"/>
    </row>
    <row r="400" spans="1:22" ht="27.75" customHeight="1">
      <c r="A400" s="87" t="str">
        <f>IF(ISBLANK(C400)," ",395-COUNTBLANK($C$6:C400))</f>
        <v xml:space="preserve"> </v>
      </c>
      <c r="B400" s="88"/>
      <c r="C400" s="88"/>
      <c r="D400" s="89"/>
      <c r="E400" s="89"/>
      <c r="F400" s="73"/>
      <c r="G400" s="73"/>
      <c r="H400" s="73"/>
      <c r="I400" s="73"/>
      <c r="J400" s="73"/>
      <c r="K400" s="73"/>
      <c r="L400" s="73"/>
      <c r="M400" s="74"/>
      <c r="N400" s="71" t="str">
        <f t="shared" si="6"/>
        <v/>
      </c>
      <c r="O400" s="75"/>
      <c r="P400" s="72"/>
      <c r="Q400" s="72"/>
      <c r="R400" s="72"/>
      <c r="S400" s="72"/>
      <c r="T400" s="72"/>
      <c r="U400" s="72"/>
      <c r="V400" s="76"/>
    </row>
    <row r="401" spans="1:25" ht="27.75" customHeight="1">
      <c r="A401" s="87" t="str">
        <f>IF(ISBLANK(C401)," ",396-COUNTBLANK($C$6:C401))</f>
        <v xml:space="preserve"> </v>
      </c>
      <c r="B401" s="88"/>
      <c r="C401" s="88"/>
      <c r="D401" s="89"/>
      <c r="E401" s="89"/>
      <c r="F401" s="73"/>
      <c r="G401" s="73"/>
      <c r="H401" s="73"/>
      <c r="I401" s="73"/>
      <c r="J401" s="73"/>
      <c r="K401" s="73"/>
      <c r="L401" s="73"/>
      <c r="M401" s="74"/>
      <c r="N401" s="71" t="str">
        <f t="shared" si="6"/>
        <v/>
      </c>
      <c r="O401" s="75"/>
      <c r="P401" s="72"/>
      <c r="Q401" s="72"/>
      <c r="R401" s="72"/>
      <c r="S401" s="72"/>
      <c r="T401" s="72"/>
      <c r="U401" s="72"/>
      <c r="V401" s="76"/>
    </row>
    <row r="402" spans="1:25" ht="27.75" customHeight="1">
      <c r="A402" s="87" t="str">
        <f>IF(ISBLANK(C402)," ",397-COUNTBLANK($C$6:C402))</f>
        <v xml:space="preserve"> </v>
      </c>
      <c r="B402" s="88"/>
      <c r="C402" s="88"/>
      <c r="D402" s="89"/>
      <c r="E402" s="89"/>
      <c r="F402" s="73"/>
      <c r="G402" s="73"/>
      <c r="H402" s="73"/>
      <c r="I402" s="73"/>
      <c r="J402" s="73"/>
      <c r="K402" s="73"/>
      <c r="L402" s="73"/>
      <c r="M402" s="74"/>
      <c r="N402" s="71" t="str">
        <f t="shared" si="6"/>
        <v/>
      </c>
      <c r="O402" s="75"/>
      <c r="P402" s="72"/>
      <c r="Q402" s="72"/>
      <c r="R402" s="72"/>
      <c r="S402" s="72"/>
      <c r="T402" s="72"/>
      <c r="U402" s="72"/>
      <c r="V402" s="76"/>
    </row>
    <row r="403" spans="1:25" ht="27.75" customHeight="1">
      <c r="A403" s="87" t="str">
        <f>IF(ISBLANK(C403)," ",398-COUNTBLANK($C$6:C403))</f>
        <v xml:space="preserve"> </v>
      </c>
      <c r="B403" s="88"/>
      <c r="C403" s="88"/>
      <c r="D403" s="89"/>
      <c r="E403" s="89"/>
      <c r="F403" s="73"/>
      <c r="G403" s="73"/>
      <c r="H403" s="73"/>
      <c r="I403" s="73"/>
      <c r="J403" s="73"/>
      <c r="K403" s="73"/>
      <c r="L403" s="73"/>
      <c r="M403" s="74"/>
      <c r="N403" s="71" t="str">
        <f t="shared" si="6"/>
        <v/>
      </c>
      <c r="O403" s="72"/>
      <c r="P403" s="72"/>
      <c r="Q403" s="72"/>
      <c r="R403" s="72"/>
      <c r="S403" s="72"/>
      <c r="T403" s="72"/>
      <c r="U403" s="72"/>
      <c r="V403" s="79"/>
      <c r="W403" s="72"/>
      <c r="X403" s="72"/>
      <c r="Y403" s="72"/>
    </row>
    <row r="404" spans="1:25" ht="27.75" customHeight="1">
      <c r="A404" s="80" t="s">
        <v>52</v>
      </c>
      <c r="B404" s="81"/>
      <c r="C404" s="96"/>
      <c r="D404" s="82"/>
      <c r="E404" s="82">
        <f>SUM(E384:E403)</f>
        <v>0</v>
      </c>
      <c r="F404" s="83"/>
      <c r="G404" s="83"/>
      <c r="H404" s="83"/>
      <c r="I404" s="83"/>
      <c r="J404" s="83"/>
      <c r="K404" s="83"/>
      <c r="L404" s="83"/>
      <c r="M404" s="84"/>
      <c r="N404" s="71" t="str">
        <f t="shared" si="6"/>
        <v/>
      </c>
      <c r="O404" s="75"/>
      <c r="P404" s="72"/>
      <c r="Q404" s="72"/>
      <c r="R404" s="72"/>
      <c r="S404" s="72"/>
      <c r="T404" s="72"/>
      <c r="U404" s="72"/>
      <c r="V404" s="79"/>
      <c r="W404" s="72"/>
      <c r="X404" s="72"/>
      <c r="Y404" s="72"/>
    </row>
    <row r="405" spans="1:25" ht="27.75" customHeight="1">
      <c r="A405" s="93" t="str">
        <f>IF(ISBLANK(C405)," ",400-COUNTBLANK($C$6:C405))</f>
        <v xml:space="preserve"> </v>
      </c>
      <c r="B405" s="94"/>
      <c r="C405" s="94"/>
      <c r="D405" s="95"/>
      <c r="E405" s="95"/>
      <c r="F405" s="85"/>
      <c r="G405" s="85"/>
      <c r="H405" s="85"/>
      <c r="I405" s="85"/>
      <c r="J405" s="85"/>
      <c r="K405" s="85"/>
      <c r="L405" s="85"/>
      <c r="M405" s="86"/>
      <c r="N405" s="71" t="str">
        <f t="shared" si="6"/>
        <v/>
      </c>
      <c r="O405" s="72"/>
      <c r="P405" s="72"/>
      <c r="Q405" s="72"/>
      <c r="R405" s="72"/>
      <c r="S405" s="72"/>
      <c r="T405" s="72"/>
      <c r="U405" s="72"/>
      <c r="V405" s="72"/>
    </row>
    <row r="406" spans="1:25" ht="27.75" customHeight="1">
      <c r="A406" s="87" t="str">
        <f>IF(ISBLANK(C406)," ",401-COUNTBLANK($C$6:C406))</f>
        <v xml:space="preserve"> </v>
      </c>
      <c r="B406" s="88"/>
      <c r="C406" s="88"/>
      <c r="D406" s="89"/>
      <c r="E406" s="89"/>
      <c r="F406" s="73"/>
      <c r="G406" s="73"/>
      <c r="H406" s="73"/>
      <c r="I406" s="73"/>
      <c r="J406" s="73"/>
      <c r="K406" s="73"/>
      <c r="L406" s="73"/>
      <c r="M406" s="74"/>
      <c r="N406" s="71" t="str">
        <f t="shared" si="6"/>
        <v/>
      </c>
      <c r="O406" s="72"/>
      <c r="P406" s="72"/>
      <c r="Q406" s="72"/>
      <c r="R406" s="72"/>
      <c r="S406" s="72"/>
      <c r="T406" s="72"/>
      <c r="U406" s="72"/>
      <c r="V406" s="72"/>
    </row>
    <row r="407" spans="1:25" ht="27.75" customHeight="1">
      <c r="A407" s="87" t="str">
        <f>IF(ISBLANK(C407)," ",402-COUNTBLANK($C$6:C407))</f>
        <v xml:space="preserve"> </v>
      </c>
      <c r="B407" s="88"/>
      <c r="C407" s="88"/>
      <c r="D407" s="89"/>
      <c r="E407" s="89"/>
      <c r="F407" s="73"/>
      <c r="G407" s="73"/>
      <c r="H407" s="73"/>
      <c r="I407" s="73"/>
      <c r="J407" s="73"/>
      <c r="K407" s="73"/>
      <c r="L407" s="73"/>
      <c r="M407" s="74"/>
      <c r="N407" s="71" t="str">
        <f t="shared" si="6"/>
        <v/>
      </c>
      <c r="O407" s="72"/>
      <c r="P407" s="72"/>
      <c r="Q407" s="72"/>
      <c r="R407" s="72"/>
      <c r="S407" s="72"/>
      <c r="T407" s="72"/>
      <c r="U407" s="72"/>
      <c r="V407" s="72"/>
    </row>
    <row r="408" spans="1:25" ht="27.75" customHeight="1">
      <c r="A408" s="87" t="str">
        <f>IF(ISBLANK(C408)," ",403-COUNTBLANK($C$6:C408))</f>
        <v xml:space="preserve"> </v>
      </c>
      <c r="B408" s="88"/>
      <c r="C408" s="88"/>
      <c r="D408" s="89"/>
      <c r="E408" s="89"/>
      <c r="F408" s="73"/>
      <c r="G408" s="73"/>
      <c r="H408" s="73"/>
      <c r="I408" s="73"/>
      <c r="J408" s="73"/>
      <c r="K408" s="73"/>
      <c r="L408" s="73"/>
      <c r="M408" s="74"/>
      <c r="N408" s="71" t="str">
        <f t="shared" si="6"/>
        <v/>
      </c>
      <c r="O408" s="72"/>
      <c r="P408" s="72"/>
      <c r="Q408" s="72"/>
      <c r="R408" s="72"/>
      <c r="S408" s="72"/>
      <c r="T408" s="72"/>
      <c r="U408" s="72"/>
      <c r="V408" s="72"/>
    </row>
    <row r="409" spans="1:25" ht="27.75" customHeight="1">
      <c r="A409" s="87" t="str">
        <f>IF(ISBLANK(C409)," ",404-COUNTBLANK($C$6:C409))</f>
        <v xml:space="preserve"> </v>
      </c>
      <c r="B409" s="88"/>
      <c r="C409" s="88"/>
      <c r="D409" s="89"/>
      <c r="E409" s="89"/>
      <c r="F409" s="73"/>
      <c r="G409" s="73"/>
      <c r="H409" s="73"/>
      <c r="I409" s="73"/>
      <c r="J409" s="73"/>
      <c r="K409" s="73"/>
      <c r="L409" s="73"/>
      <c r="M409" s="74"/>
      <c r="N409" s="71" t="str">
        <f t="shared" si="6"/>
        <v/>
      </c>
      <c r="O409" s="72"/>
      <c r="P409" s="72"/>
      <c r="Q409" s="72"/>
      <c r="R409" s="72"/>
      <c r="S409" s="72"/>
      <c r="T409" s="72"/>
      <c r="U409" s="72"/>
      <c r="V409" s="72"/>
    </row>
    <row r="410" spans="1:25" ht="27.75" customHeight="1">
      <c r="A410" s="87" t="str">
        <f>IF(ISBLANK(C410)," ",405-COUNTBLANK($C$6:C410))</f>
        <v xml:space="preserve"> </v>
      </c>
      <c r="B410" s="88"/>
      <c r="C410" s="88"/>
      <c r="D410" s="89"/>
      <c r="E410" s="89"/>
      <c r="F410" s="73"/>
      <c r="G410" s="73"/>
      <c r="H410" s="73"/>
      <c r="I410" s="73"/>
      <c r="J410" s="73"/>
      <c r="K410" s="73"/>
      <c r="L410" s="73"/>
      <c r="M410" s="74"/>
      <c r="N410" s="71" t="str">
        <f t="shared" si="6"/>
        <v/>
      </c>
      <c r="O410" s="72"/>
      <c r="P410" s="72"/>
      <c r="Q410" s="72"/>
      <c r="R410" s="72"/>
      <c r="S410" s="72"/>
      <c r="T410" s="72"/>
      <c r="U410" s="72"/>
      <c r="V410" s="72"/>
    </row>
    <row r="411" spans="1:25" ht="27.75" customHeight="1">
      <c r="A411" s="87" t="str">
        <f>IF(ISBLANK(C411)," ",406-COUNTBLANK($C$6:C411))</f>
        <v xml:space="preserve"> </v>
      </c>
      <c r="B411" s="88"/>
      <c r="C411" s="88"/>
      <c r="D411" s="89"/>
      <c r="E411" s="89"/>
      <c r="F411" s="73"/>
      <c r="G411" s="73"/>
      <c r="H411" s="73"/>
      <c r="I411" s="73"/>
      <c r="J411" s="73"/>
      <c r="K411" s="73"/>
      <c r="L411" s="73"/>
      <c r="M411" s="74"/>
      <c r="N411" s="71" t="str">
        <f t="shared" si="6"/>
        <v/>
      </c>
      <c r="O411" s="72"/>
      <c r="P411" s="72"/>
      <c r="Q411" s="72"/>
      <c r="R411" s="72"/>
      <c r="S411" s="72"/>
      <c r="T411" s="72"/>
      <c r="U411" s="72"/>
      <c r="V411" s="72"/>
    </row>
    <row r="412" spans="1:25" ht="27.75" customHeight="1">
      <c r="A412" s="87" t="str">
        <f>IF(ISBLANK(C412)," ",407-COUNTBLANK($C$6:C412))</f>
        <v xml:space="preserve"> </v>
      </c>
      <c r="B412" s="88"/>
      <c r="C412" s="88"/>
      <c r="D412" s="89"/>
      <c r="E412" s="89"/>
      <c r="F412" s="73"/>
      <c r="G412" s="73"/>
      <c r="H412" s="73"/>
      <c r="I412" s="73"/>
      <c r="J412" s="73"/>
      <c r="K412" s="73"/>
      <c r="L412" s="73"/>
      <c r="M412" s="74"/>
      <c r="N412" s="71" t="str">
        <f t="shared" si="6"/>
        <v/>
      </c>
      <c r="O412" s="72"/>
      <c r="P412" s="72"/>
      <c r="Q412" s="72"/>
      <c r="R412" s="72"/>
      <c r="S412" s="72"/>
      <c r="T412" s="72"/>
      <c r="U412" s="72"/>
      <c r="V412" s="72"/>
    </row>
    <row r="413" spans="1:25" ht="27.75" customHeight="1">
      <c r="A413" s="87" t="str">
        <f>IF(ISBLANK(C413)," ",408-COUNTBLANK($C$6:C413))</f>
        <v xml:space="preserve"> </v>
      </c>
      <c r="B413" s="88"/>
      <c r="C413" s="88"/>
      <c r="D413" s="89"/>
      <c r="E413" s="89"/>
      <c r="F413" s="73"/>
      <c r="G413" s="73"/>
      <c r="H413" s="73"/>
      <c r="I413" s="73"/>
      <c r="J413" s="73"/>
      <c r="K413" s="73"/>
      <c r="L413" s="73"/>
      <c r="M413" s="74"/>
      <c r="N413" s="71" t="str">
        <f t="shared" si="6"/>
        <v/>
      </c>
      <c r="O413" s="72"/>
      <c r="P413" s="72"/>
      <c r="Q413" s="72"/>
      <c r="R413" s="72"/>
      <c r="S413" s="72"/>
      <c r="T413" s="72"/>
      <c r="U413" s="72"/>
      <c r="V413" s="72"/>
    </row>
    <row r="414" spans="1:25" ht="27.75" customHeight="1">
      <c r="A414" s="87" t="str">
        <f>IF(ISBLANK(C414)," ",409-COUNTBLANK($C$6:C414))</f>
        <v xml:space="preserve"> </v>
      </c>
      <c r="B414" s="88"/>
      <c r="C414" s="88"/>
      <c r="D414" s="89"/>
      <c r="E414" s="89"/>
      <c r="F414" s="73"/>
      <c r="G414" s="73"/>
      <c r="H414" s="73"/>
      <c r="I414" s="73"/>
      <c r="J414" s="73"/>
      <c r="K414" s="73"/>
      <c r="L414" s="73"/>
      <c r="M414" s="74"/>
      <c r="N414" s="71" t="str">
        <f t="shared" si="6"/>
        <v/>
      </c>
      <c r="O414" s="72"/>
      <c r="P414" s="72"/>
      <c r="Q414" s="72"/>
      <c r="R414" s="72"/>
      <c r="S414" s="72"/>
      <c r="T414" s="72"/>
      <c r="U414" s="72"/>
      <c r="V414" s="72"/>
    </row>
    <row r="415" spans="1:25" ht="27.75" customHeight="1">
      <c r="A415" s="87" t="str">
        <f>IF(ISBLANK(C415)," ",410-COUNTBLANK($C$6:C415))</f>
        <v xml:space="preserve"> </v>
      </c>
      <c r="B415" s="88"/>
      <c r="C415" s="88"/>
      <c r="D415" s="89"/>
      <c r="E415" s="89"/>
      <c r="F415" s="73"/>
      <c r="G415" s="73"/>
      <c r="H415" s="73"/>
      <c r="I415" s="73"/>
      <c r="J415" s="73"/>
      <c r="K415" s="73"/>
      <c r="L415" s="73"/>
      <c r="M415" s="74"/>
      <c r="N415" s="71" t="str">
        <f t="shared" si="6"/>
        <v/>
      </c>
      <c r="O415" s="72"/>
      <c r="P415" s="72"/>
      <c r="Q415" s="72"/>
      <c r="R415" s="72"/>
      <c r="S415" s="72"/>
      <c r="T415" s="72"/>
      <c r="U415" s="72"/>
      <c r="V415" s="72"/>
    </row>
    <row r="416" spans="1:25" ht="27.75" customHeight="1">
      <c r="A416" s="87" t="str">
        <f>IF(ISBLANK(C416)," ",411-COUNTBLANK($C$6:C416))</f>
        <v xml:space="preserve"> </v>
      </c>
      <c r="B416" s="88"/>
      <c r="C416" s="88"/>
      <c r="D416" s="89"/>
      <c r="E416" s="89"/>
      <c r="F416" s="73"/>
      <c r="G416" s="73"/>
      <c r="H416" s="73"/>
      <c r="I416" s="73"/>
      <c r="J416" s="73"/>
      <c r="K416" s="73"/>
      <c r="L416" s="73"/>
      <c r="M416" s="74"/>
      <c r="N416" s="71" t="str">
        <f t="shared" si="6"/>
        <v/>
      </c>
      <c r="O416" s="72"/>
      <c r="P416" s="72"/>
      <c r="Q416" s="72"/>
      <c r="R416" s="72"/>
      <c r="S416" s="72"/>
      <c r="T416" s="72"/>
      <c r="U416" s="72"/>
      <c r="V416" s="72"/>
    </row>
    <row r="417" spans="1:25" ht="27.75" customHeight="1">
      <c r="A417" s="87" t="str">
        <f>IF(ISBLANK(C417)," ",412-COUNTBLANK($C$6:C417))</f>
        <v xml:space="preserve"> </v>
      </c>
      <c r="B417" s="88"/>
      <c r="C417" s="88"/>
      <c r="D417" s="89"/>
      <c r="E417" s="89"/>
      <c r="F417" s="73"/>
      <c r="G417" s="73"/>
      <c r="H417" s="73"/>
      <c r="I417" s="73"/>
      <c r="J417" s="73"/>
      <c r="K417" s="73"/>
      <c r="L417" s="73"/>
      <c r="M417" s="74"/>
      <c r="N417" s="71" t="str">
        <f t="shared" si="6"/>
        <v/>
      </c>
      <c r="O417" s="72"/>
      <c r="P417" s="72"/>
      <c r="Q417" s="72"/>
      <c r="R417" s="72"/>
      <c r="S417" s="72"/>
      <c r="T417" s="72"/>
      <c r="U417" s="72"/>
      <c r="V417" s="72"/>
    </row>
    <row r="418" spans="1:25" ht="27.75" customHeight="1">
      <c r="A418" s="87" t="str">
        <f>IF(ISBLANK(C418)," ",413-COUNTBLANK($C$6:C418))</f>
        <v xml:space="preserve"> </v>
      </c>
      <c r="B418" s="88"/>
      <c r="C418" s="88"/>
      <c r="D418" s="89"/>
      <c r="E418" s="89"/>
      <c r="F418" s="73"/>
      <c r="G418" s="73"/>
      <c r="H418" s="73"/>
      <c r="I418" s="73"/>
      <c r="J418" s="73"/>
      <c r="K418" s="73"/>
      <c r="L418" s="73"/>
      <c r="M418" s="74"/>
      <c r="N418" s="71" t="str">
        <f t="shared" si="6"/>
        <v/>
      </c>
      <c r="O418" s="72"/>
      <c r="P418" s="72"/>
      <c r="Q418" s="72"/>
      <c r="R418" s="72"/>
      <c r="S418" s="72"/>
      <c r="T418" s="72"/>
      <c r="U418" s="72"/>
      <c r="V418" s="72"/>
    </row>
    <row r="419" spans="1:25" ht="27.75" customHeight="1">
      <c r="A419" s="87" t="str">
        <f>IF(ISBLANK(C419)," ",414-COUNTBLANK($C$6:C419))</f>
        <v xml:space="preserve"> </v>
      </c>
      <c r="B419" s="88"/>
      <c r="C419" s="88"/>
      <c r="D419" s="89"/>
      <c r="E419" s="89"/>
      <c r="F419" s="73"/>
      <c r="G419" s="73"/>
      <c r="H419" s="73"/>
      <c r="I419" s="73"/>
      <c r="J419" s="73"/>
      <c r="K419" s="73"/>
      <c r="L419" s="73"/>
      <c r="M419" s="74"/>
      <c r="N419" s="71" t="str">
        <f t="shared" si="6"/>
        <v/>
      </c>
      <c r="O419" s="72"/>
      <c r="P419" s="72"/>
      <c r="Q419" s="72"/>
      <c r="R419" s="72"/>
      <c r="S419" s="72"/>
      <c r="T419" s="72"/>
      <c r="U419" s="72"/>
      <c r="V419" s="72"/>
    </row>
    <row r="420" spans="1:25" ht="27.75" customHeight="1">
      <c r="A420" s="87" t="str">
        <f>IF(ISBLANK(C420)," ",415-COUNTBLANK($C$6:C420))</f>
        <v xml:space="preserve"> </v>
      </c>
      <c r="B420" s="88"/>
      <c r="C420" s="88"/>
      <c r="D420" s="89"/>
      <c r="E420" s="89"/>
      <c r="F420" s="73"/>
      <c r="G420" s="73"/>
      <c r="H420" s="73"/>
      <c r="I420" s="73"/>
      <c r="J420" s="73"/>
      <c r="K420" s="73"/>
      <c r="L420" s="73"/>
      <c r="M420" s="74"/>
      <c r="N420" s="71" t="str">
        <f t="shared" si="6"/>
        <v/>
      </c>
      <c r="O420" s="75"/>
      <c r="P420" s="72"/>
      <c r="Q420" s="72"/>
      <c r="R420" s="72"/>
      <c r="S420" s="72"/>
      <c r="T420" s="72"/>
      <c r="U420" s="72"/>
      <c r="V420" s="76"/>
    </row>
    <row r="421" spans="1:25" ht="27.75" customHeight="1">
      <c r="A421" s="87" t="str">
        <f>IF(ISBLANK(C421)," ",416-COUNTBLANK($C$6:C421))</f>
        <v xml:space="preserve"> </v>
      </c>
      <c r="B421" s="88"/>
      <c r="C421" s="88"/>
      <c r="D421" s="89"/>
      <c r="E421" s="89"/>
      <c r="F421" s="73"/>
      <c r="G421" s="73"/>
      <c r="H421" s="73"/>
      <c r="I421" s="73"/>
      <c r="J421" s="73"/>
      <c r="K421" s="73"/>
      <c r="L421" s="73"/>
      <c r="M421" s="74"/>
      <c r="N421" s="71" t="str">
        <f t="shared" si="6"/>
        <v/>
      </c>
      <c r="O421" s="75"/>
      <c r="P421" s="72"/>
      <c r="Q421" s="72"/>
      <c r="R421" s="72"/>
      <c r="S421" s="72"/>
      <c r="T421" s="72"/>
      <c r="U421" s="72"/>
      <c r="V421" s="76"/>
    </row>
    <row r="422" spans="1:25" ht="27.75" customHeight="1">
      <c r="A422" s="87" t="str">
        <f>IF(ISBLANK(C422)," ",417-COUNTBLANK($C$6:C422))</f>
        <v xml:space="preserve"> </v>
      </c>
      <c r="B422" s="88"/>
      <c r="C422" s="88"/>
      <c r="D422" s="89"/>
      <c r="E422" s="89"/>
      <c r="F422" s="73"/>
      <c r="G422" s="73"/>
      <c r="H422" s="73"/>
      <c r="I422" s="73"/>
      <c r="J422" s="73"/>
      <c r="K422" s="73"/>
      <c r="L422" s="73"/>
      <c r="M422" s="74"/>
      <c r="N422" s="71" t="str">
        <f t="shared" si="6"/>
        <v/>
      </c>
      <c r="O422" s="75"/>
      <c r="P422" s="72"/>
      <c r="Q422" s="72"/>
      <c r="R422" s="72"/>
      <c r="S422" s="72"/>
      <c r="T422" s="72"/>
      <c r="U422" s="72"/>
      <c r="V422" s="76"/>
    </row>
    <row r="423" spans="1:25" ht="27.75" customHeight="1">
      <c r="A423" s="87" t="str">
        <f>IF(ISBLANK(C423)," ",418-COUNTBLANK($C$6:C423))</f>
        <v xml:space="preserve"> </v>
      </c>
      <c r="B423" s="88"/>
      <c r="C423" s="88"/>
      <c r="D423" s="89"/>
      <c r="E423" s="89"/>
      <c r="F423" s="73"/>
      <c r="G423" s="73"/>
      <c r="H423" s="73"/>
      <c r="I423" s="73"/>
      <c r="J423" s="73"/>
      <c r="K423" s="73"/>
      <c r="L423" s="73"/>
      <c r="M423" s="74"/>
      <c r="N423" s="71" t="str">
        <f t="shared" si="6"/>
        <v/>
      </c>
      <c r="O423" s="75"/>
      <c r="P423" s="72"/>
      <c r="Q423" s="72"/>
      <c r="R423" s="72"/>
      <c r="S423" s="72"/>
      <c r="T423" s="72"/>
      <c r="U423" s="72"/>
      <c r="V423" s="76"/>
    </row>
    <row r="424" spans="1:25" ht="27.75" customHeight="1">
      <c r="A424" s="87" t="str">
        <f>IF(ISBLANK(C424)," ",419-COUNTBLANK($C$6:C424))</f>
        <v xml:space="preserve"> </v>
      </c>
      <c r="B424" s="88"/>
      <c r="C424" s="88"/>
      <c r="D424" s="89"/>
      <c r="E424" s="89"/>
      <c r="F424" s="73"/>
      <c r="G424" s="73"/>
      <c r="H424" s="73"/>
      <c r="I424" s="73"/>
      <c r="J424" s="73"/>
      <c r="K424" s="73"/>
      <c r="L424" s="73"/>
      <c r="M424" s="74"/>
      <c r="N424" s="71" t="str">
        <f t="shared" si="6"/>
        <v/>
      </c>
      <c r="O424" s="72"/>
      <c r="P424" s="72"/>
      <c r="Q424" s="72"/>
      <c r="R424" s="72"/>
      <c r="S424" s="72"/>
      <c r="T424" s="72"/>
      <c r="U424" s="72"/>
      <c r="V424" s="79"/>
      <c r="W424" s="72"/>
      <c r="X424" s="72"/>
      <c r="Y424" s="72"/>
    </row>
    <row r="425" spans="1:25" ht="27.75" customHeight="1">
      <c r="A425" s="80" t="s">
        <v>52</v>
      </c>
      <c r="B425" s="81"/>
      <c r="C425" s="96"/>
      <c r="D425" s="82"/>
      <c r="E425" s="82">
        <f>SUM(E405:E424)</f>
        <v>0</v>
      </c>
      <c r="F425" s="83"/>
      <c r="G425" s="83"/>
      <c r="H425" s="83"/>
      <c r="I425" s="83"/>
      <c r="J425" s="83"/>
      <c r="K425" s="83"/>
      <c r="L425" s="83"/>
      <c r="M425" s="84"/>
      <c r="N425" s="71" t="str">
        <f t="shared" si="6"/>
        <v/>
      </c>
      <c r="O425" s="75"/>
      <c r="P425" s="72"/>
      <c r="Q425" s="72"/>
      <c r="R425" s="72"/>
      <c r="S425" s="72"/>
      <c r="T425" s="72"/>
      <c r="U425" s="72"/>
      <c r="V425" s="79"/>
      <c r="W425" s="72"/>
      <c r="X425" s="72"/>
      <c r="Y425" s="72"/>
    </row>
    <row r="426" spans="1:25" ht="27.75" customHeight="1">
      <c r="A426" s="93" t="str">
        <f>IF(ISBLANK(C426)," ",421-COUNTBLANK($C$6:C426))</f>
        <v xml:space="preserve"> </v>
      </c>
      <c r="B426" s="94"/>
      <c r="C426" s="94"/>
      <c r="D426" s="95"/>
      <c r="E426" s="95"/>
      <c r="F426" s="85"/>
      <c r="G426" s="85"/>
      <c r="H426" s="85"/>
      <c r="I426" s="85"/>
      <c r="J426" s="85"/>
      <c r="K426" s="85"/>
      <c r="L426" s="85"/>
      <c r="M426" s="86"/>
      <c r="N426" s="71" t="str">
        <f t="shared" si="6"/>
        <v/>
      </c>
      <c r="O426" s="72"/>
      <c r="P426" s="72"/>
      <c r="Q426" s="72"/>
      <c r="R426" s="72"/>
      <c r="S426" s="72"/>
      <c r="T426" s="72"/>
      <c r="U426" s="72"/>
      <c r="V426" s="72"/>
    </row>
    <row r="427" spans="1:25" ht="27.75" customHeight="1">
      <c r="A427" s="87" t="str">
        <f>IF(ISBLANK(C427)," ",422-COUNTBLANK($C$6:C427))</f>
        <v xml:space="preserve"> </v>
      </c>
      <c r="B427" s="88"/>
      <c r="C427" s="88"/>
      <c r="D427" s="89"/>
      <c r="E427" s="89"/>
      <c r="F427" s="73"/>
      <c r="G427" s="73"/>
      <c r="H427" s="73"/>
      <c r="I427" s="73"/>
      <c r="J427" s="73"/>
      <c r="K427" s="73"/>
      <c r="L427" s="73"/>
      <c r="M427" s="74"/>
      <c r="N427" s="71" t="str">
        <f t="shared" si="6"/>
        <v/>
      </c>
      <c r="O427" s="72"/>
      <c r="P427" s="72"/>
      <c r="Q427" s="72"/>
      <c r="R427" s="72"/>
      <c r="S427" s="72"/>
      <c r="T427" s="72"/>
      <c r="U427" s="72"/>
      <c r="V427" s="72"/>
    </row>
    <row r="428" spans="1:25" ht="27.75" customHeight="1">
      <c r="A428" s="87" t="str">
        <f>IF(ISBLANK(C428)," ",423-COUNTBLANK($C$6:C428))</f>
        <v xml:space="preserve"> </v>
      </c>
      <c r="B428" s="88"/>
      <c r="C428" s="88"/>
      <c r="D428" s="89"/>
      <c r="E428" s="89"/>
      <c r="F428" s="73"/>
      <c r="G428" s="73"/>
      <c r="H428" s="73"/>
      <c r="I428" s="73"/>
      <c r="J428" s="73"/>
      <c r="K428" s="73"/>
      <c r="L428" s="73"/>
      <c r="M428" s="74"/>
      <c r="N428" s="71" t="str">
        <f t="shared" si="6"/>
        <v/>
      </c>
      <c r="O428" s="72"/>
      <c r="P428" s="72"/>
      <c r="Q428" s="72"/>
      <c r="R428" s="72"/>
      <c r="S428" s="72"/>
      <c r="T428" s="72"/>
      <c r="U428" s="72"/>
      <c r="V428" s="72"/>
    </row>
    <row r="429" spans="1:25" ht="27.75" customHeight="1">
      <c r="A429" s="87" t="str">
        <f>IF(ISBLANK(C429)," ",424-COUNTBLANK($C$6:C429))</f>
        <v xml:space="preserve"> </v>
      </c>
      <c r="B429" s="88"/>
      <c r="C429" s="88"/>
      <c r="D429" s="89"/>
      <c r="E429" s="89"/>
      <c r="F429" s="73"/>
      <c r="G429" s="73"/>
      <c r="H429" s="73"/>
      <c r="I429" s="73"/>
      <c r="J429" s="73"/>
      <c r="K429" s="73"/>
      <c r="L429" s="73"/>
      <c r="M429" s="74"/>
      <c r="N429" s="71" t="str">
        <f t="shared" si="6"/>
        <v/>
      </c>
      <c r="O429" s="72"/>
      <c r="P429" s="72"/>
      <c r="Q429" s="72"/>
      <c r="R429" s="72"/>
      <c r="S429" s="72"/>
      <c r="T429" s="72"/>
      <c r="U429" s="72"/>
      <c r="V429" s="72"/>
    </row>
    <row r="430" spans="1:25" ht="27.75" customHeight="1">
      <c r="A430" s="87" t="str">
        <f>IF(ISBLANK(C430)," ",425-COUNTBLANK($C$6:C430))</f>
        <v xml:space="preserve"> </v>
      </c>
      <c r="B430" s="88"/>
      <c r="C430" s="88"/>
      <c r="D430" s="89"/>
      <c r="E430" s="89"/>
      <c r="F430" s="73"/>
      <c r="G430" s="73"/>
      <c r="H430" s="73"/>
      <c r="I430" s="73"/>
      <c r="J430" s="73"/>
      <c r="K430" s="73"/>
      <c r="L430" s="73"/>
      <c r="M430" s="74"/>
      <c r="N430" s="71" t="str">
        <f t="shared" si="6"/>
        <v/>
      </c>
      <c r="O430" s="72"/>
      <c r="P430" s="72"/>
      <c r="Q430" s="72"/>
      <c r="R430" s="72"/>
      <c r="S430" s="72"/>
      <c r="T430" s="72"/>
      <c r="U430" s="72"/>
      <c r="V430" s="72"/>
    </row>
    <row r="431" spans="1:25" ht="27.75" customHeight="1">
      <c r="A431" s="87" t="str">
        <f>IF(ISBLANK(C431)," ",426-COUNTBLANK($C$6:C431))</f>
        <v xml:space="preserve"> </v>
      </c>
      <c r="B431" s="88"/>
      <c r="C431" s="88"/>
      <c r="D431" s="89"/>
      <c r="E431" s="89"/>
      <c r="F431" s="73"/>
      <c r="G431" s="73"/>
      <c r="H431" s="73"/>
      <c r="I431" s="73"/>
      <c r="J431" s="73"/>
      <c r="K431" s="73"/>
      <c r="L431" s="73"/>
      <c r="M431" s="74"/>
      <c r="N431" s="71" t="str">
        <f t="shared" si="6"/>
        <v/>
      </c>
      <c r="O431" s="72"/>
      <c r="P431" s="72"/>
      <c r="Q431" s="72"/>
      <c r="R431" s="72"/>
      <c r="S431" s="72"/>
      <c r="T431" s="72"/>
      <c r="U431" s="72"/>
      <c r="V431" s="72"/>
    </row>
    <row r="432" spans="1:25" ht="27.75" customHeight="1">
      <c r="A432" s="87" t="str">
        <f>IF(ISBLANK(C432)," ",427-COUNTBLANK($C$6:C432))</f>
        <v xml:space="preserve"> </v>
      </c>
      <c r="B432" s="88"/>
      <c r="C432" s="88"/>
      <c r="D432" s="89"/>
      <c r="E432" s="89"/>
      <c r="F432" s="73"/>
      <c r="G432" s="73"/>
      <c r="H432" s="73"/>
      <c r="I432" s="73"/>
      <c r="J432" s="73"/>
      <c r="K432" s="73"/>
      <c r="L432" s="73"/>
      <c r="M432" s="74"/>
      <c r="N432" s="71" t="str">
        <f t="shared" si="6"/>
        <v/>
      </c>
      <c r="O432" s="72"/>
      <c r="P432" s="72"/>
      <c r="Q432" s="72"/>
      <c r="R432" s="72"/>
      <c r="S432" s="72"/>
      <c r="T432" s="72"/>
      <c r="U432" s="72"/>
      <c r="V432" s="72"/>
    </row>
    <row r="433" spans="1:25" ht="27.75" customHeight="1">
      <c r="A433" s="87" t="str">
        <f>IF(ISBLANK(C433)," ",428-COUNTBLANK($C$6:C433))</f>
        <v xml:space="preserve"> </v>
      </c>
      <c r="B433" s="88"/>
      <c r="C433" s="88"/>
      <c r="D433" s="89"/>
      <c r="E433" s="89"/>
      <c r="F433" s="73"/>
      <c r="G433" s="73"/>
      <c r="H433" s="73"/>
      <c r="I433" s="73"/>
      <c r="J433" s="73"/>
      <c r="K433" s="73"/>
      <c r="L433" s="73"/>
      <c r="M433" s="74"/>
      <c r="N433" s="71" t="str">
        <f t="shared" si="6"/>
        <v/>
      </c>
      <c r="O433" s="72"/>
      <c r="P433" s="72"/>
      <c r="Q433" s="72"/>
      <c r="R433" s="72"/>
      <c r="S433" s="72"/>
      <c r="T433" s="72"/>
      <c r="U433" s="72"/>
      <c r="V433" s="72"/>
    </row>
    <row r="434" spans="1:25" ht="27.75" customHeight="1">
      <c r="A434" s="87" t="str">
        <f>IF(ISBLANK(C434)," ",429-COUNTBLANK($C$6:C434))</f>
        <v xml:space="preserve"> </v>
      </c>
      <c r="B434" s="88"/>
      <c r="C434" s="88"/>
      <c r="D434" s="89"/>
      <c r="E434" s="89"/>
      <c r="F434" s="73"/>
      <c r="G434" s="73"/>
      <c r="H434" s="73"/>
      <c r="I434" s="73"/>
      <c r="J434" s="73"/>
      <c r="K434" s="73"/>
      <c r="L434" s="73"/>
      <c r="M434" s="74"/>
      <c r="N434" s="71" t="str">
        <f t="shared" si="6"/>
        <v/>
      </c>
      <c r="O434" s="72"/>
      <c r="P434" s="72"/>
      <c r="Q434" s="72"/>
      <c r="R434" s="72"/>
      <c r="S434" s="72"/>
      <c r="T434" s="72"/>
      <c r="U434" s="72"/>
      <c r="V434" s="72"/>
    </row>
    <row r="435" spans="1:25" ht="27.75" customHeight="1">
      <c r="A435" s="87" t="str">
        <f>IF(ISBLANK(C435)," ",430-COUNTBLANK($C$6:C435))</f>
        <v xml:space="preserve"> </v>
      </c>
      <c r="B435" s="88"/>
      <c r="C435" s="88"/>
      <c r="D435" s="89"/>
      <c r="E435" s="89"/>
      <c r="F435" s="73"/>
      <c r="G435" s="73"/>
      <c r="H435" s="73"/>
      <c r="I435" s="73"/>
      <c r="J435" s="73"/>
      <c r="K435" s="73"/>
      <c r="L435" s="73"/>
      <c r="M435" s="74"/>
      <c r="N435" s="71" t="str">
        <f t="shared" si="6"/>
        <v/>
      </c>
      <c r="O435" s="72"/>
      <c r="P435" s="72"/>
      <c r="Q435" s="72"/>
      <c r="R435" s="72"/>
      <c r="S435" s="72"/>
      <c r="T435" s="72"/>
      <c r="U435" s="72"/>
      <c r="V435" s="72"/>
    </row>
    <row r="436" spans="1:25" ht="27.75" customHeight="1">
      <c r="A436" s="87" t="str">
        <f>IF(ISBLANK(C436)," ",431-COUNTBLANK($C$6:C436))</f>
        <v xml:space="preserve"> </v>
      </c>
      <c r="B436" s="88"/>
      <c r="C436" s="88"/>
      <c r="D436" s="89"/>
      <c r="E436" s="89"/>
      <c r="F436" s="73"/>
      <c r="G436" s="73"/>
      <c r="H436" s="73"/>
      <c r="I436" s="73"/>
      <c r="J436" s="73"/>
      <c r="K436" s="73"/>
      <c r="L436" s="73"/>
      <c r="M436" s="74"/>
      <c r="N436" s="71" t="str">
        <f t="shared" si="6"/>
        <v/>
      </c>
      <c r="O436" s="72"/>
      <c r="P436" s="72"/>
      <c r="Q436" s="72"/>
      <c r="R436" s="72"/>
      <c r="S436" s="72"/>
      <c r="T436" s="72"/>
      <c r="U436" s="72"/>
      <c r="V436" s="72"/>
    </row>
    <row r="437" spans="1:25" ht="27.75" customHeight="1">
      <c r="A437" s="87" t="str">
        <f>IF(ISBLANK(C437)," ",432-COUNTBLANK($C$6:C437))</f>
        <v xml:space="preserve"> </v>
      </c>
      <c r="B437" s="88"/>
      <c r="C437" s="88"/>
      <c r="D437" s="89"/>
      <c r="E437" s="89"/>
      <c r="F437" s="73"/>
      <c r="G437" s="73"/>
      <c r="H437" s="73"/>
      <c r="I437" s="73"/>
      <c r="J437" s="73"/>
      <c r="K437" s="73"/>
      <c r="L437" s="73"/>
      <c r="M437" s="74"/>
      <c r="N437" s="71" t="str">
        <f t="shared" si="6"/>
        <v/>
      </c>
      <c r="O437" s="72"/>
      <c r="P437" s="72"/>
      <c r="Q437" s="72"/>
      <c r="R437" s="72"/>
      <c r="S437" s="72"/>
      <c r="T437" s="72"/>
      <c r="U437" s="72"/>
      <c r="V437" s="72"/>
    </row>
    <row r="438" spans="1:25" ht="27.75" customHeight="1">
      <c r="A438" s="87" t="str">
        <f>IF(ISBLANK(C438)," ",433-COUNTBLANK($C$6:C438))</f>
        <v xml:space="preserve"> </v>
      </c>
      <c r="B438" s="88"/>
      <c r="C438" s="88"/>
      <c r="D438" s="89"/>
      <c r="E438" s="89"/>
      <c r="F438" s="73"/>
      <c r="G438" s="73"/>
      <c r="H438" s="73"/>
      <c r="I438" s="73"/>
      <c r="J438" s="73"/>
      <c r="K438" s="73"/>
      <c r="L438" s="73"/>
      <c r="M438" s="74"/>
      <c r="N438" s="71" t="str">
        <f t="shared" si="6"/>
        <v/>
      </c>
      <c r="O438" s="72"/>
      <c r="P438" s="72"/>
      <c r="Q438" s="72"/>
      <c r="R438" s="72"/>
      <c r="S438" s="72"/>
      <c r="T438" s="72"/>
      <c r="U438" s="72"/>
      <c r="V438" s="72"/>
    </row>
    <row r="439" spans="1:25" ht="27.75" customHeight="1">
      <c r="A439" s="87" t="str">
        <f>IF(ISBLANK(C439)," ",434-COUNTBLANK($C$6:C439))</f>
        <v xml:space="preserve"> </v>
      </c>
      <c r="B439" s="88"/>
      <c r="C439" s="88"/>
      <c r="D439" s="89"/>
      <c r="E439" s="89"/>
      <c r="F439" s="73"/>
      <c r="G439" s="73"/>
      <c r="H439" s="73"/>
      <c r="I439" s="73"/>
      <c r="J439" s="73"/>
      <c r="K439" s="73"/>
      <c r="L439" s="73"/>
      <c r="M439" s="74"/>
      <c r="N439" s="71" t="str">
        <f t="shared" si="6"/>
        <v/>
      </c>
      <c r="O439" s="72"/>
      <c r="P439" s="72"/>
      <c r="Q439" s="72"/>
      <c r="R439" s="72"/>
      <c r="S439" s="72"/>
      <c r="T439" s="72"/>
      <c r="U439" s="72"/>
      <c r="V439" s="72"/>
    </row>
    <row r="440" spans="1:25" ht="27.75" customHeight="1">
      <c r="A440" s="87" t="str">
        <f>IF(ISBLANK(C440)," ",435-COUNTBLANK($C$6:C440))</f>
        <v xml:space="preserve"> </v>
      </c>
      <c r="B440" s="88"/>
      <c r="C440" s="88"/>
      <c r="D440" s="89"/>
      <c r="E440" s="89"/>
      <c r="F440" s="73"/>
      <c r="G440" s="73"/>
      <c r="H440" s="73"/>
      <c r="I440" s="73"/>
      <c r="J440" s="73"/>
      <c r="K440" s="73"/>
      <c r="L440" s="73"/>
      <c r="M440" s="74"/>
      <c r="N440" s="71" t="str">
        <f t="shared" si="6"/>
        <v/>
      </c>
      <c r="O440" s="72"/>
      <c r="P440" s="72"/>
      <c r="Q440" s="72"/>
      <c r="R440" s="72"/>
      <c r="S440" s="72"/>
      <c r="T440" s="72"/>
      <c r="U440" s="72"/>
      <c r="V440" s="72"/>
    </row>
    <row r="441" spans="1:25" ht="27.75" customHeight="1">
      <c r="A441" s="87" t="str">
        <f>IF(ISBLANK(C441)," ",436-COUNTBLANK($C$6:C441))</f>
        <v xml:space="preserve"> </v>
      </c>
      <c r="B441" s="88"/>
      <c r="C441" s="88"/>
      <c r="D441" s="89"/>
      <c r="E441" s="89"/>
      <c r="F441" s="73"/>
      <c r="G441" s="73"/>
      <c r="H441" s="73"/>
      <c r="I441" s="73"/>
      <c r="J441" s="73"/>
      <c r="K441" s="73"/>
      <c r="L441" s="73"/>
      <c r="M441" s="74"/>
      <c r="N441" s="71" t="str">
        <f t="shared" si="6"/>
        <v/>
      </c>
      <c r="O441" s="75"/>
      <c r="P441" s="72"/>
      <c r="Q441" s="72"/>
      <c r="R441" s="72"/>
      <c r="S441" s="72"/>
      <c r="T441" s="72"/>
      <c r="U441" s="72"/>
      <c r="V441" s="76"/>
    </row>
    <row r="442" spans="1:25" ht="27.75" customHeight="1">
      <c r="A442" s="87" t="str">
        <f>IF(ISBLANK(C442)," ",437-COUNTBLANK($C$6:C442))</f>
        <v xml:space="preserve"> </v>
      </c>
      <c r="B442" s="88"/>
      <c r="C442" s="88"/>
      <c r="D442" s="89"/>
      <c r="E442" s="89"/>
      <c r="F442" s="73"/>
      <c r="G442" s="73"/>
      <c r="H442" s="73"/>
      <c r="I442" s="73"/>
      <c r="J442" s="73"/>
      <c r="K442" s="73"/>
      <c r="L442" s="73"/>
      <c r="M442" s="74"/>
      <c r="N442" s="71" t="str">
        <f t="shared" si="6"/>
        <v/>
      </c>
      <c r="O442" s="75"/>
      <c r="P442" s="72"/>
      <c r="Q442" s="72"/>
      <c r="R442" s="72"/>
      <c r="S442" s="72"/>
      <c r="T442" s="72"/>
      <c r="U442" s="72"/>
      <c r="V442" s="76"/>
    </row>
    <row r="443" spans="1:25" ht="27.75" customHeight="1">
      <c r="A443" s="87" t="str">
        <f>IF(ISBLANK(C443)," ",438-COUNTBLANK($C$6:C443))</f>
        <v xml:space="preserve"> </v>
      </c>
      <c r="B443" s="88"/>
      <c r="C443" s="88"/>
      <c r="D443" s="89"/>
      <c r="E443" s="89"/>
      <c r="F443" s="73"/>
      <c r="G443" s="73"/>
      <c r="H443" s="73"/>
      <c r="I443" s="73"/>
      <c r="J443" s="73"/>
      <c r="K443" s="73"/>
      <c r="L443" s="73"/>
      <c r="M443" s="74"/>
      <c r="N443" s="71" t="str">
        <f t="shared" si="6"/>
        <v/>
      </c>
      <c r="O443" s="75"/>
      <c r="P443" s="72"/>
      <c r="Q443" s="72"/>
      <c r="R443" s="72"/>
      <c r="S443" s="72"/>
      <c r="T443" s="72"/>
      <c r="U443" s="72"/>
      <c r="V443" s="76"/>
    </row>
    <row r="444" spans="1:25" ht="27.75" customHeight="1">
      <c r="A444" s="87" t="str">
        <f>IF(ISBLANK(C444)," ",439-COUNTBLANK($C$6:C444))</f>
        <v xml:space="preserve"> </v>
      </c>
      <c r="B444" s="88"/>
      <c r="C444" s="88"/>
      <c r="D444" s="89"/>
      <c r="E444" s="89"/>
      <c r="F444" s="73"/>
      <c r="G444" s="73"/>
      <c r="H444" s="73"/>
      <c r="I444" s="73"/>
      <c r="J444" s="73"/>
      <c r="K444" s="73"/>
      <c r="L444" s="73"/>
      <c r="M444" s="74"/>
      <c r="N444" s="71" t="str">
        <f t="shared" si="6"/>
        <v/>
      </c>
      <c r="O444" s="75"/>
      <c r="P444" s="72"/>
      <c r="Q444" s="72"/>
      <c r="R444" s="72"/>
      <c r="S444" s="72"/>
      <c r="T444" s="72"/>
      <c r="U444" s="72"/>
      <c r="V444" s="76"/>
    </row>
    <row r="445" spans="1:25" ht="27.75" customHeight="1">
      <c r="A445" s="87" t="str">
        <f>IF(ISBLANK(C445)," ",440-COUNTBLANK($C$6:C445))</f>
        <v xml:space="preserve"> </v>
      </c>
      <c r="B445" s="88"/>
      <c r="C445" s="88"/>
      <c r="D445" s="89"/>
      <c r="E445" s="89"/>
      <c r="F445" s="73"/>
      <c r="G445" s="73"/>
      <c r="H445" s="73"/>
      <c r="I445" s="73"/>
      <c r="J445" s="73"/>
      <c r="K445" s="73"/>
      <c r="L445" s="73"/>
      <c r="M445" s="74"/>
      <c r="N445" s="71" t="str">
        <f t="shared" si="6"/>
        <v/>
      </c>
      <c r="O445" s="72"/>
      <c r="P445" s="72"/>
      <c r="Q445" s="72"/>
      <c r="R445" s="72"/>
      <c r="S445" s="72"/>
      <c r="T445" s="72"/>
      <c r="U445" s="72"/>
      <c r="V445" s="79"/>
      <c r="W445" s="72"/>
      <c r="X445" s="72"/>
      <c r="Y445" s="72"/>
    </row>
    <row r="446" spans="1:25" ht="27.75" customHeight="1">
      <c r="A446" s="80" t="s">
        <v>52</v>
      </c>
      <c r="B446" s="81"/>
      <c r="C446" s="96"/>
      <c r="D446" s="82"/>
      <c r="E446" s="82">
        <f>SUM(E426:E445)</f>
        <v>0</v>
      </c>
      <c r="F446" s="83"/>
      <c r="G446" s="83"/>
      <c r="H446" s="83"/>
      <c r="I446" s="83"/>
      <c r="J446" s="83"/>
      <c r="K446" s="83"/>
      <c r="L446" s="83"/>
      <c r="M446" s="84"/>
      <c r="N446" s="71" t="str">
        <f t="shared" si="6"/>
        <v/>
      </c>
      <c r="O446" s="75"/>
      <c r="P446" s="72"/>
      <c r="Q446" s="72"/>
      <c r="R446" s="72"/>
      <c r="S446" s="72"/>
      <c r="T446" s="72"/>
      <c r="U446" s="72"/>
      <c r="V446" s="79"/>
      <c r="W446" s="72"/>
      <c r="X446" s="72"/>
      <c r="Y446" s="72"/>
    </row>
    <row r="447" spans="1:25" ht="27.75" customHeight="1">
      <c r="A447" s="93" t="str">
        <f>IF(ISBLANK(C447)," ",442-COUNTBLANK($C$6:C447))</f>
        <v xml:space="preserve"> </v>
      </c>
      <c r="B447" s="94"/>
      <c r="C447" s="94"/>
      <c r="D447" s="95"/>
      <c r="E447" s="95"/>
      <c r="F447" s="85"/>
      <c r="G447" s="85"/>
      <c r="H447" s="85"/>
      <c r="I447" s="85"/>
      <c r="J447" s="85"/>
      <c r="K447" s="85"/>
      <c r="L447" s="85"/>
      <c r="M447" s="86"/>
      <c r="N447" s="71" t="str">
        <f t="shared" si="6"/>
        <v/>
      </c>
      <c r="O447" s="72"/>
      <c r="P447" s="72"/>
      <c r="Q447" s="72"/>
      <c r="R447" s="72"/>
      <c r="S447" s="72"/>
      <c r="T447" s="72"/>
      <c r="U447" s="72"/>
      <c r="V447" s="72"/>
    </row>
    <row r="448" spans="1:25" ht="27.75" customHeight="1">
      <c r="A448" s="87" t="str">
        <f>IF(ISBLANK(C448)," ",443-COUNTBLANK($C$6:C448))</f>
        <v xml:space="preserve"> </v>
      </c>
      <c r="B448" s="88"/>
      <c r="C448" s="88"/>
      <c r="D448" s="89"/>
      <c r="E448" s="89"/>
      <c r="F448" s="73"/>
      <c r="G448" s="73"/>
      <c r="H448" s="73"/>
      <c r="I448" s="73"/>
      <c r="J448" s="73"/>
      <c r="K448" s="73"/>
      <c r="L448" s="73"/>
      <c r="M448" s="74"/>
      <c r="N448" s="71" t="str">
        <f t="shared" si="6"/>
        <v/>
      </c>
      <c r="O448" s="72"/>
      <c r="P448" s="72"/>
      <c r="Q448" s="72"/>
      <c r="R448" s="72"/>
      <c r="S448" s="72"/>
      <c r="T448" s="72"/>
      <c r="U448" s="72"/>
      <c r="V448" s="72"/>
    </row>
    <row r="449" spans="1:22" ht="27.75" customHeight="1">
      <c r="A449" s="87" t="str">
        <f>IF(ISBLANK(C449)," ",444-COUNTBLANK($C$6:C449))</f>
        <v xml:space="preserve"> </v>
      </c>
      <c r="B449" s="88"/>
      <c r="C449" s="88"/>
      <c r="D449" s="89"/>
      <c r="E449" s="89"/>
      <c r="F449" s="73"/>
      <c r="G449" s="73"/>
      <c r="H449" s="73"/>
      <c r="I449" s="73"/>
      <c r="J449" s="73"/>
      <c r="K449" s="73"/>
      <c r="L449" s="73"/>
      <c r="M449" s="74"/>
      <c r="N449" s="71" t="str">
        <f t="shared" si="6"/>
        <v/>
      </c>
      <c r="O449" s="72"/>
      <c r="P449" s="72"/>
      <c r="Q449" s="72"/>
      <c r="R449" s="72"/>
      <c r="S449" s="72"/>
      <c r="T449" s="72"/>
      <c r="U449" s="72"/>
      <c r="V449" s="72"/>
    </row>
    <row r="450" spans="1:22" ht="27.75" customHeight="1">
      <c r="A450" s="87" t="str">
        <f>IF(ISBLANK(C450)," ",445-COUNTBLANK($C$6:C450))</f>
        <v xml:space="preserve"> </v>
      </c>
      <c r="B450" s="88"/>
      <c r="C450" s="88"/>
      <c r="D450" s="89"/>
      <c r="E450" s="89"/>
      <c r="F450" s="73"/>
      <c r="G450" s="73"/>
      <c r="H450" s="73"/>
      <c r="I450" s="73"/>
      <c r="J450" s="73"/>
      <c r="K450" s="73"/>
      <c r="L450" s="73"/>
      <c r="M450" s="74"/>
      <c r="N450" s="71" t="str">
        <f t="shared" si="6"/>
        <v/>
      </c>
      <c r="O450" s="72"/>
      <c r="P450" s="72"/>
      <c r="Q450" s="72"/>
      <c r="R450" s="72"/>
      <c r="S450" s="72"/>
      <c r="T450" s="72"/>
      <c r="U450" s="72"/>
      <c r="V450" s="72"/>
    </row>
    <row r="451" spans="1:22" ht="27.75" customHeight="1">
      <c r="A451" s="87" t="str">
        <f>IF(ISBLANK(C451)," ",446-COUNTBLANK($C$6:C451))</f>
        <v xml:space="preserve"> </v>
      </c>
      <c r="B451" s="88"/>
      <c r="C451" s="88"/>
      <c r="D451" s="89"/>
      <c r="E451" s="89"/>
      <c r="F451" s="73"/>
      <c r="G451" s="73"/>
      <c r="H451" s="73"/>
      <c r="I451" s="73"/>
      <c r="J451" s="73"/>
      <c r="K451" s="73"/>
      <c r="L451" s="73"/>
      <c r="M451" s="74"/>
      <c r="N451" s="71" t="str">
        <f t="shared" si="6"/>
        <v/>
      </c>
      <c r="O451" s="72"/>
      <c r="P451" s="72"/>
      <c r="Q451" s="72"/>
      <c r="R451" s="72"/>
      <c r="S451" s="72"/>
      <c r="T451" s="72"/>
      <c r="U451" s="72"/>
      <c r="V451" s="72"/>
    </row>
    <row r="452" spans="1:22" ht="27.75" customHeight="1">
      <c r="A452" s="87" t="str">
        <f>IF(ISBLANK(C452)," ",447-COUNTBLANK($C$6:C452))</f>
        <v xml:space="preserve"> </v>
      </c>
      <c r="B452" s="88"/>
      <c r="C452" s="88"/>
      <c r="D452" s="89"/>
      <c r="E452" s="89"/>
      <c r="F452" s="73"/>
      <c r="G452" s="73"/>
      <c r="H452" s="73"/>
      <c r="I452" s="73"/>
      <c r="J452" s="73"/>
      <c r="K452" s="73"/>
      <c r="L452" s="73"/>
      <c r="M452" s="74"/>
      <c r="N452" s="71" t="str">
        <f t="shared" si="6"/>
        <v/>
      </c>
      <c r="O452" s="72"/>
      <c r="P452" s="72"/>
      <c r="Q452" s="72"/>
      <c r="R452" s="72"/>
      <c r="S452" s="72"/>
      <c r="T452" s="72"/>
      <c r="U452" s="72"/>
      <c r="V452" s="72"/>
    </row>
    <row r="453" spans="1:22" ht="27.75" customHeight="1">
      <c r="A453" s="87" t="str">
        <f>IF(ISBLANK(C453)," ",448-COUNTBLANK($C$6:C453))</f>
        <v xml:space="preserve"> </v>
      </c>
      <c r="B453" s="88"/>
      <c r="C453" s="88"/>
      <c r="D453" s="89"/>
      <c r="E453" s="89"/>
      <c r="F453" s="73"/>
      <c r="G453" s="73"/>
      <c r="H453" s="73"/>
      <c r="I453" s="73"/>
      <c r="J453" s="73"/>
      <c r="K453" s="73"/>
      <c r="L453" s="73"/>
      <c r="M453" s="74"/>
      <c r="N453" s="71" t="str">
        <f t="shared" si="6"/>
        <v/>
      </c>
      <c r="O453" s="72"/>
      <c r="P453" s="72"/>
      <c r="Q453" s="72"/>
      <c r="R453" s="72"/>
      <c r="S453" s="72"/>
      <c r="T453" s="72"/>
      <c r="U453" s="72"/>
      <c r="V453" s="72"/>
    </row>
    <row r="454" spans="1:22" ht="27.75" customHeight="1">
      <c r="A454" s="87" t="str">
        <f>IF(ISBLANK(C454)," ",449-COUNTBLANK($C$6:C454))</f>
        <v xml:space="preserve"> </v>
      </c>
      <c r="B454" s="88"/>
      <c r="C454" s="88"/>
      <c r="D454" s="89"/>
      <c r="E454" s="89"/>
      <c r="F454" s="73"/>
      <c r="G454" s="73"/>
      <c r="H454" s="73"/>
      <c r="I454" s="73"/>
      <c r="J454" s="73"/>
      <c r="K454" s="73"/>
      <c r="L454" s="73"/>
      <c r="M454" s="74"/>
      <c r="N454" s="71" t="str">
        <f t="shared" ref="N454:N517" si="7">CONCATENATE(C454,H454)</f>
        <v/>
      </c>
      <c r="O454" s="72"/>
      <c r="P454" s="72"/>
      <c r="Q454" s="72"/>
      <c r="R454" s="72"/>
      <c r="S454" s="72"/>
      <c r="T454" s="72"/>
      <c r="U454" s="72"/>
      <c r="V454" s="72"/>
    </row>
    <row r="455" spans="1:22" ht="27.75" customHeight="1">
      <c r="A455" s="87" t="str">
        <f>IF(ISBLANK(C455)," ",450-COUNTBLANK($C$6:C455))</f>
        <v xml:space="preserve"> </v>
      </c>
      <c r="B455" s="88"/>
      <c r="C455" s="88"/>
      <c r="D455" s="89"/>
      <c r="E455" s="89"/>
      <c r="F455" s="73"/>
      <c r="G455" s="73"/>
      <c r="H455" s="73"/>
      <c r="I455" s="73"/>
      <c r="J455" s="73"/>
      <c r="K455" s="73"/>
      <c r="L455" s="73"/>
      <c r="M455" s="74"/>
      <c r="N455" s="71" t="str">
        <f t="shared" si="7"/>
        <v/>
      </c>
      <c r="O455" s="72"/>
      <c r="P455" s="72"/>
      <c r="Q455" s="72"/>
      <c r="R455" s="72"/>
      <c r="S455" s="72"/>
      <c r="T455" s="72"/>
      <c r="U455" s="72"/>
      <c r="V455" s="72"/>
    </row>
    <row r="456" spans="1:22" ht="27.75" customHeight="1">
      <c r="A456" s="87" t="str">
        <f>IF(ISBLANK(C456)," ",451-COUNTBLANK($C$6:C456))</f>
        <v xml:space="preserve"> </v>
      </c>
      <c r="B456" s="88"/>
      <c r="C456" s="88"/>
      <c r="D456" s="89"/>
      <c r="E456" s="89"/>
      <c r="F456" s="73"/>
      <c r="G456" s="73"/>
      <c r="H456" s="73"/>
      <c r="I456" s="73"/>
      <c r="J456" s="73"/>
      <c r="K456" s="73"/>
      <c r="L456" s="73"/>
      <c r="M456" s="74"/>
      <c r="N456" s="71" t="str">
        <f t="shared" si="7"/>
        <v/>
      </c>
      <c r="O456" s="72"/>
      <c r="P456" s="72"/>
      <c r="Q456" s="72"/>
      <c r="R456" s="72"/>
      <c r="S456" s="72"/>
      <c r="T456" s="72"/>
      <c r="U456" s="72"/>
      <c r="V456" s="72"/>
    </row>
    <row r="457" spans="1:22" ht="27.75" customHeight="1">
      <c r="A457" s="87" t="str">
        <f>IF(ISBLANK(C457)," ",452-COUNTBLANK($C$6:C457))</f>
        <v xml:space="preserve"> </v>
      </c>
      <c r="B457" s="88"/>
      <c r="C457" s="88"/>
      <c r="D457" s="89"/>
      <c r="E457" s="89"/>
      <c r="F457" s="73"/>
      <c r="G457" s="73"/>
      <c r="H457" s="73"/>
      <c r="I457" s="73"/>
      <c r="J457" s="73"/>
      <c r="K457" s="73"/>
      <c r="L457" s="73"/>
      <c r="M457" s="74"/>
      <c r="N457" s="71" t="str">
        <f t="shared" si="7"/>
        <v/>
      </c>
      <c r="O457" s="72"/>
      <c r="P457" s="72"/>
      <c r="Q457" s="72"/>
      <c r="R457" s="72"/>
      <c r="S457" s="72"/>
      <c r="T457" s="72"/>
      <c r="U457" s="72"/>
      <c r="V457" s="72"/>
    </row>
    <row r="458" spans="1:22" ht="27.75" customHeight="1">
      <c r="A458" s="87" t="str">
        <f>IF(ISBLANK(C458)," ",453-COUNTBLANK($C$6:C458))</f>
        <v xml:space="preserve"> </v>
      </c>
      <c r="B458" s="88"/>
      <c r="C458" s="88"/>
      <c r="D458" s="89"/>
      <c r="E458" s="89"/>
      <c r="F458" s="73"/>
      <c r="G458" s="73"/>
      <c r="H458" s="73"/>
      <c r="I458" s="73"/>
      <c r="J458" s="73"/>
      <c r="K458" s="73"/>
      <c r="L458" s="73"/>
      <c r="M458" s="74"/>
      <c r="N458" s="71" t="str">
        <f t="shared" si="7"/>
        <v/>
      </c>
      <c r="O458" s="72"/>
      <c r="P458" s="72"/>
      <c r="Q458" s="72"/>
      <c r="R458" s="72"/>
      <c r="S458" s="72"/>
      <c r="T458" s="72"/>
      <c r="U458" s="72"/>
      <c r="V458" s="72"/>
    </row>
    <row r="459" spans="1:22" ht="27.75" customHeight="1">
      <c r="A459" s="87" t="str">
        <f>IF(ISBLANK(C459)," ",454-COUNTBLANK($C$6:C459))</f>
        <v xml:space="preserve"> </v>
      </c>
      <c r="B459" s="88"/>
      <c r="C459" s="88"/>
      <c r="D459" s="89"/>
      <c r="E459" s="89"/>
      <c r="F459" s="73"/>
      <c r="G459" s="73"/>
      <c r="H459" s="73"/>
      <c r="I459" s="73"/>
      <c r="J459" s="73"/>
      <c r="K459" s="73"/>
      <c r="L459" s="73"/>
      <c r="M459" s="74"/>
      <c r="N459" s="71" t="str">
        <f t="shared" si="7"/>
        <v/>
      </c>
      <c r="O459" s="72"/>
      <c r="P459" s="72"/>
      <c r="Q459" s="72"/>
      <c r="R459" s="72"/>
      <c r="S459" s="72"/>
      <c r="T459" s="72"/>
      <c r="U459" s="72"/>
      <c r="V459" s="72"/>
    </row>
    <row r="460" spans="1:22" ht="27.75" customHeight="1">
      <c r="A460" s="87" t="str">
        <f>IF(ISBLANK(C460)," ",455-COUNTBLANK($C$6:C460))</f>
        <v xml:space="preserve"> </v>
      </c>
      <c r="B460" s="88"/>
      <c r="C460" s="88"/>
      <c r="D460" s="89"/>
      <c r="E460" s="89"/>
      <c r="F460" s="73"/>
      <c r="G460" s="73"/>
      <c r="H460" s="73"/>
      <c r="I460" s="73"/>
      <c r="J460" s="73"/>
      <c r="K460" s="73"/>
      <c r="L460" s="73"/>
      <c r="M460" s="74"/>
      <c r="N460" s="71" t="str">
        <f t="shared" si="7"/>
        <v/>
      </c>
      <c r="O460" s="72"/>
      <c r="P460" s="72"/>
      <c r="Q460" s="72"/>
      <c r="R460" s="72"/>
      <c r="S460" s="72"/>
      <c r="T460" s="72"/>
      <c r="U460" s="72"/>
      <c r="V460" s="72"/>
    </row>
    <row r="461" spans="1:22" ht="27.75" customHeight="1">
      <c r="A461" s="87" t="str">
        <f>IF(ISBLANK(C461)," ",456-COUNTBLANK($C$6:C461))</f>
        <v xml:space="preserve"> </v>
      </c>
      <c r="B461" s="88"/>
      <c r="C461" s="88"/>
      <c r="D461" s="89"/>
      <c r="E461" s="89"/>
      <c r="F461" s="73"/>
      <c r="G461" s="73"/>
      <c r="H461" s="73"/>
      <c r="I461" s="73"/>
      <c r="J461" s="73"/>
      <c r="K461" s="73"/>
      <c r="L461" s="73"/>
      <c r="M461" s="74"/>
      <c r="N461" s="71" t="str">
        <f t="shared" si="7"/>
        <v/>
      </c>
      <c r="O461" s="72"/>
      <c r="P461" s="72"/>
      <c r="Q461" s="72"/>
      <c r="R461" s="72"/>
      <c r="S461" s="72"/>
      <c r="T461" s="72"/>
      <c r="U461" s="72"/>
      <c r="V461" s="72"/>
    </row>
    <row r="462" spans="1:22" ht="27.75" customHeight="1">
      <c r="A462" s="87" t="str">
        <f>IF(ISBLANK(C462)," ",457-COUNTBLANK($C$6:C462))</f>
        <v xml:space="preserve"> </v>
      </c>
      <c r="B462" s="88"/>
      <c r="C462" s="88"/>
      <c r="D462" s="89"/>
      <c r="E462" s="89"/>
      <c r="F462" s="73"/>
      <c r="G462" s="73"/>
      <c r="H462" s="73"/>
      <c r="I462" s="73"/>
      <c r="J462" s="73"/>
      <c r="K462" s="73"/>
      <c r="L462" s="73"/>
      <c r="M462" s="74"/>
      <c r="N462" s="71" t="str">
        <f t="shared" si="7"/>
        <v/>
      </c>
      <c r="O462" s="75"/>
      <c r="P462" s="72"/>
      <c r="Q462" s="72"/>
      <c r="R462" s="72"/>
      <c r="S462" s="72"/>
      <c r="T462" s="72"/>
      <c r="U462" s="72"/>
      <c r="V462" s="76"/>
    </row>
    <row r="463" spans="1:22" ht="27.75" customHeight="1">
      <c r="A463" s="87" t="str">
        <f>IF(ISBLANK(C463)," ",458-COUNTBLANK($C$6:C463))</f>
        <v xml:space="preserve"> </v>
      </c>
      <c r="B463" s="88"/>
      <c r="C463" s="88"/>
      <c r="D463" s="89"/>
      <c r="E463" s="89"/>
      <c r="F463" s="73"/>
      <c r="G463" s="73"/>
      <c r="H463" s="73"/>
      <c r="I463" s="73"/>
      <c r="J463" s="73"/>
      <c r="K463" s="73"/>
      <c r="L463" s="73"/>
      <c r="M463" s="74"/>
      <c r="N463" s="71" t="str">
        <f t="shared" si="7"/>
        <v/>
      </c>
      <c r="O463" s="75"/>
      <c r="P463" s="72"/>
      <c r="Q463" s="72"/>
      <c r="R463" s="72"/>
      <c r="S463" s="72"/>
      <c r="T463" s="72"/>
      <c r="U463" s="72"/>
      <c r="V463" s="76"/>
    </row>
    <row r="464" spans="1:22" ht="27.75" customHeight="1">
      <c r="A464" s="87" t="str">
        <f>IF(ISBLANK(C464)," ",459-COUNTBLANK($C$6:C464))</f>
        <v xml:space="preserve"> </v>
      </c>
      <c r="B464" s="88"/>
      <c r="C464" s="88"/>
      <c r="D464" s="89"/>
      <c r="E464" s="89"/>
      <c r="F464" s="73"/>
      <c r="G464" s="73"/>
      <c r="H464" s="73"/>
      <c r="I464" s="73"/>
      <c r="J464" s="73"/>
      <c r="K464" s="73"/>
      <c r="L464" s="73"/>
      <c r="M464" s="74"/>
      <c r="N464" s="71" t="str">
        <f t="shared" si="7"/>
        <v/>
      </c>
      <c r="O464" s="75"/>
      <c r="P464" s="72"/>
      <c r="Q464" s="72"/>
      <c r="R464" s="72"/>
      <c r="S464" s="72"/>
      <c r="T464" s="72"/>
      <c r="U464" s="72"/>
      <c r="V464" s="76"/>
    </row>
    <row r="465" spans="1:25" ht="27.75" customHeight="1">
      <c r="A465" s="87" t="str">
        <f>IF(ISBLANK(C465)," ",460-COUNTBLANK($C$6:C465))</f>
        <v xml:space="preserve"> </v>
      </c>
      <c r="B465" s="88"/>
      <c r="C465" s="88"/>
      <c r="D465" s="89"/>
      <c r="E465" s="89"/>
      <c r="F465" s="73"/>
      <c r="G465" s="73"/>
      <c r="H465" s="73"/>
      <c r="I465" s="73"/>
      <c r="J465" s="73"/>
      <c r="K465" s="73"/>
      <c r="L465" s="73"/>
      <c r="M465" s="74"/>
      <c r="N465" s="71" t="str">
        <f t="shared" si="7"/>
        <v/>
      </c>
      <c r="O465" s="75"/>
      <c r="P465" s="72"/>
      <c r="Q465" s="72"/>
      <c r="R465" s="72"/>
      <c r="S465" s="72"/>
      <c r="T465" s="72"/>
      <c r="U465" s="72"/>
      <c r="V465" s="76"/>
    </row>
    <row r="466" spans="1:25" ht="27.75" customHeight="1">
      <c r="A466" s="87" t="str">
        <f>IF(ISBLANK(C466)," ",461-COUNTBLANK($C$6:C466))</f>
        <v xml:space="preserve"> </v>
      </c>
      <c r="B466" s="88"/>
      <c r="C466" s="88"/>
      <c r="D466" s="89"/>
      <c r="E466" s="89"/>
      <c r="F466" s="73"/>
      <c r="G466" s="73"/>
      <c r="H466" s="73"/>
      <c r="I466" s="73"/>
      <c r="J466" s="73"/>
      <c r="K466" s="73"/>
      <c r="L466" s="73"/>
      <c r="M466" s="74"/>
      <c r="N466" s="71" t="str">
        <f t="shared" si="7"/>
        <v/>
      </c>
      <c r="O466" s="72"/>
      <c r="P466" s="72"/>
      <c r="Q466" s="72"/>
      <c r="R466" s="72"/>
      <c r="S466" s="72"/>
      <c r="T466" s="72"/>
      <c r="U466" s="72"/>
      <c r="V466" s="79"/>
      <c r="W466" s="72"/>
      <c r="X466" s="72"/>
      <c r="Y466" s="72"/>
    </row>
    <row r="467" spans="1:25" ht="27.75" customHeight="1">
      <c r="A467" s="80" t="s">
        <v>52</v>
      </c>
      <c r="B467" s="81"/>
      <c r="C467" s="96"/>
      <c r="D467" s="82"/>
      <c r="E467" s="82">
        <f>SUM(E447:E466)</f>
        <v>0</v>
      </c>
      <c r="F467" s="83"/>
      <c r="G467" s="83"/>
      <c r="H467" s="83"/>
      <c r="I467" s="83"/>
      <c r="J467" s="83"/>
      <c r="K467" s="83"/>
      <c r="L467" s="83"/>
      <c r="M467" s="84"/>
      <c r="N467" s="71" t="str">
        <f t="shared" si="7"/>
        <v/>
      </c>
      <c r="O467" s="75"/>
      <c r="P467" s="72"/>
      <c r="Q467" s="72"/>
      <c r="R467" s="72"/>
      <c r="S467" s="72"/>
      <c r="T467" s="72"/>
      <c r="U467" s="72"/>
      <c r="V467" s="79"/>
      <c r="W467" s="72"/>
      <c r="X467" s="72"/>
      <c r="Y467" s="72"/>
    </row>
    <row r="468" spans="1:25" ht="27.75" customHeight="1">
      <c r="A468" s="93" t="str">
        <f>IF(ISBLANK(C468)," ",463-COUNTBLANK($C$6:C468))</f>
        <v xml:space="preserve"> </v>
      </c>
      <c r="B468" s="94"/>
      <c r="C468" s="94"/>
      <c r="D468" s="95"/>
      <c r="E468" s="95"/>
      <c r="F468" s="85"/>
      <c r="G468" s="85"/>
      <c r="H468" s="85"/>
      <c r="I468" s="85"/>
      <c r="J468" s="85"/>
      <c r="K468" s="85"/>
      <c r="L468" s="85"/>
      <c r="M468" s="86"/>
      <c r="N468" s="71" t="str">
        <f t="shared" si="7"/>
        <v/>
      </c>
      <c r="O468" s="72"/>
      <c r="P468" s="72"/>
      <c r="Q468" s="72"/>
      <c r="R468" s="72"/>
      <c r="S468" s="72"/>
      <c r="T468" s="72"/>
      <c r="U468" s="72"/>
      <c r="V468" s="72"/>
    </row>
    <row r="469" spans="1:25" ht="27.75" customHeight="1">
      <c r="A469" s="87" t="str">
        <f>IF(ISBLANK(C469)," ",464-COUNTBLANK($C$6:C469))</f>
        <v xml:space="preserve"> </v>
      </c>
      <c r="B469" s="88"/>
      <c r="C469" s="88"/>
      <c r="D469" s="89"/>
      <c r="E469" s="89"/>
      <c r="F469" s="73"/>
      <c r="G469" s="73"/>
      <c r="H469" s="73"/>
      <c r="I469" s="73"/>
      <c r="J469" s="73"/>
      <c r="K469" s="73"/>
      <c r="L469" s="73"/>
      <c r="M469" s="74"/>
      <c r="N469" s="71" t="str">
        <f t="shared" si="7"/>
        <v/>
      </c>
      <c r="O469" s="72"/>
      <c r="P469" s="72"/>
      <c r="Q469" s="72"/>
      <c r="R469" s="72"/>
      <c r="S469" s="72"/>
      <c r="T469" s="72"/>
      <c r="U469" s="72"/>
      <c r="V469" s="72"/>
    </row>
    <row r="470" spans="1:25" ht="27.75" customHeight="1">
      <c r="A470" s="87" t="str">
        <f>IF(ISBLANK(C470)," ",465-COUNTBLANK($C$6:C470))</f>
        <v xml:space="preserve"> </v>
      </c>
      <c r="B470" s="88"/>
      <c r="C470" s="88"/>
      <c r="D470" s="89"/>
      <c r="E470" s="89"/>
      <c r="F470" s="73"/>
      <c r="G470" s="73"/>
      <c r="H470" s="73"/>
      <c r="I470" s="73"/>
      <c r="J470" s="73"/>
      <c r="K470" s="73"/>
      <c r="L470" s="73"/>
      <c r="M470" s="74"/>
      <c r="N470" s="71" t="str">
        <f t="shared" si="7"/>
        <v/>
      </c>
      <c r="O470" s="72"/>
      <c r="P470" s="72"/>
      <c r="Q470" s="72"/>
      <c r="R470" s="72"/>
      <c r="S470" s="72"/>
      <c r="T470" s="72"/>
      <c r="U470" s="72"/>
      <c r="V470" s="72"/>
    </row>
    <row r="471" spans="1:25" ht="27.75" customHeight="1">
      <c r="A471" s="87" t="str">
        <f>IF(ISBLANK(C471)," ",466-COUNTBLANK($C$6:C471))</f>
        <v xml:space="preserve"> </v>
      </c>
      <c r="B471" s="88"/>
      <c r="C471" s="88"/>
      <c r="D471" s="89"/>
      <c r="E471" s="89"/>
      <c r="F471" s="73"/>
      <c r="G471" s="73"/>
      <c r="H471" s="73"/>
      <c r="I471" s="73"/>
      <c r="J471" s="73"/>
      <c r="K471" s="73"/>
      <c r="L471" s="73"/>
      <c r="M471" s="74"/>
      <c r="N471" s="71" t="str">
        <f t="shared" si="7"/>
        <v/>
      </c>
      <c r="O471" s="72"/>
      <c r="P471" s="72"/>
      <c r="Q471" s="72"/>
      <c r="R471" s="72"/>
      <c r="S471" s="72"/>
      <c r="T471" s="72"/>
      <c r="U471" s="72"/>
      <c r="V471" s="72"/>
    </row>
    <row r="472" spans="1:25" ht="27.75" customHeight="1">
      <c r="A472" s="87" t="str">
        <f>IF(ISBLANK(C472)," ",467-COUNTBLANK($C$6:C472))</f>
        <v xml:space="preserve"> </v>
      </c>
      <c r="B472" s="88"/>
      <c r="C472" s="88"/>
      <c r="D472" s="89"/>
      <c r="E472" s="89"/>
      <c r="F472" s="73"/>
      <c r="G472" s="73"/>
      <c r="H472" s="73"/>
      <c r="I472" s="73"/>
      <c r="J472" s="73"/>
      <c r="K472" s="73"/>
      <c r="L472" s="73"/>
      <c r="M472" s="74"/>
      <c r="N472" s="71" t="str">
        <f t="shared" si="7"/>
        <v/>
      </c>
      <c r="O472" s="72"/>
      <c r="P472" s="72"/>
      <c r="Q472" s="72"/>
      <c r="R472" s="72"/>
      <c r="S472" s="72"/>
      <c r="T472" s="72"/>
      <c r="U472" s="72"/>
      <c r="V472" s="72"/>
    </row>
    <row r="473" spans="1:25" ht="27.75" customHeight="1">
      <c r="A473" s="87" t="str">
        <f>IF(ISBLANK(C473)," ",468-COUNTBLANK($C$6:C473))</f>
        <v xml:space="preserve"> </v>
      </c>
      <c r="B473" s="88"/>
      <c r="C473" s="88"/>
      <c r="D473" s="89"/>
      <c r="E473" s="89"/>
      <c r="F473" s="73"/>
      <c r="G473" s="73"/>
      <c r="H473" s="73"/>
      <c r="I473" s="73"/>
      <c r="J473" s="73"/>
      <c r="K473" s="73"/>
      <c r="L473" s="73"/>
      <c r="M473" s="74"/>
      <c r="N473" s="71" t="str">
        <f t="shared" si="7"/>
        <v/>
      </c>
      <c r="O473" s="72"/>
      <c r="P473" s="72"/>
      <c r="Q473" s="72"/>
      <c r="R473" s="72"/>
      <c r="S473" s="72"/>
      <c r="T473" s="72"/>
      <c r="U473" s="72"/>
      <c r="V473" s="72"/>
    </row>
    <row r="474" spans="1:25" ht="27.75" customHeight="1">
      <c r="A474" s="87" t="str">
        <f>IF(ISBLANK(C474)," ",469-COUNTBLANK($C$6:C474))</f>
        <v xml:space="preserve"> </v>
      </c>
      <c r="B474" s="88"/>
      <c r="C474" s="88"/>
      <c r="D474" s="89"/>
      <c r="E474" s="89"/>
      <c r="F474" s="73"/>
      <c r="G474" s="73"/>
      <c r="H474" s="73"/>
      <c r="I474" s="73"/>
      <c r="J474" s="73"/>
      <c r="K474" s="73"/>
      <c r="L474" s="73"/>
      <c r="M474" s="74"/>
      <c r="N474" s="71" t="str">
        <f t="shared" si="7"/>
        <v/>
      </c>
      <c r="O474" s="72"/>
      <c r="P474" s="72"/>
      <c r="Q474" s="72"/>
      <c r="R474" s="72"/>
      <c r="S474" s="72"/>
      <c r="T474" s="72"/>
      <c r="U474" s="72"/>
      <c r="V474" s="72"/>
    </row>
    <row r="475" spans="1:25" ht="27.75" customHeight="1">
      <c r="A475" s="87" t="str">
        <f>IF(ISBLANK(C475)," ",470-COUNTBLANK($C$6:C475))</f>
        <v xml:space="preserve"> </v>
      </c>
      <c r="B475" s="88"/>
      <c r="C475" s="88"/>
      <c r="D475" s="89"/>
      <c r="E475" s="89"/>
      <c r="F475" s="73"/>
      <c r="G475" s="73"/>
      <c r="H475" s="73"/>
      <c r="I475" s="73"/>
      <c r="J475" s="73"/>
      <c r="K475" s="73"/>
      <c r="L475" s="73"/>
      <c r="M475" s="74"/>
      <c r="N475" s="71" t="str">
        <f t="shared" si="7"/>
        <v/>
      </c>
      <c r="O475" s="72"/>
      <c r="P475" s="72"/>
      <c r="Q475" s="72"/>
      <c r="R475" s="72"/>
      <c r="S475" s="72"/>
      <c r="T475" s="72"/>
      <c r="U475" s="72"/>
      <c r="V475" s="72"/>
    </row>
    <row r="476" spans="1:25" ht="27.75" customHeight="1">
      <c r="A476" s="87" t="str">
        <f>IF(ISBLANK(C476)," ",471-COUNTBLANK($C$6:C476))</f>
        <v xml:space="preserve"> </v>
      </c>
      <c r="B476" s="88"/>
      <c r="C476" s="88"/>
      <c r="D476" s="89"/>
      <c r="E476" s="89"/>
      <c r="F476" s="73"/>
      <c r="G476" s="73"/>
      <c r="H476" s="73"/>
      <c r="I476" s="73"/>
      <c r="J476" s="73"/>
      <c r="K476" s="73"/>
      <c r="L476" s="73"/>
      <c r="M476" s="74"/>
      <c r="N476" s="71" t="str">
        <f t="shared" si="7"/>
        <v/>
      </c>
      <c r="O476" s="72"/>
      <c r="P476" s="72"/>
      <c r="Q476" s="72"/>
      <c r="R476" s="72"/>
      <c r="S476" s="72"/>
      <c r="T476" s="72"/>
      <c r="U476" s="72"/>
      <c r="V476" s="72"/>
    </row>
    <row r="477" spans="1:25" ht="27.75" customHeight="1">
      <c r="A477" s="87" t="str">
        <f>IF(ISBLANK(C477)," ",472-COUNTBLANK($C$6:C477))</f>
        <v xml:space="preserve"> </v>
      </c>
      <c r="B477" s="88"/>
      <c r="C477" s="88"/>
      <c r="D477" s="89"/>
      <c r="E477" s="89"/>
      <c r="F477" s="73"/>
      <c r="G477" s="73"/>
      <c r="H477" s="73"/>
      <c r="I477" s="73"/>
      <c r="J477" s="73"/>
      <c r="K477" s="73"/>
      <c r="L477" s="73"/>
      <c r="M477" s="74"/>
      <c r="N477" s="71" t="str">
        <f t="shared" si="7"/>
        <v/>
      </c>
      <c r="O477" s="72"/>
      <c r="P477" s="72"/>
      <c r="Q477" s="72"/>
      <c r="R477" s="72"/>
      <c r="S477" s="72"/>
      <c r="T477" s="72"/>
      <c r="U477" s="72"/>
      <c r="V477" s="72"/>
    </row>
    <row r="478" spans="1:25" ht="27.75" customHeight="1">
      <c r="A478" s="87" t="str">
        <f>IF(ISBLANK(C478)," ",473-COUNTBLANK($C$6:C478))</f>
        <v xml:space="preserve"> </v>
      </c>
      <c r="B478" s="88"/>
      <c r="C478" s="88"/>
      <c r="D478" s="89"/>
      <c r="E478" s="89"/>
      <c r="F478" s="73"/>
      <c r="G478" s="73"/>
      <c r="H478" s="73"/>
      <c r="I478" s="73"/>
      <c r="J478" s="73"/>
      <c r="K478" s="73"/>
      <c r="L478" s="73"/>
      <c r="M478" s="74"/>
      <c r="N478" s="71" t="str">
        <f t="shared" si="7"/>
        <v/>
      </c>
      <c r="O478" s="72"/>
      <c r="P478" s="72"/>
      <c r="Q478" s="72"/>
      <c r="R478" s="72"/>
      <c r="S478" s="72"/>
      <c r="T478" s="72"/>
      <c r="U478" s="72"/>
      <c r="V478" s="72"/>
    </row>
    <row r="479" spans="1:25" ht="27.75" customHeight="1">
      <c r="A479" s="87" t="str">
        <f>IF(ISBLANK(C479)," ",474-COUNTBLANK($C$6:C479))</f>
        <v xml:space="preserve"> </v>
      </c>
      <c r="B479" s="88"/>
      <c r="C479" s="88"/>
      <c r="D479" s="89"/>
      <c r="E479" s="89"/>
      <c r="F479" s="73"/>
      <c r="G479" s="73"/>
      <c r="H479" s="73"/>
      <c r="I479" s="73"/>
      <c r="J479" s="73"/>
      <c r="K479" s="73"/>
      <c r="L479" s="73"/>
      <c r="M479" s="74"/>
      <c r="N479" s="71" t="str">
        <f t="shared" si="7"/>
        <v/>
      </c>
      <c r="O479" s="72"/>
      <c r="P479" s="72"/>
      <c r="Q479" s="72"/>
      <c r="R479" s="72"/>
      <c r="S479" s="72"/>
      <c r="T479" s="72"/>
      <c r="U479" s="72"/>
      <c r="V479" s="72"/>
    </row>
    <row r="480" spans="1:25" ht="27.75" customHeight="1">
      <c r="A480" s="87" t="str">
        <f>IF(ISBLANK(C480)," ",475-COUNTBLANK($C$6:C480))</f>
        <v xml:space="preserve"> </v>
      </c>
      <c r="B480" s="88"/>
      <c r="C480" s="88"/>
      <c r="D480" s="89"/>
      <c r="E480" s="89"/>
      <c r="F480" s="73"/>
      <c r="G480" s="73"/>
      <c r="H480" s="73"/>
      <c r="I480" s="73"/>
      <c r="J480" s="73"/>
      <c r="K480" s="73"/>
      <c r="L480" s="73"/>
      <c r="M480" s="74"/>
      <c r="N480" s="71" t="str">
        <f t="shared" si="7"/>
        <v/>
      </c>
      <c r="O480" s="72"/>
      <c r="P480" s="72"/>
      <c r="Q480" s="72"/>
      <c r="R480" s="72"/>
      <c r="S480" s="72"/>
      <c r="T480" s="72"/>
      <c r="U480" s="72"/>
      <c r="V480" s="72"/>
    </row>
    <row r="481" spans="1:25" ht="27.75" customHeight="1">
      <c r="A481" s="87" t="str">
        <f>IF(ISBLANK(C481)," ",476-COUNTBLANK($C$6:C481))</f>
        <v xml:space="preserve"> </v>
      </c>
      <c r="B481" s="88"/>
      <c r="C481" s="88"/>
      <c r="D481" s="89"/>
      <c r="E481" s="89"/>
      <c r="F481" s="73"/>
      <c r="G481" s="73"/>
      <c r="H481" s="73"/>
      <c r="I481" s="73"/>
      <c r="J481" s="73"/>
      <c r="K481" s="73"/>
      <c r="L481" s="73"/>
      <c r="M481" s="74"/>
      <c r="N481" s="71" t="str">
        <f t="shared" si="7"/>
        <v/>
      </c>
      <c r="O481" s="72"/>
      <c r="P481" s="72"/>
      <c r="Q481" s="72"/>
      <c r="R481" s="72"/>
      <c r="S481" s="72"/>
      <c r="T481" s="72"/>
      <c r="U481" s="72"/>
      <c r="V481" s="72"/>
    </row>
    <row r="482" spans="1:25" ht="27.75" customHeight="1">
      <c r="A482" s="87" t="str">
        <f>IF(ISBLANK(C482)," ",477-COUNTBLANK($C$6:C482))</f>
        <v xml:space="preserve"> </v>
      </c>
      <c r="B482" s="88"/>
      <c r="C482" s="88"/>
      <c r="D482" s="89"/>
      <c r="E482" s="89"/>
      <c r="F482" s="73"/>
      <c r="G482" s="73"/>
      <c r="H482" s="73"/>
      <c r="I482" s="73"/>
      <c r="J482" s="73"/>
      <c r="K482" s="73"/>
      <c r="L482" s="73"/>
      <c r="M482" s="74"/>
      <c r="N482" s="71" t="str">
        <f t="shared" si="7"/>
        <v/>
      </c>
      <c r="O482" s="72"/>
      <c r="P482" s="72"/>
      <c r="Q482" s="72"/>
      <c r="R482" s="72"/>
      <c r="S482" s="72"/>
      <c r="T482" s="72"/>
      <c r="U482" s="72"/>
      <c r="V482" s="72"/>
    </row>
    <row r="483" spans="1:25" ht="27.75" customHeight="1">
      <c r="A483" s="87" t="str">
        <f>IF(ISBLANK(C483)," ",478-COUNTBLANK($C$6:C483))</f>
        <v xml:space="preserve"> </v>
      </c>
      <c r="B483" s="88"/>
      <c r="C483" s="88"/>
      <c r="D483" s="89"/>
      <c r="E483" s="89"/>
      <c r="F483" s="73"/>
      <c r="G483" s="73"/>
      <c r="H483" s="73"/>
      <c r="I483" s="73"/>
      <c r="J483" s="73"/>
      <c r="K483" s="73"/>
      <c r="L483" s="73"/>
      <c r="M483" s="74"/>
      <c r="N483" s="71" t="str">
        <f t="shared" si="7"/>
        <v/>
      </c>
      <c r="O483" s="75"/>
      <c r="P483" s="72"/>
      <c r="Q483" s="72"/>
      <c r="R483" s="72"/>
      <c r="S483" s="72"/>
      <c r="T483" s="72"/>
      <c r="U483" s="72"/>
      <c r="V483" s="76"/>
    </row>
    <row r="484" spans="1:25" ht="27.75" customHeight="1">
      <c r="A484" s="87" t="str">
        <f>IF(ISBLANK(C484)," ",479-COUNTBLANK($C$6:C484))</f>
        <v xml:space="preserve"> </v>
      </c>
      <c r="B484" s="88"/>
      <c r="C484" s="88"/>
      <c r="D484" s="89"/>
      <c r="E484" s="89"/>
      <c r="F484" s="73"/>
      <c r="G484" s="73"/>
      <c r="H484" s="73"/>
      <c r="I484" s="73"/>
      <c r="J484" s="73"/>
      <c r="K484" s="73"/>
      <c r="L484" s="73"/>
      <c r="M484" s="74"/>
      <c r="N484" s="71" t="str">
        <f t="shared" si="7"/>
        <v/>
      </c>
      <c r="O484" s="75"/>
      <c r="P484" s="72"/>
      <c r="Q484" s="72"/>
      <c r="R484" s="72"/>
      <c r="S484" s="72"/>
      <c r="T484" s="72"/>
      <c r="U484" s="72"/>
      <c r="V484" s="76"/>
    </row>
    <row r="485" spans="1:25" ht="27.75" customHeight="1">
      <c r="A485" s="87" t="str">
        <f>IF(ISBLANK(C485)," ",480-COUNTBLANK($C$6:C485))</f>
        <v xml:space="preserve"> </v>
      </c>
      <c r="B485" s="88"/>
      <c r="C485" s="88"/>
      <c r="D485" s="89"/>
      <c r="E485" s="89"/>
      <c r="F485" s="73"/>
      <c r="G485" s="73"/>
      <c r="H485" s="73"/>
      <c r="I485" s="73"/>
      <c r="J485" s="73"/>
      <c r="K485" s="73"/>
      <c r="L485" s="73"/>
      <c r="M485" s="74"/>
      <c r="N485" s="71" t="str">
        <f t="shared" si="7"/>
        <v/>
      </c>
      <c r="O485" s="75"/>
      <c r="P485" s="72"/>
      <c r="Q485" s="72"/>
      <c r="R485" s="72"/>
      <c r="S485" s="72"/>
      <c r="T485" s="72"/>
      <c r="U485" s="72"/>
      <c r="V485" s="76"/>
    </row>
    <row r="486" spans="1:25" ht="27.75" customHeight="1">
      <c r="A486" s="87" t="str">
        <f>IF(ISBLANK(C486)," ",481-COUNTBLANK($C$6:C486))</f>
        <v xml:space="preserve"> </v>
      </c>
      <c r="B486" s="88"/>
      <c r="C486" s="88"/>
      <c r="D486" s="89"/>
      <c r="E486" s="89"/>
      <c r="F486" s="73"/>
      <c r="G486" s="73"/>
      <c r="H486" s="73"/>
      <c r="I486" s="73"/>
      <c r="J486" s="73"/>
      <c r="K486" s="73"/>
      <c r="L486" s="73"/>
      <c r="M486" s="74"/>
      <c r="N486" s="71" t="str">
        <f t="shared" si="7"/>
        <v/>
      </c>
      <c r="O486" s="75"/>
      <c r="P486" s="72"/>
      <c r="Q486" s="72"/>
      <c r="R486" s="72"/>
      <c r="S486" s="72"/>
      <c r="T486" s="72"/>
      <c r="U486" s="72"/>
      <c r="V486" s="76"/>
    </row>
    <row r="487" spans="1:25" ht="27.75" customHeight="1">
      <c r="A487" s="87" t="str">
        <f>IF(ISBLANK(C487)," ",482-COUNTBLANK($C$6:C487))</f>
        <v xml:space="preserve"> </v>
      </c>
      <c r="B487" s="88"/>
      <c r="C487" s="88"/>
      <c r="D487" s="89"/>
      <c r="E487" s="89"/>
      <c r="F487" s="73"/>
      <c r="G487" s="73"/>
      <c r="H487" s="73"/>
      <c r="I487" s="73"/>
      <c r="J487" s="73"/>
      <c r="K487" s="73"/>
      <c r="L487" s="73"/>
      <c r="M487" s="74"/>
      <c r="N487" s="71" t="str">
        <f t="shared" si="7"/>
        <v/>
      </c>
      <c r="O487" s="72"/>
      <c r="P487" s="72"/>
      <c r="Q487" s="72"/>
      <c r="R487" s="72"/>
      <c r="S487" s="72"/>
      <c r="T487" s="72"/>
      <c r="U487" s="72"/>
      <c r="V487" s="79"/>
      <c r="W487" s="72"/>
      <c r="X487" s="72"/>
      <c r="Y487" s="72"/>
    </row>
    <row r="488" spans="1:25" ht="27.75" customHeight="1">
      <c r="A488" s="80" t="s">
        <v>52</v>
      </c>
      <c r="B488" s="81"/>
      <c r="C488" s="96"/>
      <c r="D488" s="82"/>
      <c r="E488" s="82">
        <f>SUM(E468:E487)</f>
        <v>0</v>
      </c>
      <c r="F488" s="83"/>
      <c r="G488" s="83"/>
      <c r="H488" s="83"/>
      <c r="I488" s="83"/>
      <c r="J488" s="83"/>
      <c r="K488" s="83"/>
      <c r="L488" s="83"/>
      <c r="M488" s="84"/>
      <c r="N488" s="71" t="str">
        <f t="shared" si="7"/>
        <v/>
      </c>
      <c r="O488" s="75"/>
      <c r="P488" s="72"/>
      <c r="Q488" s="72"/>
      <c r="R488" s="72"/>
      <c r="S488" s="72"/>
      <c r="T488" s="72"/>
      <c r="U488" s="72"/>
      <c r="V488" s="79"/>
      <c r="W488" s="72"/>
      <c r="X488" s="72"/>
      <c r="Y488" s="72"/>
    </row>
    <row r="489" spans="1:25" ht="27.75" customHeight="1">
      <c r="A489" s="93" t="str">
        <f>IF(ISBLANK(C489)," ",484-COUNTBLANK($C$6:C489))</f>
        <v xml:space="preserve"> </v>
      </c>
      <c r="B489" s="94"/>
      <c r="C489" s="94"/>
      <c r="D489" s="95"/>
      <c r="E489" s="95"/>
      <c r="F489" s="85"/>
      <c r="G489" s="85"/>
      <c r="H489" s="85"/>
      <c r="I489" s="85"/>
      <c r="J489" s="85"/>
      <c r="K489" s="85"/>
      <c r="L489" s="85"/>
      <c r="M489" s="86"/>
      <c r="N489" s="71" t="str">
        <f t="shared" si="7"/>
        <v/>
      </c>
      <c r="O489" s="72"/>
      <c r="P489" s="72"/>
      <c r="Q489" s="72"/>
      <c r="R489" s="72"/>
      <c r="S489" s="72"/>
      <c r="T489" s="72"/>
      <c r="U489" s="72"/>
      <c r="V489" s="72"/>
    </row>
    <row r="490" spans="1:25" ht="27.75" customHeight="1">
      <c r="A490" s="87" t="str">
        <f>IF(ISBLANK(C490)," ",485-COUNTBLANK($C$6:C490))</f>
        <v xml:space="preserve"> </v>
      </c>
      <c r="B490" s="88"/>
      <c r="C490" s="88"/>
      <c r="D490" s="89"/>
      <c r="E490" s="89"/>
      <c r="F490" s="73"/>
      <c r="G490" s="73"/>
      <c r="H490" s="73"/>
      <c r="I490" s="73"/>
      <c r="J490" s="73"/>
      <c r="K490" s="73"/>
      <c r="L490" s="73"/>
      <c r="M490" s="74"/>
      <c r="N490" s="71" t="str">
        <f t="shared" si="7"/>
        <v/>
      </c>
      <c r="O490" s="72"/>
      <c r="P490" s="72"/>
      <c r="Q490" s="72"/>
      <c r="R490" s="72"/>
      <c r="S490" s="72"/>
      <c r="T490" s="72"/>
      <c r="U490" s="72"/>
      <c r="V490" s="72"/>
    </row>
    <row r="491" spans="1:25" ht="27.75" customHeight="1">
      <c r="A491" s="87" t="str">
        <f>IF(ISBLANK(C491)," ",486-COUNTBLANK($C$6:C491))</f>
        <v xml:space="preserve"> </v>
      </c>
      <c r="B491" s="88"/>
      <c r="C491" s="88"/>
      <c r="D491" s="89"/>
      <c r="E491" s="89"/>
      <c r="F491" s="73"/>
      <c r="G491" s="73"/>
      <c r="H491" s="73"/>
      <c r="I491" s="73"/>
      <c r="J491" s="73"/>
      <c r="K491" s="73"/>
      <c r="L491" s="73"/>
      <c r="M491" s="74"/>
      <c r="N491" s="71" t="str">
        <f t="shared" si="7"/>
        <v/>
      </c>
      <c r="O491" s="72"/>
      <c r="P491" s="72"/>
      <c r="Q491" s="72"/>
      <c r="R491" s="72"/>
      <c r="S491" s="72"/>
      <c r="T491" s="72"/>
      <c r="U491" s="72"/>
      <c r="V491" s="72"/>
    </row>
    <row r="492" spans="1:25" ht="27.75" customHeight="1">
      <c r="A492" s="87" t="str">
        <f>IF(ISBLANK(C492)," ",487-COUNTBLANK($C$6:C492))</f>
        <v xml:space="preserve"> </v>
      </c>
      <c r="B492" s="88"/>
      <c r="C492" s="88"/>
      <c r="D492" s="89"/>
      <c r="E492" s="89"/>
      <c r="F492" s="73"/>
      <c r="G492" s="73"/>
      <c r="H492" s="73"/>
      <c r="I492" s="73"/>
      <c r="J492" s="73"/>
      <c r="K492" s="73"/>
      <c r="L492" s="73"/>
      <c r="M492" s="74"/>
      <c r="N492" s="71" t="str">
        <f t="shared" si="7"/>
        <v/>
      </c>
      <c r="O492" s="72"/>
      <c r="P492" s="72"/>
      <c r="Q492" s="72"/>
      <c r="R492" s="72"/>
      <c r="S492" s="72"/>
      <c r="T492" s="72"/>
      <c r="U492" s="72"/>
      <c r="V492" s="72"/>
    </row>
    <row r="493" spans="1:25" ht="27.75" customHeight="1">
      <c r="A493" s="87" t="str">
        <f>IF(ISBLANK(C493)," ",488-COUNTBLANK($C$6:C493))</f>
        <v xml:space="preserve"> </v>
      </c>
      <c r="B493" s="88"/>
      <c r="C493" s="88"/>
      <c r="D493" s="89"/>
      <c r="E493" s="89"/>
      <c r="F493" s="73"/>
      <c r="G493" s="73"/>
      <c r="H493" s="73"/>
      <c r="I493" s="73"/>
      <c r="J493" s="73"/>
      <c r="K493" s="73"/>
      <c r="L493" s="73"/>
      <c r="M493" s="74"/>
      <c r="N493" s="71" t="str">
        <f t="shared" si="7"/>
        <v/>
      </c>
      <c r="O493" s="72"/>
      <c r="P493" s="72"/>
      <c r="Q493" s="72"/>
      <c r="R493" s="72"/>
      <c r="S493" s="72"/>
      <c r="T493" s="72"/>
      <c r="U493" s="72"/>
      <c r="V493" s="72"/>
    </row>
    <row r="494" spans="1:25" ht="27.75" customHeight="1">
      <c r="A494" s="87" t="str">
        <f>IF(ISBLANK(C494)," ",489-COUNTBLANK($C$6:C494))</f>
        <v xml:space="preserve"> </v>
      </c>
      <c r="B494" s="88"/>
      <c r="C494" s="88"/>
      <c r="D494" s="89"/>
      <c r="E494" s="89"/>
      <c r="F494" s="73"/>
      <c r="G494" s="73"/>
      <c r="H494" s="73"/>
      <c r="I494" s="73"/>
      <c r="J494" s="73"/>
      <c r="K494" s="73"/>
      <c r="L494" s="73"/>
      <c r="M494" s="74"/>
      <c r="N494" s="71" t="str">
        <f t="shared" si="7"/>
        <v/>
      </c>
      <c r="O494" s="72"/>
      <c r="P494" s="72"/>
      <c r="Q494" s="72"/>
      <c r="R494" s="72"/>
      <c r="S494" s="72"/>
      <c r="T494" s="72"/>
      <c r="U494" s="72"/>
      <c r="V494" s="72"/>
    </row>
    <row r="495" spans="1:25" ht="27.75" customHeight="1">
      <c r="A495" s="87" t="str">
        <f>IF(ISBLANK(C495)," ",490-COUNTBLANK($C$6:C495))</f>
        <v xml:space="preserve"> </v>
      </c>
      <c r="B495" s="88"/>
      <c r="C495" s="88"/>
      <c r="D495" s="89"/>
      <c r="E495" s="89"/>
      <c r="F495" s="73"/>
      <c r="G495" s="73"/>
      <c r="H495" s="73"/>
      <c r="I495" s="73"/>
      <c r="J495" s="73"/>
      <c r="K495" s="73"/>
      <c r="L495" s="73"/>
      <c r="M495" s="74"/>
      <c r="N495" s="71" t="str">
        <f t="shared" si="7"/>
        <v/>
      </c>
      <c r="O495" s="72"/>
      <c r="P495" s="72"/>
      <c r="Q495" s="72"/>
      <c r="R495" s="72"/>
      <c r="S495" s="72"/>
      <c r="T495" s="72"/>
      <c r="U495" s="72"/>
      <c r="V495" s="72"/>
    </row>
    <row r="496" spans="1:25" ht="27.75" customHeight="1">
      <c r="A496" s="87" t="str">
        <f>IF(ISBLANK(C496)," ",491-COUNTBLANK($C$6:C496))</f>
        <v xml:space="preserve"> </v>
      </c>
      <c r="B496" s="88"/>
      <c r="C496" s="88"/>
      <c r="D496" s="89"/>
      <c r="E496" s="89"/>
      <c r="F496" s="73"/>
      <c r="G496" s="73"/>
      <c r="H496" s="73"/>
      <c r="I496" s="73"/>
      <c r="J496" s="73"/>
      <c r="K496" s="73"/>
      <c r="L496" s="73"/>
      <c r="M496" s="74"/>
      <c r="N496" s="71" t="str">
        <f t="shared" si="7"/>
        <v/>
      </c>
      <c r="O496" s="72"/>
      <c r="P496" s="72"/>
      <c r="Q496" s="72"/>
      <c r="R496" s="72"/>
      <c r="S496" s="72"/>
      <c r="T496" s="72"/>
      <c r="U496" s="72"/>
      <c r="V496" s="72"/>
    </row>
    <row r="497" spans="1:25" ht="27.75" customHeight="1">
      <c r="A497" s="87" t="str">
        <f>IF(ISBLANK(C497)," ",492-COUNTBLANK($C$6:C497))</f>
        <v xml:space="preserve"> </v>
      </c>
      <c r="B497" s="88"/>
      <c r="C497" s="88"/>
      <c r="D497" s="89"/>
      <c r="E497" s="89"/>
      <c r="F497" s="73"/>
      <c r="G497" s="73"/>
      <c r="H497" s="73"/>
      <c r="I497" s="73"/>
      <c r="J497" s="73"/>
      <c r="K497" s="73"/>
      <c r="L497" s="73"/>
      <c r="M497" s="74"/>
      <c r="N497" s="71" t="str">
        <f t="shared" si="7"/>
        <v/>
      </c>
      <c r="O497" s="72"/>
      <c r="P497" s="72"/>
      <c r="Q497" s="72"/>
      <c r="R497" s="72"/>
      <c r="S497" s="72"/>
      <c r="T497" s="72"/>
      <c r="U497" s="72"/>
      <c r="V497" s="72"/>
    </row>
    <row r="498" spans="1:25" ht="27.75" customHeight="1">
      <c r="A498" s="87" t="str">
        <f>IF(ISBLANK(C498)," ",493-COUNTBLANK($C$6:C498))</f>
        <v xml:space="preserve"> </v>
      </c>
      <c r="B498" s="88"/>
      <c r="C498" s="88"/>
      <c r="D498" s="89"/>
      <c r="E498" s="89"/>
      <c r="F498" s="73"/>
      <c r="G498" s="73"/>
      <c r="H498" s="73"/>
      <c r="I498" s="73"/>
      <c r="J498" s="73"/>
      <c r="K498" s="73"/>
      <c r="L498" s="73"/>
      <c r="M498" s="74"/>
      <c r="N498" s="71" t="str">
        <f t="shared" si="7"/>
        <v/>
      </c>
      <c r="O498" s="72"/>
      <c r="P498" s="72"/>
      <c r="Q498" s="72"/>
      <c r="R498" s="72"/>
      <c r="S498" s="72"/>
      <c r="T498" s="72"/>
      <c r="U498" s="72"/>
      <c r="V498" s="72"/>
    </row>
    <row r="499" spans="1:25" ht="27.75" customHeight="1">
      <c r="A499" s="87" t="str">
        <f>IF(ISBLANK(C499)," ",494-COUNTBLANK($C$6:C499))</f>
        <v xml:space="preserve"> </v>
      </c>
      <c r="B499" s="88"/>
      <c r="C499" s="88"/>
      <c r="D499" s="89"/>
      <c r="E499" s="89"/>
      <c r="F499" s="73"/>
      <c r="G499" s="73"/>
      <c r="H499" s="73"/>
      <c r="I499" s="73"/>
      <c r="J499" s="73"/>
      <c r="K499" s="73"/>
      <c r="L499" s="73"/>
      <c r="M499" s="74"/>
      <c r="N499" s="71" t="str">
        <f t="shared" si="7"/>
        <v/>
      </c>
      <c r="O499" s="72"/>
      <c r="P499" s="72"/>
      <c r="Q499" s="72"/>
      <c r="R499" s="72"/>
      <c r="S499" s="72"/>
      <c r="T499" s="72"/>
      <c r="U499" s="72"/>
      <c r="V499" s="72"/>
    </row>
    <row r="500" spans="1:25" ht="27.75" customHeight="1">
      <c r="A500" s="87" t="str">
        <f>IF(ISBLANK(C500)," ",495-COUNTBLANK($C$6:C500))</f>
        <v xml:space="preserve"> </v>
      </c>
      <c r="B500" s="88"/>
      <c r="C500" s="88"/>
      <c r="D500" s="89"/>
      <c r="E500" s="89"/>
      <c r="F500" s="73"/>
      <c r="G500" s="73"/>
      <c r="H500" s="73"/>
      <c r="I500" s="73"/>
      <c r="J500" s="73"/>
      <c r="K500" s="73"/>
      <c r="L500" s="73"/>
      <c r="M500" s="74"/>
      <c r="N500" s="71" t="str">
        <f t="shared" si="7"/>
        <v/>
      </c>
      <c r="O500" s="72"/>
      <c r="P500" s="72"/>
      <c r="Q500" s="72"/>
      <c r="R500" s="72"/>
      <c r="S500" s="72"/>
      <c r="T500" s="72"/>
      <c r="U500" s="72"/>
      <c r="V500" s="72"/>
    </row>
    <row r="501" spans="1:25" ht="27.75" customHeight="1">
      <c r="A501" s="87" t="str">
        <f>IF(ISBLANK(C501)," ",496-COUNTBLANK($C$6:C501))</f>
        <v xml:space="preserve"> </v>
      </c>
      <c r="B501" s="88"/>
      <c r="C501" s="88"/>
      <c r="D501" s="89"/>
      <c r="E501" s="89"/>
      <c r="F501" s="73"/>
      <c r="G501" s="73"/>
      <c r="H501" s="73"/>
      <c r="I501" s="73"/>
      <c r="J501" s="73"/>
      <c r="K501" s="73"/>
      <c r="L501" s="73"/>
      <c r="M501" s="74"/>
      <c r="N501" s="71" t="str">
        <f t="shared" si="7"/>
        <v/>
      </c>
      <c r="O501" s="72"/>
      <c r="P501" s="72"/>
      <c r="Q501" s="72"/>
      <c r="R501" s="72"/>
      <c r="S501" s="72"/>
      <c r="T501" s="72"/>
      <c r="U501" s="72"/>
      <c r="V501" s="72"/>
    </row>
    <row r="502" spans="1:25" ht="27.75" customHeight="1">
      <c r="A502" s="87" t="str">
        <f>IF(ISBLANK(C502)," ",497-COUNTBLANK($C$6:C502))</f>
        <v xml:space="preserve"> </v>
      </c>
      <c r="B502" s="88"/>
      <c r="C502" s="88"/>
      <c r="D502" s="89"/>
      <c r="E502" s="89"/>
      <c r="F502" s="73"/>
      <c r="G502" s="73"/>
      <c r="H502" s="73"/>
      <c r="I502" s="73"/>
      <c r="J502" s="73"/>
      <c r="K502" s="73"/>
      <c r="L502" s="73"/>
      <c r="M502" s="74"/>
      <c r="N502" s="71" t="str">
        <f t="shared" si="7"/>
        <v/>
      </c>
      <c r="O502" s="72"/>
      <c r="P502" s="72"/>
      <c r="Q502" s="72"/>
      <c r="R502" s="72"/>
      <c r="S502" s="72"/>
      <c r="T502" s="72"/>
      <c r="U502" s="72"/>
      <c r="V502" s="72"/>
    </row>
    <row r="503" spans="1:25" ht="27.75" customHeight="1">
      <c r="A503" s="87" t="str">
        <f>IF(ISBLANK(C503)," ",498-COUNTBLANK($C$6:C503))</f>
        <v xml:space="preserve"> </v>
      </c>
      <c r="B503" s="88"/>
      <c r="C503" s="88"/>
      <c r="D503" s="89"/>
      <c r="E503" s="89"/>
      <c r="F503" s="73"/>
      <c r="G503" s="73"/>
      <c r="H503" s="73"/>
      <c r="I503" s="73"/>
      <c r="J503" s="73"/>
      <c r="K503" s="73"/>
      <c r="L503" s="73"/>
      <c r="M503" s="74"/>
      <c r="N503" s="71" t="str">
        <f t="shared" si="7"/>
        <v/>
      </c>
      <c r="O503" s="72"/>
      <c r="P503" s="72"/>
      <c r="Q503" s="72"/>
      <c r="R503" s="72"/>
      <c r="S503" s="72"/>
      <c r="T503" s="72"/>
      <c r="U503" s="72"/>
      <c r="V503" s="72"/>
    </row>
    <row r="504" spans="1:25" ht="27.75" customHeight="1">
      <c r="A504" s="87" t="str">
        <f>IF(ISBLANK(C504)," ",499-COUNTBLANK($C$6:C504))</f>
        <v xml:space="preserve"> </v>
      </c>
      <c r="B504" s="88"/>
      <c r="C504" s="88"/>
      <c r="D504" s="89"/>
      <c r="E504" s="89"/>
      <c r="F504" s="73"/>
      <c r="G504" s="73"/>
      <c r="H504" s="73"/>
      <c r="I504" s="73"/>
      <c r="J504" s="73"/>
      <c r="K504" s="73"/>
      <c r="L504" s="73"/>
      <c r="M504" s="74"/>
      <c r="N504" s="71" t="str">
        <f t="shared" si="7"/>
        <v/>
      </c>
      <c r="O504" s="75"/>
      <c r="P504" s="72"/>
      <c r="Q504" s="72"/>
      <c r="R504" s="72"/>
      <c r="S504" s="72"/>
      <c r="T504" s="72"/>
      <c r="U504" s="72"/>
      <c r="V504" s="76"/>
    </row>
    <row r="505" spans="1:25" ht="27.75" customHeight="1">
      <c r="A505" s="87" t="str">
        <f>IF(ISBLANK(C505)," ",500-COUNTBLANK($C$6:C505))</f>
        <v xml:space="preserve"> </v>
      </c>
      <c r="B505" s="88"/>
      <c r="C505" s="88"/>
      <c r="D505" s="89"/>
      <c r="E505" s="89"/>
      <c r="F505" s="73"/>
      <c r="G505" s="73"/>
      <c r="H505" s="73"/>
      <c r="I505" s="73"/>
      <c r="J505" s="73"/>
      <c r="K505" s="73"/>
      <c r="L505" s="73"/>
      <c r="M505" s="74"/>
      <c r="N505" s="71" t="str">
        <f t="shared" si="7"/>
        <v/>
      </c>
      <c r="O505" s="75"/>
      <c r="P505" s="72"/>
      <c r="Q505" s="72"/>
      <c r="R505" s="72"/>
      <c r="S505" s="72"/>
      <c r="T505" s="72"/>
      <c r="U505" s="72"/>
      <c r="V505" s="76"/>
    </row>
    <row r="506" spans="1:25" ht="27.75" customHeight="1">
      <c r="A506" s="87" t="str">
        <f>IF(ISBLANK(C506)," ",501-COUNTBLANK($C$6:C506))</f>
        <v xml:space="preserve"> </v>
      </c>
      <c r="B506" s="88"/>
      <c r="C506" s="88"/>
      <c r="D506" s="89"/>
      <c r="E506" s="89"/>
      <c r="F506" s="73"/>
      <c r="G506" s="73"/>
      <c r="H506" s="73"/>
      <c r="I506" s="73"/>
      <c r="J506" s="73"/>
      <c r="K506" s="73"/>
      <c r="L506" s="73"/>
      <c r="M506" s="74"/>
      <c r="N506" s="71" t="str">
        <f t="shared" si="7"/>
        <v/>
      </c>
      <c r="O506" s="75"/>
      <c r="P506" s="72"/>
      <c r="Q506" s="72"/>
      <c r="R506" s="72"/>
      <c r="S506" s="72"/>
      <c r="T506" s="72"/>
      <c r="U506" s="72"/>
      <c r="V506" s="76"/>
    </row>
    <row r="507" spans="1:25" ht="27.75" customHeight="1">
      <c r="A507" s="87" t="str">
        <f>IF(ISBLANK(C507)," ",502-COUNTBLANK($C$6:C507))</f>
        <v xml:space="preserve"> </v>
      </c>
      <c r="B507" s="88"/>
      <c r="C507" s="88"/>
      <c r="D507" s="89"/>
      <c r="E507" s="89"/>
      <c r="F507" s="73"/>
      <c r="G507" s="73"/>
      <c r="H507" s="73"/>
      <c r="I507" s="73"/>
      <c r="J507" s="73"/>
      <c r="K507" s="73"/>
      <c r="L507" s="73"/>
      <c r="M507" s="74"/>
      <c r="N507" s="71" t="str">
        <f t="shared" si="7"/>
        <v/>
      </c>
      <c r="O507" s="75"/>
      <c r="P507" s="72"/>
      <c r="Q507" s="72"/>
      <c r="R507" s="72"/>
      <c r="S507" s="72"/>
      <c r="T507" s="72"/>
      <c r="U507" s="72"/>
      <c r="V507" s="76"/>
    </row>
    <row r="508" spans="1:25" ht="27.75" customHeight="1">
      <c r="A508" s="87" t="str">
        <f>IF(ISBLANK(C508)," ",503-COUNTBLANK($C$6:C508))</f>
        <v xml:space="preserve"> </v>
      </c>
      <c r="B508" s="88"/>
      <c r="C508" s="88"/>
      <c r="D508" s="89"/>
      <c r="E508" s="89"/>
      <c r="F508" s="73"/>
      <c r="G508" s="73"/>
      <c r="H508" s="73"/>
      <c r="I508" s="73"/>
      <c r="J508" s="73"/>
      <c r="K508" s="73"/>
      <c r="L508" s="73"/>
      <c r="M508" s="74"/>
      <c r="N508" s="71" t="str">
        <f t="shared" si="7"/>
        <v/>
      </c>
      <c r="O508" s="72"/>
      <c r="P508" s="72"/>
      <c r="Q508" s="72"/>
      <c r="R508" s="72"/>
      <c r="S508" s="72"/>
      <c r="T508" s="72"/>
      <c r="U508" s="72"/>
      <c r="V508" s="79"/>
      <c r="W508" s="72"/>
      <c r="X508" s="72"/>
      <c r="Y508" s="72"/>
    </row>
    <row r="509" spans="1:25" ht="27.75" customHeight="1">
      <c r="A509" s="80" t="s">
        <v>52</v>
      </c>
      <c r="B509" s="81"/>
      <c r="C509" s="96"/>
      <c r="D509" s="82"/>
      <c r="E509" s="82">
        <f>SUM(E489:E508)</f>
        <v>0</v>
      </c>
      <c r="F509" s="83"/>
      <c r="G509" s="83"/>
      <c r="H509" s="83"/>
      <c r="I509" s="83"/>
      <c r="J509" s="83"/>
      <c r="K509" s="83"/>
      <c r="L509" s="83"/>
      <c r="M509" s="84"/>
      <c r="N509" s="71" t="str">
        <f t="shared" si="7"/>
        <v/>
      </c>
      <c r="O509" s="75"/>
      <c r="P509" s="72"/>
      <c r="Q509" s="72"/>
      <c r="R509" s="72"/>
      <c r="S509" s="72"/>
      <c r="T509" s="72"/>
      <c r="U509" s="72"/>
      <c r="V509" s="79"/>
      <c r="W509" s="72"/>
      <c r="X509" s="72"/>
      <c r="Y509" s="72"/>
    </row>
    <row r="510" spans="1:25" ht="27.75" customHeight="1">
      <c r="A510" s="93" t="str">
        <f>IF(ISBLANK(C510)," ",505-COUNTBLANK($C$6:C510))</f>
        <v xml:space="preserve"> </v>
      </c>
      <c r="B510" s="94"/>
      <c r="C510" s="94"/>
      <c r="D510" s="95"/>
      <c r="E510" s="95"/>
      <c r="F510" s="85"/>
      <c r="G510" s="85"/>
      <c r="H510" s="85"/>
      <c r="I510" s="85"/>
      <c r="J510" s="85"/>
      <c r="K510" s="85"/>
      <c r="L510" s="85"/>
      <c r="M510" s="86"/>
      <c r="N510" s="71" t="str">
        <f t="shared" si="7"/>
        <v/>
      </c>
      <c r="O510" s="72"/>
      <c r="P510" s="72"/>
      <c r="Q510" s="72"/>
      <c r="R510" s="72"/>
      <c r="S510" s="72"/>
      <c r="T510" s="72"/>
      <c r="U510" s="72"/>
      <c r="V510" s="72"/>
    </row>
    <row r="511" spans="1:25" ht="27.75" customHeight="1">
      <c r="A511" s="87" t="str">
        <f>IF(ISBLANK(C511)," ",506-COUNTBLANK($C$6:C511))</f>
        <v xml:space="preserve"> </v>
      </c>
      <c r="B511" s="88"/>
      <c r="C511" s="88"/>
      <c r="D511" s="89"/>
      <c r="E511" s="89"/>
      <c r="F511" s="73"/>
      <c r="G511" s="73"/>
      <c r="H511" s="73"/>
      <c r="I511" s="73"/>
      <c r="J511" s="73"/>
      <c r="K511" s="73"/>
      <c r="L511" s="73"/>
      <c r="M511" s="74"/>
      <c r="N511" s="71" t="str">
        <f t="shared" si="7"/>
        <v/>
      </c>
      <c r="O511" s="72"/>
      <c r="P511" s="72"/>
      <c r="Q511" s="72"/>
      <c r="R511" s="72"/>
      <c r="S511" s="72"/>
      <c r="T511" s="72"/>
      <c r="U511" s="72"/>
      <c r="V511" s="72"/>
    </row>
    <row r="512" spans="1:25" ht="27.75" customHeight="1">
      <c r="A512" s="87" t="str">
        <f>IF(ISBLANK(C512)," ",507-COUNTBLANK($C$6:C512))</f>
        <v xml:space="preserve"> </v>
      </c>
      <c r="B512" s="88"/>
      <c r="C512" s="88"/>
      <c r="D512" s="89"/>
      <c r="E512" s="89"/>
      <c r="F512" s="73"/>
      <c r="G512" s="73"/>
      <c r="H512" s="73"/>
      <c r="I512" s="73"/>
      <c r="J512" s="73"/>
      <c r="K512" s="73"/>
      <c r="L512" s="73"/>
      <c r="M512" s="74"/>
      <c r="N512" s="71" t="str">
        <f t="shared" si="7"/>
        <v/>
      </c>
      <c r="O512" s="72"/>
      <c r="P512" s="72"/>
      <c r="Q512" s="72"/>
      <c r="R512" s="72"/>
      <c r="S512" s="72"/>
      <c r="T512" s="72"/>
      <c r="U512" s="72"/>
      <c r="V512" s="72"/>
    </row>
    <row r="513" spans="1:22" ht="27.75" customHeight="1">
      <c r="A513" s="87" t="str">
        <f>IF(ISBLANK(C513)," ",508-COUNTBLANK($C$6:C513))</f>
        <v xml:space="preserve"> </v>
      </c>
      <c r="B513" s="88"/>
      <c r="C513" s="88"/>
      <c r="D513" s="89"/>
      <c r="E513" s="89"/>
      <c r="F513" s="73"/>
      <c r="G513" s="73"/>
      <c r="H513" s="73"/>
      <c r="I513" s="73"/>
      <c r="J513" s="73"/>
      <c r="K513" s="73"/>
      <c r="L513" s="73"/>
      <c r="M513" s="74"/>
      <c r="N513" s="71" t="str">
        <f t="shared" si="7"/>
        <v/>
      </c>
      <c r="O513" s="72"/>
      <c r="P513" s="72"/>
      <c r="Q513" s="72"/>
      <c r="R513" s="72"/>
      <c r="S513" s="72"/>
      <c r="T513" s="72"/>
      <c r="U513" s="72"/>
      <c r="V513" s="72"/>
    </row>
    <row r="514" spans="1:22" ht="27.75" customHeight="1">
      <c r="A514" s="87" t="str">
        <f>IF(ISBLANK(C514)," ",509-COUNTBLANK($C$6:C514))</f>
        <v xml:space="preserve"> </v>
      </c>
      <c r="B514" s="88"/>
      <c r="C514" s="88"/>
      <c r="D514" s="89"/>
      <c r="E514" s="89"/>
      <c r="F514" s="73"/>
      <c r="G514" s="73"/>
      <c r="H514" s="73"/>
      <c r="I514" s="73"/>
      <c r="J514" s="73"/>
      <c r="K514" s="73"/>
      <c r="L514" s="73"/>
      <c r="M514" s="74"/>
      <c r="N514" s="71" t="str">
        <f t="shared" si="7"/>
        <v/>
      </c>
      <c r="O514" s="72"/>
      <c r="P514" s="72"/>
      <c r="Q514" s="72"/>
      <c r="R514" s="72"/>
      <c r="S514" s="72"/>
      <c r="T514" s="72"/>
      <c r="U514" s="72"/>
      <c r="V514" s="72"/>
    </row>
    <row r="515" spans="1:22" ht="27.75" customHeight="1">
      <c r="A515" s="87" t="str">
        <f>IF(ISBLANK(C515)," ",510-COUNTBLANK($C$6:C515))</f>
        <v xml:space="preserve"> </v>
      </c>
      <c r="B515" s="88"/>
      <c r="C515" s="88"/>
      <c r="D515" s="89"/>
      <c r="E515" s="89"/>
      <c r="F515" s="73"/>
      <c r="G515" s="73"/>
      <c r="H515" s="73"/>
      <c r="I515" s="73"/>
      <c r="J515" s="73"/>
      <c r="K515" s="73"/>
      <c r="L515" s="73"/>
      <c r="M515" s="74"/>
      <c r="N515" s="71" t="str">
        <f t="shared" si="7"/>
        <v/>
      </c>
      <c r="O515" s="72"/>
      <c r="P515" s="72"/>
      <c r="Q515" s="72"/>
      <c r="R515" s="72"/>
      <c r="S515" s="72"/>
      <c r="T515" s="72"/>
      <c r="U515" s="72"/>
      <c r="V515" s="72"/>
    </row>
    <row r="516" spans="1:22" ht="27.75" customHeight="1">
      <c r="A516" s="87" t="str">
        <f>IF(ISBLANK(C516)," ",511-COUNTBLANK($C$6:C516))</f>
        <v xml:space="preserve"> </v>
      </c>
      <c r="B516" s="88"/>
      <c r="C516" s="88"/>
      <c r="D516" s="89"/>
      <c r="E516" s="89"/>
      <c r="F516" s="73"/>
      <c r="G516" s="73"/>
      <c r="H516" s="73"/>
      <c r="I516" s="73"/>
      <c r="J516" s="73"/>
      <c r="K516" s="73"/>
      <c r="L516" s="73"/>
      <c r="M516" s="74"/>
      <c r="N516" s="71" t="str">
        <f t="shared" si="7"/>
        <v/>
      </c>
      <c r="O516" s="72"/>
      <c r="P516" s="72"/>
      <c r="Q516" s="72"/>
      <c r="R516" s="72"/>
      <c r="S516" s="72"/>
      <c r="T516" s="72"/>
      <c r="U516" s="72"/>
      <c r="V516" s="72"/>
    </row>
    <row r="517" spans="1:22" ht="27.75" customHeight="1">
      <c r="A517" s="87" t="str">
        <f>IF(ISBLANK(C517)," ",512-COUNTBLANK($C$6:C517))</f>
        <v xml:space="preserve"> </v>
      </c>
      <c r="B517" s="88"/>
      <c r="C517" s="88"/>
      <c r="D517" s="89"/>
      <c r="E517" s="89"/>
      <c r="F517" s="73"/>
      <c r="G517" s="73"/>
      <c r="H517" s="73"/>
      <c r="I517" s="73"/>
      <c r="J517" s="73"/>
      <c r="K517" s="73"/>
      <c r="L517" s="73"/>
      <c r="M517" s="74"/>
      <c r="N517" s="71" t="str">
        <f t="shared" si="7"/>
        <v/>
      </c>
      <c r="O517" s="72"/>
      <c r="P517" s="72"/>
      <c r="Q517" s="72"/>
      <c r="R517" s="72"/>
      <c r="S517" s="72"/>
      <c r="T517" s="72"/>
      <c r="U517" s="72"/>
      <c r="V517" s="72"/>
    </row>
    <row r="518" spans="1:22" ht="27.75" customHeight="1">
      <c r="A518" s="87" t="str">
        <f>IF(ISBLANK(C518)," ",513-COUNTBLANK($C$6:C518))</f>
        <v xml:space="preserve"> </v>
      </c>
      <c r="B518" s="88"/>
      <c r="C518" s="88"/>
      <c r="D518" s="89"/>
      <c r="E518" s="89"/>
      <c r="F518" s="73"/>
      <c r="G518" s="73"/>
      <c r="H518" s="73"/>
      <c r="I518" s="73"/>
      <c r="J518" s="73"/>
      <c r="K518" s="73"/>
      <c r="L518" s="73"/>
      <c r="M518" s="74"/>
      <c r="N518" s="71" t="str">
        <f t="shared" ref="N518:N530" si="8">CONCATENATE(C518,H518)</f>
        <v/>
      </c>
      <c r="O518" s="72"/>
      <c r="P518" s="72"/>
      <c r="Q518" s="72"/>
      <c r="R518" s="72"/>
      <c r="S518" s="72"/>
      <c r="T518" s="72"/>
      <c r="U518" s="72"/>
      <c r="V518" s="72"/>
    </row>
    <row r="519" spans="1:22" ht="27.75" customHeight="1">
      <c r="A519" s="87" t="str">
        <f>IF(ISBLANK(C519)," ",514-COUNTBLANK($C$6:C519))</f>
        <v xml:space="preserve"> </v>
      </c>
      <c r="B519" s="88"/>
      <c r="C519" s="88"/>
      <c r="D519" s="89"/>
      <c r="E519" s="89"/>
      <c r="F519" s="73"/>
      <c r="G519" s="73"/>
      <c r="H519" s="73"/>
      <c r="I519" s="73"/>
      <c r="J519" s="73"/>
      <c r="K519" s="73"/>
      <c r="L519" s="73"/>
      <c r="M519" s="74"/>
      <c r="N519" s="71" t="str">
        <f t="shared" si="8"/>
        <v/>
      </c>
      <c r="O519" s="72"/>
      <c r="P519" s="72"/>
      <c r="Q519" s="72"/>
      <c r="R519" s="72"/>
      <c r="S519" s="72"/>
      <c r="T519" s="72"/>
      <c r="U519" s="72"/>
      <c r="V519" s="72"/>
    </row>
    <row r="520" spans="1:22" ht="27.75" customHeight="1">
      <c r="A520" s="87" t="str">
        <f>IF(ISBLANK(C520)," ",515-COUNTBLANK($C$6:C520))</f>
        <v xml:space="preserve"> </v>
      </c>
      <c r="B520" s="88"/>
      <c r="C520" s="88"/>
      <c r="D520" s="89"/>
      <c r="E520" s="89"/>
      <c r="F520" s="73"/>
      <c r="G520" s="73"/>
      <c r="H520" s="73"/>
      <c r="I520" s="73"/>
      <c r="J520" s="73"/>
      <c r="K520" s="73"/>
      <c r="L520" s="73"/>
      <c r="M520" s="74"/>
      <c r="N520" s="71" t="str">
        <f t="shared" si="8"/>
        <v/>
      </c>
      <c r="O520" s="72"/>
      <c r="P520" s="72"/>
      <c r="Q520" s="72"/>
      <c r="R520" s="72"/>
      <c r="S520" s="72"/>
      <c r="T520" s="72"/>
      <c r="U520" s="72"/>
      <c r="V520" s="72"/>
    </row>
    <row r="521" spans="1:22" ht="27.75" customHeight="1">
      <c r="A521" s="87" t="str">
        <f>IF(ISBLANK(C521)," ",516-COUNTBLANK($C$6:C521))</f>
        <v xml:space="preserve"> </v>
      </c>
      <c r="B521" s="88"/>
      <c r="C521" s="88"/>
      <c r="D521" s="89"/>
      <c r="E521" s="89"/>
      <c r="F521" s="73"/>
      <c r="G521" s="73"/>
      <c r="H521" s="73"/>
      <c r="I521" s="73"/>
      <c r="J521" s="73"/>
      <c r="K521" s="73"/>
      <c r="L521" s="73"/>
      <c r="M521" s="74"/>
      <c r="N521" s="71" t="str">
        <f t="shared" si="8"/>
        <v/>
      </c>
      <c r="O521" s="72"/>
      <c r="P521" s="72"/>
      <c r="Q521" s="72"/>
      <c r="R521" s="72"/>
      <c r="S521" s="72"/>
      <c r="T521" s="72"/>
      <c r="U521" s="72"/>
      <c r="V521" s="72"/>
    </row>
    <row r="522" spans="1:22" ht="27.75" customHeight="1">
      <c r="A522" s="87" t="str">
        <f>IF(ISBLANK(C522)," ",517-COUNTBLANK($C$6:C522))</f>
        <v xml:space="preserve"> </v>
      </c>
      <c r="B522" s="88"/>
      <c r="C522" s="88"/>
      <c r="D522" s="89"/>
      <c r="E522" s="89"/>
      <c r="F522" s="73"/>
      <c r="G522" s="73"/>
      <c r="H522" s="73"/>
      <c r="I522" s="73"/>
      <c r="J522" s="73"/>
      <c r="K522" s="73"/>
      <c r="L522" s="73"/>
      <c r="M522" s="74"/>
      <c r="N522" s="71" t="str">
        <f t="shared" si="8"/>
        <v/>
      </c>
      <c r="O522" s="72"/>
      <c r="P522" s="72"/>
      <c r="Q522" s="72"/>
      <c r="R522" s="72"/>
      <c r="S522" s="72"/>
      <c r="T522" s="72"/>
      <c r="U522" s="72"/>
      <c r="V522" s="72"/>
    </row>
    <row r="523" spans="1:22" ht="27.75" customHeight="1">
      <c r="A523" s="87" t="str">
        <f>IF(ISBLANK(C523)," ",518-COUNTBLANK($C$6:C523))</f>
        <v xml:space="preserve"> </v>
      </c>
      <c r="B523" s="88"/>
      <c r="C523" s="88"/>
      <c r="D523" s="89"/>
      <c r="E523" s="89"/>
      <c r="F523" s="73"/>
      <c r="G523" s="73"/>
      <c r="H523" s="73"/>
      <c r="I523" s="73"/>
      <c r="J523" s="73"/>
      <c r="K523" s="73"/>
      <c r="L523" s="73"/>
      <c r="M523" s="74"/>
      <c r="N523" s="71" t="str">
        <f t="shared" si="8"/>
        <v/>
      </c>
      <c r="O523" s="72"/>
      <c r="P523" s="72"/>
      <c r="Q523" s="72"/>
      <c r="R523" s="72"/>
      <c r="S523" s="72"/>
      <c r="T523" s="72"/>
      <c r="U523" s="72"/>
      <c r="V523" s="72"/>
    </row>
    <row r="524" spans="1:22" ht="27.75" customHeight="1">
      <c r="A524" s="87" t="str">
        <f>IF(ISBLANK(C524)," ",519-COUNTBLANK($C$6:C524))</f>
        <v xml:space="preserve"> </v>
      </c>
      <c r="B524" s="88"/>
      <c r="C524" s="88"/>
      <c r="D524" s="89"/>
      <c r="E524" s="89"/>
      <c r="F524" s="73"/>
      <c r="G524" s="73"/>
      <c r="H524" s="73"/>
      <c r="I524" s="73"/>
      <c r="J524" s="73"/>
      <c r="K524" s="73"/>
      <c r="L524" s="73"/>
      <c r="M524" s="74"/>
      <c r="N524" s="71" t="str">
        <f t="shared" si="8"/>
        <v/>
      </c>
      <c r="O524" s="72"/>
      <c r="P524" s="72"/>
      <c r="Q524" s="72"/>
      <c r="R524" s="72"/>
      <c r="S524" s="72"/>
      <c r="T524" s="72"/>
      <c r="U524" s="72"/>
      <c r="V524" s="72"/>
    </row>
    <row r="525" spans="1:22" ht="27.75" customHeight="1">
      <c r="A525" s="87" t="str">
        <f>IF(ISBLANK(C525)," ",520-COUNTBLANK($C$6:C525))</f>
        <v xml:space="preserve"> </v>
      </c>
      <c r="B525" s="88"/>
      <c r="C525" s="88"/>
      <c r="D525" s="89"/>
      <c r="E525" s="89"/>
      <c r="F525" s="73"/>
      <c r="G525" s="73"/>
      <c r="H525" s="73"/>
      <c r="I525" s="73"/>
      <c r="J525" s="73"/>
      <c r="K525" s="73"/>
      <c r="L525" s="73"/>
      <c r="M525" s="74"/>
      <c r="N525" s="71" t="str">
        <f t="shared" si="8"/>
        <v/>
      </c>
      <c r="O525" s="75"/>
      <c r="P525" s="72"/>
      <c r="Q525" s="72"/>
      <c r="R525" s="72"/>
      <c r="S525" s="72"/>
      <c r="T525" s="72"/>
      <c r="U525" s="72"/>
      <c r="V525" s="76"/>
    </row>
    <row r="526" spans="1:22" ht="27.75" customHeight="1">
      <c r="A526" s="87" t="str">
        <f>IF(ISBLANK(C526)," ",521-COUNTBLANK($C$6:C526))</f>
        <v xml:space="preserve"> </v>
      </c>
      <c r="B526" s="88"/>
      <c r="C526" s="88"/>
      <c r="D526" s="89"/>
      <c r="E526" s="89"/>
      <c r="F526" s="73"/>
      <c r="G526" s="73"/>
      <c r="H526" s="73"/>
      <c r="I526" s="73"/>
      <c r="J526" s="73"/>
      <c r="K526" s="73"/>
      <c r="L526" s="73"/>
      <c r="M526" s="74"/>
      <c r="N526" s="71" t="str">
        <f t="shared" si="8"/>
        <v/>
      </c>
      <c r="O526" s="75"/>
      <c r="P526" s="72"/>
      <c r="Q526" s="72"/>
      <c r="R526" s="72"/>
      <c r="S526" s="72"/>
      <c r="T526" s="72"/>
      <c r="U526" s="72"/>
      <c r="V526" s="76"/>
    </row>
    <row r="527" spans="1:22" ht="27.75" customHeight="1">
      <c r="A527" s="87" t="str">
        <f>IF(ISBLANK(C527)," ",522-COUNTBLANK($C$6:C527))</f>
        <v xml:space="preserve"> </v>
      </c>
      <c r="B527" s="88"/>
      <c r="C527" s="88"/>
      <c r="D527" s="89"/>
      <c r="E527" s="89"/>
      <c r="F527" s="73"/>
      <c r="G527" s="73"/>
      <c r="H527" s="73"/>
      <c r="I527" s="73"/>
      <c r="J527" s="73"/>
      <c r="K527" s="73"/>
      <c r="L527" s="73"/>
      <c r="M527" s="74"/>
      <c r="N527" s="71" t="str">
        <f t="shared" si="8"/>
        <v/>
      </c>
      <c r="O527" s="75"/>
      <c r="P527" s="72"/>
      <c r="Q527" s="72"/>
      <c r="R527" s="72"/>
      <c r="S527" s="72"/>
      <c r="T527" s="72"/>
      <c r="U527" s="72"/>
      <c r="V527" s="76"/>
    </row>
    <row r="528" spans="1:22" ht="27.75" customHeight="1">
      <c r="A528" s="87" t="str">
        <f>IF(ISBLANK(C528)," ",523-COUNTBLANK($C$6:C528))</f>
        <v xml:space="preserve"> </v>
      </c>
      <c r="B528" s="88"/>
      <c r="C528" s="88"/>
      <c r="D528" s="89"/>
      <c r="E528" s="89"/>
      <c r="F528" s="73"/>
      <c r="G528" s="73"/>
      <c r="H528" s="73"/>
      <c r="I528" s="73"/>
      <c r="J528" s="73"/>
      <c r="K528" s="73"/>
      <c r="L528" s="73"/>
      <c r="M528" s="74"/>
      <c r="N528" s="71" t="str">
        <f t="shared" si="8"/>
        <v/>
      </c>
      <c r="O528" s="75"/>
      <c r="P528" s="72"/>
      <c r="Q528" s="72"/>
      <c r="R528" s="72"/>
      <c r="S528" s="72"/>
      <c r="T528" s="72"/>
      <c r="U528" s="72"/>
      <c r="V528" s="76"/>
    </row>
    <row r="529" spans="1:25" ht="27.75" customHeight="1">
      <c r="A529" s="87" t="str">
        <f>IF(ISBLANK(C529)," ",524-COUNTBLANK($C$6:C529))</f>
        <v xml:space="preserve"> </v>
      </c>
      <c r="B529" s="88"/>
      <c r="C529" s="88"/>
      <c r="D529" s="89"/>
      <c r="E529" s="89"/>
      <c r="F529" s="73"/>
      <c r="G529" s="73"/>
      <c r="H529" s="73"/>
      <c r="I529" s="73"/>
      <c r="J529" s="73"/>
      <c r="K529" s="73"/>
      <c r="L529" s="73"/>
      <c r="M529" s="74"/>
      <c r="N529" s="71" t="str">
        <f t="shared" si="8"/>
        <v/>
      </c>
      <c r="O529" s="72"/>
      <c r="P529" s="72"/>
      <c r="Q529" s="72"/>
      <c r="R529" s="72"/>
      <c r="S529" s="72"/>
      <c r="T529" s="72"/>
      <c r="U529" s="72"/>
      <c r="V529" s="79"/>
      <c r="W529" s="72"/>
      <c r="X529" s="72"/>
      <c r="Y529" s="72"/>
    </row>
    <row r="530" spans="1:25" ht="27.75" customHeight="1">
      <c r="A530" s="80" t="s">
        <v>52</v>
      </c>
      <c r="B530" s="81"/>
      <c r="C530" s="96"/>
      <c r="D530" s="82"/>
      <c r="E530" s="82">
        <f>SUM(E510:E529)</f>
        <v>0</v>
      </c>
      <c r="F530" s="83"/>
      <c r="G530" s="83"/>
      <c r="H530" s="83"/>
      <c r="I530" s="83"/>
      <c r="J530" s="83"/>
      <c r="K530" s="83"/>
      <c r="L530" s="83"/>
      <c r="M530" s="84"/>
      <c r="N530" s="71" t="str">
        <f t="shared" si="8"/>
        <v/>
      </c>
      <c r="O530" s="75"/>
      <c r="P530" s="72"/>
      <c r="Q530" s="72"/>
      <c r="R530" s="72"/>
      <c r="S530" s="72"/>
      <c r="T530" s="72"/>
      <c r="U530" s="72"/>
      <c r="V530" s="79"/>
      <c r="W530" s="72"/>
      <c r="X530" s="72"/>
      <c r="Y530" s="72"/>
    </row>
    <row r="531" spans="1:25">
      <c r="O531" s="99"/>
      <c r="P531" s="99"/>
      <c r="Q531" s="99"/>
      <c r="R531" s="99"/>
      <c r="S531" s="99"/>
      <c r="T531" s="99"/>
      <c r="U531" s="99"/>
      <c r="V531" s="99"/>
    </row>
    <row r="532" spans="1:25">
      <c r="O532" s="99"/>
      <c r="P532" s="99"/>
      <c r="Q532" s="99"/>
      <c r="R532" s="99"/>
      <c r="S532" s="99"/>
      <c r="T532" s="99"/>
      <c r="U532" s="99"/>
      <c r="V532" s="99"/>
    </row>
  </sheetData>
  <mergeCells count="4">
    <mergeCell ref="B4:B5"/>
    <mergeCell ref="C4:C5"/>
    <mergeCell ref="H4:I4"/>
    <mergeCell ref="M4:M5"/>
  </mergeCells>
  <phoneticPr fontId="5" type="noConversion"/>
  <printOptions horizontalCentered="1" verticalCentered="1"/>
  <pageMargins left="0.19685039370078741" right="0.19685039370078741" top="1.1811023622047245" bottom="0.59055118110236227" header="0.59055118110236227" footer="0.19685039370078741"/>
  <pageSetup paperSize="9" orientation="portrait" horizontalDpi="4294967292" r:id="rId1"/>
  <headerFooter alignWithMargins="0"/>
  <rowBreaks count="11" manualBreakCount="11">
    <brk id="26" max="16383" man="1"/>
    <brk id="47" max="16383" man="1"/>
    <brk id="68" max="16383" man="1"/>
    <brk id="89" max="16383" man="1"/>
    <brk id="110" max="16383" man="1"/>
    <brk id="131" max="16383" man="1"/>
    <brk id="152" max="16383" man="1"/>
    <brk id="173" max="16383" man="1"/>
    <brk id="194" max="16383" man="1"/>
    <brk id="215" max="16383" man="1"/>
    <brk id="2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21</vt:i4>
      </vt:variant>
      <vt:variant>
        <vt:lpstr>이름이 지정된 범위</vt:lpstr>
      </vt:variant>
      <vt:variant>
        <vt:i4>35</vt:i4>
      </vt:variant>
    </vt:vector>
  </HeadingPairs>
  <TitlesOfParts>
    <vt:vector size="56" baseType="lpstr">
      <vt:lpstr>전체 집계표(출력1)</vt:lpstr>
      <vt:lpstr>집계표(출력2)</vt:lpstr>
      <vt:lpstr>(당초)전체</vt:lpstr>
      <vt:lpstr>(변경)전체</vt:lpstr>
      <vt:lpstr>(당초)집계표</vt:lpstr>
      <vt:lpstr>(변경)집계표</vt:lpstr>
      <vt:lpstr>(당초)대두리</vt:lpstr>
      <vt:lpstr>대두리(출력3)</vt:lpstr>
      <vt:lpstr>(당초)봉락리</vt:lpstr>
      <vt:lpstr>봉락리(출력4)</vt:lpstr>
      <vt:lpstr>(당초)칠전리</vt:lpstr>
      <vt:lpstr>칠전리(출력5)</vt:lpstr>
      <vt:lpstr>(당초)마룡리</vt:lpstr>
      <vt:lpstr>마룡리(출력6)</vt:lpstr>
      <vt:lpstr>(당초)창리</vt:lpstr>
      <vt:lpstr>창리(출력7)</vt:lpstr>
      <vt:lpstr>6</vt:lpstr>
      <vt:lpstr>7</vt:lpstr>
      <vt:lpstr>8</vt:lpstr>
      <vt:lpstr>9</vt:lpstr>
      <vt:lpstr>10</vt:lpstr>
      <vt:lpstr>'(당초)대두리'!Print_Area</vt:lpstr>
      <vt:lpstr>'(당초)마룡리'!Print_Area</vt:lpstr>
      <vt:lpstr>'(당초)봉락리'!Print_Area</vt:lpstr>
      <vt:lpstr>'(당초)전체'!Print_Area</vt:lpstr>
      <vt:lpstr>'(당초)집계표'!Print_Area</vt:lpstr>
      <vt:lpstr>'(당초)창리'!Print_Area</vt:lpstr>
      <vt:lpstr>'(당초)칠전리'!Print_Area</vt:lpstr>
      <vt:lpstr>'(변경)전체'!Print_Area</vt:lpstr>
      <vt:lpstr>'(변경)집계표'!Print_Area</vt:lpstr>
      <vt:lpstr>'6'!Print_Area</vt:lpstr>
      <vt:lpstr>'대두리(출력3)'!Print_Area</vt:lpstr>
      <vt:lpstr>'마룡리(출력6)'!Print_Area</vt:lpstr>
      <vt:lpstr>'봉락리(출력4)'!Print_Area</vt:lpstr>
      <vt:lpstr>'전체 집계표(출력1)'!Print_Area</vt:lpstr>
      <vt:lpstr>'집계표(출력2)'!Print_Area</vt:lpstr>
      <vt:lpstr>'창리(출력7)'!Print_Area</vt:lpstr>
      <vt:lpstr>'칠전리(출력5)'!Print_Area</vt:lpstr>
      <vt:lpstr>'(당초)대두리'!Print_Titles</vt:lpstr>
      <vt:lpstr>'(당초)마룡리'!Print_Titles</vt:lpstr>
      <vt:lpstr>'(당초)봉락리'!Print_Titles</vt:lpstr>
      <vt:lpstr>'(당초)집계표'!Print_Titles</vt:lpstr>
      <vt:lpstr>'(당초)창리'!Print_Titles</vt:lpstr>
      <vt:lpstr>'(당초)칠전리'!Print_Titles</vt:lpstr>
      <vt:lpstr>'(변경)집계표'!Print_Titles</vt:lpstr>
      <vt:lpstr>'10'!Print_Titles</vt:lpstr>
      <vt:lpstr>'6'!Print_Titles</vt:lpstr>
      <vt:lpstr>'7'!Print_Titles</vt:lpstr>
      <vt:lpstr>'8'!Print_Titles</vt:lpstr>
      <vt:lpstr>'9'!Print_Titles</vt:lpstr>
      <vt:lpstr>'대두리(출력3)'!Print_Titles</vt:lpstr>
      <vt:lpstr>'마룡리(출력6)'!Print_Titles</vt:lpstr>
      <vt:lpstr>'봉락리(출력4)'!Print_Titles</vt:lpstr>
      <vt:lpstr>'전체 집계표(출력1)'!Print_Titles</vt:lpstr>
      <vt:lpstr>'창리(출력7)'!Print_Titles</vt:lpstr>
      <vt:lpstr>'칠전리(출력5)'!Print_Titles</vt:lpstr>
    </vt:vector>
  </TitlesOfParts>
  <Company>roadline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박경수</dc:creator>
  <cp:lastModifiedBy>My Computer</cp:lastModifiedBy>
  <cp:lastPrinted>2017-12-24T10:38:26Z</cp:lastPrinted>
  <dcterms:created xsi:type="dcterms:W3CDTF">2004-03-19T08:29:24Z</dcterms:created>
  <dcterms:modified xsi:type="dcterms:W3CDTF">2017-12-29T01:08:06Z</dcterms:modified>
</cp:coreProperties>
</file>