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400" windowHeight="7920" tabRatio="913" firstSheet="1" activeTab="1"/>
  </bookViews>
  <sheets>
    <sheet name="변경집계" sheetId="30" state="hidden" r:id="rId1"/>
    <sheet name="토지세목조서" sheetId="23" r:id="rId2"/>
  </sheets>
  <definedNames>
    <definedName name="_xlnm._FilterDatabase" localSheetId="1" hidden="1">토지세목조서!$A$5:$P$83</definedName>
    <definedName name="_xlnm.Print_Area" localSheetId="0">변경집계!$A$1:$W$149</definedName>
    <definedName name="_xlnm.Print_Area" localSheetId="1">토지세목조서!$A$1:$P$67</definedName>
    <definedName name="_xlnm.Print_Titles" localSheetId="1">토지세목조서!$1:$5</definedName>
  </definedNames>
  <calcPr calcId="152511"/>
</workbook>
</file>

<file path=xl/calcChain.xml><?xml version="1.0" encoding="utf-8"?>
<calcChain xmlns="http://schemas.openxmlformats.org/spreadsheetml/2006/main">
  <c r="H67" i="23" l="1"/>
  <c r="G67" i="23"/>
  <c r="F67" i="23"/>
  <c r="S26" i="30"/>
  <c r="S25" i="30"/>
  <c r="S22" i="30"/>
  <c r="S16" i="30"/>
  <c r="S10" i="30"/>
  <c r="T36" i="30"/>
  <c r="T34" i="30"/>
  <c r="T37" i="30"/>
  <c r="V37" i="30"/>
  <c r="V36" i="30"/>
  <c r="V35" i="30"/>
  <c r="V34" i="30"/>
  <c r="V33" i="30"/>
  <c r="V32" i="30"/>
  <c r="V31" i="30"/>
  <c r="V30" i="30"/>
  <c r="V29" i="30"/>
  <c r="V28" i="30"/>
  <c r="V27" i="30"/>
  <c r="V26" i="30"/>
  <c r="V25" i="30"/>
  <c r="V24" i="30"/>
  <c r="V23" i="30"/>
  <c r="V22" i="30"/>
  <c r="V21" i="30"/>
  <c r="V20" i="30"/>
  <c r="V19" i="30"/>
  <c r="V18" i="30"/>
  <c r="V17" i="30"/>
  <c r="V16" i="30"/>
  <c r="V15" i="30"/>
  <c r="V14" i="30"/>
  <c r="V13" i="30"/>
  <c r="V12" i="30"/>
  <c r="V11" i="30"/>
  <c r="V10" i="30"/>
  <c r="V9" i="30"/>
  <c r="S37" i="30"/>
  <c r="S36" i="30"/>
  <c r="S35" i="30"/>
  <c r="S34" i="30"/>
  <c r="S33" i="30"/>
  <c r="S32" i="30"/>
  <c r="S31" i="30"/>
  <c r="S30" i="30"/>
  <c r="S29" i="30"/>
  <c r="S28" i="30"/>
  <c r="S27" i="30"/>
  <c r="S24" i="30"/>
  <c r="S23" i="30"/>
  <c r="S21" i="30"/>
  <c r="S20" i="30"/>
  <c r="S19" i="30"/>
  <c r="S18" i="30"/>
  <c r="S17" i="30"/>
  <c r="S15" i="30"/>
  <c r="S14" i="30"/>
  <c r="S13" i="30"/>
  <c r="S12" i="30"/>
  <c r="S11" i="30"/>
  <c r="S9" i="30"/>
  <c r="Q121" i="30"/>
  <c r="S121" i="30"/>
  <c r="Q122" i="30"/>
  <c r="S122" i="30"/>
  <c r="Q123" i="30"/>
  <c r="S123" i="30"/>
  <c r="Q124" i="30"/>
  <c r="S124" i="30"/>
  <c r="Q125" i="30"/>
  <c r="S125" i="30"/>
  <c r="Q126" i="30"/>
  <c r="S126" i="30"/>
  <c r="Q127" i="30"/>
  <c r="S127" i="30"/>
  <c r="Q128" i="30"/>
  <c r="S128" i="30"/>
  <c r="Q129" i="30"/>
  <c r="S129" i="30"/>
  <c r="Q130" i="30"/>
  <c r="S130" i="30"/>
  <c r="Q131" i="30"/>
  <c r="S131" i="30"/>
  <c r="Q132" i="30"/>
  <c r="S132" i="30"/>
  <c r="Q133" i="30"/>
  <c r="S133" i="30"/>
  <c r="Q134" i="30"/>
  <c r="S134" i="30"/>
  <c r="Q135" i="30"/>
  <c r="S135" i="30"/>
  <c r="Q136" i="30"/>
  <c r="S136" i="30"/>
  <c r="Q137" i="30"/>
  <c r="S137" i="30"/>
  <c r="Q138" i="30"/>
  <c r="S138" i="30"/>
  <c r="Q139" i="30"/>
  <c r="S139" i="30"/>
  <c r="Q140" i="30"/>
  <c r="S140" i="30"/>
  <c r="Q141" i="30"/>
  <c r="S141" i="30"/>
  <c r="Q142" i="30"/>
  <c r="S142" i="30"/>
  <c r="Q143" i="30"/>
  <c r="S143" i="30"/>
  <c r="Q144" i="30"/>
  <c r="S144" i="30"/>
  <c r="Q145" i="30"/>
  <c r="S145" i="30"/>
  <c r="Q146" i="30"/>
  <c r="S146" i="30"/>
  <c r="Q147" i="30"/>
  <c r="S147" i="30"/>
  <c r="Q148" i="30"/>
  <c r="S148" i="30"/>
  <c r="S120" i="30"/>
  <c r="Q120" i="30"/>
  <c r="T10" i="30" l="1"/>
  <c r="T14" i="30"/>
  <c r="T18" i="30"/>
  <c r="T22" i="30"/>
  <c r="T26" i="30"/>
  <c r="T30" i="30"/>
  <c r="D11" i="30"/>
  <c r="D15" i="30"/>
  <c r="D19" i="30"/>
  <c r="D23" i="30"/>
  <c r="D27" i="30"/>
  <c r="D31" i="30"/>
  <c r="D35" i="30"/>
  <c r="T11" i="30"/>
  <c r="T15" i="30"/>
  <c r="T19" i="30"/>
  <c r="T23" i="30"/>
  <c r="T27" i="30"/>
  <c r="T31" i="30"/>
  <c r="T35" i="30"/>
  <c r="T12" i="30"/>
  <c r="T16" i="30"/>
  <c r="T20" i="30"/>
  <c r="T24" i="30"/>
  <c r="T28" i="30"/>
  <c r="T32" i="30"/>
  <c r="D13" i="30"/>
  <c r="D17" i="30"/>
  <c r="D21" i="30"/>
  <c r="D25" i="30"/>
  <c r="D29" i="30"/>
  <c r="D33" i="30"/>
  <c r="D37" i="30"/>
  <c r="Q36" i="30"/>
  <c r="B36" i="30" s="1"/>
  <c r="T9" i="30"/>
  <c r="T13" i="30"/>
  <c r="T17" i="30"/>
  <c r="T21" i="30"/>
  <c r="T25" i="30"/>
  <c r="T29" i="30"/>
  <c r="T33" i="30"/>
  <c r="Q10" i="30"/>
  <c r="Q9" i="30"/>
  <c r="B9" i="30" s="1"/>
  <c r="Q11" i="30"/>
  <c r="Q13" i="30"/>
  <c r="Q15" i="30"/>
  <c r="B15" i="30" s="1"/>
  <c r="Q17" i="30"/>
  <c r="Q19" i="30"/>
  <c r="Q21" i="30"/>
  <c r="Q23" i="30"/>
  <c r="B23" i="30" s="1"/>
  <c r="Q25" i="30"/>
  <c r="Q27" i="30"/>
  <c r="Q29" i="30"/>
  <c r="Q31" i="30"/>
  <c r="B31" i="30" s="1"/>
  <c r="Q33" i="30"/>
  <c r="Q35" i="30"/>
  <c r="Q37" i="30"/>
  <c r="Q12" i="30"/>
  <c r="Q14" i="30"/>
  <c r="Q16" i="30"/>
  <c r="Q18" i="30"/>
  <c r="Q20" i="30"/>
  <c r="Q22" i="30"/>
  <c r="Q24" i="30"/>
  <c r="Q26" i="30"/>
  <c r="Q28" i="30"/>
  <c r="Q30" i="30"/>
  <c r="Q32" i="30"/>
  <c r="Q34" i="30"/>
  <c r="D9" i="30"/>
  <c r="B37" i="30"/>
  <c r="D10" i="30"/>
  <c r="D12" i="30"/>
  <c r="D14" i="30"/>
  <c r="D16" i="30"/>
  <c r="D18" i="30"/>
  <c r="D20" i="30"/>
  <c r="D22" i="30"/>
  <c r="D24" i="30"/>
  <c r="D26" i="30"/>
  <c r="D28" i="30"/>
  <c r="D30" i="30"/>
  <c r="D32" i="30"/>
  <c r="D34" i="30"/>
  <c r="D36" i="30"/>
  <c r="S8" i="30"/>
  <c r="V136" i="30"/>
  <c r="T136" i="30"/>
  <c r="V133" i="30"/>
  <c r="T133" i="30"/>
  <c r="V121" i="30"/>
  <c r="T121" i="30"/>
  <c r="T119" i="30" s="1"/>
  <c r="S119" i="30"/>
  <c r="Q119" i="30"/>
  <c r="D119" i="30"/>
  <c r="B119" i="30"/>
  <c r="V96" i="30"/>
  <c r="T96" i="30"/>
  <c r="V84" i="30"/>
  <c r="V82" i="30" s="1"/>
  <c r="T84" i="30"/>
  <c r="T82" i="30" s="1"/>
  <c r="S82" i="30"/>
  <c r="Q82" i="30"/>
  <c r="D82" i="30"/>
  <c r="B82" i="30"/>
  <c r="V63" i="30"/>
  <c r="T63" i="30"/>
  <c r="V62" i="30"/>
  <c r="T62" i="30"/>
  <c r="V59" i="30"/>
  <c r="T59" i="30"/>
  <c r="V47" i="30"/>
  <c r="T47" i="30"/>
  <c r="S45" i="30"/>
  <c r="Q45" i="30"/>
  <c r="D45" i="30"/>
  <c r="B45" i="30"/>
  <c r="V8" i="30"/>
  <c r="B21" i="30" l="1"/>
  <c r="B13" i="30"/>
  <c r="B29" i="30"/>
  <c r="T8" i="30"/>
  <c r="B35" i="30"/>
  <c r="B27" i="30"/>
  <c r="B19" i="30"/>
  <c r="B11" i="30"/>
  <c r="V45" i="30"/>
  <c r="V119" i="30"/>
  <c r="T45" i="30"/>
  <c r="B33" i="30"/>
  <c r="B25" i="30"/>
  <c r="B17" i="30"/>
  <c r="Q8" i="30"/>
  <c r="B32" i="30"/>
  <c r="B28" i="30"/>
  <c r="B24" i="30"/>
  <c r="B20" i="30"/>
  <c r="B16" i="30"/>
  <c r="B12" i="30"/>
  <c r="B34" i="30"/>
  <c r="B30" i="30"/>
  <c r="B26" i="30"/>
  <c r="B22" i="30"/>
  <c r="B18" i="30"/>
  <c r="B14" i="30"/>
  <c r="B10" i="30"/>
  <c r="D8" i="30"/>
  <c r="B8" i="30" l="1"/>
</calcChain>
</file>

<file path=xl/sharedStrings.xml><?xml version="1.0" encoding="utf-8"?>
<sst xmlns="http://schemas.openxmlformats.org/spreadsheetml/2006/main" count="1158" uniqueCount="143">
  <si>
    <t>종교용지</t>
  </si>
  <si>
    <t>철도용지</t>
  </si>
  <si>
    <t>무 지 번</t>
  </si>
  <si>
    <t>수도용지</t>
  </si>
  <si>
    <t>도    로</t>
  </si>
  <si>
    <t>하    천</t>
  </si>
  <si>
    <t>구    거</t>
  </si>
  <si>
    <t>목장용지</t>
  </si>
  <si>
    <t>과 수 원</t>
  </si>
  <si>
    <t>광 천 지</t>
  </si>
  <si>
    <t>임    야</t>
  </si>
  <si>
    <t>염    전</t>
  </si>
  <si>
    <t>대    지</t>
  </si>
  <si>
    <t>공장용지</t>
  </si>
  <si>
    <t>학교용지</t>
  </si>
  <si>
    <t>주유소용지</t>
  </si>
  <si>
    <t>제    방</t>
  </si>
  <si>
    <t>유    지</t>
  </si>
  <si>
    <t>양 어 장</t>
  </si>
  <si>
    <t>공    원</t>
  </si>
  <si>
    <t>체육용지</t>
  </si>
  <si>
    <t>유 원 지</t>
  </si>
  <si>
    <t xml:space="preserve">사 적 지 </t>
  </si>
  <si>
    <t>묘    지</t>
  </si>
  <si>
    <t>잡 종 지</t>
  </si>
  <si>
    <t>창고용지</t>
  </si>
  <si>
    <t>지목</t>
  </si>
  <si>
    <t>실제이용상황</t>
  </si>
  <si>
    <t>성  명</t>
  </si>
  <si>
    <t>전</t>
  </si>
  <si>
    <t>답</t>
  </si>
  <si>
    <t>/</t>
  </si>
  <si>
    <t>계</t>
  </si>
  <si>
    <t>필지</t>
  </si>
  <si>
    <t>면적(㎡)</t>
  </si>
  <si>
    <t>비고</t>
  </si>
  <si>
    <t>소  유  자</t>
  </si>
  <si>
    <t>관  계  인</t>
  </si>
  <si>
    <t>면 적</t>
  </si>
  <si>
    <t>주  소</t>
  </si>
  <si>
    <t>권리관계</t>
  </si>
  <si>
    <t>사유지  편입용지  집계표</t>
    <phoneticPr fontId="6" type="noConversion"/>
  </si>
  <si>
    <t>주 차 장</t>
  </si>
  <si>
    <t>전체  편입용지  집계표</t>
    <phoneticPr fontId="6" type="noConversion"/>
  </si>
  <si>
    <t>구 분</t>
    <phoneticPr fontId="6" type="noConversion"/>
  </si>
  <si>
    <t>합   계</t>
    <phoneticPr fontId="6" type="noConversion"/>
  </si>
  <si>
    <t>국유지  편입용지  집계표</t>
    <phoneticPr fontId="6" type="noConversion"/>
  </si>
  <si>
    <t>소   계</t>
    <phoneticPr fontId="6" type="noConversion"/>
  </si>
  <si>
    <t>비고</t>
    <phoneticPr fontId="6" type="noConversion"/>
  </si>
  <si>
    <t>공유지  편입용지  집계표</t>
    <phoneticPr fontId="6" type="noConversion"/>
  </si>
  <si>
    <t>면적(㎡)</t>
    <phoneticPr fontId="6" type="noConversion"/>
  </si>
  <si>
    <t>일련
번호</t>
    <phoneticPr fontId="6" type="noConversion"/>
  </si>
  <si>
    <t>편입면적
(㎡)</t>
    <phoneticPr fontId="6" type="noConversion"/>
  </si>
  <si>
    <t>지 적
(㎡)</t>
    <phoneticPr fontId="6" type="noConversion"/>
  </si>
  <si>
    <t>충 청 남 도</t>
    <phoneticPr fontId="6" type="noConversion"/>
  </si>
  <si>
    <t>금 산 군</t>
    <phoneticPr fontId="6" type="noConversion"/>
  </si>
  <si>
    <t>제 원 면</t>
    <phoneticPr fontId="6" type="noConversion"/>
  </si>
  <si>
    <t>제원리</t>
    <phoneticPr fontId="6" type="noConversion"/>
  </si>
  <si>
    <t>저곡리</t>
    <phoneticPr fontId="6" type="noConversion"/>
  </si>
  <si>
    <t>58-3</t>
  </si>
  <si>
    <t>121-9</t>
  </si>
  <si>
    <t>121-1</t>
  </si>
  <si>
    <t>501-36</t>
  </si>
  <si>
    <t>528</t>
  </si>
  <si>
    <t>639-1</t>
  </si>
  <si>
    <t>650</t>
  </si>
  <si>
    <t>497-4</t>
  </si>
  <si>
    <t>639-8</t>
  </si>
  <si>
    <t>421</t>
  </si>
  <si>
    <t>493-2</t>
  </si>
  <si>
    <t>651</t>
  </si>
  <si>
    <t>53-9</t>
  </si>
  <si>
    <t>137-2</t>
  </si>
  <si>
    <t>20-3</t>
  </si>
  <si>
    <t>20-5</t>
  </si>
  <si>
    <t>53-7</t>
  </si>
  <si>
    <t>136-3</t>
  </si>
  <si>
    <t>52-3</t>
  </si>
  <si>
    <t>53-8</t>
  </si>
  <si>
    <t>58-12</t>
  </si>
  <si>
    <t>53-5</t>
  </si>
  <si>
    <t>53-11</t>
  </si>
  <si>
    <t>53-12</t>
  </si>
  <si>
    <t>53-13</t>
  </si>
  <si>
    <t>54-1</t>
  </si>
  <si>
    <t>513-2</t>
  </si>
  <si>
    <t>514-4</t>
  </si>
  <si>
    <t>54-2</t>
  </si>
  <si>
    <t>529-1</t>
  </si>
  <si>
    <t>138-4</t>
  </si>
  <si>
    <t>54-3</t>
  </si>
  <si>
    <t>54-4</t>
  </si>
  <si>
    <t>120-7</t>
  </si>
  <si>
    <t>136-2</t>
  </si>
  <si>
    <t>120-8</t>
  </si>
  <si>
    <t>52-2</t>
  </si>
  <si>
    <t>121-2</t>
  </si>
  <si>
    <t>121-10</t>
  </si>
  <si>
    <t>58-10</t>
  </si>
  <si>
    <t>58-2</t>
  </si>
  <si>
    <t>63-1</t>
  </si>
  <si>
    <t>612-9</t>
  </si>
  <si>
    <t>612-5</t>
  </si>
  <si>
    <t>612-10</t>
  </si>
  <si>
    <t>612-8</t>
  </si>
  <si>
    <t>도</t>
  </si>
  <si>
    <t>공</t>
  </si>
  <si>
    <t>금산군</t>
  </si>
  <si>
    <t>국</t>
  </si>
  <si>
    <t>국토해양부</t>
  </si>
  <si>
    <t>기획재정부</t>
  </si>
  <si>
    <t>충청남도</t>
  </si>
  <si>
    <t>천</t>
  </si>
  <si>
    <t>구</t>
  </si>
  <si>
    <t>농림수산식품부</t>
  </si>
  <si>
    <t>대</t>
  </si>
  <si>
    <t>120-10</t>
    <phoneticPr fontId="6" type="noConversion"/>
  </si>
  <si>
    <t>53-14</t>
    <phoneticPr fontId="6" type="noConversion"/>
  </si>
  <si>
    <t/>
  </si>
  <si>
    <t>당초</t>
    <phoneticPr fontId="6" type="noConversion"/>
  </si>
  <si>
    <t>변경</t>
    <phoneticPr fontId="6" type="noConversion"/>
  </si>
  <si>
    <t>지 번</t>
    <phoneticPr fontId="6" type="noConversion"/>
  </si>
  <si>
    <t>분할전</t>
    <phoneticPr fontId="6" type="noConversion"/>
  </si>
  <si>
    <t>분할후</t>
    <phoneticPr fontId="6" type="noConversion"/>
  </si>
  <si>
    <t>53-15</t>
    <phoneticPr fontId="6" type="noConversion"/>
  </si>
  <si>
    <t>55-7</t>
    <phoneticPr fontId="6" type="noConversion"/>
  </si>
  <si>
    <t>62-7</t>
    <phoneticPr fontId="6" type="noConversion"/>
  </si>
  <si>
    <t>120-13</t>
    <phoneticPr fontId="6" type="noConversion"/>
  </si>
  <si>
    <t>120-14</t>
    <phoneticPr fontId="6" type="noConversion"/>
  </si>
  <si>
    <t>611-6</t>
    <phoneticPr fontId="6" type="noConversion"/>
  </si>
  <si>
    <t>497-8</t>
    <phoneticPr fontId="6" type="noConversion"/>
  </si>
  <si>
    <t>496-6</t>
    <phoneticPr fontId="6" type="noConversion"/>
  </si>
  <si>
    <t>496-5</t>
    <phoneticPr fontId="6" type="noConversion"/>
  </si>
  <si>
    <t>599-4</t>
    <phoneticPr fontId="6" type="noConversion"/>
  </si>
  <si>
    <t>염    염</t>
  </si>
  <si>
    <t>공</t>
    <phoneticPr fontId="6" type="noConversion"/>
  </si>
  <si>
    <t>충청남도</t>
    <phoneticPr fontId="6" type="noConversion"/>
  </si>
  <si>
    <t>소재지</t>
    <phoneticPr fontId="6" type="noConversion"/>
  </si>
  <si>
    <t>충남 금산군 제원면 제원리</t>
    <phoneticPr fontId="6" type="noConversion"/>
  </si>
  <si>
    <t>충청남도 금산군 제원면 저곡리</t>
    <phoneticPr fontId="6" type="noConversion"/>
  </si>
  <si>
    <t>충남 금산군 제원면 제원리</t>
    <phoneticPr fontId="6" type="noConversion"/>
  </si>
  <si>
    <t>사용 또는 수용할 토지세목조서</t>
    <phoneticPr fontId="6" type="noConversion"/>
  </si>
  <si>
    <t>소 계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</si>
</sst>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_ "/>
    <numFmt numFmtId="178" formatCode="0_);[Red]\(0\)"/>
    <numFmt numFmtId="179" formatCode="&quot;₩&quot;#,##0;[Red]&quot;₩&quot;\-#,##0"/>
    <numFmt numFmtId="180" formatCode="d\.mmm\.yy"/>
    <numFmt numFmtId="181" formatCode="###&quot;필&quot;&quot;지&quot;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2"/>
      <name val="돋움체"/>
      <family val="3"/>
      <charset val="129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바탕체"/>
      <family val="1"/>
      <charset val="129"/>
    </font>
    <font>
      <sz val="9"/>
      <name val="돋움"/>
      <family val="3"/>
      <charset val="129"/>
    </font>
    <font>
      <b/>
      <sz val="18"/>
      <name val="돋움"/>
      <family val="3"/>
      <charset val="129"/>
    </font>
    <font>
      <sz val="22"/>
      <name val="돋움"/>
      <family val="3"/>
      <charset val="129"/>
    </font>
    <font>
      <b/>
      <sz val="9"/>
      <name val="돋움"/>
      <family val="3"/>
      <charset val="129"/>
    </font>
    <font>
      <sz val="10"/>
      <name val="돋움"/>
      <family val="3"/>
      <charset val="129"/>
    </font>
    <font>
      <b/>
      <sz val="22"/>
      <name val="돋움"/>
      <family val="3"/>
      <charset val="129"/>
    </font>
    <font>
      <b/>
      <sz val="10"/>
      <name val="돋움"/>
      <family val="3"/>
      <charset val="129"/>
    </font>
    <font>
      <sz val="6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20">
    <xf numFmtId="0" fontId="0" fillId="0" borderId="0"/>
    <xf numFmtId="180" fontId="1" fillId="0" borderId="0"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0" fontId="1" fillId="0" borderId="0">
      <protection locked="0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0" fontId="1" fillId="0" borderId="0">
      <protection locked="0"/>
    </xf>
    <xf numFmtId="180" fontId="1" fillId="0" borderId="0">
      <protection locked="0"/>
    </xf>
    <xf numFmtId="180" fontId="1" fillId="0" borderId="0">
      <protection locked="0"/>
    </xf>
    <xf numFmtId="180" fontId="1" fillId="0" borderId="0">
      <protection locked="0"/>
    </xf>
    <xf numFmtId="0" fontId="5" fillId="0" borderId="0"/>
    <xf numFmtId="180" fontId="1" fillId="0" borderId="0">
      <protection locked="0"/>
    </xf>
    <xf numFmtId="180" fontId="1" fillId="0" borderId="1">
      <protection locked="0"/>
    </xf>
    <xf numFmtId="0" fontId="2" fillId="0" borderId="0"/>
    <xf numFmtId="179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161">
    <xf numFmtId="0" fontId="0" fillId="0" borderId="0" xfId="0"/>
    <xf numFmtId="0" fontId="9" fillId="2" borderId="0" xfId="18" applyFont="1" applyFill="1" applyAlignment="1">
      <alignment horizontal="centerContinuous" vertical="center"/>
    </xf>
    <xf numFmtId="0" fontId="10" fillId="2" borderId="0" xfId="18" applyFont="1" applyFill="1" applyAlignment="1"/>
    <xf numFmtId="0" fontId="9" fillId="2" borderId="2" xfId="18" applyFont="1" applyFill="1" applyBorder="1" applyAlignment="1">
      <alignment vertical="center"/>
    </xf>
    <xf numFmtId="0" fontId="11" fillId="3" borderId="3" xfId="19" applyFont="1" applyFill="1" applyBorder="1" applyAlignment="1" applyProtection="1">
      <alignment horizontal="centerContinuous" vertical="center" wrapText="1"/>
    </xf>
    <xf numFmtId="0" fontId="11" fillId="3" borderId="4" xfId="19" applyFont="1" applyFill="1" applyBorder="1" applyAlignment="1" applyProtection="1">
      <alignment horizontal="centerContinuous" vertical="center" wrapText="1"/>
    </xf>
    <xf numFmtId="0" fontId="12" fillId="2" borderId="0" xfId="18" applyFont="1" applyFill="1" applyAlignment="1"/>
    <xf numFmtId="0" fontId="11" fillId="3" borderId="5" xfId="19" applyFont="1" applyFill="1" applyBorder="1" applyAlignment="1" applyProtection="1">
      <alignment horizontal="centerContinuous" vertical="center"/>
    </xf>
    <xf numFmtId="0" fontId="11" fillId="3" borderId="6" xfId="19" applyFont="1" applyFill="1" applyBorder="1" applyAlignment="1" applyProtection="1">
      <alignment horizontal="centerContinuous" vertical="center"/>
    </xf>
    <xf numFmtId="0" fontId="11" fillId="3" borderId="7" xfId="19" applyFont="1" applyFill="1" applyBorder="1" applyAlignment="1" applyProtection="1">
      <alignment horizontal="centerContinuous" vertical="center"/>
    </xf>
    <xf numFmtId="0" fontId="8" fillId="2" borderId="0" xfId="18" applyFont="1" applyFill="1" applyAlignment="1"/>
    <xf numFmtId="0" fontId="11" fillId="3" borderId="2" xfId="18" applyFont="1" applyFill="1" applyBorder="1" applyAlignment="1">
      <alignment horizontal="center" vertical="center" wrapText="1"/>
    </xf>
    <xf numFmtId="0" fontId="11" fillId="3" borderId="8" xfId="18" applyFont="1" applyFill="1" applyBorder="1" applyAlignment="1">
      <alignment horizontal="center" vertical="center" wrapText="1"/>
    </xf>
    <xf numFmtId="0" fontId="11" fillId="3" borderId="9" xfId="18" applyFont="1" applyFill="1" applyBorder="1" applyAlignment="1">
      <alignment horizontal="center" vertical="center" wrapText="1"/>
    </xf>
    <xf numFmtId="0" fontId="8" fillId="2" borderId="10" xfId="18" applyFont="1" applyFill="1" applyBorder="1" applyAlignment="1">
      <alignment horizontal="distributed" vertical="center" wrapText="1"/>
    </xf>
    <xf numFmtId="176" fontId="8" fillId="2" borderId="11" xfId="18" applyNumberFormat="1" applyFont="1" applyFill="1" applyBorder="1" applyAlignment="1">
      <alignment horizontal="center" vertical="center"/>
    </xf>
    <xf numFmtId="176" fontId="8" fillId="2" borderId="12" xfId="18" applyNumberFormat="1" applyFont="1" applyFill="1" applyBorder="1" applyAlignment="1">
      <alignment horizontal="right" vertical="center"/>
    </xf>
    <xf numFmtId="176" fontId="8" fillId="2" borderId="13" xfId="18" applyNumberFormat="1" applyFont="1" applyFill="1" applyBorder="1" applyAlignment="1">
      <alignment horizontal="center" vertical="center"/>
    </xf>
    <xf numFmtId="0" fontId="8" fillId="2" borderId="14" xfId="18" applyFont="1" applyFill="1" applyBorder="1" applyAlignment="1">
      <alignment horizontal="distributed" vertical="center" wrapText="1"/>
    </xf>
    <xf numFmtId="176" fontId="8" fillId="2" borderId="5" xfId="18" applyNumberFormat="1" applyFont="1" applyFill="1" applyBorder="1" applyAlignment="1">
      <alignment horizontal="center" vertical="center"/>
    </xf>
    <xf numFmtId="176" fontId="8" fillId="2" borderId="6" xfId="18" applyNumberFormat="1" applyFont="1" applyFill="1" applyBorder="1" applyAlignment="1">
      <alignment horizontal="center" vertical="center"/>
    </xf>
    <xf numFmtId="176" fontId="8" fillId="2" borderId="7" xfId="18" applyNumberFormat="1" applyFont="1" applyFill="1" applyBorder="1" applyAlignment="1">
      <alignment horizontal="right" vertical="center"/>
    </xf>
    <xf numFmtId="176" fontId="8" fillId="2" borderId="15" xfId="18" applyNumberFormat="1" applyFont="1" applyFill="1" applyBorder="1" applyAlignment="1">
      <alignment horizontal="center" vertical="center"/>
    </xf>
    <xf numFmtId="177" fontId="12" fillId="2" borderId="0" xfId="18" applyNumberFormat="1" applyFont="1" applyFill="1" applyAlignment="1"/>
    <xf numFmtId="0" fontId="8" fillId="2" borderId="14" xfId="18" applyFont="1" applyFill="1" applyBorder="1" applyAlignment="1">
      <alignment horizontal="center" vertical="center" wrapText="1"/>
    </xf>
    <xf numFmtId="0" fontId="8" fillId="2" borderId="16" xfId="18" applyFont="1" applyFill="1" applyBorder="1" applyAlignment="1">
      <alignment horizontal="center" vertical="center" wrapText="1"/>
    </xf>
    <xf numFmtId="176" fontId="8" fillId="2" borderId="2" xfId="18" applyNumberFormat="1" applyFont="1" applyFill="1" applyBorder="1" applyAlignment="1">
      <alignment horizontal="center" vertical="center"/>
    </xf>
    <xf numFmtId="176" fontId="8" fillId="2" borderId="17" xfId="18" applyNumberFormat="1" applyFont="1" applyFill="1" applyBorder="1" applyAlignment="1">
      <alignment horizontal="center" vertical="center"/>
    </xf>
    <xf numFmtId="0" fontId="12" fillId="2" borderId="18" xfId="18" applyFont="1" applyFill="1" applyBorder="1" applyAlignment="1">
      <alignment vertical="center"/>
    </xf>
    <xf numFmtId="0" fontId="9" fillId="2" borderId="18" xfId="18" applyFont="1" applyFill="1" applyBorder="1" applyAlignment="1">
      <alignment vertical="center"/>
    </xf>
    <xf numFmtId="0" fontId="9" fillId="2" borderId="2" xfId="18" applyFont="1" applyFill="1" applyBorder="1" applyAlignment="1">
      <alignment horizontal="centerContinuous" vertical="center"/>
    </xf>
    <xf numFmtId="0" fontId="12" fillId="2" borderId="0" xfId="18" applyFont="1" applyFill="1" applyAlignment="1">
      <alignment wrapText="1"/>
    </xf>
    <xf numFmtId="0" fontId="12" fillId="2" borderId="0" xfId="18" applyFont="1" applyFill="1" applyAlignment="1">
      <alignment horizontal="center"/>
    </xf>
    <xf numFmtId="0" fontId="12" fillId="2" borderId="0" xfId="18" applyFont="1" applyFill="1" applyAlignment="1">
      <alignment horizontal="right"/>
    </xf>
    <xf numFmtId="0" fontId="11" fillId="3" borderId="5" xfId="19" applyFont="1" applyFill="1" applyBorder="1" applyAlignment="1" applyProtection="1">
      <alignment vertical="center" wrapText="1"/>
    </xf>
    <xf numFmtId="0" fontId="11" fillId="3" borderId="6" xfId="19" applyFont="1" applyFill="1" applyBorder="1" applyAlignment="1" applyProtection="1">
      <alignment vertical="center" wrapText="1"/>
    </xf>
    <xf numFmtId="0" fontId="11" fillId="3" borderId="24" xfId="19" applyFont="1" applyFill="1" applyBorder="1" applyAlignment="1" applyProtection="1">
      <alignment horizontal="center" vertical="center" wrapText="1"/>
    </xf>
    <xf numFmtId="0" fontId="11" fillId="3" borderId="22" xfId="18" applyFont="1" applyFill="1" applyBorder="1" applyAlignment="1">
      <alignment horizontal="center" vertical="center" wrapText="1"/>
    </xf>
    <xf numFmtId="0" fontId="11" fillId="3" borderId="32" xfId="19" applyFont="1" applyFill="1" applyBorder="1" applyAlignment="1" applyProtection="1">
      <alignment horizontal="centerContinuous" vertical="center" wrapText="1"/>
    </xf>
    <xf numFmtId="0" fontId="11" fillId="3" borderId="18" xfId="19" applyFont="1" applyFill="1" applyBorder="1" applyAlignment="1" applyProtection="1">
      <alignment horizontal="centerContinuous" vertical="center" wrapText="1"/>
    </xf>
    <xf numFmtId="0" fontId="11" fillId="3" borderId="23" xfId="19" applyFont="1" applyFill="1" applyBorder="1" applyAlignment="1" applyProtection="1">
      <alignment horizontal="centerContinuous" vertical="center" wrapText="1"/>
    </xf>
    <xf numFmtId="177" fontId="6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0" borderId="33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0" xfId="17" applyFont="1" applyFill="1"/>
    <xf numFmtId="0" fontId="11" fillId="3" borderId="3" xfId="19" applyFont="1" applyFill="1" applyBorder="1" applyAlignment="1" applyProtection="1">
      <alignment vertical="center" wrapText="1"/>
    </xf>
    <xf numFmtId="0" fontId="11" fillId="3" borderId="4" xfId="19" applyFont="1" applyFill="1" applyBorder="1" applyAlignment="1" applyProtection="1">
      <alignment vertical="center" wrapText="1"/>
    </xf>
    <xf numFmtId="177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33" xfId="0" applyNumberFormat="1" applyFont="1" applyFill="1" applyBorder="1" applyAlignment="1">
      <alignment vertical="center"/>
    </xf>
    <xf numFmtId="0" fontId="6" fillId="0" borderId="36" xfId="17" applyFont="1" applyFill="1" applyBorder="1" applyAlignment="1" applyProtection="1">
      <alignment horizontal="centerContinuous" vertical="center"/>
    </xf>
    <xf numFmtId="49" fontId="6" fillId="0" borderId="37" xfId="17" applyNumberFormat="1" applyFont="1" applyFill="1" applyBorder="1" applyAlignment="1" applyProtection="1">
      <alignment horizontal="centerContinuous" vertical="center" wrapText="1"/>
    </xf>
    <xf numFmtId="177" fontId="6" fillId="0" borderId="37" xfId="17" applyNumberFormat="1" applyFont="1" applyFill="1" applyBorder="1" applyAlignment="1" applyProtection="1">
      <alignment horizontal="center" vertical="center" wrapText="1"/>
      <protection locked="0"/>
    </xf>
    <xf numFmtId="181" fontId="6" fillId="0" borderId="37" xfId="17" applyNumberFormat="1" applyFont="1" applyFill="1" applyBorder="1" applyAlignment="1" applyProtection="1">
      <alignment horizontal="right" vertical="center"/>
    </xf>
    <xf numFmtId="178" fontId="6" fillId="0" borderId="37" xfId="17" applyNumberFormat="1" applyFont="1" applyFill="1" applyBorder="1" applyAlignment="1" applyProtection="1">
      <alignment horizontal="center" vertical="center" wrapText="1"/>
      <protection locked="0"/>
    </xf>
    <xf numFmtId="178" fontId="6" fillId="0" borderId="37" xfId="17" applyNumberFormat="1" applyFont="1" applyFill="1" applyBorder="1" applyAlignment="1" applyProtection="1">
      <alignment horizontal="right" vertical="center"/>
    </xf>
    <xf numFmtId="0" fontId="6" fillId="0" borderId="37" xfId="17" applyFont="1" applyFill="1" applyBorder="1" applyAlignment="1" applyProtection="1">
      <alignment horizontal="center" vertical="center" wrapText="1"/>
    </xf>
    <xf numFmtId="0" fontId="6" fillId="0" borderId="37" xfId="17" applyFont="1" applyFill="1" applyBorder="1" applyAlignment="1" applyProtection="1">
      <alignment horizontal="distributed" vertical="center" wrapText="1"/>
    </xf>
    <xf numFmtId="0" fontId="6" fillId="0" borderId="38" xfId="17" applyFont="1" applyFill="1" applyBorder="1" applyAlignment="1" applyProtection="1">
      <alignment horizontal="center" vertical="center" wrapText="1"/>
    </xf>
    <xf numFmtId="176" fontId="6" fillId="0" borderId="33" xfId="0" applyNumberFormat="1" applyFont="1" applyFill="1" applyBorder="1" applyAlignment="1" applyProtection="1">
      <alignment horizontal="right" vertical="center"/>
      <protection locked="0"/>
    </xf>
    <xf numFmtId="0" fontId="6" fillId="0" borderId="39" xfId="17" applyFont="1" applyFill="1" applyBorder="1" applyAlignment="1" applyProtection="1">
      <alignment horizontal="centerContinuous" vertical="center"/>
    </xf>
    <xf numFmtId="49" fontId="6" fillId="0" borderId="19" xfId="17" applyNumberFormat="1" applyFont="1" applyFill="1" applyBorder="1" applyAlignment="1" applyProtection="1">
      <alignment horizontal="centerContinuous" vertical="center" wrapText="1"/>
    </xf>
    <xf numFmtId="177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181" fontId="6" fillId="0" borderId="19" xfId="17" applyNumberFormat="1" applyFont="1" applyFill="1" applyBorder="1" applyAlignment="1" applyProtection="1">
      <alignment horizontal="right" vertical="center"/>
    </xf>
    <xf numFmtId="176" fontId="6" fillId="0" borderId="19" xfId="17" applyNumberFormat="1" applyFont="1" applyFill="1" applyBorder="1" applyAlignment="1" applyProtection="1">
      <alignment horizontal="right" vertical="center"/>
    </xf>
    <xf numFmtId="178" fontId="6" fillId="0" borderId="19" xfId="17" applyNumberFormat="1" applyFont="1" applyFill="1" applyBorder="1" applyAlignment="1" applyProtection="1">
      <alignment horizontal="center" vertical="center" wrapText="1"/>
      <protection locked="0"/>
    </xf>
    <xf numFmtId="178" fontId="6" fillId="0" borderId="19" xfId="17" applyNumberFormat="1" applyFont="1" applyFill="1" applyBorder="1" applyAlignment="1" applyProtection="1">
      <alignment horizontal="right" vertical="center"/>
    </xf>
    <xf numFmtId="0" fontId="6" fillId="0" borderId="19" xfId="17" applyFont="1" applyFill="1" applyBorder="1" applyAlignment="1" applyProtection="1">
      <alignment horizontal="center" vertical="center" wrapText="1"/>
    </xf>
    <xf numFmtId="0" fontId="6" fillId="0" borderId="19" xfId="17" applyFont="1" applyFill="1" applyBorder="1" applyAlignment="1" applyProtection="1">
      <alignment horizontal="distributed" vertical="center" wrapText="1"/>
    </xf>
    <xf numFmtId="0" fontId="6" fillId="0" borderId="28" xfId="17" applyFont="1" applyFill="1" applyBorder="1" applyAlignment="1" applyProtection="1">
      <alignment horizontal="center" vertical="center" wrapText="1"/>
    </xf>
    <xf numFmtId="0" fontId="13" fillId="0" borderId="0" xfId="17" applyFont="1" applyFill="1" applyBorder="1" applyAlignment="1" applyProtection="1">
      <alignment horizontal="centerContinuous"/>
    </xf>
    <xf numFmtId="49" fontId="8" fillId="0" borderId="0" xfId="17" applyNumberFormat="1" applyFont="1" applyFill="1" applyAlignment="1" applyProtection="1">
      <alignment horizontal="centerContinuous"/>
    </xf>
    <xf numFmtId="0" fontId="8" fillId="0" borderId="0" xfId="17" applyFont="1" applyFill="1" applyAlignment="1" applyProtection="1">
      <alignment horizontal="centerContinuous"/>
    </xf>
    <xf numFmtId="176" fontId="8" fillId="0" borderId="0" xfId="17" applyNumberFormat="1" applyFont="1" applyFill="1" applyAlignment="1" applyProtection="1">
      <alignment horizontal="centerContinuous"/>
    </xf>
    <xf numFmtId="0" fontId="8" fillId="0" borderId="0" xfId="17" applyFont="1" applyFill="1" applyAlignment="1" applyProtection="1">
      <alignment horizontal="centerContinuous" wrapText="1"/>
    </xf>
    <xf numFmtId="0" fontId="15" fillId="0" borderId="0" xfId="17" applyFont="1" applyFill="1" applyBorder="1" applyAlignment="1" applyProtection="1">
      <alignment horizontal="centerContinuous"/>
    </xf>
    <xf numFmtId="0" fontId="8" fillId="0" borderId="0" xfId="17" applyFont="1" applyFill="1"/>
    <xf numFmtId="0" fontId="8" fillId="0" borderId="2" xfId="17" applyFont="1" applyFill="1" applyBorder="1" applyAlignment="1" applyProtection="1">
      <alignment horizontal="centerContinuous"/>
    </xf>
    <xf numFmtId="176" fontId="8" fillId="0" borderId="0" xfId="17" applyNumberFormat="1" applyFont="1" applyFill="1" applyAlignment="1" applyProtection="1">
      <alignment horizontal="right"/>
    </xf>
    <xf numFmtId="0" fontId="8" fillId="0" borderId="0" xfId="17" applyFont="1" applyFill="1" applyProtection="1"/>
    <xf numFmtId="0" fontId="8" fillId="0" borderId="0" xfId="17" applyFont="1" applyFill="1" applyAlignment="1" applyProtection="1">
      <alignment wrapText="1"/>
    </xf>
    <xf numFmtId="0" fontId="14" fillId="0" borderId="2" xfId="17" applyFont="1" applyFill="1" applyBorder="1" applyAlignment="1" applyProtection="1"/>
    <xf numFmtId="0" fontId="14" fillId="0" borderId="2" xfId="17" applyFont="1" applyFill="1" applyBorder="1" applyAlignment="1" applyProtection="1">
      <alignment horizontal="right"/>
    </xf>
    <xf numFmtId="176" fontId="8" fillId="0" borderId="35" xfId="17" applyNumberFormat="1" applyFont="1" applyFill="1" applyBorder="1" applyAlignment="1" applyProtection="1">
      <alignment horizontal="center" vertical="center" wrapText="1"/>
    </xf>
    <xf numFmtId="0" fontId="8" fillId="0" borderId="19" xfId="17" applyFont="1" applyFill="1" applyBorder="1" applyAlignment="1" applyProtection="1">
      <alignment horizontal="center" vertical="center" wrapText="1"/>
    </xf>
    <xf numFmtId="0" fontId="8" fillId="0" borderId="19" xfId="17" applyFont="1" applyFill="1" applyBorder="1" applyAlignment="1" applyProtection="1">
      <alignment horizontal="center" vertical="center"/>
    </xf>
    <xf numFmtId="176" fontId="6" fillId="0" borderId="37" xfId="17" applyNumberFormat="1" applyFont="1" applyFill="1" applyBorder="1" applyAlignment="1" applyProtection="1">
      <alignment horizontal="right" vertical="center"/>
    </xf>
    <xf numFmtId="0" fontId="8" fillId="0" borderId="21" xfId="17" applyFont="1" applyFill="1" applyBorder="1"/>
    <xf numFmtId="49" fontId="8" fillId="0" borderId="0" xfId="17" applyNumberFormat="1" applyFont="1" applyFill="1"/>
    <xf numFmtId="176" fontId="8" fillId="0" borderId="0" xfId="17" applyNumberFormat="1" applyFont="1" applyFill="1"/>
    <xf numFmtId="176" fontId="8" fillId="0" borderId="0" xfId="17" applyNumberFormat="1" applyFont="1" applyFill="1" applyAlignment="1">
      <alignment horizontal="right"/>
    </xf>
    <xf numFmtId="0" fontId="8" fillId="0" borderId="0" xfId="17" applyFont="1" applyFill="1" applyAlignment="1">
      <alignment wrapText="1"/>
    </xf>
    <xf numFmtId="0" fontId="15" fillId="0" borderId="20" xfId="17" applyFont="1" applyFill="1" applyBorder="1"/>
    <xf numFmtId="176" fontId="8" fillId="2" borderId="8" xfId="18" applyNumberFormat="1" applyFont="1" applyFill="1" applyBorder="1" applyAlignment="1">
      <alignment horizontal="right" vertical="center"/>
    </xf>
    <xf numFmtId="176" fontId="8" fillId="2" borderId="29" xfId="18" applyNumberFormat="1" applyFont="1" applyFill="1" applyBorder="1" applyAlignment="1">
      <alignment horizontal="center" vertical="center"/>
    </xf>
    <xf numFmtId="176" fontId="8" fillId="2" borderId="31" xfId="18" applyNumberFormat="1" applyFont="1" applyFill="1" applyBorder="1" applyAlignment="1">
      <alignment horizontal="right" vertical="center"/>
    </xf>
    <xf numFmtId="176" fontId="8" fillId="2" borderId="30" xfId="18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8" fillId="0" borderId="0" xfId="17" applyFont="1" applyFill="1" applyBorder="1" applyAlignment="1" applyProtection="1">
      <alignment horizontal="centerContinuous"/>
    </xf>
    <xf numFmtId="0" fontId="6" fillId="0" borderId="44" xfId="17" applyFont="1" applyFill="1" applyBorder="1" applyAlignment="1" applyProtection="1">
      <alignment horizontal="centerContinuous" vertical="center"/>
    </xf>
    <xf numFmtId="0" fontId="6" fillId="0" borderId="48" xfId="17" applyFont="1" applyFill="1" applyBorder="1" applyAlignment="1" applyProtection="1">
      <alignment horizontal="centerContinuous" vertical="center"/>
    </xf>
    <xf numFmtId="0" fontId="8" fillId="0" borderId="0" xfId="17" applyFont="1" applyFill="1" applyBorder="1"/>
    <xf numFmtId="176" fontId="6" fillId="0" borderId="33" xfId="0" applyNumberFormat="1" applyFont="1" applyFill="1" applyBorder="1" applyAlignment="1" applyProtection="1">
      <alignment horizontal="center" vertical="center"/>
      <protection locked="0"/>
    </xf>
    <xf numFmtId="0" fontId="11" fillId="3" borderId="32" xfId="18" applyFont="1" applyFill="1" applyBorder="1" applyAlignment="1">
      <alignment horizontal="center" vertical="center"/>
    </xf>
    <xf numFmtId="0" fontId="12" fillId="2" borderId="0" xfId="18" applyFont="1" applyFill="1" applyAlignment="1"/>
    <xf numFmtId="0" fontId="12" fillId="2" borderId="0" xfId="18" applyFont="1" applyFill="1" applyAlignment="1">
      <alignment horizontal="right"/>
    </xf>
    <xf numFmtId="0" fontId="11" fillId="3" borderId="22" xfId="18" applyFont="1" applyFill="1" applyBorder="1" applyAlignment="1">
      <alignment horizontal="center" vertical="center" wrapText="1"/>
    </xf>
    <xf numFmtId="0" fontId="11" fillId="3" borderId="40" xfId="18" applyFont="1" applyFill="1" applyBorder="1" applyAlignment="1">
      <alignment horizontal="center" vertical="center" wrapText="1"/>
    </xf>
    <xf numFmtId="0" fontId="11" fillId="3" borderId="16" xfId="18" applyFont="1" applyFill="1" applyBorder="1" applyAlignment="1">
      <alignment horizontal="center" vertical="center" wrapText="1"/>
    </xf>
    <xf numFmtId="0" fontId="11" fillId="3" borderId="18" xfId="18" applyFont="1" applyFill="1" applyBorder="1" applyAlignment="1">
      <alignment horizontal="center" vertical="center"/>
    </xf>
    <xf numFmtId="0" fontId="11" fillId="3" borderId="23" xfId="18" applyFont="1" applyFill="1" applyBorder="1" applyAlignment="1">
      <alignment horizontal="center" vertical="center"/>
    </xf>
    <xf numFmtId="0" fontId="11" fillId="3" borderId="41" xfId="18" applyFont="1" applyFill="1" applyBorder="1" applyAlignment="1">
      <alignment horizontal="center" vertical="center"/>
    </xf>
    <xf numFmtId="0" fontId="11" fillId="3" borderId="0" xfId="18" applyFont="1" applyFill="1" applyBorder="1" applyAlignment="1">
      <alignment horizontal="center" vertical="center"/>
    </xf>
    <xf numFmtId="0" fontId="11" fillId="3" borderId="42" xfId="18" applyFont="1" applyFill="1" applyBorder="1" applyAlignment="1">
      <alignment horizontal="center" vertical="center"/>
    </xf>
    <xf numFmtId="0" fontId="11" fillId="3" borderId="43" xfId="18" applyFont="1" applyFill="1" applyBorder="1" applyAlignment="1">
      <alignment horizontal="center" vertical="center"/>
    </xf>
    <xf numFmtId="0" fontId="11" fillId="3" borderId="11" xfId="18" applyFont="1" applyFill="1" applyBorder="1" applyAlignment="1">
      <alignment horizontal="center" vertical="center"/>
    </xf>
    <xf numFmtId="0" fontId="11" fillId="3" borderId="12" xfId="18" applyFont="1" applyFill="1" applyBorder="1" applyAlignment="1">
      <alignment horizontal="center" vertical="center"/>
    </xf>
    <xf numFmtId="0" fontId="11" fillId="3" borderId="4" xfId="19" applyFont="1" applyFill="1" applyBorder="1" applyAlignment="1" applyProtection="1">
      <alignment horizontal="center" vertical="center" wrapText="1"/>
    </xf>
    <xf numFmtId="0" fontId="11" fillId="3" borderId="24" xfId="19" applyFont="1" applyFill="1" applyBorder="1" applyAlignment="1" applyProtection="1">
      <alignment horizontal="center" vertical="center" wrapText="1"/>
    </xf>
    <xf numFmtId="0" fontId="11" fillId="3" borderId="27" xfId="19" applyFont="1" applyFill="1" applyBorder="1" applyAlignment="1" applyProtection="1">
      <alignment horizontal="center" vertical="center" wrapText="1"/>
    </xf>
    <xf numFmtId="0" fontId="11" fillId="3" borderId="17" xfId="19" applyFont="1" applyFill="1" applyBorder="1" applyAlignment="1" applyProtection="1">
      <alignment horizontal="center" vertical="center" wrapText="1"/>
    </xf>
    <xf numFmtId="0" fontId="11" fillId="3" borderId="6" xfId="19" applyFont="1" applyFill="1" applyBorder="1" applyAlignment="1" applyProtection="1">
      <alignment horizontal="center" vertical="center" wrapText="1"/>
    </xf>
    <xf numFmtId="0" fontId="11" fillId="3" borderId="25" xfId="19" applyFont="1" applyFill="1" applyBorder="1" applyAlignment="1" applyProtection="1">
      <alignment horizontal="center" vertical="center" wrapText="1"/>
    </xf>
    <xf numFmtId="0" fontId="11" fillId="3" borderId="26" xfId="19" applyFont="1" applyFill="1" applyBorder="1" applyAlignment="1" applyProtection="1">
      <alignment horizontal="center" vertical="center" wrapText="1"/>
    </xf>
    <xf numFmtId="0" fontId="11" fillId="3" borderId="44" xfId="19" applyFont="1" applyFill="1" applyBorder="1" applyAlignment="1" applyProtection="1">
      <alignment horizontal="center" vertical="center" wrapText="1"/>
    </xf>
    <xf numFmtId="0" fontId="11" fillId="3" borderId="43" xfId="19" applyFont="1" applyFill="1" applyBorder="1" applyAlignment="1" applyProtection="1">
      <alignment horizontal="center" vertical="center" wrapText="1"/>
    </xf>
    <xf numFmtId="0" fontId="11" fillId="3" borderId="11" xfId="19" applyFont="1" applyFill="1" applyBorder="1" applyAlignment="1" applyProtection="1">
      <alignment horizontal="center" vertical="center" wrapText="1"/>
    </xf>
    <xf numFmtId="0" fontId="11" fillId="3" borderId="12" xfId="19" applyFont="1" applyFill="1" applyBorder="1" applyAlignment="1" applyProtection="1">
      <alignment horizontal="center" vertical="center" wrapText="1"/>
    </xf>
    <xf numFmtId="0" fontId="11" fillId="3" borderId="25" xfId="19" applyFont="1" applyFill="1" applyBorder="1" applyAlignment="1" applyProtection="1">
      <alignment horizontal="center" vertical="center"/>
    </xf>
    <xf numFmtId="0" fontId="11" fillId="3" borderId="26" xfId="19" applyFont="1" applyFill="1" applyBorder="1" applyAlignment="1" applyProtection="1">
      <alignment horizontal="center" vertical="center"/>
    </xf>
    <xf numFmtId="0" fontId="11" fillId="3" borderId="44" xfId="19" applyFont="1" applyFill="1" applyBorder="1" applyAlignment="1" applyProtection="1">
      <alignment horizontal="center" vertical="center"/>
    </xf>
    <xf numFmtId="0" fontId="11" fillId="3" borderId="43" xfId="19" applyFont="1" applyFill="1" applyBorder="1" applyAlignment="1" applyProtection="1">
      <alignment horizontal="center" vertical="center"/>
    </xf>
    <xf numFmtId="0" fontId="11" fillId="3" borderId="11" xfId="19" applyFont="1" applyFill="1" applyBorder="1" applyAlignment="1" applyProtection="1">
      <alignment horizontal="center" vertical="center"/>
    </xf>
    <xf numFmtId="0" fontId="11" fillId="3" borderId="12" xfId="19" applyFont="1" applyFill="1" applyBorder="1" applyAlignment="1" applyProtection="1">
      <alignment horizontal="center" vertical="center"/>
    </xf>
    <xf numFmtId="0" fontId="11" fillId="3" borderId="5" xfId="19" applyFont="1" applyFill="1" applyBorder="1" applyAlignment="1" applyProtection="1">
      <alignment horizontal="center" vertical="center"/>
    </xf>
    <xf numFmtId="0" fontId="11" fillId="3" borderId="6" xfId="19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176" fontId="8" fillId="0" borderId="34" xfId="17" applyNumberFormat="1" applyFont="1" applyFill="1" applyBorder="1" applyAlignment="1" applyProtection="1">
      <alignment horizontal="center" vertical="center" wrapText="1"/>
    </xf>
    <xf numFmtId="176" fontId="8" fillId="0" borderId="33" xfId="17" applyNumberFormat="1" applyFont="1" applyFill="1" applyBorder="1" applyAlignment="1" applyProtection="1">
      <alignment horizontal="center" vertical="center" wrapText="1"/>
    </xf>
    <xf numFmtId="0" fontId="8" fillId="0" borderId="24" xfId="17" applyFont="1" applyFill="1" applyBorder="1" applyAlignment="1" applyProtection="1">
      <alignment horizontal="center" vertical="center"/>
    </xf>
    <xf numFmtId="0" fontId="8" fillId="0" borderId="27" xfId="17" applyFont="1" applyFill="1" applyBorder="1" applyAlignment="1" applyProtection="1">
      <alignment horizontal="center" vertical="center"/>
    </xf>
    <xf numFmtId="0" fontId="8" fillId="0" borderId="17" xfId="17" applyFont="1" applyFill="1" applyBorder="1" applyAlignment="1" applyProtection="1">
      <alignment horizontal="center" vertical="center"/>
    </xf>
    <xf numFmtId="176" fontId="8" fillId="0" borderId="45" xfId="17" applyNumberFormat="1" applyFont="1" applyFill="1" applyBorder="1" applyAlignment="1" applyProtection="1">
      <alignment horizontal="center" vertical="center" wrapText="1"/>
    </xf>
    <xf numFmtId="176" fontId="8" fillId="0" borderId="46" xfId="17" applyNumberFormat="1" applyFont="1" applyFill="1" applyBorder="1" applyAlignment="1" applyProtection="1">
      <alignment horizontal="center" vertical="center" wrapText="1"/>
    </xf>
    <xf numFmtId="176" fontId="8" fillId="0" borderId="47" xfId="17" applyNumberFormat="1" applyFont="1" applyFill="1" applyBorder="1" applyAlignment="1" applyProtection="1">
      <alignment horizontal="center" vertical="center" wrapText="1"/>
    </xf>
    <xf numFmtId="0" fontId="8" fillId="0" borderId="45" xfId="17" applyFont="1" applyFill="1" applyBorder="1" applyAlignment="1" applyProtection="1">
      <alignment horizontal="center" vertical="center" wrapText="1"/>
    </xf>
    <xf numFmtId="0" fontId="8" fillId="0" borderId="46" xfId="17" applyFont="1" applyFill="1" applyBorder="1" applyAlignment="1" applyProtection="1">
      <alignment horizontal="center" vertical="center" wrapText="1"/>
    </xf>
    <xf numFmtId="0" fontId="8" fillId="0" borderId="47" xfId="17" applyFont="1" applyFill="1" applyBorder="1" applyAlignment="1" applyProtection="1">
      <alignment horizontal="center" vertical="center" wrapText="1"/>
    </xf>
    <xf numFmtId="0" fontId="8" fillId="0" borderId="22" xfId="17" applyFont="1" applyFill="1" applyBorder="1" applyAlignment="1" applyProtection="1">
      <alignment horizontal="center" vertical="center" wrapText="1"/>
    </xf>
    <xf numFmtId="0" fontId="8" fillId="0" borderId="40" xfId="17" applyFont="1" applyFill="1" applyBorder="1" applyAlignment="1" applyProtection="1">
      <alignment horizontal="center" vertical="center" wrapText="1"/>
    </xf>
    <xf numFmtId="0" fontId="8" fillId="0" borderId="16" xfId="17" applyFont="1" applyFill="1" applyBorder="1" applyAlignment="1" applyProtection="1">
      <alignment horizontal="center" vertical="center" wrapText="1"/>
    </xf>
    <xf numFmtId="0" fontId="8" fillId="0" borderId="45" xfId="17" applyFont="1" applyFill="1" applyBorder="1" applyAlignment="1" applyProtection="1">
      <alignment horizontal="center" vertical="center"/>
    </xf>
    <xf numFmtId="0" fontId="8" fillId="0" borderId="46" xfId="17" applyFont="1" applyFill="1" applyBorder="1" applyAlignment="1" applyProtection="1">
      <alignment horizontal="center" vertical="center"/>
    </xf>
    <xf numFmtId="0" fontId="8" fillId="0" borderId="32" xfId="17" applyFont="1" applyFill="1" applyBorder="1" applyAlignment="1" applyProtection="1">
      <alignment horizontal="center" vertical="center" wrapText="1"/>
    </xf>
    <xf numFmtId="0" fontId="8" fillId="0" borderId="23" xfId="17" applyFont="1" applyFill="1" applyBorder="1" applyAlignment="1" applyProtection="1">
      <alignment horizontal="center" vertical="center" wrapText="1"/>
    </xf>
    <xf numFmtId="0" fontId="8" fillId="0" borderId="43" xfId="17" applyFont="1" applyFill="1" applyBorder="1" applyAlignment="1" applyProtection="1">
      <alignment horizontal="center" vertical="center" wrapText="1"/>
    </xf>
    <xf numFmtId="0" fontId="8" fillId="0" borderId="12" xfId="17" applyFont="1" applyFill="1" applyBorder="1" applyAlignment="1" applyProtection="1">
      <alignment horizontal="center" vertical="center" wrapText="1"/>
    </xf>
    <xf numFmtId="0" fontId="8" fillId="0" borderId="18" xfId="17" applyFont="1" applyFill="1" applyBorder="1" applyAlignment="1" applyProtection="1">
      <alignment horizontal="center" vertical="center" wrapText="1"/>
    </xf>
    <xf numFmtId="0" fontId="8" fillId="0" borderId="11" xfId="17" applyFont="1" applyFill="1" applyBorder="1" applyAlignment="1" applyProtection="1">
      <alignment horizontal="center" vertical="center" wrapText="1"/>
    </xf>
  </cellXfs>
  <cellStyles count="20">
    <cellStyle name="Comma" xfId="1"/>
    <cellStyle name="Comma [0]_ SG&amp;A Bridge " xfId="2"/>
    <cellStyle name="Comma_ SG&amp;A Bridge " xfId="3"/>
    <cellStyle name="Currency" xfId="4"/>
    <cellStyle name="Currency [0]_ SG&amp;A Bridge " xfId="5"/>
    <cellStyle name="Currency_ SG&amp;A Bridge " xfId="6"/>
    <cellStyle name="Date" xfId="7"/>
    <cellStyle name="Fixed" xfId="8"/>
    <cellStyle name="Heading1" xfId="9"/>
    <cellStyle name="Heading2" xfId="10"/>
    <cellStyle name="Normal_ SG&amp;A Bridge " xfId="11"/>
    <cellStyle name="Percent" xfId="12"/>
    <cellStyle name="Total" xfId="13"/>
    <cellStyle name="뷭?_BOOKSHIP" xfId="14"/>
    <cellStyle name="콤마 [0]_1202" xfId="15"/>
    <cellStyle name="콤마_1202" xfId="16"/>
    <cellStyle name="표준" xfId="0" builtinId="0"/>
    <cellStyle name="표준_용지조서(1)" xfId="17"/>
    <cellStyle name="표준_전체집계표 (10)" xfId="18"/>
    <cellStyle name="표준_집계표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50"/>
  <sheetViews>
    <sheetView showZeros="0" view="pageBreakPreview" topLeftCell="A3" zoomScaleNormal="75" zoomScaleSheetLayoutView="100" workbookViewId="0">
      <selection activeCell="Q11" sqref="Q11"/>
    </sheetView>
  </sheetViews>
  <sheetFormatPr defaultRowHeight="12"/>
  <cols>
    <col min="1" max="1" width="12.77734375" style="31" customWidth="1"/>
    <col min="2" max="2" width="8.77734375" style="32" customWidth="1"/>
    <col min="3" max="3" width="1.77734375" style="6" customWidth="1"/>
    <col min="4" max="4" width="12.77734375" style="33" customWidth="1"/>
    <col min="5" max="5" width="3.77734375" style="32" hidden="1" customWidth="1"/>
    <col min="6" max="6" width="1.77734375" style="6" hidden="1" customWidth="1"/>
    <col min="7" max="7" width="7.33203125" style="33" hidden="1" customWidth="1"/>
    <col min="8" max="8" width="3.77734375" style="32" hidden="1" customWidth="1"/>
    <col min="9" max="9" width="1.77734375" style="6" hidden="1" customWidth="1"/>
    <col min="10" max="10" width="7.33203125" style="33" hidden="1" customWidth="1"/>
    <col min="11" max="11" width="3.77734375" style="32" hidden="1" customWidth="1"/>
    <col min="12" max="12" width="1.77734375" style="6" hidden="1" customWidth="1"/>
    <col min="13" max="13" width="7.33203125" style="33" hidden="1" customWidth="1"/>
    <col min="14" max="14" width="3.77734375" style="32" hidden="1" customWidth="1"/>
    <col min="15" max="15" width="1.77734375" style="6" hidden="1" customWidth="1"/>
    <col min="16" max="16" width="7.33203125" style="33" hidden="1" customWidth="1"/>
    <col min="17" max="17" width="8.77734375" style="32" customWidth="1"/>
    <col min="18" max="18" width="1.77734375" style="6" customWidth="1"/>
    <col min="19" max="19" width="12.77734375" style="33" customWidth="1"/>
    <col min="20" max="20" width="8.77734375" style="32" customWidth="1"/>
    <col min="21" max="21" width="1.77734375" style="6" customWidth="1"/>
    <col min="22" max="22" width="12.77734375" style="33" customWidth="1"/>
    <col min="23" max="23" width="3.88671875" style="32" customWidth="1"/>
    <col min="24" max="24" width="9" style="6" bestFit="1" customWidth="1"/>
    <col min="25" max="25" width="9.109375" style="6" bestFit="1" customWidth="1"/>
    <col min="26" max="16384" width="8.88671875" style="6"/>
  </cols>
  <sheetData>
    <row r="1" spans="1:25" s="2" customFormat="1" ht="20.100000000000001" customHeight="1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5" s="2" customFormat="1" ht="20.10000000000000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21" customHeight="1">
      <c r="A3" s="106" t="s">
        <v>44</v>
      </c>
      <c r="B3" s="103" t="s">
        <v>45</v>
      </c>
      <c r="C3" s="109"/>
      <c r="D3" s="110"/>
      <c r="E3" s="46"/>
      <c r="F3" s="47"/>
      <c r="G3" s="47"/>
      <c r="H3" s="47"/>
      <c r="I3" s="47"/>
      <c r="J3" s="47"/>
      <c r="K3" s="47"/>
      <c r="L3" s="47"/>
      <c r="M3" s="47"/>
      <c r="N3" s="117" t="s">
        <v>54</v>
      </c>
      <c r="O3" s="117"/>
      <c r="P3" s="117"/>
      <c r="Q3" s="117"/>
      <c r="R3" s="117"/>
      <c r="S3" s="117"/>
      <c r="T3" s="117"/>
      <c r="U3" s="117"/>
      <c r="V3" s="117"/>
      <c r="W3" s="118" t="s">
        <v>48</v>
      </c>
    </row>
    <row r="4" spans="1:25" ht="21" customHeight="1">
      <c r="A4" s="107"/>
      <c r="B4" s="111"/>
      <c r="C4" s="112"/>
      <c r="D4" s="113"/>
      <c r="E4" s="34"/>
      <c r="F4" s="35"/>
      <c r="G4" s="35"/>
      <c r="H4" s="35"/>
      <c r="I4" s="35"/>
      <c r="J4" s="35"/>
      <c r="K4" s="35"/>
      <c r="L4" s="35"/>
      <c r="M4" s="35"/>
      <c r="N4" s="121" t="s">
        <v>55</v>
      </c>
      <c r="O4" s="121"/>
      <c r="P4" s="121"/>
      <c r="Q4" s="121"/>
      <c r="R4" s="121"/>
      <c r="S4" s="121"/>
      <c r="T4" s="121"/>
      <c r="U4" s="121"/>
      <c r="V4" s="121"/>
      <c r="W4" s="119"/>
    </row>
    <row r="5" spans="1:25" ht="21" customHeight="1">
      <c r="A5" s="107"/>
      <c r="B5" s="111"/>
      <c r="C5" s="112"/>
      <c r="D5" s="113"/>
      <c r="E5" s="122"/>
      <c r="F5" s="123"/>
      <c r="G5" s="124"/>
      <c r="H5" s="7"/>
      <c r="I5" s="8"/>
      <c r="J5" s="8"/>
      <c r="K5" s="8"/>
      <c r="L5" s="8"/>
      <c r="M5" s="8"/>
      <c r="N5" s="128" t="s">
        <v>47</v>
      </c>
      <c r="O5" s="129"/>
      <c r="P5" s="130"/>
      <c r="Q5" s="134" t="s">
        <v>56</v>
      </c>
      <c r="R5" s="135"/>
      <c r="S5" s="135"/>
      <c r="T5" s="135"/>
      <c r="U5" s="135"/>
      <c r="V5" s="135"/>
      <c r="W5" s="119"/>
    </row>
    <row r="6" spans="1:25" s="10" customFormat="1" ht="21" customHeight="1">
      <c r="A6" s="107"/>
      <c r="B6" s="114"/>
      <c r="C6" s="115"/>
      <c r="D6" s="116"/>
      <c r="E6" s="125"/>
      <c r="F6" s="126"/>
      <c r="G6" s="127"/>
      <c r="H6" s="7"/>
      <c r="I6" s="8"/>
      <c r="J6" s="9"/>
      <c r="K6" s="7"/>
      <c r="L6" s="8"/>
      <c r="M6" s="8"/>
      <c r="N6" s="131"/>
      <c r="O6" s="132"/>
      <c r="P6" s="133"/>
      <c r="Q6" s="8" t="s">
        <v>57</v>
      </c>
      <c r="R6" s="8"/>
      <c r="S6" s="9"/>
      <c r="T6" s="7" t="s">
        <v>58</v>
      </c>
      <c r="U6" s="8"/>
      <c r="V6" s="9"/>
      <c r="W6" s="119"/>
    </row>
    <row r="7" spans="1:25" ht="21" customHeight="1">
      <c r="A7" s="108"/>
      <c r="B7" s="11" t="s">
        <v>33</v>
      </c>
      <c r="C7" s="11" t="s">
        <v>31</v>
      </c>
      <c r="D7" s="12" t="s">
        <v>50</v>
      </c>
      <c r="E7" s="11"/>
      <c r="F7" s="11"/>
      <c r="G7" s="12"/>
      <c r="H7" s="13"/>
      <c r="I7" s="11"/>
      <c r="J7" s="12"/>
      <c r="K7" s="11"/>
      <c r="L7" s="11"/>
      <c r="M7" s="12"/>
      <c r="N7" s="11" t="s">
        <v>33</v>
      </c>
      <c r="O7" s="11" t="s">
        <v>31</v>
      </c>
      <c r="P7" s="12" t="s">
        <v>50</v>
      </c>
      <c r="Q7" s="13" t="s">
        <v>33</v>
      </c>
      <c r="R7" s="11" t="s">
        <v>31</v>
      </c>
      <c r="S7" s="12" t="s">
        <v>34</v>
      </c>
      <c r="T7" s="11" t="s">
        <v>33</v>
      </c>
      <c r="U7" s="11" t="s">
        <v>31</v>
      </c>
      <c r="V7" s="12" t="s">
        <v>50</v>
      </c>
      <c r="W7" s="120"/>
    </row>
    <row r="8" spans="1:25" ht="21" customHeight="1">
      <c r="A8" s="14" t="s">
        <v>32</v>
      </c>
      <c r="B8" s="15" t="e">
        <f>+Q8+T8</f>
        <v>#REF!</v>
      </c>
      <c r="C8" s="15" t="s">
        <v>31</v>
      </c>
      <c r="D8" s="16" t="e">
        <f>+S8+V8</f>
        <v>#REF!</v>
      </c>
      <c r="E8" s="15"/>
      <c r="F8" s="15"/>
      <c r="G8" s="16"/>
      <c r="H8" s="15"/>
      <c r="I8" s="15"/>
      <c r="J8" s="16"/>
      <c r="K8" s="15"/>
      <c r="L8" s="15"/>
      <c r="M8" s="16"/>
      <c r="N8" s="15" t="e">
        <v>#REF!</v>
      </c>
      <c r="O8" s="15" t="s">
        <v>31</v>
      </c>
      <c r="P8" s="16" t="e">
        <v>#REF!</v>
      </c>
      <c r="Q8" s="15" t="e">
        <f>SUM(Q9:Q37)</f>
        <v>#REF!</v>
      </c>
      <c r="R8" s="15" t="s">
        <v>31</v>
      </c>
      <c r="S8" s="16">
        <f>SUM(S9:S37)</f>
        <v>12377</v>
      </c>
      <c r="T8" s="15" t="e">
        <f>SUM(T9:T37)</f>
        <v>#REF!</v>
      </c>
      <c r="U8" s="15" t="s">
        <v>31</v>
      </c>
      <c r="V8" s="16" t="e">
        <f>SUM(V9:V37)</f>
        <v>#REF!</v>
      </c>
      <c r="W8" s="17"/>
    </row>
    <row r="9" spans="1:25" ht="21" customHeight="1">
      <c r="A9" s="18" t="s">
        <v>29</v>
      </c>
      <c r="B9" s="15" t="e">
        <f>+Q9+T9</f>
        <v>#REF!</v>
      </c>
      <c r="C9" s="15" t="s">
        <v>31</v>
      </c>
      <c r="D9" s="16" t="e">
        <f>+S9+V9</f>
        <v>#REF!</v>
      </c>
      <c r="E9" s="15"/>
      <c r="F9" s="15"/>
      <c r="G9" s="16"/>
      <c r="H9" s="19"/>
      <c r="I9" s="20"/>
      <c r="J9" s="21"/>
      <c r="K9" s="15"/>
      <c r="L9" s="15"/>
      <c r="M9" s="16"/>
      <c r="N9" s="15" t="e">
        <v>#REF!</v>
      </c>
      <c r="O9" s="15" t="s">
        <v>31</v>
      </c>
      <c r="P9" s="16" t="e">
        <v>#REF!</v>
      </c>
      <c r="Q9" s="19" t="e">
        <f>COUNTIF(토지세목조서!#REF!,"전")</f>
        <v>#REF!</v>
      </c>
      <c r="R9" s="20" t="s">
        <v>31</v>
      </c>
      <c r="S9" s="21">
        <f>SUMIF(토지세목조서!E:E,"전",토지세목조서!H:H)</f>
        <v>0</v>
      </c>
      <c r="T9" s="19" t="e">
        <f>COUNTIF(#REF!,"전")</f>
        <v>#REF!</v>
      </c>
      <c r="U9" s="20" t="s">
        <v>31</v>
      </c>
      <c r="V9" s="21" t="e">
        <f>SUMIF(#REF!,"전",#REF!)</f>
        <v>#REF!</v>
      </c>
      <c r="W9" s="22"/>
      <c r="X9" s="23"/>
      <c r="Y9" s="23"/>
    </row>
    <row r="10" spans="1:25" ht="21" customHeight="1">
      <c r="A10" s="18" t="s">
        <v>30</v>
      </c>
      <c r="B10" s="15" t="e">
        <f t="shared" ref="B10:B37" si="0">+Q10+T10</f>
        <v>#REF!</v>
      </c>
      <c r="C10" s="15" t="s">
        <v>31</v>
      </c>
      <c r="D10" s="16" t="e">
        <f t="shared" ref="D10:D37" si="1">+S10+V10</f>
        <v>#REF!</v>
      </c>
      <c r="E10" s="15"/>
      <c r="F10" s="15"/>
      <c r="G10" s="16"/>
      <c r="H10" s="19"/>
      <c r="I10" s="15"/>
      <c r="J10" s="21"/>
      <c r="K10" s="15"/>
      <c r="L10" s="15"/>
      <c r="M10" s="16"/>
      <c r="N10" s="15" t="e">
        <v>#REF!</v>
      </c>
      <c r="O10" s="15" t="s">
        <v>31</v>
      </c>
      <c r="P10" s="16" t="e">
        <v>#REF!</v>
      </c>
      <c r="Q10" s="19" t="e">
        <f>COUNTIF(토지세목조서!#REF!,"답")</f>
        <v>#REF!</v>
      </c>
      <c r="R10" s="20" t="s">
        <v>31</v>
      </c>
      <c r="S10" s="21">
        <f>SUMIF(토지세목조서!E:E,"답",토지세목조서!H:H)</f>
        <v>2688</v>
      </c>
      <c r="T10" s="19" t="e">
        <f>COUNTIF(#REF!,"답")</f>
        <v>#REF!</v>
      </c>
      <c r="U10" s="20" t="s">
        <v>31</v>
      </c>
      <c r="V10" s="21" t="e">
        <f>SUMIF(#REF!,"답",#REF!)</f>
        <v>#REF!</v>
      </c>
      <c r="W10" s="17"/>
    </row>
    <row r="11" spans="1:25" ht="21" customHeight="1">
      <c r="A11" s="24" t="s">
        <v>8</v>
      </c>
      <c r="B11" s="15" t="e">
        <f t="shared" si="0"/>
        <v>#REF!</v>
      </c>
      <c r="C11" s="15" t="s">
        <v>31</v>
      </c>
      <c r="D11" s="16" t="e">
        <f t="shared" si="1"/>
        <v>#REF!</v>
      </c>
      <c r="E11" s="15"/>
      <c r="F11" s="15"/>
      <c r="G11" s="16"/>
      <c r="H11" s="19"/>
      <c r="I11" s="15"/>
      <c r="J11" s="21"/>
      <c r="K11" s="15"/>
      <c r="L11" s="15"/>
      <c r="M11" s="16"/>
      <c r="N11" s="15" t="e">
        <v>#REF!</v>
      </c>
      <c r="O11" s="15" t="s">
        <v>31</v>
      </c>
      <c r="P11" s="16" t="e">
        <v>#REF!</v>
      </c>
      <c r="Q11" s="19" t="e">
        <f>COUNTIF(토지세목조서!#REF!,"과")</f>
        <v>#REF!</v>
      </c>
      <c r="R11" s="20" t="s">
        <v>31</v>
      </c>
      <c r="S11" s="21">
        <f>SUMIF(토지세목조서!E:E,"과",토지세목조서!H:H)</f>
        <v>0</v>
      </c>
      <c r="T11" s="19" t="e">
        <f>COUNTIF(#REF!,"과")</f>
        <v>#REF!</v>
      </c>
      <c r="U11" s="20" t="s">
        <v>31</v>
      </c>
      <c r="V11" s="21" t="e">
        <f>SUMIF(#REF!,"과",#REF!)</f>
        <v>#REF!</v>
      </c>
      <c r="W11" s="17"/>
    </row>
    <row r="12" spans="1:25" ht="21" customHeight="1">
      <c r="A12" s="24" t="s">
        <v>7</v>
      </c>
      <c r="B12" s="15" t="e">
        <f t="shared" si="0"/>
        <v>#REF!</v>
      </c>
      <c r="C12" s="15" t="s">
        <v>31</v>
      </c>
      <c r="D12" s="16" t="e">
        <f t="shared" si="1"/>
        <v>#REF!</v>
      </c>
      <c r="E12" s="15"/>
      <c r="F12" s="15"/>
      <c r="G12" s="16"/>
      <c r="H12" s="19"/>
      <c r="I12" s="15"/>
      <c r="J12" s="21"/>
      <c r="K12" s="15"/>
      <c r="L12" s="15"/>
      <c r="M12" s="16"/>
      <c r="N12" s="15" t="e">
        <v>#REF!</v>
      </c>
      <c r="O12" s="15" t="s">
        <v>31</v>
      </c>
      <c r="P12" s="16" t="e">
        <v>#REF!</v>
      </c>
      <c r="Q12" s="19" t="e">
        <f>COUNTIF(토지세목조서!#REF!,"목")</f>
        <v>#REF!</v>
      </c>
      <c r="R12" s="20" t="s">
        <v>31</v>
      </c>
      <c r="S12" s="21">
        <f>SUMIF(토지세목조서!E:E,"목",토지세목조서!H:H)</f>
        <v>0</v>
      </c>
      <c r="T12" s="19" t="e">
        <f>COUNTIF(#REF!,"목")</f>
        <v>#REF!</v>
      </c>
      <c r="U12" s="20" t="s">
        <v>31</v>
      </c>
      <c r="V12" s="21" t="e">
        <f>SUMIF(#REF!,"목",#REF!)</f>
        <v>#REF!</v>
      </c>
      <c r="W12" s="17"/>
    </row>
    <row r="13" spans="1:25" ht="21" customHeight="1">
      <c r="A13" s="24" t="s">
        <v>10</v>
      </c>
      <c r="B13" s="15" t="e">
        <f t="shared" si="0"/>
        <v>#REF!</v>
      </c>
      <c r="C13" s="15" t="s">
        <v>31</v>
      </c>
      <c r="D13" s="16" t="e">
        <f t="shared" si="1"/>
        <v>#REF!</v>
      </c>
      <c r="E13" s="15"/>
      <c r="F13" s="15"/>
      <c r="G13" s="16"/>
      <c r="H13" s="19"/>
      <c r="I13" s="15"/>
      <c r="J13" s="21"/>
      <c r="K13" s="15"/>
      <c r="L13" s="15"/>
      <c r="M13" s="16"/>
      <c r="N13" s="15" t="e">
        <v>#REF!</v>
      </c>
      <c r="O13" s="15" t="s">
        <v>31</v>
      </c>
      <c r="P13" s="16" t="e">
        <v>#REF!</v>
      </c>
      <c r="Q13" s="19" t="e">
        <f>COUNTIF(토지세목조서!#REF!,"임")</f>
        <v>#REF!</v>
      </c>
      <c r="R13" s="20" t="s">
        <v>31</v>
      </c>
      <c r="S13" s="21">
        <f>SUMIF(토지세목조서!E:E,"임",토지세목조서!H:H)</f>
        <v>0</v>
      </c>
      <c r="T13" s="19" t="e">
        <f>COUNTIF(#REF!,"임")</f>
        <v>#REF!</v>
      </c>
      <c r="U13" s="20" t="s">
        <v>31</v>
      </c>
      <c r="V13" s="21" t="e">
        <f>SUMIF(#REF!,"임",#REF!)</f>
        <v>#REF!</v>
      </c>
      <c r="W13" s="17"/>
      <c r="X13" s="23"/>
      <c r="Y13" s="23"/>
    </row>
    <row r="14" spans="1:25" ht="21" customHeight="1">
      <c r="A14" s="24" t="s">
        <v>9</v>
      </c>
      <c r="B14" s="15" t="e">
        <f t="shared" si="0"/>
        <v>#REF!</v>
      </c>
      <c r="C14" s="15" t="s">
        <v>31</v>
      </c>
      <c r="D14" s="16" t="e">
        <f t="shared" si="1"/>
        <v>#REF!</v>
      </c>
      <c r="E14" s="15"/>
      <c r="F14" s="15"/>
      <c r="G14" s="16"/>
      <c r="H14" s="19"/>
      <c r="I14" s="15"/>
      <c r="J14" s="21"/>
      <c r="K14" s="15"/>
      <c r="L14" s="15"/>
      <c r="M14" s="16"/>
      <c r="N14" s="15" t="e">
        <v>#REF!</v>
      </c>
      <c r="O14" s="15" t="s">
        <v>31</v>
      </c>
      <c r="P14" s="16" t="e">
        <v>#REF!</v>
      </c>
      <c r="Q14" s="19" t="e">
        <f>COUNTIF(토지세목조서!#REF!,"광")</f>
        <v>#REF!</v>
      </c>
      <c r="R14" s="20" t="s">
        <v>31</v>
      </c>
      <c r="S14" s="21">
        <f>SUMIF(토지세목조서!E:E,"광",토지세목조서!H:H)</f>
        <v>0</v>
      </c>
      <c r="T14" s="19" t="e">
        <f>COUNTIF(#REF!,"광")</f>
        <v>#REF!</v>
      </c>
      <c r="U14" s="20" t="s">
        <v>31</v>
      </c>
      <c r="V14" s="21" t="e">
        <f>SUMIF(#REF!,"광",#REF!)</f>
        <v>#REF!</v>
      </c>
      <c r="W14" s="17"/>
    </row>
    <row r="15" spans="1:25" ht="21" customHeight="1">
      <c r="A15" s="24" t="s">
        <v>134</v>
      </c>
      <c r="B15" s="15" t="e">
        <f t="shared" si="0"/>
        <v>#REF!</v>
      </c>
      <c r="C15" s="15" t="s">
        <v>31</v>
      </c>
      <c r="D15" s="16" t="e">
        <f t="shared" si="1"/>
        <v>#REF!</v>
      </c>
      <c r="E15" s="15"/>
      <c r="F15" s="15"/>
      <c r="G15" s="16"/>
      <c r="H15" s="19"/>
      <c r="I15" s="15"/>
      <c r="J15" s="21"/>
      <c r="K15" s="15"/>
      <c r="L15" s="15"/>
      <c r="M15" s="16"/>
      <c r="N15" s="15" t="e">
        <v>#REF!</v>
      </c>
      <c r="O15" s="15" t="s">
        <v>31</v>
      </c>
      <c r="P15" s="16" t="e">
        <v>#REF!</v>
      </c>
      <c r="Q15" s="19" t="e">
        <f>COUNTIF(토지세목조서!#REF!,"염")</f>
        <v>#REF!</v>
      </c>
      <c r="R15" s="20" t="s">
        <v>31</v>
      </c>
      <c r="S15" s="21">
        <f>SUMIF(토지세목조서!E:E,"염",토지세목조서!H:H)</f>
        <v>0</v>
      </c>
      <c r="T15" s="19" t="e">
        <f>COUNTIF(#REF!,"염")</f>
        <v>#REF!</v>
      </c>
      <c r="U15" s="20" t="s">
        <v>31</v>
      </c>
      <c r="V15" s="21" t="e">
        <f>SUMIF(#REF!,"염",#REF!)</f>
        <v>#REF!</v>
      </c>
      <c r="W15" s="17"/>
    </row>
    <row r="16" spans="1:25" ht="21" customHeight="1">
      <c r="A16" s="24" t="s">
        <v>12</v>
      </c>
      <c r="B16" s="15" t="e">
        <f t="shared" si="0"/>
        <v>#REF!</v>
      </c>
      <c r="C16" s="15" t="s">
        <v>31</v>
      </c>
      <c r="D16" s="16" t="e">
        <f t="shared" si="1"/>
        <v>#REF!</v>
      </c>
      <c r="E16" s="15"/>
      <c r="F16" s="15"/>
      <c r="G16" s="16"/>
      <c r="H16" s="19"/>
      <c r="I16" s="15"/>
      <c r="J16" s="21"/>
      <c r="K16" s="15"/>
      <c r="L16" s="15"/>
      <c r="M16" s="16"/>
      <c r="N16" s="15" t="e">
        <v>#REF!</v>
      </c>
      <c r="O16" s="15" t="s">
        <v>31</v>
      </c>
      <c r="P16" s="16" t="e">
        <v>#REF!</v>
      </c>
      <c r="Q16" s="19" t="e">
        <f>COUNTIF(토지세목조서!#REF!,"대")</f>
        <v>#REF!</v>
      </c>
      <c r="R16" s="20" t="s">
        <v>31</v>
      </c>
      <c r="S16" s="21">
        <f>SUMIF(토지세목조서!E:E,"대",토지세목조서!H:H)</f>
        <v>163</v>
      </c>
      <c r="T16" s="19" t="e">
        <f>COUNTIF(#REF!,"대")</f>
        <v>#REF!</v>
      </c>
      <c r="U16" s="20" t="s">
        <v>31</v>
      </c>
      <c r="V16" s="21" t="e">
        <f>SUMIF(#REF!,"대",#REF!)</f>
        <v>#REF!</v>
      </c>
      <c r="W16" s="17"/>
    </row>
    <row r="17" spans="1:23" ht="21" customHeight="1">
      <c r="A17" s="24" t="s">
        <v>13</v>
      </c>
      <c r="B17" s="15" t="e">
        <f t="shared" si="0"/>
        <v>#REF!</v>
      </c>
      <c r="C17" s="15" t="s">
        <v>31</v>
      </c>
      <c r="D17" s="16" t="e">
        <f t="shared" si="1"/>
        <v>#REF!</v>
      </c>
      <c r="E17" s="15"/>
      <c r="F17" s="15"/>
      <c r="G17" s="16"/>
      <c r="H17" s="19"/>
      <c r="I17" s="15"/>
      <c r="J17" s="21"/>
      <c r="K17" s="15"/>
      <c r="L17" s="15"/>
      <c r="M17" s="16"/>
      <c r="N17" s="15" t="e">
        <v>#REF!</v>
      </c>
      <c r="O17" s="15" t="s">
        <v>31</v>
      </c>
      <c r="P17" s="16" t="e">
        <v>#REF!</v>
      </c>
      <c r="Q17" s="19" t="e">
        <f>COUNTIF(토지세목조서!#REF!,"장")</f>
        <v>#REF!</v>
      </c>
      <c r="R17" s="20" t="s">
        <v>31</v>
      </c>
      <c r="S17" s="21">
        <f>SUMIF(토지세목조서!E:E,"장",토지세목조서!H:H)</f>
        <v>0</v>
      </c>
      <c r="T17" s="19" t="e">
        <f>COUNTIF(#REF!,"장")</f>
        <v>#REF!</v>
      </c>
      <c r="U17" s="20" t="s">
        <v>31</v>
      </c>
      <c r="V17" s="21" t="e">
        <f>SUMIF(#REF!,"장",#REF!)</f>
        <v>#REF!</v>
      </c>
      <c r="W17" s="17"/>
    </row>
    <row r="18" spans="1:23" ht="21" customHeight="1">
      <c r="A18" s="24" t="s">
        <v>14</v>
      </c>
      <c r="B18" s="15" t="e">
        <f t="shared" si="0"/>
        <v>#REF!</v>
      </c>
      <c r="C18" s="15" t="s">
        <v>31</v>
      </c>
      <c r="D18" s="16" t="e">
        <f t="shared" si="1"/>
        <v>#REF!</v>
      </c>
      <c r="E18" s="15"/>
      <c r="F18" s="15"/>
      <c r="G18" s="16"/>
      <c r="H18" s="19"/>
      <c r="I18" s="15"/>
      <c r="J18" s="21"/>
      <c r="K18" s="15"/>
      <c r="L18" s="15"/>
      <c r="M18" s="16"/>
      <c r="N18" s="15" t="e">
        <v>#REF!</v>
      </c>
      <c r="O18" s="15" t="s">
        <v>31</v>
      </c>
      <c r="P18" s="16" t="e">
        <v>#REF!</v>
      </c>
      <c r="Q18" s="19" t="e">
        <f>COUNTIF(토지세목조서!#REF!,"학")</f>
        <v>#REF!</v>
      </c>
      <c r="R18" s="20" t="s">
        <v>31</v>
      </c>
      <c r="S18" s="21">
        <f>SUMIF(토지세목조서!E:E,"학",토지세목조서!H:H)</f>
        <v>0</v>
      </c>
      <c r="T18" s="19" t="e">
        <f>COUNTIF(#REF!,"학")</f>
        <v>#REF!</v>
      </c>
      <c r="U18" s="20" t="s">
        <v>31</v>
      </c>
      <c r="V18" s="21" t="e">
        <f>SUMIF(#REF!,"학",#REF!)</f>
        <v>#REF!</v>
      </c>
      <c r="W18" s="17"/>
    </row>
    <row r="19" spans="1:23" ht="21" customHeight="1">
      <c r="A19" s="24" t="s">
        <v>42</v>
      </c>
      <c r="B19" s="15" t="e">
        <f t="shared" si="0"/>
        <v>#REF!</v>
      </c>
      <c r="C19" s="15" t="s">
        <v>31</v>
      </c>
      <c r="D19" s="16" t="e">
        <f t="shared" si="1"/>
        <v>#REF!</v>
      </c>
      <c r="E19" s="15"/>
      <c r="F19" s="15"/>
      <c r="G19" s="16"/>
      <c r="H19" s="19"/>
      <c r="I19" s="15"/>
      <c r="J19" s="21"/>
      <c r="K19" s="15"/>
      <c r="L19" s="15"/>
      <c r="M19" s="16"/>
      <c r="N19" s="15" t="e">
        <v>#REF!</v>
      </c>
      <c r="O19" s="15" t="s">
        <v>31</v>
      </c>
      <c r="P19" s="16" t="e">
        <v>#REF!</v>
      </c>
      <c r="Q19" s="19" t="e">
        <f>COUNTIF(토지세목조서!#REF!,"차")</f>
        <v>#REF!</v>
      </c>
      <c r="R19" s="20" t="s">
        <v>31</v>
      </c>
      <c r="S19" s="21">
        <f>SUMIF(토지세목조서!E:E,"차",토지세목조서!H:H)</f>
        <v>0</v>
      </c>
      <c r="T19" s="19" t="e">
        <f>COUNTIF(#REF!,"차")</f>
        <v>#REF!</v>
      </c>
      <c r="U19" s="20" t="s">
        <v>31</v>
      </c>
      <c r="V19" s="21" t="e">
        <f>SUMIF(#REF!,"차",#REF!)</f>
        <v>#REF!</v>
      </c>
      <c r="W19" s="17"/>
    </row>
    <row r="20" spans="1:23" ht="21" customHeight="1">
      <c r="A20" s="24" t="s">
        <v>15</v>
      </c>
      <c r="B20" s="15" t="e">
        <f t="shared" si="0"/>
        <v>#REF!</v>
      </c>
      <c r="C20" s="15" t="s">
        <v>31</v>
      </c>
      <c r="D20" s="16" t="e">
        <f t="shared" si="1"/>
        <v>#REF!</v>
      </c>
      <c r="E20" s="15"/>
      <c r="F20" s="15"/>
      <c r="G20" s="16"/>
      <c r="H20" s="19"/>
      <c r="I20" s="15"/>
      <c r="J20" s="21"/>
      <c r="K20" s="15"/>
      <c r="L20" s="15"/>
      <c r="M20" s="16"/>
      <c r="N20" s="15" t="e">
        <v>#REF!</v>
      </c>
      <c r="O20" s="15" t="s">
        <v>31</v>
      </c>
      <c r="P20" s="16" t="e">
        <v>#REF!</v>
      </c>
      <c r="Q20" s="19" t="e">
        <f>COUNTIF(토지세목조서!#REF!,"주")</f>
        <v>#REF!</v>
      </c>
      <c r="R20" s="20" t="s">
        <v>31</v>
      </c>
      <c r="S20" s="21">
        <f>SUMIF(토지세목조서!E:E,"주",토지세목조서!H:H)</f>
        <v>0</v>
      </c>
      <c r="T20" s="19" t="e">
        <f>COUNTIF(#REF!,"주")</f>
        <v>#REF!</v>
      </c>
      <c r="U20" s="20" t="s">
        <v>31</v>
      </c>
      <c r="V20" s="21" t="e">
        <f>SUMIF(#REF!,"주",#REF!)</f>
        <v>#REF!</v>
      </c>
      <c r="W20" s="17"/>
    </row>
    <row r="21" spans="1:23" ht="21" customHeight="1">
      <c r="A21" s="24" t="s">
        <v>25</v>
      </c>
      <c r="B21" s="15" t="e">
        <f t="shared" si="0"/>
        <v>#REF!</v>
      </c>
      <c r="C21" s="15" t="s">
        <v>31</v>
      </c>
      <c r="D21" s="16" t="e">
        <f t="shared" si="1"/>
        <v>#REF!</v>
      </c>
      <c r="E21" s="15"/>
      <c r="F21" s="15"/>
      <c r="G21" s="16"/>
      <c r="H21" s="19"/>
      <c r="I21" s="15"/>
      <c r="J21" s="21"/>
      <c r="K21" s="15"/>
      <c r="L21" s="15"/>
      <c r="M21" s="16"/>
      <c r="N21" s="15" t="e">
        <v>#REF!</v>
      </c>
      <c r="O21" s="15" t="s">
        <v>31</v>
      </c>
      <c r="P21" s="16" t="e">
        <v>#REF!</v>
      </c>
      <c r="Q21" s="19" t="e">
        <f>COUNTIF(토지세목조서!#REF!,"창")</f>
        <v>#REF!</v>
      </c>
      <c r="R21" s="20" t="s">
        <v>31</v>
      </c>
      <c r="S21" s="21">
        <f>SUMIF(토지세목조서!E:E,"창",토지세목조서!H:H)</f>
        <v>0</v>
      </c>
      <c r="T21" s="19" t="e">
        <f>COUNTIF(#REF!,"창")</f>
        <v>#REF!</v>
      </c>
      <c r="U21" s="20" t="s">
        <v>31</v>
      </c>
      <c r="V21" s="21" t="e">
        <f>SUMIF(#REF!,"창",#REF!)</f>
        <v>#REF!</v>
      </c>
      <c r="W21" s="17"/>
    </row>
    <row r="22" spans="1:23" ht="21" customHeight="1">
      <c r="A22" s="24" t="s">
        <v>4</v>
      </c>
      <c r="B22" s="15" t="e">
        <f t="shared" si="0"/>
        <v>#REF!</v>
      </c>
      <c r="C22" s="15" t="s">
        <v>31</v>
      </c>
      <c r="D22" s="16" t="e">
        <f t="shared" si="1"/>
        <v>#REF!</v>
      </c>
      <c r="E22" s="15"/>
      <c r="F22" s="15"/>
      <c r="G22" s="16"/>
      <c r="H22" s="19"/>
      <c r="I22" s="15"/>
      <c r="J22" s="21"/>
      <c r="K22" s="15"/>
      <c r="L22" s="15"/>
      <c r="M22" s="16"/>
      <c r="N22" s="15" t="e">
        <v>#REF!</v>
      </c>
      <c r="O22" s="15" t="s">
        <v>31</v>
      </c>
      <c r="P22" s="16" t="e">
        <v>#REF!</v>
      </c>
      <c r="Q22" s="19" t="e">
        <f>COUNTIF(토지세목조서!#REF!,"도")</f>
        <v>#REF!</v>
      </c>
      <c r="R22" s="20" t="s">
        <v>31</v>
      </c>
      <c r="S22" s="21">
        <f>SUMIF(토지세목조서!E:E,"도",토지세목조서!H:H)</f>
        <v>4096</v>
      </c>
      <c r="T22" s="19" t="e">
        <f>COUNTIF(#REF!,"도")</f>
        <v>#REF!</v>
      </c>
      <c r="U22" s="20" t="s">
        <v>31</v>
      </c>
      <c r="V22" s="21" t="e">
        <f>SUMIF(#REF!,"도",#REF!)</f>
        <v>#REF!</v>
      </c>
      <c r="W22" s="17"/>
    </row>
    <row r="23" spans="1:23" ht="21" customHeight="1">
      <c r="A23" s="24" t="s">
        <v>1</v>
      </c>
      <c r="B23" s="15" t="e">
        <f t="shared" si="0"/>
        <v>#REF!</v>
      </c>
      <c r="C23" s="15" t="s">
        <v>31</v>
      </c>
      <c r="D23" s="16" t="e">
        <f t="shared" si="1"/>
        <v>#REF!</v>
      </c>
      <c r="E23" s="15"/>
      <c r="F23" s="15"/>
      <c r="G23" s="16"/>
      <c r="H23" s="19"/>
      <c r="I23" s="20"/>
      <c r="J23" s="21"/>
      <c r="K23" s="15"/>
      <c r="L23" s="20"/>
      <c r="M23" s="16"/>
      <c r="N23" s="15" t="e">
        <v>#REF!</v>
      </c>
      <c r="O23" s="15" t="s">
        <v>31</v>
      </c>
      <c r="P23" s="16" t="e">
        <v>#REF!</v>
      </c>
      <c r="Q23" s="19" t="e">
        <f>COUNTIF(토지세목조서!#REF!,"철")</f>
        <v>#REF!</v>
      </c>
      <c r="R23" s="20" t="s">
        <v>31</v>
      </c>
      <c r="S23" s="21">
        <f>SUMIF(토지세목조서!E:E,"철",토지세목조서!H:H)</f>
        <v>0</v>
      </c>
      <c r="T23" s="19" t="e">
        <f>COUNTIF(#REF!,"철")</f>
        <v>#REF!</v>
      </c>
      <c r="U23" s="20" t="s">
        <v>31</v>
      </c>
      <c r="V23" s="21" t="e">
        <f>SUMIF(#REF!,"철",#REF!)</f>
        <v>#REF!</v>
      </c>
      <c r="W23" s="17"/>
    </row>
    <row r="24" spans="1:23" ht="21" customHeight="1">
      <c r="A24" s="24" t="s">
        <v>16</v>
      </c>
      <c r="B24" s="15" t="e">
        <f t="shared" si="0"/>
        <v>#REF!</v>
      </c>
      <c r="C24" s="15" t="s">
        <v>31</v>
      </c>
      <c r="D24" s="16" t="e">
        <f t="shared" si="1"/>
        <v>#REF!</v>
      </c>
      <c r="E24" s="15"/>
      <c r="F24" s="15"/>
      <c r="G24" s="16"/>
      <c r="H24" s="19"/>
      <c r="I24" s="15"/>
      <c r="J24" s="21"/>
      <c r="K24" s="15"/>
      <c r="L24" s="15"/>
      <c r="M24" s="16"/>
      <c r="N24" s="15" t="e">
        <v>#REF!</v>
      </c>
      <c r="O24" s="15" t="s">
        <v>31</v>
      </c>
      <c r="P24" s="16" t="e">
        <v>#REF!</v>
      </c>
      <c r="Q24" s="19" t="e">
        <f>COUNTIF(토지세목조서!#REF!,"제")</f>
        <v>#REF!</v>
      </c>
      <c r="R24" s="20" t="s">
        <v>31</v>
      </c>
      <c r="S24" s="21">
        <f>SUMIF(토지세목조서!E:E,"제",토지세목조서!H:H)</f>
        <v>0</v>
      </c>
      <c r="T24" s="19" t="e">
        <f>COUNTIF(#REF!,"제")</f>
        <v>#REF!</v>
      </c>
      <c r="U24" s="20" t="s">
        <v>31</v>
      </c>
      <c r="V24" s="21" t="e">
        <f>SUMIF(#REF!,"제",#REF!)</f>
        <v>#REF!</v>
      </c>
      <c r="W24" s="17"/>
    </row>
    <row r="25" spans="1:23" ht="21" customHeight="1">
      <c r="A25" s="24" t="s">
        <v>5</v>
      </c>
      <c r="B25" s="15" t="e">
        <f t="shared" si="0"/>
        <v>#REF!</v>
      </c>
      <c r="C25" s="15" t="s">
        <v>31</v>
      </c>
      <c r="D25" s="16" t="e">
        <f t="shared" si="1"/>
        <v>#REF!</v>
      </c>
      <c r="E25" s="15"/>
      <c r="F25" s="15"/>
      <c r="G25" s="16"/>
      <c r="H25" s="19"/>
      <c r="I25" s="15"/>
      <c r="J25" s="21"/>
      <c r="K25" s="15"/>
      <c r="L25" s="15"/>
      <c r="M25" s="16"/>
      <c r="N25" s="15" t="e">
        <v>#REF!</v>
      </c>
      <c r="O25" s="15" t="s">
        <v>31</v>
      </c>
      <c r="P25" s="16" t="e">
        <v>#REF!</v>
      </c>
      <c r="Q25" s="19" t="e">
        <f>COUNTIF(토지세목조서!#REF!,"천")</f>
        <v>#REF!</v>
      </c>
      <c r="R25" s="20" t="s">
        <v>31</v>
      </c>
      <c r="S25" s="21">
        <f>SUMIF(토지세목조서!E:E,"천",토지세목조서!H:H)</f>
        <v>4964</v>
      </c>
      <c r="T25" s="19" t="e">
        <f>COUNTIF(#REF!,"천")</f>
        <v>#REF!</v>
      </c>
      <c r="U25" s="20" t="s">
        <v>31</v>
      </c>
      <c r="V25" s="21" t="e">
        <f>SUMIF(#REF!,"천",#REF!)</f>
        <v>#REF!</v>
      </c>
      <c r="W25" s="17"/>
    </row>
    <row r="26" spans="1:23" ht="21" customHeight="1">
      <c r="A26" s="24" t="s">
        <v>6</v>
      </c>
      <c r="B26" s="15" t="e">
        <f t="shared" si="0"/>
        <v>#REF!</v>
      </c>
      <c r="C26" s="15" t="s">
        <v>31</v>
      </c>
      <c r="D26" s="16" t="e">
        <f t="shared" si="1"/>
        <v>#REF!</v>
      </c>
      <c r="E26" s="15"/>
      <c r="F26" s="15"/>
      <c r="G26" s="16"/>
      <c r="H26" s="19"/>
      <c r="I26" s="15"/>
      <c r="J26" s="21"/>
      <c r="K26" s="15"/>
      <c r="L26" s="15"/>
      <c r="M26" s="16"/>
      <c r="N26" s="15" t="e">
        <v>#REF!</v>
      </c>
      <c r="O26" s="15" t="s">
        <v>31</v>
      </c>
      <c r="P26" s="16" t="e">
        <v>#REF!</v>
      </c>
      <c r="Q26" s="19" t="e">
        <f>COUNTIF(토지세목조서!#REF!,"구")</f>
        <v>#REF!</v>
      </c>
      <c r="R26" s="20" t="s">
        <v>31</v>
      </c>
      <c r="S26" s="21">
        <f>SUMIF(토지세목조서!E:E,"구",토지세목조서!H:H)</f>
        <v>466</v>
      </c>
      <c r="T26" s="19" t="e">
        <f>COUNTIF(#REF!,"구")</f>
        <v>#REF!</v>
      </c>
      <c r="U26" s="20" t="s">
        <v>31</v>
      </c>
      <c r="V26" s="21" t="e">
        <f>SUMIF(#REF!,"구",#REF!)</f>
        <v>#REF!</v>
      </c>
      <c r="W26" s="17"/>
    </row>
    <row r="27" spans="1:23" s="2" customFormat="1" ht="21" customHeight="1">
      <c r="A27" s="24" t="s">
        <v>17</v>
      </c>
      <c r="B27" s="15" t="e">
        <f t="shared" si="0"/>
        <v>#REF!</v>
      </c>
      <c r="C27" s="15" t="s">
        <v>31</v>
      </c>
      <c r="D27" s="16" t="e">
        <f t="shared" si="1"/>
        <v>#REF!</v>
      </c>
      <c r="E27" s="15"/>
      <c r="F27" s="15"/>
      <c r="G27" s="16"/>
      <c r="H27" s="19"/>
      <c r="I27" s="15"/>
      <c r="J27" s="21"/>
      <c r="K27" s="15"/>
      <c r="L27" s="15"/>
      <c r="M27" s="16"/>
      <c r="N27" s="15" t="e">
        <v>#REF!</v>
      </c>
      <c r="O27" s="15" t="s">
        <v>31</v>
      </c>
      <c r="P27" s="16" t="e">
        <v>#REF!</v>
      </c>
      <c r="Q27" s="19" t="e">
        <f>COUNTIF(토지세목조서!#REF!,"유")</f>
        <v>#REF!</v>
      </c>
      <c r="R27" s="20" t="s">
        <v>31</v>
      </c>
      <c r="S27" s="21">
        <f>SUMIF(토지세목조서!E:E,"유",토지세목조서!H:H)</f>
        <v>0</v>
      </c>
      <c r="T27" s="19" t="e">
        <f>COUNTIF(#REF!,"유")</f>
        <v>#REF!</v>
      </c>
      <c r="U27" s="20" t="s">
        <v>31</v>
      </c>
      <c r="V27" s="21" t="e">
        <f>SUMIF(#REF!,"유",#REF!)</f>
        <v>#REF!</v>
      </c>
      <c r="W27" s="22"/>
    </row>
    <row r="28" spans="1:23" ht="21" customHeight="1">
      <c r="A28" s="24" t="s">
        <v>18</v>
      </c>
      <c r="B28" s="15" t="e">
        <f t="shared" si="0"/>
        <v>#REF!</v>
      </c>
      <c r="C28" s="15" t="s">
        <v>31</v>
      </c>
      <c r="D28" s="16" t="e">
        <f t="shared" si="1"/>
        <v>#REF!</v>
      </c>
      <c r="E28" s="15"/>
      <c r="F28" s="15"/>
      <c r="G28" s="16"/>
      <c r="H28" s="19"/>
      <c r="I28" s="15"/>
      <c r="J28" s="21"/>
      <c r="K28" s="15"/>
      <c r="L28" s="15"/>
      <c r="M28" s="16"/>
      <c r="N28" s="15" t="e">
        <v>#REF!</v>
      </c>
      <c r="O28" s="15" t="s">
        <v>31</v>
      </c>
      <c r="P28" s="16" t="e">
        <v>#REF!</v>
      </c>
      <c r="Q28" s="19" t="e">
        <f>COUNTIF(토지세목조서!#REF!,"양")</f>
        <v>#REF!</v>
      </c>
      <c r="R28" s="20" t="s">
        <v>31</v>
      </c>
      <c r="S28" s="21">
        <f>SUMIF(토지세목조서!E:E,"양",토지세목조서!H:H)</f>
        <v>0</v>
      </c>
      <c r="T28" s="19" t="e">
        <f>COUNTIF(#REF!,"양")</f>
        <v>#REF!</v>
      </c>
      <c r="U28" s="20" t="s">
        <v>31</v>
      </c>
      <c r="V28" s="21" t="e">
        <f>SUMIF(#REF!,"양",#REF!)</f>
        <v>#REF!</v>
      </c>
      <c r="W28" s="17"/>
    </row>
    <row r="29" spans="1:23" ht="21" customHeight="1">
      <c r="A29" s="24" t="s">
        <v>3</v>
      </c>
      <c r="B29" s="15" t="e">
        <f t="shared" si="0"/>
        <v>#REF!</v>
      </c>
      <c r="C29" s="15" t="s">
        <v>31</v>
      </c>
      <c r="D29" s="16" t="e">
        <f t="shared" si="1"/>
        <v>#REF!</v>
      </c>
      <c r="E29" s="15"/>
      <c r="F29" s="15"/>
      <c r="G29" s="16"/>
      <c r="H29" s="19"/>
      <c r="I29" s="15"/>
      <c r="J29" s="21"/>
      <c r="K29" s="15"/>
      <c r="L29" s="15"/>
      <c r="M29" s="16"/>
      <c r="N29" s="15" t="e">
        <v>#REF!</v>
      </c>
      <c r="O29" s="15" t="s">
        <v>31</v>
      </c>
      <c r="P29" s="16" t="e">
        <v>#REF!</v>
      </c>
      <c r="Q29" s="19" t="e">
        <f>COUNTIF(토지세목조서!#REF!,"수")</f>
        <v>#REF!</v>
      </c>
      <c r="R29" s="20" t="s">
        <v>31</v>
      </c>
      <c r="S29" s="21">
        <f>SUMIF(토지세목조서!E:E,"수",토지세목조서!H:H)</f>
        <v>0</v>
      </c>
      <c r="T29" s="19" t="e">
        <f>COUNTIF(#REF!,"수")</f>
        <v>#REF!</v>
      </c>
      <c r="U29" s="20" t="s">
        <v>31</v>
      </c>
      <c r="V29" s="21" t="e">
        <f>SUMIF(#REF!,"수",#REF!)</f>
        <v>#REF!</v>
      </c>
      <c r="W29" s="17"/>
    </row>
    <row r="30" spans="1:23" ht="21" customHeight="1">
      <c r="A30" s="24" t="s">
        <v>19</v>
      </c>
      <c r="B30" s="15" t="e">
        <f t="shared" si="0"/>
        <v>#REF!</v>
      </c>
      <c r="C30" s="15" t="s">
        <v>31</v>
      </c>
      <c r="D30" s="16" t="e">
        <f t="shared" si="1"/>
        <v>#REF!</v>
      </c>
      <c r="E30" s="15"/>
      <c r="F30" s="15"/>
      <c r="G30" s="16"/>
      <c r="H30" s="19"/>
      <c r="I30" s="15"/>
      <c r="J30" s="21"/>
      <c r="K30" s="15"/>
      <c r="L30" s="15"/>
      <c r="M30" s="16"/>
      <c r="N30" s="15" t="e">
        <v>#REF!</v>
      </c>
      <c r="O30" s="15" t="s">
        <v>31</v>
      </c>
      <c r="P30" s="16" t="e">
        <v>#REF!</v>
      </c>
      <c r="Q30" s="19" t="e">
        <f>COUNTIF(토지세목조서!#REF!,"공")</f>
        <v>#REF!</v>
      </c>
      <c r="R30" s="20" t="s">
        <v>31</v>
      </c>
      <c r="S30" s="21">
        <f>SUMIF(토지세목조서!E:E,"공",토지세목조서!H:H)</f>
        <v>0</v>
      </c>
      <c r="T30" s="19" t="e">
        <f>COUNTIF(#REF!,"공")</f>
        <v>#REF!</v>
      </c>
      <c r="U30" s="20" t="s">
        <v>31</v>
      </c>
      <c r="V30" s="21" t="e">
        <f>SUMIF(#REF!,"공",#REF!)</f>
        <v>#REF!</v>
      </c>
      <c r="W30" s="17"/>
    </row>
    <row r="31" spans="1:23" ht="21" customHeight="1">
      <c r="A31" s="24" t="s">
        <v>20</v>
      </c>
      <c r="B31" s="15" t="e">
        <f t="shared" si="0"/>
        <v>#REF!</v>
      </c>
      <c r="C31" s="15" t="s">
        <v>31</v>
      </c>
      <c r="D31" s="16" t="e">
        <f t="shared" si="1"/>
        <v>#REF!</v>
      </c>
      <c r="E31" s="15"/>
      <c r="F31" s="15"/>
      <c r="G31" s="16"/>
      <c r="H31" s="19"/>
      <c r="I31" s="15"/>
      <c r="J31" s="21"/>
      <c r="K31" s="15"/>
      <c r="L31" s="15"/>
      <c r="M31" s="16"/>
      <c r="N31" s="15" t="e">
        <v>#REF!</v>
      </c>
      <c r="O31" s="15" t="s">
        <v>31</v>
      </c>
      <c r="P31" s="16" t="e">
        <v>#REF!</v>
      </c>
      <c r="Q31" s="19" t="e">
        <f>COUNTIF(토지세목조서!#REF!,"체")</f>
        <v>#REF!</v>
      </c>
      <c r="R31" s="20" t="s">
        <v>31</v>
      </c>
      <c r="S31" s="21">
        <f>SUMIF(토지세목조서!E:E,"체",토지세목조서!H:H)</f>
        <v>0</v>
      </c>
      <c r="T31" s="19" t="e">
        <f>COUNTIF(#REF!,"체")</f>
        <v>#REF!</v>
      </c>
      <c r="U31" s="20" t="s">
        <v>31</v>
      </c>
      <c r="V31" s="21" t="e">
        <f>SUMIF(#REF!,"체",#REF!)</f>
        <v>#REF!</v>
      </c>
      <c r="W31" s="17"/>
    </row>
    <row r="32" spans="1:23" ht="21" customHeight="1">
      <c r="A32" s="24" t="s">
        <v>21</v>
      </c>
      <c r="B32" s="15" t="e">
        <f t="shared" si="0"/>
        <v>#REF!</v>
      </c>
      <c r="C32" s="15" t="s">
        <v>31</v>
      </c>
      <c r="D32" s="16" t="e">
        <f t="shared" si="1"/>
        <v>#REF!</v>
      </c>
      <c r="E32" s="15"/>
      <c r="F32" s="15"/>
      <c r="G32" s="16"/>
      <c r="H32" s="19"/>
      <c r="I32" s="20"/>
      <c r="J32" s="21"/>
      <c r="K32" s="15"/>
      <c r="L32" s="20"/>
      <c r="M32" s="16"/>
      <c r="N32" s="15" t="e">
        <v>#REF!</v>
      </c>
      <c r="O32" s="15" t="s">
        <v>31</v>
      </c>
      <c r="P32" s="16" t="e">
        <v>#REF!</v>
      </c>
      <c r="Q32" s="19" t="e">
        <f>COUNTIF(토지세목조서!#REF!,"원")</f>
        <v>#REF!</v>
      </c>
      <c r="R32" s="20" t="s">
        <v>31</v>
      </c>
      <c r="S32" s="21">
        <f>SUMIF(토지세목조서!E:E,"원",토지세목조서!H:H)</f>
        <v>0</v>
      </c>
      <c r="T32" s="19" t="e">
        <f>COUNTIF(#REF!,"원")</f>
        <v>#REF!</v>
      </c>
      <c r="U32" s="20" t="s">
        <v>31</v>
      </c>
      <c r="V32" s="21" t="e">
        <f>SUMIF(#REF!,"원",#REF!)</f>
        <v>#REF!</v>
      </c>
      <c r="W32" s="17"/>
    </row>
    <row r="33" spans="1:25" ht="21" customHeight="1">
      <c r="A33" s="24" t="s">
        <v>0</v>
      </c>
      <c r="B33" s="15" t="e">
        <f t="shared" si="0"/>
        <v>#REF!</v>
      </c>
      <c r="C33" s="15" t="s">
        <v>31</v>
      </c>
      <c r="D33" s="16" t="e">
        <f t="shared" si="1"/>
        <v>#REF!</v>
      </c>
      <c r="E33" s="15"/>
      <c r="F33" s="15"/>
      <c r="G33" s="16"/>
      <c r="H33" s="19"/>
      <c r="I33" s="15"/>
      <c r="J33" s="21"/>
      <c r="K33" s="15"/>
      <c r="L33" s="15"/>
      <c r="M33" s="16"/>
      <c r="N33" s="15" t="e">
        <v>#REF!</v>
      </c>
      <c r="O33" s="15" t="s">
        <v>31</v>
      </c>
      <c r="P33" s="16" t="e">
        <v>#REF!</v>
      </c>
      <c r="Q33" s="19" t="e">
        <f>COUNTIF(토지세목조서!#REF!,"종")</f>
        <v>#REF!</v>
      </c>
      <c r="R33" s="20" t="s">
        <v>31</v>
      </c>
      <c r="S33" s="21">
        <f>SUMIF(토지세목조서!E:E,"종",토지세목조서!H:H)</f>
        <v>0</v>
      </c>
      <c r="T33" s="19" t="e">
        <f>COUNTIF(#REF!,"종")</f>
        <v>#REF!</v>
      </c>
      <c r="U33" s="20" t="s">
        <v>31</v>
      </c>
      <c r="V33" s="21" t="e">
        <f>SUMIF(#REF!,"종",#REF!)</f>
        <v>#REF!</v>
      </c>
      <c r="W33" s="17"/>
    </row>
    <row r="34" spans="1:25" ht="21" customHeight="1">
      <c r="A34" s="24" t="s">
        <v>22</v>
      </c>
      <c r="B34" s="15" t="e">
        <f t="shared" si="0"/>
        <v>#REF!</v>
      </c>
      <c r="C34" s="15" t="s">
        <v>31</v>
      </c>
      <c r="D34" s="16" t="e">
        <f t="shared" si="1"/>
        <v>#REF!</v>
      </c>
      <c r="E34" s="15"/>
      <c r="F34" s="15"/>
      <c r="G34" s="16"/>
      <c r="H34" s="19"/>
      <c r="I34" s="15"/>
      <c r="J34" s="21"/>
      <c r="K34" s="15"/>
      <c r="L34" s="15"/>
      <c r="M34" s="16"/>
      <c r="N34" s="15" t="e">
        <v>#REF!</v>
      </c>
      <c r="O34" s="15" t="s">
        <v>31</v>
      </c>
      <c r="P34" s="16" t="e">
        <v>#REF!</v>
      </c>
      <c r="Q34" s="19" t="e">
        <f>COUNTIF(토지세목조서!#REF!,"사")</f>
        <v>#REF!</v>
      </c>
      <c r="R34" s="20" t="s">
        <v>31</v>
      </c>
      <c r="S34" s="21">
        <f>SUMIF(토지세목조서!E:E,"사",토지세목조서!H:H)</f>
        <v>0</v>
      </c>
      <c r="T34" s="19" t="e">
        <f>COUNTIF(#REF!,"사")</f>
        <v>#REF!</v>
      </c>
      <c r="U34" s="20" t="s">
        <v>31</v>
      </c>
      <c r="V34" s="21" t="e">
        <f>SUMIF(#REF!,"사",#REF!)</f>
        <v>#REF!</v>
      </c>
      <c r="W34" s="17"/>
    </row>
    <row r="35" spans="1:25" ht="21" customHeight="1">
      <c r="A35" s="24" t="s">
        <v>23</v>
      </c>
      <c r="B35" s="15" t="e">
        <f t="shared" si="0"/>
        <v>#REF!</v>
      </c>
      <c r="C35" s="15" t="s">
        <v>31</v>
      </c>
      <c r="D35" s="16" t="e">
        <f t="shared" si="1"/>
        <v>#REF!</v>
      </c>
      <c r="E35" s="15"/>
      <c r="F35" s="15"/>
      <c r="G35" s="16"/>
      <c r="H35" s="19"/>
      <c r="I35" s="15"/>
      <c r="J35" s="21"/>
      <c r="K35" s="15"/>
      <c r="L35" s="15"/>
      <c r="M35" s="16"/>
      <c r="N35" s="15" t="e">
        <v>#REF!</v>
      </c>
      <c r="O35" s="15" t="s">
        <v>31</v>
      </c>
      <c r="P35" s="16" t="e">
        <v>#REF!</v>
      </c>
      <c r="Q35" s="19" t="e">
        <f>COUNTIF(토지세목조서!#REF!,"묘")</f>
        <v>#REF!</v>
      </c>
      <c r="R35" s="20" t="s">
        <v>31</v>
      </c>
      <c r="S35" s="21">
        <f>SUMIF(토지세목조서!E:E,"묘",토지세목조서!H:H)</f>
        <v>0</v>
      </c>
      <c r="T35" s="19" t="e">
        <f>COUNTIF(#REF!,"묘")</f>
        <v>#REF!</v>
      </c>
      <c r="U35" s="20" t="s">
        <v>31</v>
      </c>
      <c r="V35" s="21" t="e">
        <f>SUMIF(#REF!,"묘",#REF!)</f>
        <v>#REF!</v>
      </c>
      <c r="W35" s="17"/>
    </row>
    <row r="36" spans="1:25" s="2" customFormat="1" ht="21" customHeight="1">
      <c r="A36" s="24" t="s">
        <v>24</v>
      </c>
      <c r="B36" s="15" t="e">
        <f t="shared" si="0"/>
        <v>#REF!</v>
      </c>
      <c r="C36" s="15" t="s">
        <v>31</v>
      </c>
      <c r="D36" s="16" t="e">
        <f t="shared" si="1"/>
        <v>#REF!</v>
      </c>
      <c r="E36" s="15"/>
      <c r="F36" s="15"/>
      <c r="G36" s="16"/>
      <c r="H36" s="19"/>
      <c r="I36" s="15"/>
      <c r="J36" s="21"/>
      <c r="K36" s="15"/>
      <c r="L36" s="15"/>
      <c r="M36" s="16"/>
      <c r="N36" s="15" t="e">
        <v>#REF!</v>
      </c>
      <c r="O36" s="15" t="s">
        <v>31</v>
      </c>
      <c r="P36" s="16" t="e">
        <v>#REF!</v>
      </c>
      <c r="Q36" s="19" t="e">
        <f>COUNTIF(토지세목조서!#REF!,"잡")</f>
        <v>#REF!</v>
      </c>
      <c r="R36" s="20" t="s">
        <v>31</v>
      </c>
      <c r="S36" s="21">
        <f>SUMIF(토지세목조서!E:E,"잡",토지세목조서!H:H)</f>
        <v>0</v>
      </c>
      <c r="T36" s="19" t="e">
        <f>COUNTIF(#REF!,"잡")</f>
        <v>#REF!</v>
      </c>
      <c r="U36" s="20" t="s">
        <v>31</v>
      </c>
      <c r="V36" s="21" t="e">
        <f>SUMIF(#REF!,"잡",#REF!)</f>
        <v>#REF!</v>
      </c>
      <c r="W36" s="22"/>
    </row>
    <row r="37" spans="1:25" s="2" customFormat="1" ht="21" customHeight="1">
      <c r="A37" s="25" t="s">
        <v>2</v>
      </c>
      <c r="B37" s="26" t="e">
        <f t="shared" si="0"/>
        <v>#REF!</v>
      </c>
      <c r="C37" s="26" t="s">
        <v>31</v>
      </c>
      <c r="D37" s="93" t="e">
        <f t="shared" si="1"/>
        <v>#REF!</v>
      </c>
      <c r="E37" s="26"/>
      <c r="F37" s="26"/>
      <c r="G37" s="93"/>
      <c r="H37" s="94"/>
      <c r="I37" s="26"/>
      <c r="J37" s="95"/>
      <c r="K37" s="26"/>
      <c r="L37" s="26"/>
      <c r="M37" s="93"/>
      <c r="N37" s="26" t="e">
        <v>#REF!</v>
      </c>
      <c r="O37" s="26" t="s">
        <v>31</v>
      </c>
      <c r="P37" s="93" t="e">
        <v>#REF!</v>
      </c>
      <c r="Q37" s="94" t="e">
        <f>COUNTIF(토지세목조서!#REF!,"무")</f>
        <v>#REF!</v>
      </c>
      <c r="R37" s="96" t="s">
        <v>31</v>
      </c>
      <c r="S37" s="95">
        <f>SUMIF(토지세목조서!E:E,"무",토지세목조서!H:H)</f>
        <v>0</v>
      </c>
      <c r="T37" s="94" t="e">
        <f>COUNTIF(#REF!,"무")</f>
        <v>#REF!</v>
      </c>
      <c r="U37" s="96" t="s">
        <v>31</v>
      </c>
      <c r="V37" s="95" t="e">
        <f>SUMIF(#REF!,"무",#REF!)</f>
        <v>#REF!</v>
      </c>
      <c r="W37" s="27"/>
    </row>
    <row r="38" spans="1:25" s="2" customFormat="1" ht="5.0999999999999996" customHeight="1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5" s="2" customFormat="1" ht="39.950000000000003" customHeight="1">
      <c r="A39" s="30" t="s">
        <v>46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5" ht="21" customHeight="1">
      <c r="A40" s="106" t="s">
        <v>44</v>
      </c>
      <c r="B40" s="103" t="s">
        <v>45</v>
      </c>
      <c r="C40" s="109"/>
      <c r="D40" s="110"/>
      <c r="E40" s="46"/>
      <c r="F40" s="47"/>
      <c r="G40" s="47"/>
      <c r="H40" s="47"/>
      <c r="I40" s="47"/>
      <c r="J40" s="47"/>
      <c r="K40" s="47"/>
      <c r="L40" s="47"/>
      <c r="M40" s="47"/>
      <c r="N40" s="117" t="s">
        <v>54</v>
      </c>
      <c r="O40" s="117"/>
      <c r="P40" s="117"/>
      <c r="Q40" s="117"/>
      <c r="R40" s="117"/>
      <c r="S40" s="117"/>
      <c r="T40" s="117"/>
      <c r="U40" s="117"/>
      <c r="V40" s="117"/>
      <c r="W40" s="118" t="s">
        <v>48</v>
      </c>
    </row>
    <row r="41" spans="1:25" ht="21" customHeight="1">
      <c r="A41" s="107"/>
      <c r="B41" s="111"/>
      <c r="C41" s="112"/>
      <c r="D41" s="113"/>
      <c r="E41" s="34"/>
      <c r="F41" s="35"/>
      <c r="G41" s="35"/>
      <c r="H41" s="35"/>
      <c r="I41" s="35"/>
      <c r="J41" s="35"/>
      <c r="K41" s="35"/>
      <c r="L41" s="35"/>
      <c r="M41" s="35"/>
      <c r="N41" s="121" t="s">
        <v>55</v>
      </c>
      <c r="O41" s="121"/>
      <c r="P41" s="121"/>
      <c r="Q41" s="121"/>
      <c r="R41" s="121"/>
      <c r="S41" s="121"/>
      <c r="T41" s="121"/>
      <c r="U41" s="121"/>
      <c r="V41" s="121"/>
      <c r="W41" s="119"/>
    </row>
    <row r="42" spans="1:25" ht="21" customHeight="1">
      <c r="A42" s="107"/>
      <c r="B42" s="111"/>
      <c r="C42" s="112"/>
      <c r="D42" s="113"/>
      <c r="E42" s="122"/>
      <c r="F42" s="123"/>
      <c r="G42" s="124"/>
      <c r="H42" s="7"/>
      <c r="I42" s="8"/>
      <c r="J42" s="8"/>
      <c r="K42" s="8"/>
      <c r="L42" s="8"/>
      <c r="M42" s="8"/>
      <c r="N42" s="128" t="s">
        <v>47</v>
      </c>
      <c r="O42" s="129"/>
      <c r="P42" s="130"/>
      <c r="Q42" s="134" t="s">
        <v>56</v>
      </c>
      <c r="R42" s="135"/>
      <c r="S42" s="135"/>
      <c r="T42" s="135"/>
      <c r="U42" s="135"/>
      <c r="V42" s="135"/>
      <c r="W42" s="119"/>
    </row>
    <row r="43" spans="1:25" s="10" customFormat="1" ht="21" customHeight="1">
      <c r="A43" s="107"/>
      <c r="B43" s="114"/>
      <c r="C43" s="115"/>
      <c r="D43" s="116"/>
      <c r="E43" s="125"/>
      <c r="F43" s="126"/>
      <c r="G43" s="127"/>
      <c r="H43" s="7"/>
      <c r="I43" s="8"/>
      <c r="J43" s="9"/>
      <c r="K43" s="7"/>
      <c r="L43" s="8"/>
      <c r="M43" s="8"/>
      <c r="N43" s="131"/>
      <c r="O43" s="132"/>
      <c r="P43" s="133"/>
      <c r="Q43" s="8" t="s">
        <v>57</v>
      </c>
      <c r="R43" s="8"/>
      <c r="S43" s="9"/>
      <c r="T43" s="7" t="s">
        <v>58</v>
      </c>
      <c r="U43" s="8"/>
      <c r="V43" s="9"/>
      <c r="W43" s="119"/>
    </row>
    <row r="44" spans="1:25" ht="21" customHeight="1">
      <c r="A44" s="108"/>
      <c r="B44" s="11" t="s">
        <v>33</v>
      </c>
      <c r="C44" s="11" t="s">
        <v>31</v>
      </c>
      <c r="D44" s="12" t="s">
        <v>50</v>
      </c>
      <c r="E44" s="11"/>
      <c r="F44" s="11"/>
      <c r="G44" s="12"/>
      <c r="H44" s="13"/>
      <c r="I44" s="11"/>
      <c r="J44" s="12"/>
      <c r="K44" s="11"/>
      <c r="L44" s="11"/>
      <c r="M44" s="12"/>
      <c r="N44" s="11" t="s">
        <v>33</v>
      </c>
      <c r="O44" s="11" t="s">
        <v>31</v>
      </c>
      <c r="P44" s="12" t="s">
        <v>50</v>
      </c>
      <c r="Q44" s="13" t="s">
        <v>33</v>
      </c>
      <c r="R44" s="11" t="s">
        <v>31</v>
      </c>
      <c r="S44" s="12" t="s">
        <v>34</v>
      </c>
      <c r="T44" s="11" t="s">
        <v>33</v>
      </c>
      <c r="U44" s="11" t="s">
        <v>31</v>
      </c>
      <c r="V44" s="12" t="s">
        <v>50</v>
      </c>
      <c r="W44" s="120"/>
    </row>
    <row r="45" spans="1:25" ht="21" customHeight="1">
      <c r="A45" s="14" t="s">
        <v>32</v>
      </c>
      <c r="B45" s="15">
        <f>SUM(B46:B74)</f>
        <v>24</v>
      </c>
      <c r="C45" s="15" t="s">
        <v>31</v>
      </c>
      <c r="D45" s="16">
        <f>SUM(D46:D74)</f>
        <v>7590</v>
      </c>
      <c r="E45" s="15"/>
      <c r="F45" s="15"/>
      <c r="G45" s="16"/>
      <c r="H45" s="15"/>
      <c r="I45" s="15"/>
      <c r="J45" s="16"/>
      <c r="K45" s="15"/>
      <c r="L45" s="15"/>
      <c r="M45" s="16"/>
      <c r="N45" s="15" t="e">
        <v>#REF!</v>
      </c>
      <c r="O45" s="15" t="s">
        <v>31</v>
      </c>
      <c r="P45" s="16" t="e">
        <v>#REF!</v>
      </c>
      <c r="Q45" s="15">
        <f>SUM(Q46:Q74)</f>
        <v>16</v>
      </c>
      <c r="R45" s="15" t="s">
        <v>31</v>
      </c>
      <c r="S45" s="16">
        <f>SUM(S46:S74)</f>
        <v>3139</v>
      </c>
      <c r="T45" s="15" t="e">
        <f>SUM(T46:T74)</f>
        <v>#REF!</v>
      </c>
      <c r="U45" s="15" t="s">
        <v>31</v>
      </c>
      <c r="V45" s="16" t="e">
        <f>SUM(V46:V74)</f>
        <v>#REF!</v>
      </c>
      <c r="W45" s="17"/>
    </row>
    <row r="46" spans="1:25" ht="21" customHeight="1">
      <c r="A46" s="18" t="s">
        <v>29</v>
      </c>
      <c r="B46" s="15">
        <v>0</v>
      </c>
      <c r="C46" s="15" t="s">
        <v>31</v>
      </c>
      <c r="D46" s="16">
        <v>0</v>
      </c>
      <c r="E46" s="15"/>
      <c r="F46" s="15"/>
      <c r="G46" s="16"/>
      <c r="H46" s="19"/>
      <c r="I46" s="20"/>
      <c r="J46" s="21"/>
      <c r="K46" s="15"/>
      <c r="L46" s="15"/>
      <c r="M46" s="16"/>
      <c r="N46" s="15" t="e">
        <v>#REF!</v>
      </c>
      <c r="O46" s="15" t="s">
        <v>31</v>
      </c>
      <c r="P46" s="16" t="e">
        <v>#REF!</v>
      </c>
      <c r="Q46" s="19">
        <v>0</v>
      </c>
      <c r="R46" s="20" t="s">
        <v>31</v>
      </c>
      <c r="S46" s="21">
        <v>0</v>
      </c>
      <c r="T46" s="15">
        <v>0</v>
      </c>
      <c r="U46" s="15" t="s">
        <v>31</v>
      </c>
      <c r="V46" s="16">
        <v>0</v>
      </c>
      <c r="W46" s="22"/>
      <c r="X46" s="23"/>
      <c r="Y46" s="23"/>
    </row>
    <row r="47" spans="1:25" ht="21" customHeight="1">
      <c r="A47" s="18" t="s">
        <v>30</v>
      </c>
      <c r="B47" s="15">
        <v>1</v>
      </c>
      <c r="C47" s="15" t="s">
        <v>31</v>
      </c>
      <c r="D47" s="16">
        <v>35</v>
      </c>
      <c r="E47" s="15"/>
      <c r="F47" s="15"/>
      <c r="G47" s="16"/>
      <c r="H47" s="19"/>
      <c r="I47" s="15"/>
      <c r="J47" s="21"/>
      <c r="K47" s="15"/>
      <c r="L47" s="15"/>
      <c r="M47" s="16"/>
      <c r="N47" s="15" t="e">
        <v>#REF!</v>
      </c>
      <c r="O47" s="15" t="s">
        <v>31</v>
      </c>
      <c r="P47" s="16" t="e">
        <v>#REF!</v>
      </c>
      <c r="Q47" s="19">
        <v>0</v>
      </c>
      <c r="R47" s="20" t="s">
        <v>31</v>
      </c>
      <c r="S47" s="21">
        <v>0</v>
      </c>
      <c r="T47" s="15" t="e">
        <f>COUNTIF(#REF!,"국답")</f>
        <v>#REF!</v>
      </c>
      <c r="U47" s="15" t="s">
        <v>31</v>
      </c>
      <c r="V47" s="16" t="e">
        <f>SUMIF(#REF!,"국답",#REF!)</f>
        <v>#REF!</v>
      </c>
      <c r="W47" s="17"/>
    </row>
    <row r="48" spans="1:25" ht="21" customHeight="1">
      <c r="A48" s="24" t="s">
        <v>8</v>
      </c>
      <c r="B48" s="15">
        <v>0</v>
      </c>
      <c r="C48" s="15" t="s">
        <v>31</v>
      </c>
      <c r="D48" s="16">
        <v>0</v>
      </c>
      <c r="E48" s="15"/>
      <c r="F48" s="15"/>
      <c r="G48" s="16"/>
      <c r="H48" s="19"/>
      <c r="I48" s="15"/>
      <c r="J48" s="21"/>
      <c r="K48" s="15"/>
      <c r="L48" s="15"/>
      <c r="M48" s="16"/>
      <c r="N48" s="15" t="e">
        <v>#REF!</v>
      </c>
      <c r="O48" s="15" t="s">
        <v>31</v>
      </c>
      <c r="P48" s="16" t="e">
        <v>#REF!</v>
      </c>
      <c r="Q48" s="19">
        <v>0</v>
      </c>
      <c r="R48" s="20" t="s">
        <v>31</v>
      </c>
      <c r="S48" s="21">
        <v>0</v>
      </c>
      <c r="T48" s="15">
        <v>0</v>
      </c>
      <c r="U48" s="15" t="s">
        <v>31</v>
      </c>
      <c r="V48" s="16">
        <v>0</v>
      </c>
      <c r="W48" s="17"/>
    </row>
    <row r="49" spans="1:25" ht="21" customHeight="1">
      <c r="A49" s="24" t="s">
        <v>7</v>
      </c>
      <c r="B49" s="15">
        <v>0</v>
      </c>
      <c r="C49" s="15" t="s">
        <v>31</v>
      </c>
      <c r="D49" s="16">
        <v>0</v>
      </c>
      <c r="E49" s="15"/>
      <c r="F49" s="15"/>
      <c r="G49" s="16"/>
      <c r="H49" s="19"/>
      <c r="I49" s="15"/>
      <c r="J49" s="21"/>
      <c r="K49" s="15"/>
      <c r="L49" s="15"/>
      <c r="M49" s="16"/>
      <c r="N49" s="15" t="e">
        <v>#REF!</v>
      </c>
      <c r="O49" s="15" t="s">
        <v>31</v>
      </c>
      <c r="P49" s="16" t="e">
        <v>#REF!</v>
      </c>
      <c r="Q49" s="19">
        <v>0</v>
      </c>
      <c r="R49" s="20" t="s">
        <v>31</v>
      </c>
      <c r="S49" s="21">
        <v>0</v>
      </c>
      <c r="T49" s="15">
        <v>0</v>
      </c>
      <c r="U49" s="15" t="s">
        <v>31</v>
      </c>
      <c r="V49" s="16">
        <v>0</v>
      </c>
      <c r="W49" s="17"/>
    </row>
    <row r="50" spans="1:25" ht="21" customHeight="1">
      <c r="A50" s="24" t="s">
        <v>10</v>
      </c>
      <c r="B50" s="15">
        <v>0</v>
      </c>
      <c r="C50" s="15" t="s">
        <v>31</v>
      </c>
      <c r="D50" s="16">
        <v>0</v>
      </c>
      <c r="E50" s="15"/>
      <c r="F50" s="15"/>
      <c r="G50" s="16"/>
      <c r="H50" s="19"/>
      <c r="I50" s="15"/>
      <c r="J50" s="21"/>
      <c r="K50" s="15"/>
      <c r="L50" s="15"/>
      <c r="M50" s="16"/>
      <c r="N50" s="15" t="e">
        <v>#REF!</v>
      </c>
      <c r="O50" s="15" t="s">
        <v>31</v>
      </c>
      <c r="P50" s="16" t="e">
        <v>#REF!</v>
      </c>
      <c r="Q50" s="19">
        <v>0</v>
      </c>
      <c r="R50" s="20" t="s">
        <v>31</v>
      </c>
      <c r="S50" s="21">
        <v>0</v>
      </c>
      <c r="T50" s="15">
        <v>0</v>
      </c>
      <c r="U50" s="15" t="s">
        <v>31</v>
      </c>
      <c r="V50" s="16">
        <v>0</v>
      </c>
      <c r="W50" s="17"/>
      <c r="X50" s="23"/>
      <c r="Y50" s="23"/>
    </row>
    <row r="51" spans="1:25" ht="21" customHeight="1">
      <c r="A51" s="24" t="s">
        <v>9</v>
      </c>
      <c r="B51" s="15">
        <v>0</v>
      </c>
      <c r="C51" s="15" t="s">
        <v>31</v>
      </c>
      <c r="D51" s="16">
        <v>0</v>
      </c>
      <c r="E51" s="15"/>
      <c r="F51" s="15"/>
      <c r="G51" s="16"/>
      <c r="H51" s="19"/>
      <c r="I51" s="15"/>
      <c r="J51" s="21"/>
      <c r="K51" s="15"/>
      <c r="L51" s="15"/>
      <c r="M51" s="16"/>
      <c r="N51" s="15" t="e">
        <v>#REF!</v>
      </c>
      <c r="O51" s="15" t="s">
        <v>31</v>
      </c>
      <c r="P51" s="16" t="e">
        <v>#REF!</v>
      </c>
      <c r="Q51" s="19">
        <v>0</v>
      </c>
      <c r="R51" s="20" t="s">
        <v>31</v>
      </c>
      <c r="S51" s="21">
        <v>0</v>
      </c>
      <c r="T51" s="15">
        <v>0</v>
      </c>
      <c r="U51" s="15" t="s">
        <v>31</v>
      </c>
      <c r="V51" s="16">
        <v>0</v>
      </c>
      <c r="W51" s="17"/>
    </row>
    <row r="52" spans="1:25" ht="21" customHeight="1">
      <c r="A52" s="24" t="s">
        <v>11</v>
      </c>
      <c r="B52" s="15">
        <v>0</v>
      </c>
      <c r="C52" s="15" t="s">
        <v>31</v>
      </c>
      <c r="D52" s="16">
        <v>0</v>
      </c>
      <c r="E52" s="15"/>
      <c r="F52" s="15"/>
      <c r="G52" s="16"/>
      <c r="H52" s="19"/>
      <c r="I52" s="15"/>
      <c r="J52" s="21"/>
      <c r="K52" s="15"/>
      <c r="L52" s="15"/>
      <c r="M52" s="16"/>
      <c r="N52" s="15" t="e">
        <v>#REF!</v>
      </c>
      <c r="O52" s="15" t="s">
        <v>31</v>
      </c>
      <c r="P52" s="16" t="e">
        <v>#REF!</v>
      </c>
      <c r="Q52" s="19">
        <v>0</v>
      </c>
      <c r="R52" s="20" t="s">
        <v>31</v>
      </c>
      <c r="S52" s="21">
        <v>0</v>
      </c>
      <c r="T52" s="15">
        <v>0</v>
      </c>
      <c r="U52" s="15" t="s">
        <v>31</v>
      </c>
      <c r="V52" s="16">
        <v>0</v>
      </c>
      <c r="W52" s="17"/>
    </row>
    <row r="53" spans="1:25" ht="21" customHeight="1">
      <c r="A53" s="24" t="s">
        <v>12</v>
      </c>
      <c r="B53" s="15">
        <v>0</v>
      </c>
      <c r="C53" s="15" t="s">
        <v>31</v>
      </c>
      <c r="D53" s="16">
        <v>0</v>
      </c>
      <c r="E53" s="15"/>
      <c r="F53" s="15"/>
      <c r="G53" s="16"/>
      <c r="H53" s="19"/>
      <c r="I53" s="15"/>
      <c r="J53" s="21"/>
      <c r="K53" s="15"/>
      <c r="L53" s="15"/>
      <c r="M53" s="16"/>
      <c r="N53" s="15" t="e">
        <v>#REF!</v>
      </c>
      <c r="O53" s="15" t="s">
        <v>31</v>
      </c>
      <c r="P53" s="16" t="e">
        <v>#REF!</v>
      </c>
      <c r="Q53" s="19">
        <v>0</v>
      </c>
      <c r="R53" s="20" t="s">
        <v>31</v>
      </c>
      <c r="S53" s="21">
        <v>0</v>
      </c>
      <c r="T53" s="15">
        <v>0</v>
      </c>
      <c r="U53" s="15" t="s">
        <v>31</v>
      </c>
      <c r="V53" s="16">
        <v>0</v>
      </c>
      <c r="W53" s="17"/>
    </row>
    <row r="54" spans="1:25" ht="21" customHeight="1">
      <c r="A54" s="24" t="s">
        <v>13</v>
      </c>
      <c r="B54" s="15">
        <v>0</v>
      </c>
      <c r="C54" s="15" t="s">
        <v>31</v>
      </c>
      <c r="D54" s="16">
        <v>0</v>
      </c>
      <c r="E54" s="15"/>
      <c r="F54" s="15"/>
      <c r="G54" s="16"/>
      <c r="H54" s="19"/>
      <c r="I54" s="15"/>
      <c r="J54" s="21"/>
      <c r="K54" s="15"/>
      <c r="L54" s="15"/>
      <c r="M54" s="16"/>
      <c r="N54" s="15" t="e">
        <v>#REF!</v>
      </c>
      <c r="O54" s="15" t="s">
        <v>31</v>
      </c>
      <c r="P54" s="16" t="e">
        <v>#REF!</v>
      </c>
      <c r="Q54" s="19">
        <v>0</v>
      </c>
      <c r="R54" s="20" t="s">
        <v>31</v>
      </c>
      <c r="S54" s="21">
        <v>0</v>
      </c>
      <c r="T54" s="15">
        <v>0</v>
      </c>
      <c r="U54" s="15" t="s">
        <v>31</v>
      </c>
      <c r="V54" s="16">
        <v>0</v>
      </c>
      <c r="W54" s="17"/>
    </row>
    <row r="55" spans="1:25" ht="21" customHeight="1">
      <c r="A55" s="24" t="s">
        <v>14</v>
      </c>
      <c r="B55" s="15">
        <v>0</v>
      </c>
      <c r="C55" s="15" t="s">
        <v>31</v>
      </c>
      <c r="D55" s="16">
        <v>0</v>
      </c>
      <c r="E55" s="15"/>
      <c r="F55" s="15"/>
      <c r="G55" s="16"/>
      <c r="H55" s="19"/>
      <c r="I55" s="15"/>
      <c r="J55" s="21"/>
      <c r="K55" s="15"/>
      <c r="L55" s="15"/>
      <c r="M55" s="16"/>
      <c r="N55" s="15" t="e">
        <v>#REF!</v>
      </c>
      <c r="O55" s="15" t="s">
        <v>31</v>
      </c>
      <c r="P55" s="16" t="e">
        <v>#REF!</v>
      </c>
      <c r="Q55" s="19">
        <v>0</v>
      </c>
      <c r="R55" s="20" t="s">
        <v>31</v>
      </c>
      <c r="S55" s="21">
        <v>0</v>
      </c>
      <c r="T55" s="15">
        <v>0</v>
      </c>
      <c r="U55" s="15" t="s">
        <v>31</v>
      </c>
      <c r="V55" s="16">
        <v>0</v>
      </c>
      <c r="W55" s="17"/>
    </row>
    <row r="56" spans="1:25" ht="21" customHeight="1">
      <c r="A56" s="24" t="s">
        <v>42</v>
      </c>
      <c r="B56" s="15">
        <v>0</v>
      </c>
      <c r="C56" s="15" t="s">
        <v>31</v>
      </c>
      <c r="D56" s="16">
        <v>0</v>
      </c>
      <c r="E56" s="15"/>
      <c r="F56" s="15"/>
      <c r="G56" s="16"/>
      <c r="H56" s="19"/>
      <c r="I56" s="15"/>
      <c r="J56" s="21"/>
      <c r="K56" s="15"/>
      <c r="L56" s="15"/>
      <c r="M56" s="16"/>
      <c r="N56" s="15" t="e">
        <v>#REF!</v>
      </c>
      <c r="O56" s="15" t="s">
        <v>31</v>
      </c>
      <c r="P56" s="16" t="e">
        <v>#REF!</v>
      </c>
      <c r="Q56" s="19">
        <v>0</v>
      </c>
      <c r="R56" s="20" t="s">
        <v>31</v>
      </c>
      <c r="S56" s="21">
        <v>0</v>
      </c>
      <c r="T56" s="15">
        <v>0</v>
      </c>
      <c r="U56" s="15" t="s">
        <v>31</v>
      </c>
      <c r="V56" s="16">
        <v>0</v>
      </c>
      <c r="W56" s="17"/>
    </row>
    <row r="57" spans="1:25" ht="21" customHeight="1">
      <c r="A57" s="24" t="s">
        <v>15</v>
      </c>
      <c r="B57" s="15">
        <v>0</v>
      </c>
      <c r="C57" s="15" t="s">
        <v>31</v>
      </c>
      <c r="D57" s="16">
        <v>0</v>
      </c>
      <c r="E57" s="15"/>
      <c r="F57" s="15"/>
      <c r="G57" s="16"/>
      <c r="H57" s="19"/>
      <c r="I57" s="15"/>
      <c r="J57" s="21"/>
      <c r="K57" s="15"/>
      <c r="L57" s="15"/>
      <c r="M57" s="16"/>
      <c r="N57" s="15" t="e">
        <v>#REF!</v>
      </c>
      <c r="O57" s="15" t="s">
        <v>31</v>
      </c>
      <c r="P57" s="16" t="e">
        <v>#REF!</v>
      </c>
      <c r="Q57" s="19">
        <v>0</v>
      </c>
      <c r="R57" s="20" t="s">
        <v>31</v>
      </c>
      <c r="S57" s="21">
        <v>0</v>
      </c>
      <c r="T57" s="15">
        <v>0</v>
      </c>
      <c r="U57" s="15" t="s">
        <v>31</v>
      </c>
      <c r="V57" s="16">
        <v>0</v>
      </c>
      <c r="W57" s="17"/>
    </row>
    <row r="58" spans="1:25" ht="21" customHeight="1">
      <c r="A58" s="24" t="s">
        <v>25</v>
      </c>
      <c r="B58" s="15">
        <v>0</v>
      </c>
      <c r="C58" s="15" t="s">
        <v>31</v>
      </c>
      <c r="D58" s="16">
        <v>0</v>
      </c>
      <c r="E58" s="15"/>
      <c r="F58" s="15"/>
      <c r="G58" s="16"/>
      <c r="H58" s="19"/>
      <c r="I58" s="15"/>
      <c r="J58" s="21"/>
      <c r="K58" s="15"/>
      <c r="L58" s="15"/>
      <c r="M58" s="16"/>
      <c r="N58" s="15" t="e">
        <v>#REF!</v>
      </c>
      <c r="O58" s="15" t="s">
        <v>31</v>
      </c>
      <c r="P58" s="16" t="e">
        <v>#REF!</v>
      </c>
      <c r="Q58" s="19">
        <v>0</v>
      </c>
      <c r="R58" s="20" t="s">
        <v>31</v>
      </c>
      <c r="S58" s="21">
        <v>0</v>
      </c>
      <c r="T58" s="15">
        <v>0</v>
      </c>
      <c r="U58" s="15" t="s">
        <v>31</v>
      </c>
      <c r="V58" s="16">
        <v>0</v>
      </c>
      <c r="W58" s="17"/>
    </row>
    <row r="59" spans="1:25" ht="21" customHeight="1">
      <c r="A59" s="24" t="s">
        <v>4</v>
      </c>
      <c r="B59" s="15">
        <v>12</v>
      </c>
      <c r="C59" s="15" t="s">
        <v>31</v>
      </c>
      <c r="D59" s="16">
        <v>1923</v>
      </c>
      <c r="E59" s="15"/>
      <c r="F59" s="15"/>
      <c r="G59" s="16"/>
      <c r="H59" s="19"/>
      <c r="I59" s="15"/>
      <c r="J59" s="21"/>
      <c r="K59" s="15"/>
      <c r="L59" s="15"/>
      <c r="M59" s="16"/>
      <c r="N59" s="15" t="e">
        <v>#REF!</v>
      </c>
      <c r="O59" s="15" t="s">
        <v>31</v>
      </c>
      <c r="P59" s="16" t="e">
        <v>#REF!</v>
      </c>
      <c r="Q59" s="19">
        <v>9</v>
      </c>
      <c r="R59" s="20" t="s">
        <v>31</v>
      </c>
      <c r="S59" s="21">
        <v>722</v>
      </c>
      <c r="T59" s="15" t="e">
        <f>COUNTIF(#REF!,"국도")</f>
        <v>#REF!</v>
      </c>
      <c r="U59" s="15" t="s">
        <v>31</v>
      </c>
      <c r="V59" s="16" t="e">
        <f>SUMIF(#REF!,"국도",#REF!)</f>
        <v>#REF!</v>
      </c>
      <c r="W59" s="17"/>
    </row>
    <row r="60" spans="1:25" ht="21" customHeight="1">
      <c r="A60" s="24" t="s">
        <v>1</v>
      </c>
      <c r="B60" s="15">
        <v>0</v>
      </c>
      <c r="C60" s="15" t="s">
        <v>31</v>
      </c>
      <c r="D60" s="16">
        <v>0</v>
      </c>
      <c r="E60" s="15"/>
      <c r="F60" s="15"/>
      <c r="G60" s="16"/>
      <c r="H60" s="19"/>
      <c r="I60" s="20"/>
      <c r="J60" s="21"/>
      <c r="K60" s="15"/>
      <c r="L60" s="20"/>
      <c r="M60" s="16"/>
      <c r="N60" s="15" t="e">
        <v>#REF!</v>
      </c>
      <c r="O60" s="15" t="s">
        <v>31</v>
      </c>
      <c r="P60" s="16" t="e">
        <v>#REF!</v>
      </c>
      <c r="Q60" s="19">
        <v>0</v>
      </c>
      <c r="R60" s="20" t="s">
        <v>31</v>
      </c>
      <c r="S60" s="21">
        <v>0</v>
      </c>
      <c r="T60" s="15">
        <v>0</v>
      </c>
      <c r="U60" s="15" t="s">
        <v>31</v>
      </c>
      <c r="V60" s="16">
        <v>0</v>
      </c>
      <c r="W60" s="17"/>
    </row>
    <row r="61" spans="1:25" ht="21" customHeight="1">
      <c r="A61" s="24" t="s">
        <v>16</v>
      </c>
      <c r="B61" s="15">
        <v>0</v>
      </c>
      <c r="C61" s="15" t="s">
        <v>31</v>
      </c>
      <c r="D61" s="16">
        <v>0</v>
      </c>
      <c r="E61" s="15"/>
      <c r="F61" s="15"/>
      <c r="G61" s="16"/>
      <c r="H61" s="19"/>
      <c r="I61" s="15"/>
      <c r="J61" s="21"/>
      <c r="K61" s="15"/>
      <c r="L61" s="15"/>
      <c r="M61" s="16"/>
      <c r="N61" s="15" t="e">
        <v>#REF!</v>
      </c>
      <c r="O61" s="15" t="s">
        <v>31</v>
      </c>
      <c r="P61" s="16" t="e">
        <v>#REF!</v>
      </c>
      <c r="Q61" s="19">
        <v>0</v>
      </c>
      <c r="R61" s="20" t="s">
        <v>31</v>
      </c>
      <c r="S61" s="21">
        <v>0</v>
      </c>
      <c r="T61" s="15">
        <v>0</v>
      </c>
      <c r="U61" s="15" t="s">
        <v>31</v>
      </c>
      <c r="V61" s="16">
        <v>0</v>
      </c>
      <c r="W61" s="17"/>
    </row>
    <row r="62" spans="1:25" ht="21" customHeight="1">
      <c r="A62" s="24" t="s">
        <v>5</v>
      </c>
      <c r="B62" s="15">
        <v>4</v>
      </c>
      <c r="C62" s="15" t="s">
        <v>31</v>
      </c>
      <c r="D62" s="16">
        <v>5154</v>
      </c>
      <c r="E62" s="15"/>
      <c r="F62" s="15"/>
      <c r="G62" s="16"/>
      <c r="H62" s="19"/>
      <c r="I62" s="15"/>
      <c r="J62" s="21"/>
      <c r="K62" s="15"/>
      <c r="L62" s="15"/>
      <c r="M62" s="16"/>
      <c r="N62" s="15" t="e">
        <v>#REF!</v>
      </c>
      <c r="O62" s="15" t="s">
        <v>31</v>
      </c>
      <c r="P62" s="16" t="e">
        <v>#REF!</v>
      </c>
      <c r="Q62" s="19">
        <v>1</v>
      </c>
      <c r="R62" s="20" t="s">
        <v>31</v>
      </c>
      <c r="S62" s="21">
        <v>2047</v>
      </c>
      <c r="T62" s="15" t="e">
        <f>COUNTIF(#REF!,"국천")</f>
        <v>#REF!</v>
      </c>
      <c r="U62" s="15" t="s">
        <v>31</v>
      </c>
      <c r="V62" s="16" t="e">
        <f>SUMIF(#REF!,"국천",#REF!)</f>
        <v>#REF!</v>
      </c>
      <c r="W62" s="17"/>
    </row>
    <row r="63" spans="1:25" ht="21" customHeight="1">
      <c r="A63" s="24" t="s">
        <v>6</v>
      </c>
      <c r="B63" s="15">
        <v>7</v>
      </c>
      <c r="C63" s="15" t="s">
        <v>31</v>
      </c>
      <c r="D63" s="16">
        <v>478</v>
      </c>
      <c r="E63" s="15"/>
      <c r="F63" s="15"/>
      <c r="G63" s="16"/>
      <c r="H63" s="19"/>
      <c r="I63" s="15"/>
      <c r="J63" s="21"/>
      <c r="K63" s="15"/>
      <c r="L63" s="15"/>
      <c r="M63" s="16"/>
      <c r="N63" s="15" t="e">
        <v>#REF!</v>
      </c>
      <c r="O63" s="15" t="s">
        <v>31</v>
      </c>
      <c r="P63" s="16" t="e">
        <v>#REF!</v>
      </c>
      <c r="Q63" s="19">
        <v>6</v>
      </c>
      <c r="R63" s="20" t="s">
        <v>31</v>
      </c>
      <c r="S63" s="21">
        <v>370</v>
      </c>
      <c r="T63" s="15" t="e">
        <f>COUNTIF(#REF!,"국구")</f>
        <v>#REF!</v>
      </c>
      <c r="U63" s="15" t="s">
        <v>31</v>
      </c>
      <c r="V63" s="16" t="e">
        <f>SUMIF(#REF!,"국구",#REF!)</f>
        <v>#REF!</v>
      </c>
      <c r="W63" s="17"/>
    </row>
    <row r="64" spans="1:25" s="2" customFormat="1" ht="21" customHeight="1">
      <c r="A64" s="24" t="s">
        <v>17</v>
      </c>
      <c r="B64" s="15">
        <v>0</v>
      </c>
      <c r="C64" s="15" t="s">
        <v>31</v>
      </c>
      <c r="D64" s="16">
        <v>0</v>
      </c>
      <c r="E64" s="15"/>
      <c r="F64" s="15"/>
      <c r="G64" s="16"/>
      <c r="H64" s="19"/>
      <c r="I64" s="15"/>
      <c r="J64" s="21"/>
      <c r="K64" s="15"/>
      <c r="L64" s="15"/>
      <c r="M64" s="16"/>
      <c r="N64" s="15" t="e">
        <v>#REF!</v>
      </c>
      <c r="O64" s="15" t="s">
        <v>31</v>
      </c>
      <c r="P64" s="16" t="e">
        <v>#REF!</v>
      </c>
      <c r="Q64" s="19">
        <v>0</v>
      </c>
      <c r="R64" s="20" t="s">
        <v>31</v>
      </c>
      <c r="S64" s="21">
        <v>0</v>
      </c>
      <c r="T64" s="15">
        <v>0</v>
      </c>
      <c r="U64" s="15" t="s">
        <v>31</v>
      </c>
      <c r="V64" s="16">
        <v>0</v>
      </c>
      <c r="W64" s="22"/>
    </row>
    <row r="65" spans="1:23" ht="21" customHeight="1">
      <c r="A65" s="24" t="s">
        <v>18</v>
      </c>
      <c r="B65" s="15">
        <v>0</v>
      </c>
      <c r="C65" s="15" t="s">
        <v>31</v>
      </c>
      <c r="D65" s="16">
        <v>0</v>
      </c>
      <c r="E65" s="15"/>
      <c r="F65" s="15"/>
      <c r="G65" s="16"/>
      <c r="H65" s="19"/>
      <c r="I65" s="15"/>
      <c r="J65" s="21"/>
      <c r="K65" s="15"/>
      <c r="L65" s="15"/>
      <c r="M65" s="16"/>
      <c r="N65" s="15" t="e">
        <v>#REF!</v>
      </c>
      <c r="O65" s="15" t="s">
        <v>31</v>
      </c>
      <c r="P65" s="16" t="e">
        <v>#REF!</v>
      </c>
      <c r="Q65" s="19">
        <v>0</v>
      </c>
      <c r="R65" s="20" t="s">
        <v>31</v>
      </c>
      <c r="S65" s="21">
        <v>0</v>
      </c>
      <c r="T65" s="15">
        <v>0</v>
      </c>
      <c r="U65" s="15" t="s">
        <v>31</v>
      </c>
      <c r="V65" s="16">
        <v>0</v>
      </c>
      <c r="W65" s="17"/>
    </row>
    <row r="66" spans="1:23" ht="21" customHeight="1">
      <c r="A66" s="24" t="s">
        <v>3</v>
      </c>
      <c r="B66" s="15">
        <v>0</v>
      </c>
      <c r="C66" s="15" t="s">
        <v>31</v>
      </c>
      <c r="D66" s="16">
        <v>0</v>
      </c>
      <c r="E66" s="15"/>
      <c r="F66" s="15"/>
      <c r="G66" s="16"/>
      <c r="H66" s="19"/>
      <c r="I66" s="15"/>
      <c r="J66" s="21"/>
      <c r="K66" s="15"/>
      <c r="L66" s="15"/>
      <c r="M66" s="16"/>
      <c r="N66" s="15" t="e">
        <v>#REF!</v>
      </c>
      <c r="O66" s="15" t="s">
        <v>31</v>
      </c>
      <c r="P66" s="16" t="e">
        <v>#REF!</v>
      </c>
      <c r="Q66" s="19">
        <v>0</v>
      </c>
      <c r="R66" s="20" t="s">
        <v>31</v>
      </c>
      <c r="S66" s="21">
        <v>0</v>
      </c>
      <c r="T66" s="15">
        <v>0</v>
      </c>
      <c r="U66" s="15" t="s">
        <v>31</v>
      </c>
      <c r="V66" s="16">
        <v>0</v>
      </c>
      <c r="W66" s="17"/>
    </row>
    <row r="67" spans="1:23" ht="21" customHeight="1">
      <c r="A67" s="24" t="s">
        <v>19</v>
      </c>
      <c r="B67" s="15">
        <v>0</v>
      </c>
      <c r="C67" s="15" t="s">
        <v>31</v>
      </c>
      <c r="D67" s="16">
        <v>0</v>
      </c>
      <c r="E67" s="15"/>
      <c r="F67" s="15"/>
      <c r="G67" s="16"/>
      <c r="H67" s="19"/>
      <c r="I67" s="15"/>
      <c r="J67" s="21"/>
      <c r="K67" s="15"/>
      <c r="L67" s="15"/>
      <c r="M67" s="16"/>
      <c r="N67" s="15" t="e">
        <v>#REF!</v>
      </c>
      <c r="O67" s="15" t="s">
        <v>31</v>
      </c>
      <c r="P67" s="16" t="e">
        <v>#REF!</v>
      </c>
      <c r="Q67" s="19">
        <v>0</v>
      </c>
      <c r="R67" s="20" t="s">
        <v>31</v>
      </c>
      <c r="S67" s="21">
        <v>0</v>
      </c>
      <c r="T67" s="15">
        <v>0</v>
      </c>
      <c r="U67" s="15" t="s">
        <v>31</v>
      </c>
      <c r="V67" s="16">
        <v>0</v>
      </c>
      <c r="W67" s="17"/>
    </row>
    <row r="68" spans="1:23" ht="21" customHeight="1">
      <c r="A68" s="24" t="s">
        <v>20</v>
      </c>
      <c r="B68" s="15">
        <v>0</v>
      </c>
      <c r="C68" s="15" t="s">
        <v>31</v>
      </c>
      <c r="D68" s="16">
        <v>0</v>
      </c>
      <c r="E68" s="15"/>
      <c r="F68" s="15"/>
      <c r="G68" s="16"/>
      <c r="H68" s="19"/>
      <c r="I68" s="15"/>
      <c r="J68" s="21"/>
      <c r="K68" s="15"/>
      <c r="L68" s="15"/>
      <c r="M68" s="16"/>
      <c r="N68" s="15" t="e">
        <v>#REF!</v>
      </c>
      <c r="O68" s="15" t="s">
        <v>31</v>
      </c>
      <c r="P68" s="16" t="e">
        <v>#REF!</v>
      </c>
      <c r="Q68" s="19">
        <v>0</v>
      </c>
      <c r="R68" s="20" t="s">
        <v>31</v>
      </c>
      <c r="S68" s="21">
        <v>0</v>
      </c>
      <c r="T68" s="15">
        <v>0</v>
      </c>
      <c r="U68" s="15" t="s">
        <v>31</v>
      </c>
      <c r="V68" s="16">
        <v>0</v>
      </c>
      <c r="W68" s="17"/>
    </row>
    <row r="69" spans="1:23" ht="21" customHeight="1">
      <c r="A69" s="24" t="s">
        <v>21</v>
      </c>
      <c r="B69" s="15">
        <v>0</v>
      </c>
      <c r="C69" s="15" t="s">
        <v>31</v>
      </c>
      <c r="D69" s="16">
        <v>0</v>
      </c>
      <c r="E69" s="15"/>
      <c r="F69" s="15"/>
      <c r="G69" s="16"/>
      <c r="H69" s="19"/>
      <c r="I69" s="20"/>
      <c r="J69" s="21"/>
      <c r="K69" s="15"/>
      <c r="L69" s="20"/>
      <c r="M69" s="16"/>
      <c r="N69" s="15" t="e">
        <v>#REF!</v>
      </c>
      <c r="O69" s="15" t="s">
        <v>31</v>
      </c>
      <c r="P69" s="16" t="e">
        <v>#REF!</v>
      </c>
      <c r="Q69" s="19">
        <v>0</v>
      </c>
      <c r="R69" s="20" t="s">
        <v>31</v>
      </c>
      <c r="S69" s="21">
        <v>0</v>
      </c>
      <c r="T69" s="15">
        <v>0</v>
      </c>
      <c r="U69" s="15" t="s">
        <v>31</v>
      </c>
      <c r="V69" s="16">
        <v>0</v>
      </c>
      <c r="W69" s="17"/>
    </row>
    <row r="70" spans="1:23" ht="21" customHeight="1">
      <c r="A70" s="24" t="s">
        <v>0</v>
      </c>
      <c r="B70" s="15">
        <v>0</v>
      </c>
      <c r="C70" s="15" t="s">
        <v>31</v>
      </c>
      <c r="D70" s="16">
        <v>0</v>
      </c>
      <c r="E70" s="15"/>
      <c r="F70" s="15"/>
      <c r="G70" s="16"/>
      <c r="H70" s="19"/>
      <c r="I70" s="15"/>
      <c r="J70" s="21"/>
      <c r="K70" s="15"/>
      <c r="L70" s="15"/>
      <c r="M70" s="16"/>
      <c r="N70" s="15" t="e">
        <v>#REF!</v>
      </c>
      <c r="O70" s="15" t="s">
        <v>31</v>
      </c>
      <c r="P70" s="16" t="e">
        <v>#REF!</v>
      </c>
      <c r="Q70" s="19">
        <v>0</v>
      </c>
      <c r="R70" s="20" t="s">
        <v>31</v>
      </c>
      <c r="S70" s="21">
        <v>0</v>
      </c>
      <c r="T70" s="15">
        <v>0</v>
      </c>
      <c r="U70" s="15" t="s">
        <v>31</v>
      </c>
      <c r="V70" s="16">
        <v>0</v>
      </c>
      <c r="W70" s="17"/>
    </row>
    <row r="71" spans="1:23" ht="21" customHeight="1">
      <c r="A71" s="24" t="s">
        <v>22</v>
      </c>
      <c r="B71" s="15">
        <v>0</v>
      </c>
      <c r="C71" s="15" t="s">
        <v>31</v>
      </c>
      <c r="D71" s="16">
        <v>0</v>
      </c>
      <c r="E71" s="15"/>
      <c r="F71" s="15"/>
      <c r="G71" s="16"/>
      <c r="H71" s="19"/>
      <c r="I71" s="15"/>
      <c r="J71" s="21"/>
      <c r="K71" s="15"/>
      <c r="L71" s="15"/>
      <c r="M71" s="16"/>
      <c r="N71" s="15" t="e">
        <v>#REF!</v>
      </c>
      <c r="O71" s="15" t="s">
        <v>31</v>
      </c>
      <c r="P71" s="16" t="e">
        <v>#REF!</v>
      </c>
      <c r="Q71" s="19">
        <v>0</v>
      </c>
      <c r="R71" s="20" t="s">
        <v>31</v>
      </c>
      <c r="S71" s="21">
        <v>0</v>
      </c>
      <c r="T71" s="15">
        <v>0</v>
      </c>
      <c r="U71" s="15" t="s">
        <v>31</v>
      </c>
      <c r="V71" s="16">
        <v>0</v>
      </c>
      <c r="W71" s="17"/>
    </row>
    <row r="72" spans="1:23" ht="21" customHeight="1">
      <c r="A72" s="24" t="s">
        <v>23</v>
      </c>
      <c r="B72" s="15">
        <v>0</v>
      </c>
      <c r="C72" s="15" t="s">
        <v>31</v>
      </c>
      <c r="D72" s="16">
        <v>0</v>
      </c>
      <c r="E72" s="15"/>
      <c r="F72" s="15"/>
      <c r="G72" s="16"/>
      <c r="H72" s="19"/>
      <c r="I72" s="15"/>
      <c r="J72" s="21"/>
      <c r="K72" s="15"/>
      <c r="L72" s="15"/>
      <c r="M72" s="16"/>
      <c r="N72" s="15" t="e">
        <v>#REF!</v>
      </c>
      <c r="O72" s="15" t="s">
        <v>31</v>
      </c>
      <c r="P72" s="16" t="e">
        <v>#REF!</v>
      </c>
      <c r="Q72" s="19">
        <v>0</v>
      </c>
      <c r="R72" s="20" t="s">
        <v>31</v>
      </c>
      <c r="S72" s="21">
        <v>0</v>
      </c>
      <c r="T72" s="15">
        <v>0</v>
      </c>
      <c r="U72" s="15" t="s">
        <v>31</v>
      </c>
      <c r="V72" s="16">
        <v>0</v>
      </c>
      <c r="W72" s="17"/>
    </row>
    <row r="73" spans="1:23" s="2" customFormat="1" ht="21" customHeight="1">
      <c r="A73" s="24" t="s">
        <v>24</v>
      </c>
      <c r="B73" s="15">
        <v>0</v>
      </c>
      <c r="C73" s="15" t="s">
        <v>31</v>
      </c>
      <c r="D73" s="16">
        <v>0</v>
      </c>
      <c r="E73" s="15"/>
      <c r="F73" s="15"/>
      <c r="G73" s="16"/>
      <c r="H73" s="19"/>
      <c r="I73" s="15"/>
      <c r="J73" s="21"/>
      <c r="K73" s="15"/>
      <c r="L73" s="15"/>
      <c r="M73" s="16"/>
      <c r="N73" s="15" t="e">
        <v>#REF!</v>
      </c>
      <c r="O73" s="15" t="s">
        <v>31</v>
      </c>
      <c r="P73" s="16" t="e">
        <v>#REF!</v>
      </c>
      <c r="Q73" s="19">
        <v>0</v>
      </c>
      <c r="R73" s="20" t="s">
        <v>31</v>
      </c>
      <c r="S73" s="21">
        <v>0</v>
      </c>
      <c r="T73" s="15">
        <v>0</v>
      </c>
      <c r="U73" s="15" t="s">
        <v>31</v>
      </c>
      <c r="V73" s="16">
        <v>0</v>
      </c>
      <c r="W73" s="22"/>
    </row>
    <row r="74" spans="1:23" s="2" customFormat="1" ht="21" customHeight="1">
      <c r="A74" s="25" t="s">
        <v>2</v>
      </c>
      <c r="B74" s="15">
        <v>0</v>
      </c>
      <c r="C74" s="15" t="s">
        <v>31</v>
      </c>
      <c r="D74" s="16">
        <v>0</v>
      </c>
      <c r="E74" s="15"/>
      <c r="F74" s="15"/>
      <c r="G74" s="16"/>
      <c r="H74" s="19"/>
      <c r="I74" s="26"/>
      <c r="J74" s="21"/>
      <c r="K74" s="15"/>
      <c r="L74" s="26"/>
      <c r="M74" s="16"/>
      <c r="N74" s="15" t="e">
        <v>#REF!</v>
      </c>
      <c r="O74" s="15" t="s">
        <v>31</v>
      </c>
      <c r="P74" s="16" t="e">
        <v>#REF!</v>
      </c>
      <c r="Q74" s="19">
        <v>0</v>
      </c>
      <c r="R74" s="20" t="s">
        <v>31</v>
      </c>
      <c r="S74" s="21">
        <v>0</v>
      </c>
      <c r="T74" s="15">
        <v>0</v>
      </c>
      <c r="U74" s="15" t="s">
        <v>31</v>
      </c>
      <c r="V74" s="16">
        <v>0</v>
      </c>
      <c r="W74" s="27"/>
    </row>
    <row r="75" spans="1:23" s="2" customFormat="1" ht="5.0999999999999996" customHeight="1">
      <c r="A75" s="2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1:23" s="2" customFormat="1" ht="39.950000000000003" customHeight="1">
      <c r="A76" s="30" t="s">
        <v>49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</row>
    <row r="77" spans="1:23" ht="21" customHeight="1">
      <c r="A77" s="106" t="s">
        <v>44</v>
      </c>
      <c r="B77" s="103" t="s">
        <v>45</v>
      </c>
      <c r="C77" s="109"/>
      <c r="D77" s="110"/>
      <c r="E77" s="46"/>
      <c r="F77" s="47"/>
      <c r="G77" s="47"/>
      <c r="H77" s="47"/>
      <c r="I77" s="47"/>
      <c r="J77" s="47"/>
      <c r="K77" s="47"/>
      <c r="L77" s="47"/>
      <c r="M77" s="47"/>
      <c r="N77" s="117" t="s">
        <v>54</v>
      </c>
      <c r="O77" s="117"/>
      <c r="P77" s="117"/>
      <c r="Q77" s="117"/>
      <c r="R77" s="117"/>
      <c r="S77" s="117"/>
      <c r="T77" s="117"/>
      <c r="U77" s="117"/>
      <c r="V77" s="117"/>
      <c r="W77" s="118" t="s">
        <v>48</v>
      </c>
    </row>
    <row r="78" spans="1:23" ht="21" customHeight="1">
      <c r="A78" s="107"/>
      <c r="B78" s="111"/>
      <c r="C78" s="112"/>
      <c r="D78" s="113"/>
      <c r="E78" s="34"/>
      <c r="F78" s="35"/>
      <c r="G78" s="35"/>
      <c r="H78" s="35"/>
      <c r="I78" s="35"/>
      <c r="J78" s="35"/>
      <c r="K78" s="35"/>
      <c r="L78" s="35"/>
      <c r="M78" s="35"/>
      <c r="N78" s="121" t="s">
        <v>55</v>
      </c>
      <c r="O78" s="121"/>
      <c r="P78" s="121"/>
      <c r="Q78" s="121"/>
      <c r="R78" s="121"/>
      <c r="S78" s="121"/>
      <c r="T78" s="121"/>
      <c r="U78" s="121"/>
      <c r="V78" s="121"/>
      <c r="W78" s="119"/>
    </row>
    <row r="79" spans="1:23" ht="21" customHeight="1">
      <c r="A79" s="107"/>
      <c r="B79" s="111"/>
      <c r="C79" s="112"/>
      <c r="D79" s="113"/>
      <c r="E79" s="122"/>
      <c r="F79" s="123"/>
      <c r="G79" s="124"/>
      <c r="H79" s="7"/>
      <c r="I79" s="8"/>
      <c r="J79" s="8"/>
      <c r="K79" s="8"/>
      <c r="L79" s="8"/>
      <c r="M79" s="8"/>
      <c r="N79" s="128" t="s">
        <v>47</v>
      </c>
      <c r="O79" s="129"/>
      <c r="P79" s="130"/>
      <c r="Q79" s="134" t="s">
        <v>56</v>
      </c>
      <c r="R79" s="135"/>
      <c r="S79" s="135"/>
      <c r="T79" s="135"/>
      <c r="U79" s="135"/>
      <c r="V79" s="135"/>
      <c r="W79" s="119"/>
    </row>
    <row r="80" spans="1:23" s="10" customFormat="1" ht="21" customHeight="1">
      <c r="A80" s="107"/>
      <c r="B80" s="114"/>
      <c r="C80" s="115"/>
      <c r="D80" s="116"/>
      <c r="E80" s="125"/>
      <c r="F80" s="126"/>
      <c r="G80" s="127"/>
      <c r="H80" s="7"/>
      <c r="I80" s="8"/>
      <c r="J80" s="9"/>
      <c r="K80" s="7"/>
      <c r="L80" s="8"/>
      <c r="M80" s="8"/>
      <c r="N80" s="131"/>
      <c r="O80" s="132"/>
      <c r="P80" s="133"/>
      <c r="Q80" s="8" t="s">
        <v>57</v>
      </c>
      <c r="R80" s="8"/>
      <c r="S80" s="9"/>
      <c r="T80" s="7" t="s">
        <v>58</v>
      </c>
      <c r="U80" s="8"/>
      <c r="V80" s="9"/>
      <c r="W80" s="119"/>
    </row>
    <row r="81" spans="1:25" ht="21" customHeight="1">
      <c r="A81" s="108"/>
      <c r="B81" s="11" t="s">
        <v>33</v>
      </c>
      <c r="C81" s="11" t="s">
        <v>31</v>
      </c>
      <c r="D81" s="12" t="s">
        <v>50</v>
      </c>
      <c r="E81" s="11"/>
      <c r="F81" s="11"/>
      <c r="G81" s="12"/>
      <c r="H81" s="13"/>
      <c r="I81" s="11"/>
      <c r="J81" s="12"/>
      <c r="K81" s="11"/>
      <c r="L81" s="11"/>
      <c r="M81" s="12"/>
      <c r="N81" s="11" t="s">
        <v>33</v>
      </c>
      <c r="O81" s="11" t="s">
        <v>31</v>
      </c>
      <c r="P81" s="12" t="s">
        <v>50</v>
      </c>
      <c r="Q81" s="13" t="s">
        <v>33</v>
      </c>
      <c r="R81" s="11" t="s">
        <v>31</v>
      </c>
      <c r="S81" s="12" t="s">
        <v>34</v>
      </c>
      <c r="T81" s="11" t="s">
        <v>33</v>
      </c>
      <c r="U81" s="11" t="s">
        <v>31</v>
      </c>
      <c r="V81" s="12" t="s">
        <v>50</v>
      </c>
      <c r="W81" s="120"/>
    </row>
    <row r="82" spans="1:25" ht="21" customHeight="1">
      <c r="A82" s="14" t="s">
        <v>32</v>
      </c>
      <c r="B82" s="15">
        <f>SUM(B83:B111)</f>
        <v>18</v>
      </c>
      <c r="C82" s="15" t="s">
        <v>31</v>
      </c>
      <c r="D82" s="16">
        <f>SUM(D83:D111)</f>
        <v>4231</v>
      </c>
      <c r="E82" s="15"/>
      <c r="F82" s="15"/>
      <c r="G82" s="16"/>
      <c r="H82" s="15"/>
      <c r="I82" s="15"/>
      <c r="J82" s="16"/>
      <c r="K82" s="15"/>
      <c r="L82" s="15"/>
      <c r="M82" s="16"/>
      <c r="N82" s="15" t="e">
        <v>#REF!</v>
      </c>
      <c r="O82" s="15" t="s">
        <v>31</v>
      </c>
      <c r="P82" s="16" t="e">
        <v>#REF!</v>
      </c>
      <c r="Q82" s="15">
        <f>SUM(Q83:Q111)</f>
        <v>11</v>
      </c>
      <c r="R82" s="15" t="s">
        <v>31</v>
      </c>
      <c r="S82" s="16">
        <f>SUM(S83:S111)</f>
        <v>2344</v>
      </c>
      <c r="T82" s="15" t="e">
        <f>SUM(T83:T111)</f>
        <v>#REF!</v>
      </c>
      <c r="U82" s="15" t="s">
        <v>31</v>
      </c>
      <c r="V82" s="16" t="e">
        <f>SUM(V83:V111)</f>
        <v>#REF!</v>
      </c>
      <c r="W82" s="17"/>
    </row>
    <row r="83" spans="1:25" ht="21" customHeight="1">
      <c r="A83" s="18" t="s">
        <v>29</v>
      </c>
      <c r="B83" s="15">
        <v>0</v>
      </c>
      <c r="C83" s="15" t="s">
        <v>31</v>
      </c>
      <c r="D83" s="16">
        <v>0</v>
      </c>
      <c r="E83" s="15"/>
      <c r="F83" s="15"/>
      <c r="G83" s="16"/>
      <c r="H83" s="19"/>
      <c r="I83" s="20"/>
      <c r="J83" s="21"/>
      <c r="K83" s="15"/>
      <c r="L83" s="15"/>
      <c r="M83" s="16"/>
      <c r="N83" s="15" t="e">
        <v>#REF!</v>
      </c>
      <c r="O83" s="15" t="s">
        <v>31</v>
      </c>
      <c r="P83" s="16" t="e">
        <v>#REF!</v>
      </c>
      <c r="Q83" s="19">
        <v>0</v>
      </c>
      <c r="R83" s="20" t="s">
        <v>31</v>
      </c>
      <c r="S83" s="21">
        <v>0</v>
      </c>
      <c r="T83" s="15">
        <v>0</v>
      </c>
      <c r="U83" s="15" t="s">
        <v>31</v>
      </c>
      <c r="V83" s="16">
        <v>0</v>
      </c>
      <c r="W83" s="22"/>
      <c r="X83" s="23"/>
      <c r="Y83" s="23"/>
    </row>
    <row r="84" spans="1:25" ht="21" customHeight="1">
      <c r="A84" s="18" t="s">
        <v>30</v>
      </c>
      <c r="B84" s="15">
        <v>3</v>
      </c>
      <c r="C84" s="15" t="s">
        <v>31</v>
      </c>
      <c r="D84" s="16">
        <v>944</v>
      </c>
      <c r="E84" s="15"/>
      <c r="F84" s="15"/>
      <c r="G84" s="16"/>
      <c r="H84" s="19"/>
      <c r="I84" s="15"/>
      <c r="J84" s="21"/>
      <c r="K84" s="15"/>
      <c r="L84" s="15"/>
      <c r="M84" s="16"/>
      <c r="N84" s="15" t="e">
        <v>#REF!</v>
      </c>
      <c r="O84" s="15" t="s">
        <v>31</v>
      </c>
      <c r="P84" s="16" t="e">
        <v>#REF!</v>
      </c>
      <c r="Q84" s="19">
        <v>2</v>
      </c>
      <c r="R84" s="20" t="s">
        <v>31</v>
      </c>
      <c r="S84" s="21">
        <v>882</v>
      </c>
      <c r="T84" s="15" t="e">
        <f>COUNTIF(#REF!,"공답")</f>
        <v>#REF!</v>
      </c>
      <c r="U84" s="15" t="s">
        <v>31</v>
      </c>
      <c r="V84" s="16" t="e">
        <f>SUMIF(#REF!,"공답",#REF!)</f>
        <v>#REF!</v>
      </c>
      <c r="W84" s="17"/>
    </row>
    <row r="85" spans="1:25" ht="21" customHeight="1">
      <c r="A85" s="24" t="s">
        <v>8</v>
      </c>
      <c r="B85" s="15">
        <v>0</v>
      </c>
      <c r="C85" s="15" t="s">
        <v>31</v>
      </c>
      <c r="D85" s="16">
        <v>0</v>
      </c>
      <c r="E85" s="15"/>
      <c r="F85" s="15"/>
      <c r="G85" s="16"/>
      <c r="H85" s="19"/>
      <c r="I85" s="15"/>
      <c r="J85" s="21"/>
      <c r="K85" s="15"/>
      <c r="L85" s="15"/>
      <c r="M85" s="16"/>
      <c r="N85" s="15" t="e">
        <v>#REF!</v>
      </c>
      <c r="O85" s="15" t="s">
        <v>31</v>
      </c>
      <c r="P85" s="16" t="e">
        <v>#REF!</v>
      </c>
      <c r="Q85" s="19">
        <v>0</v>
      </c>
      <c r="R85" s="20" t="s">
        <v>31</v>
      </c>
      <c r="S85" s="21">
        <v>0</v>
      </c>
      <c r="T85" s="15">
        <v>0</v>
      </c>
      <c r="U85" s="15" t="s">
        <v>31</v>
      </c>
      <c r="V85" s="16">
        <v>0</v>
      </c>
      <c r="W85" s="17"/>
    </row>
    <row r="86" spans="1:25" ht="21" customHeight="1">
      <c r="A86" s="24" t="s">
        <v>7</v>
      </c>
      <c r="B86" s="15">
        <v>0</v>
      </c>
      <c r="C86" s="15" t="s">
        <v>31</v>
      </c>
      <c r="D86" s="16">
        <v>0</v>
      </c>
      <c r="E86" s="15"/>
      <c r="F86" s="15"/>
      <c r="G86" s="16"/>
      <c r="H86" s="19"/>
      <c r="I86" s="15"/>
      <c r="J86" s="21"/>
      <c r="K86" s="15"/>
      <c r="L86" s="15"/>
      <c r="M86" s="16"/>
      <c r="N86" s="15" t="e">
        <v>#REF!</v>
      </c>
      <c r="O86" s="15" t="s">
        <v>31</v>
      </c>
      <c r="P86" s="16" t="e">
        <v>#REF!</v>
      </c>
      <c r="Q86" s="19">
        <v>0</v>
      </c>
      <c r="R86" s="20" t="s">
        <v>31</v>
      </c>
      <c r="S86" s="21">
        <v>0</v>
      </c>
      <c r="T86" s="15">
        <v>0</v>
      </c>
      <c r="U86" s="15" t="s">
        <v>31</v>
      </c>
      <c r="V86" s="16">
        <v>0</v>
      </c>
      <c r="W86" s="17"/>
    </row>
    <row r="87" spans="1:25" ht="21" customHeight="1">
      <c r="A87" s="24" t="s">
        <v>10</v>
      </c>
      <c r="B87" s="15">
        <v>0</v>
      </c>
      <c r="C87" s="15" t="s">
        <v>31</v>
      </c>
      <c r="D87" s="16">
        <v>0</v>
      </c>
      <c r="E87" s="15"/>
      <c r="F87" s="15"/>
      <c r="G87" s="16"/>
      <c r="H87" s="19"/>
      <c r="I87" s="15"/>
      <c r="J87" s="21"/>
      <c r="K87" s="15"/>
      <c r="L87" s="15"/>
      <c r="M87" s="16"/>
      <c r="N87" s="15" t="e">
        <v>#REF!</v>
      </c>
      <c r="O87" s="15" t="s">
        <v>31</v>
      </c>
      <c r="P87" s="16" t="e">
        <v>#REF!</v>
      </c>
      <c r="Q87" s="19">
        <v>0</v>
      </c>
      <c r="R87" s="20" t="s">
        <v>31</v>
      </c>
      <c r="S87" s="21">
        <v>0</v>
      </c>
      <c r="T87" s="15">
        <v>0</v>
      </c>
      <c r="U87" s="15" t="s">
        <v>31</v>
      </c>
      <c r="V87" s="16">
        <v>0</v>
      </c>
      <c r="W87" s="17"/>
      <c r="X87" s="23"/>
      <c r="Y87" s="23"/>
    </row>
    <row r="88" spans="1:25" ht="21" customHeight="1">
      <c r="A88" s="24" t="s">
        <v>9</v>
      </c>
      <c r="B88" s="15">
        <v>0</v>
      </c>
      <c r="C88" s="15" t="s">
        <v>31</v>
      </c>
      <c r="D88" s="16">
        <v>0</v>
      </c>
      <c r="E88" s="15"/>
      <c r="F88" s="15"/>
      <c r="G88" s="16"/>
      <c r="H88" s="19"/>
      <c r="I88" s="15"/>
      <c r="J88" s="21"/>
      <c r="K88" s="15"/>
      <c r="L88" s="15"/>
      <c r="M88" s="16"/>
      <c r="N88" s="15" t="e">
        <v>#REF!</v>
      </c>
      <c r="O88" s="15" t="s">
        <v>31</v>
      </c>
      <c r="P88" s="16" t="e">
        <v>#REF!</v>
      </c>
      <c r="Q88" s="19">
        <v>0</v>
      </c>
      <c r="R88" s="20" t="s">
        <v>31</v>
      </c>
      <c r="S88" s="21">
        <v>0</v>
      </c>
      <c r="T88" s="15">
        <v>0</v>
      </c>
      <c r="U88" s="15" t="s">
        <v>31</v>
      </c>
      <c r="V88" s="16">
        <v>0</v>
      </c>
      <c r="W88" s="17"/>
    </row>
    <row r="89" spans="1:25" ht="21" customHeight="1">
      <c r="A89" s="24" t="s">
        <v>11</v>
      </c>
      <c r="B89" s="15">
        <v>0</v>
      </c>
      <c r="C89" s="15" t="s">
        <v>31</v>
      </c>
      <c r="D89" s="16">
        <v>0</v>
      </c>
      <c r="E89" s="15"/>
      <c r="F89" s="15"/>
      <c r="G89" s="16"/>
      <c r="H89" s="19"/>
      <c r="I89" s="15"/>
      <c r="J89" s="21"/>
      <c r="K89" s="15"/>
      <c r="L89" s="15"/>
      <c r="M89" s="16"/>
      <c r="N89" s="15" t="e">
        <v>#REF!</v>
      </c>
      <c r="O89" s="15" t="s">
        <v>31</v>
      </c>
      <c r="P89" s="16" t="e">
        <v>#REF!</v>
      </c>
      <c r="Q89" s="19">
        <v>0</v>
      </c>
      <c r="R89" s="20" t="s">
        <v>31</v>
      </c>
      <c r="S89" s="21">
        <v>0</v>
      </c>
      <c r="T89" s="15">
        <v>0</v>
      </c>
      <c r="U89" s="15" t="s">
        <v>31</v>
      </c>
      <c r="V89" s="16">
        <v>0</v>
      </c>
      <c r="W89" s="17"/>
    </row>
    <row r="90" spans="1:25" ht="21" customHeight="1">
      <c r="A90" s="24" t="s">
        <v>12</v>
      </c>
      <c r="B90" s="15">
        <v>0</v>
      </c>
      <c r="C90" s="15" t="s">
        <v>31</v>
      </c>
      <c r="D90" s="16">
        <v>0</v>
      </c>
      <c r="E90" s="15"/>
      <c r="F90" s="15"/>
      <c r="G90" s="16"/>
      <c r="H90" s="19"/>
      <c r="I90" s="15"/>
      <c r="J90" s="21"/>
      <c r="K90" s="15"/>
      <c r="L90" s="15"/>
      <c r="M90" s="16"/>
      <c r="N90" s="15" t="e">
        <v>#REF!</v>
      </c>
      <c r="O90" s="15" t="s">
        <v>31</v>
      </c>
      <c r="P90" s="16" t="e">
        <v>#REF!</v>
      </c>
      <c r="Q90" s="19">
        <v>0</v>
      </c>
      <c r="R90" s="20" t="s">
        <v>31</v>
      </c>
      <c r="S90" s="21">
        <v>0</v>
      </c>
      <c r="T90" s="15">
        <v>0</v>
      </c>
      <c r="U90" s="15" t="s">
        <v>31</v>
      </c>
      <c r="V90" s="16">
        <v>0</v>
      </c>
      <c r="W90" s="17"/>
    </row>
    <row r="91" spans="1:25" ht="21" customHeight="1">
      <c r="A91" s="24" t="s">
        <v>13</v>
      </c>
      <c r="B91" s="15">
        <v>0</v>
      </c>
      <c r="C91" s="15" t="s">
        <v>31</v>
      </c>
      <c r="D91" s="16">
        <v>0</v>
      </c>
      <c r="E91" s="15"/>
      <c r="F91" s="15"/>
      <c r="G91" s="16"/>
      <c r="H91" s="19"/>
      <c r="I91" s="15"/>
      <c r="J91" s="21"/>
      <c r="K91" s="15"/>
      <c r="L91" s="15"/>
      <c r="M91" s="16"/>
      <c r="N91" s="15" t="e">
        <v>#REF!</v>
      </c>
      <c r="O91" s="15" t="s">
        <v>31</v>
      </c>
      <c r="P91" s="16" t="e">
        <v>#REF!</v>
      </c>
      <c r="Q91" s="19">
        <v>0</v>
      </c>
      <c r="R91" s="20" t="s">
        <v>31</v>
      </c>
      <c r="S91" s="21">
        <v>0</v>
      </c>
      <c r="T91" s="15">
        <v>0</v>
      </c>
      <c r="U91" s="15" t="s">
        <v>31</v>
      </c>
      <c r="V91" s="16">
        <v>0</v>
      </c>
      <c r="W91" s="17"/>
    </row>
    <row r="92" spans="1:25" ht="21" customHeight="1">
      <c r="A92" s="24" t="s">
        <v>14</v>
      </c>
      <c r="B92" s="15">
        <v>0</v>
      </c>
      <c r="C92" s="15" t="s">
        <v>31</v>
      </c>
      <c r="D92" s="16">
        <v>0</v>
      </c>
      <c r="E92" s="15"/>
      <c r="F92" s="15"/>
      <c r="G92" s="16"/>
      <c r="H92" s="19"/>
      <c r="I92" s="15"/>
      <c r="J92" s="21"/>
      <c r="K92" s="15"/>
      <c r="L92" s="15"/>
      <c r="M92" s="16"/>
      <c r="N92" s="15" t="e">
        <v>#REF!</v>
      </c>
      <c r="O92" s="15" t="s">
        <v>31</v>
      </c>
      <c r="P92" s="16" t="e">
        <v>#REF!</v>
      </c>
      <c r="Q92" s="19">
        <v>0</v>
      </c>
      <c r="R92" s="20" t="s">
        <v>31</v>
      </c>
      <c r="S92" s="21">
        <v>0</v>
      </c>
      <c r="T92" s="15">
        <v>0</v>
      </c>
      <c r="U92" s="15" t="s">
        <v>31</v>
      </c>
      <c r="V92" s="16">
        <v>0</v>
      </c>
      <c r="W92" s="17"/>
    </row>
    <row r="93" spans="1:25" ht="21" customHeight="1">
      <c r="A93" s="24" t="s">
        <v>42</v>
      </c>
      <c r="B93" s="15">
        <v>0</v>
      </c>
      <c r="C93" s="15" t="s">
        <v>31</v>
      </c>
      <c r="D93" s="16">
        <v>0</v>
      </c>
      <c r="E93" s="15"/>
      <c r="F93" s="15"/>
      <c r="G93" s="16"/>
      <c r="H93" s="19"/>
      <c r="I93" s="15"/>
      <c r="J93" s="21"/>
      <c r="K93" s="15"/>
      <c r="L93" s="15"/>
      <c r="M93" s="16"/>
      <c r="N93" s="15" t="e">
        <v>#REF!</v>
      </c>
      <c r="O93" s="15" t="s">
        <v>31</v>
      </c>
      <c r="P93" s="16" t="e">
        <v>#REF!</v>
      </c>
      <c r="Q93" s="19">
        <v>0</v>
      </c>
      <c r="R93" s="20" t="s">
        <v>31</v>
      </c>
      <c r="S93" s="21">
        <v>0</v>
      </c>
      <c r="T93" s="15">
        <v>0</v>
      </c>
      <c r="U93" s="15" t="s">
        <v>31</v>
      </c>
      <c r="V93" s="16">
        <v>0</v>
      </c>
      <c r="W93" s="17"/>
    </row>
    <row r="94" spans="1:25" ht="21" customHeight="1">
      <c r="A94" s="24" t="s">
        <v>15</v>
      </c>
      <c r="B94" s="15">
        <v>0</v>
      </c>
      <c r="C94" s="15" t="s">
        <v>31</v>
      </c>
      <c r="D94" s="16">
        <v>0</v>
      </c>
      <c r="E94" s="15"/>
      <c r="F94" s="15"/>
      <c r="G94" s="16"/>
      <c r="H94" s="19"/>
      <c r="I94" s="15"/>
      <c r="J94" s="21"/>
      <c r="K94" s="15"/>
      <c r="L94" s="15"/>
      <c r="M94" s="16"/>
      <c r="N94" s="15" t="e">
        <v>#REF!</v>
      </c>
      <c r="O94" s="15" t="s">
        <v>31</v>
      </c>
      <c r="P94" s="16" t="e">
        <v>#REF!</v>
      </c>
      <c r="Q94" s="19">
        <v>0</v>
      </c>
      <c r="R94" s="20" t="s">
        <v>31</v>
      </c>
      <c r="S94" s="21">
        <v>0</v>
      </c>
      <c r="T94" s="15">
        <v>0</v>
      </c>
      <c r="U94" s="15" t="s">
        <v>31</v>
      </c>
      <c r="V94" s="16">
        <v>0</v>
      </c>
      <c r="W94" s="17"/>
    </row>
    <row r="95" spans="1:25" ht="21" customHeight="1">
      <c r="A95" s="24" t="s">
        <v>25</v>
      </c>
      <c r="B95" s="15">
        <v>0</v>
      </c>
      <c r="C95" s="15" t="s">
        <v>31</v>
      </c>
      <c r="D95" s="16">
        <v>0</v>
      </c>
      <c r="E95" s="15"/>
      <c r="F95" s="15"/>
      <c r="G95" s="16"/>
      <c r="H95" s="19"/>
      <c r="I95" s="15"/>
      <c r="J95" s="21"/>
      <c r="K95" s="15"/>
      <c r="L95" s="15"/>
      <c r="M95" s="16"/>
      <c r="N95" s="15" t="e">
        <v>#REF!</v>
      </c>
      <c r="O95" s="15" t="s">
        <v>31</v>
      </c>
      <c r="P95" s="16" t="e">
        <v>#REF!</v>
      </c>
      <c r="Q95" s="19">
        <v>0</v>
      </c>
      <c r="R95" s="20" t="s">
        <v>31</v>
      </c>
      <c r="S95" s="21">
        <v>0</v>
      </c>
      <c r="T95" s="15">
        <v>0</v>
      </c>
      <c r="U95" s="15" t="s">
        <v>31</v>
      </c>
      <c r="V95" s="16">
        <v>0</v>
      </c>
      <c r="W95" s="17"/>
    </row>
    <row r="96" spans="1:25" ht="21" customHeight="1">
      <c r="A96" s="24" t="s">
        <v>4</v>
      </c>
      <c r="B96" s="15">
        <v>15</v>
      </c>
      <c r="C96" s="15" t="s">
        <v>31</v>
      </c>
      <c r="D96" s="16">
        <v>3287</v>
      </c>
      <c r="E96" s="15"/>
      <c r="F96" s="15"/>
      <c r="G96" s="16"/>
      <c r="H96" s="19"/>
      <c r="I96" s="15"/>
      <c r="J96" s="21"/>
      <c r="K96" s="15"/>
      <c r="L96" s="15"/>
      <c r="M96" s="16"/>
      <c r="N96" s="15" t="e">
        <v>#REF!</v>
      </c>
      <c r="O96" s="15" t="s">
        <v>31</v>
      </c>
      <c r="P96" s="16" t="e">
        <v>#REF!</v>
      </c>
      <c r="Q96" s="19">
        <v>9</v>
      </c>
      <c r="R96" s="20" t="s">
        <v>31</v>
      </c>
      <c r="S96" s="21">
        <v>1462</v>
      </c>
      <c r="T96" s="15" t="e">
        <f>COUNTIF(#REF!,"공도")</f>
        <v>#REF!</v>
      </c>
      <c r="U96" s="15" t="s">
        <v>31</v>
      </c>
      <c r="V96" s="16" t="e">
        <f>SUMIF(#REF!,"공도",#REF!)</f>
        <v>#REF!</v>
      </c>
      <c r="W96" s="17"/>
    </row>
    <row r="97" spans="1:23" ht="21" customHeight="1">
      <c r="A97" s="24" t="s">
        <v>1</v>
      </c>
      <c r="B97" s="15">
        <v>0</v>
      </c>
      <c r="C97" s="15" t="s">
        <v>31</v>
      </c>
      <c r="D97" s="16">
        <v>0</v>
      </c>
      <c r="E97" s="15"/>
      <c r="F97" s="15"/>
      <c r="G97" s="16"/>
      <c r="H97" s="19"/>
      <c r="I97" s="20"/>
      <c r="J97" s="21"/>
      <c r="K97" s="15"/>
      <c r="L97" s="20"/>
      <c r="M97" s="16"/>
      <c r="N97" s="15" t="e">
        <v>#REF!</v>
      </c>
      <c r="O97" s="15" t="s">
        <v>31</v>
      </c>
      <c r="P97" s="16" t="e">
        <v>#REF!</v>
      </c>
      <c r="Q97" s="19">
        <v>0</v>
      </c>
      <c r="R97" s="20" t="s">
        <v>31</v>
      </c>
      <c r="S97" s="21">
        <v>0</v>
      </c>
      <c r="T97" s="15">
        <v>0</v>
      </c>
      <c r="U97" s="15" t="s">
        <v>31</v>
      </c>
      <c r="V97" s="16">
        <v>0</v>
      </c>
      <c r="W97" s="17"/>
    </row>
    <row r="98" spans="1:23" ht="21" customHeight="1">
      <c r="A98" s="24" t="s">
        <v>16</v>
      </c>
      <c r="B98" s="15">
        <v>0</v>
      </c>
      <c r="C98" s="15" t="s">
        <v>31</v>
      </c>
      <c r="D98" s="16">
        <v>0</v>
      </c>
      <c r="E98" s="15"/>
      <c r="F98" s="15"/>
      <c r="G98" s="16"/>
      <c r="H98" s="19"/>
      <c r="I98" s="15"/>
      <c r="J98" s="21"/>
      <c r="K98" s="15"/>
      <c r="L98" s="15"/>
      <c r="M98" s="16"/>
      <c r="N98" s="15" t="e">
        <v>#REF!</v>
      </c>
      <c r="O98" s="15" t="s">
        <v>31</v>
      </c>
      <c r="P98" s="16" t="e">
        <v>#REF!</v>
      </c>
      <c r="Q98" s="19">
        <v>0</v>
      </c>
      <c r="R98" s="20" t="s">
        <v>31</v>
      </c>
      <c r="S98" s="21">
        <v>0</v>
      </c>
      <c r="T98" s="15">
        <v>0</v>
      </c>
      <c r="U98" s="15" t="s">
        <v>31</v>
      </c>
      <c r="V98" s="16">
        <v>0</v>
      </c>
      <c r="W98" s="17"/>
    </row>
    <row r="99" spans="1:23" ht="21" customHeight="1">
      <c r="A99" s="24" t="s">
        <v>5</v>
      </c>
      <c r="B99" s="15">
        <v>0</v>
      </c>
      <c r="C99" s="15" t="s">
        <v>31</v>
      </c>
      <c r="D99" s="16">
        <v>0</v>
      </c>
      <c r="E99" s="15"/>
      <c r="F99" s="15"/>
      <c r="G99" s="16"/>
      <c r="H99" s="19"/>
      <c r="I99" s="15"/>
      <c r="J99" s="21"/>
      <c r="K99" s="15"/>
      <c r="L99" s="15"/>
      <c r="M99" s="16"/>
      <c r="N99" s="15" t="e">
        <v>#REF!</v>
      </c>
      <c r="O99" s="15" t="s">
        <v>31</v>
      </c>
      <c r="P99" s="16" t="e">
        <v>#REF!</v>
      </c>
      <c r="Q99" s="19">
        <v>0</v>
      </c>
      <c r="R99" s="20" t="s">
        <v>31</v>
      </c>
      <c r="S99" s="21">
        <v>0</v>
      </c>
      <c r="T99" s="15">
        <v>0</v>
      </c>
      <c r="U99" s="15" t="s">
        <v>31</v>
      </c>
      <c r="V99" s="16">
        <v>0</v>
      </c>
      <c r="W99" s="17"/>
    </row>
    <row r="100" spans="1:23" ht="21" customHeight="1">
      <c r="A100" s="24" t="s">
        <v>6</v>
      </c>
      <c r="B100" s="15">
        <v>0</v>
      </c>
      <c r="C100" s="15" t="s">
        <v>31</v>
      </c>
      <c r="D100" s="16">
        <v>0</v>
      </c>
      <c r="E100" s="15"/>
      <c r="F100" s="15"/>
      <c r="G100" s="16"/>
      <c r="H100" s="19"/>
      <c r="I100" s="15"/>
      <c r="J100" s="21"/>
      <c r="K100" s="15"/>
      <c r="L100" s="15"/>
      <c r="M100" s="16"/>
      <c r="N100" s="15" t="e">
        <v>#REF!</v>
      </c>
      <c r="O100" s="15" t="s">
        <v>31</v>
      </c>
      <c r="P100" s="16" t="e">
        <v>#REF!</v>
      </c>
      <c r="Q100" s="19">
        <v>0</v>
      </c>
      <c r="R100" s="20" t="s">
        <v>31</v>
      </c>
      <c r="S100" s="21">
        <v>0</v>
      </c>
      <c r="T100" s="15">
        <v>0</v>
      </c>
      <c r="U100" s="15" t="s">
        <v>31</v>
      </c>
      <c r="V100" s="16">
        <v>0</v>
      </c>
      <c r="W100" s="17"/>
    </row>
    <row r="101" spans="1:23" s="2" customFormat="1" ht="21" customHeight="1">
      <c r="A101" s="24" t="s">
        <v>17</v>
      </c>
      <c r="B101" s="15">
        <v>0</v>
      </c>
      <c r="C101" s="15" t="s">
        <v>31</v>
      </c>
      <c r="D101" s="16">
        <v>0</v>
      </c>
      <c r="E101" s="15"/>
      <c r="F101" s="15"/>
      <c r="G101" s="16"/>
      <c r="H101" s="19"/>
      <c r="I101" s="15"/>
      <c r="J101" s="21"/>
      <c r="K101" s="15"/>
      <c r="L101" s="15"/>
      <c r="M101" s="16"/>
      <c r="N101" s="15" t="e">
        <v>#REF!</v>
      </c>
      <c r="O101" s="15" t="s">
        <v>31</v>
      </c>
      <c r="P101" s="16" t="e">
        <v>#REF!</v>
      </c>
      <c r="Q101" s="19">
        <v>0</v>
      </c>
      <c r="R101" s="20" t="s">
        <v>31</v>
      </c>
      <c r="S101" s="21">
        <v>0</v>
      </c>
      <c r="T101" s="15">
        <v>0</v>
      </c>
      <c r="U101" s="15" t="s">
        <v>31</v>
      </c>
      <c r="V101" s="16">
        <v>0</v>
      </c>
      <c r="W101" s="22"/>
    </row>
    <row r="102" spans="1:23" ht="21" customHeight="1">
      <c r="A102" s="24" t="s">
        <v>18</v>
      </c>
      <c r="B102" s="15">
        <v>0</v>
      </c>
      <c r="C102" s="15" t="s">
        <v>31</v>
      </c>
      <c r="D102" s="16">
        <v>0</v>
      </c>
      <c r="E102" s="15"/>
      <c r="F102" s="15"/>
      <c r="G102" s="16"/>
      <c r="H102" s="19"/>
      <c r="I102" s="15"/>
      <c r="J102" s="21"/>
      <c r="K102" s="15"/>
      <c r="L102" s="15"/>
      <c r="M102" s="16"/>
      <c r="N102" s="15" t="e">
        <v>#REF!</v>
      </c>
      <c r="O102" s="15" t="s">
        <v>31</v>
      </c>
      <c r="P102" s="16" t="e">
        <v>#REF!</v>
      </c>
      <c r="Q102" s="19">
        <v>0</v>
      </c>
      <c r="R102" s="20" t="s">
        <v>31</v>
      </c>
      <c r="S102" s="21">
        <v>0</v>
      </c>
      <c r="T102" s="15">
        <v>0</v>
      </c>
      <c r="U102" s="15" t="s">
        <v>31</v>
      </c>
      <c r="V102" s="16">
        <v>0</v>
      </c>
      <c r="W102" s="17"/>
    </row>
    <row r="103" spans="1:23" ht="21" customHeight="1">
      <c r="A103" s="24" t="s">
        <v>3</v>
      </c>
      <c r="B103" s="15">
        <v>0</v>
      </c>
      <c r="C103" s="15" t="s">
        <v>31</v>
      </c>
      <c r="D103" s="16">
        <v>0</v>
      </c>
      <c r="E103" s="15"/>
      <c r="F103" s="15"/>
      <c r="G103" s="16"/>
      <c r="H103" s="19"/>
      <c r="I103" s="15"/>
      <c r="J103" s="21"/>
      <c r="K103" s="15"/>
      <c r="L103" s="15"/>
      <c r="M103" s="16"/>
      <c r="N103" s="15" t="e">
        <v>#REF!</v>
      </c>
      <c r="O103" s="15" t="s">
        <v>31</v>
      </c>
      <c r="P103" s="16" t="e">
        <v>#REF!</v>
      </c>
      <c r="Q103" s="19">
        <v>0</v>
      </c>
      <c r="R103" s="20" t="s">
        <v>31</v>
      </c>
      <c r="S103" s="21">
        <v>0</v>
      </c>
      <c r="T103" s="15">
        <v>0</v>
      </c>
      <c r="U103" s="15" t="s">
        <v>31</v>
      </c>
      <c r="V103" s="16">
        <v>0</v>
      </c>
      <c r="W103" s="17"/>
    </row>
    <row r="104" spans="1:23" ht="21" customHeight="1">
      <c r="A104" s="24" t="s">
        <v>19</v>
      </c>
      <c r="B104" s="15">
        <v>0</v>
      </c>
      <c r="C104" s="15" t="s">
        <v>31</v>
      </c>
      <c r="D104" s="16">
        <v>0</v>
      </c>
      <c r="E104" s="15"/>
      <c r="F104" s="15"/>
      <c r="G104" s="16"/>
      <c r="H104" s="19"/>
      <c r="I104" s="15"/>
      <c r="J104" s="21"/>
      <c r="K104" s="15"/>
      <c r="L104" s="15"/>
      <c r="M104" s="16"/>
      <c r="N104" s="15" t="e">
        <v>#REF!</v>
      </c>
      <c r="O104" s="15" t="s">
        <v>31</v>
      </c>
      <c r="P104" s="16" t="e">
        <v>#REF!</v>
      </c>
      <c r="Q104" s="19">
        <v>0</v>
      </c>
      <c r="R104" s="20" t="s">
        <v>31</v>
      </c>
      <c r="S104" s="21">
        <v>0</v>
      </c>
      <c r="T104" s="15">
        <v>0</v>
      </c>
      <c r="U104" s="15" t="s">
        <v>31</v>
      </c>
      <c r="V104" s="16">
        <v>0</v>
      </c>
      <c r="W104" s="17"/>
    </row>
    <row r="105" spans="1:23" ht="21" customHeight="1">
      <c r="A105" s="24" t="s">
        <v>20</v>
      </c>
      <c r="B105" s="15">
        <v>0</v>
      </c>
      <c r="C105" s="15" t="s">
        <v>31</v>
      </c>
      <c r="D105" s="16">
        <v>0</v>
      </c>
      <c r="E105" s="15"/>
      <c r="F105" s="15"/>
      <c r="G105" s="16"/>
      <c r="H105" s="19"/>
      <c r="I105" s="15"/>
      <c r="J105" s="21"/>
      <c r="K105" s="15"/>
      <c r="L105" s="15"/>
      <c r="M105" s="16"/>
      <c r="N105" s="15" t="e">
        <v>#REF!</v>
      </c>
      <c r="O105" s="15" t="s">
        <v>31</v>
      </c>
      <c r="P105" s="16" t="e">
        <v>#REF!</v>
      </c>
      <c r="Q105" s="19">
        <v>0</v>
      </c>
      <c r="R105" s="20" t="s">
        <v>31</v>
      </c>
      <c r="S105" s="21">
        <v>0</v>
      </c>
      <c r="T105" s="15">
        <v>0</v>
      </c>
      <c r="U105" s="15" t="s">
        <v>31</v>
      </c>
      <c r="V105" s="16">
        <v>0</v>
      </c>
      <c r="W105" s="17"/>
    </row>
    <row r="106" spans="1:23" ht="21" customHeight="1">
      <c r="A106" s="24" t="s">
        <v>21</v>
      </c>
      <c r="B106" s="15">
        <v>0</v>
      </c>
      <c r="C106" s="15" t="s">
        <v>31</v>
      </c>
      <c r="D106" s="16">
        <v>0</v>
      </c>
      <c r="E106" s="15"/>
      <c r="F106" s="15"/>
      <c r="G106" s="16"/>
      <c r="H106" s="19"/>
      <c r="I106" s="20"/>
      <c r="J106" s="21"/>
      <c r="K106" s="15"/>
      <c r="L106" s="20"/>
      <c r="M106" s="16"/>
      <c r="N106" s="15" t="e">
        <v>#REF!</v>
      </c>
      <c r="O106" s="15" t="s">
        <v>31</v>
      </c>
      <c r="P106" s="16" t="e">
        <v>#REF!</v>
      </c>
      <c r="Q106" s="19">
        <v>0</v>
      </c>
      <c r="R106" s="20" t="s">
        <v>31</v>
      </c>
      <c r="S106" s="21">
        <v>0</v>
      </c>
      <c r="T106" s="15">
        <v>0</v>
      </c>
      <c r="U106" s="15" t="s">
        <v>31</v>
      </c>
      <c r="V106" s="16">
        <v>0</v>
      </c>
      <c r="W106" s="17"/>
    </row>
    <row r="107" spans="1:23" ht="21" customHeight="1">
      <c r="A107" s="24" t="s">
        <v>0</v>
      </c>
      <c r="B107" s="15">
        <v>0</v>
      </c>
      <c r="C107" s="15" t="s">
        <v>31</v>
      </c>
      <c r="D107" s="16">
        <v>0</v>
      </c>
      <c r="E107" s="15"/>
      <c r="F107" s="15"/>
      <c r="G107" s="16"/>
      <c r="H107" s="19"/>
      <c r="I107" s="15"/>
      <c r="J107" s="21"/>
      <c r="K107" s="15"/>
      <c r="L107" s="15"/>
      <c r="M107" s="16"/>
      <c r="N107" s="15" t="e">
        <v>#REF!</v>
      </c>
      <c r="O107" s="15" t="s">
        <v>31</v>
      </c>
      <c r="P107" s="16" t="e">
        <v>#REF!</v>
      </c>
      <c r="Q107" s="19">
        <v>0</v>
      </c>
      <c r="R107" s="20" t="s">
        <v>31</v>
      </c>
      <c r="S107" s="21">
        <v>0</v>
      </c>
      <c r="T107" s="15">
        <v>0</v>
      </c>
      <c r="U107" s="15" t="s">
        <v>31</v>
      </c>
      <c r="V107" s="16">
        <v>0</v>
      </c>
      <c r="W107" s="17"/>
    </row>
    <row r="108" spans="1:23" ht="21" customHeight="1">
      <c r="A108" s="24" t="s">
        <v>22</v>
      </c>
      <c r="B108" s="15">
        <v>0</v>
      </c>
      <c r="C108" s="15" t="s">
        <v>31</v>
      </c>
      <c r="D108" s="16">
        <v>0</v>
      </c>
      <c r="E108" s="15"/>
      <c r="F108" s="15"/>
      <c r="G108" s="16"/>
      <c r="H108" s="19"/>
      <c r="I108" s="15"/>
      <c r="J108" s="21"/>
      <c r="K108" s="15"/>
      <c r="L108" s="15"/>
      <c r="M108" s="16"/>
      <c r="N108" s="15" t="e">
        <v>#REF!</v>
      </c>
      <c r="O108" s="15" t="s">
        <v>31</v>
      </c>
      <c r="P108" s="16" t="e">
        <v>#REF!</v>
      </c>
      <c r="Q108" s="19">
        <v>0</v>
      </c>
      <c r="R108" s="20" t="s">
        <v>31</v>
      </c>
      <c r="S108" s="21">
        <v>0</v>
      </c>
      <c r="T108" s="15">
        <v>0</v>
      </c>
      <c r="U108" s="15" t="s">
        <v>31</v>
      </c>
      <c r="V108" s="16">
        <v>0</v>
      </c>
      <c r="W108" s="17"/>
    </row>
    <row r="109" spans="1:23" ht="21" customHeight="1">
      <c r="A109" s="24" t="s">
        <v>23</v>
      </c>
      <c r="B109" s="15">
        <v>0</v>
      </c>
      <c r="C109" s="15" t="s">
        <v>31</v>
      </c>
      <c r="D109" s="16">
        <v>0</v>
      </c>
      <c r="E109" s="15"/>
      <c r="F109" s="15"/>
      <c r="G109" s="16"/>
      <c r="H109" s="19"/>
      <c r="I109" s="15"/>
      <c r="J109" s="21"/>
      <c r="K109" s="15"/>
      <c r="L109" s="15"/>
      <c r="M109" s="16"/>
      <c r="N109" s="15" t="e">
        <v>#REF!</v>
      </c>
      <c r="O109" s="15" t="s">
        <v>31</v>
      </c>
      <c r="P109" s="16" t="e">
        <v>#REF!</v>
      </c>
      <c r="Q109" s="19">
        <v>0</v>
      </c>
      <c r="R109" s="20" t="s">
        <v>31</v>
      </c>
      <c r="S109" s="21">
        <v>0</v>
      </c>
      <c r="T109" s="15">
        <v>0</v>
      </c>
      <c r="U109" s="15" t="s">
        <v>31</v>
      </c>
      <c r="V109" s="16">
        <v>0</v>
      </c>
      <c r="W109" s="17"/>
    </row>
    <row r="110" spans="1:23" s="2" customFormat="1" ht="21" customHeight="1">
      <c r="A110" s="24" t="s">
        <v>24</v>
      </c>
      <c r="B110" s="15">
        <v>0</v>
      </c>
      <c r="C110" s="15" t="s">
        <v>31</v>
      </c>
      <c r="D110" s="16">
        <v>0</v>
      </c>
      <c r="E110" s="15"/>
      <c r="F110" s="15"/>
      <c r="G110" s="16"/>
      <c r="H110" s="19"/>
      <c r="I110" s="15"/>
      <c r="J110" s="21"/>
      <c r="K110" s="15"/>
      <c r="L110" s="15"/>
      <c r="M110" s="16"/>
      <c r="N110" s="15" t="e">
        <v>#REF!</v>
      </c>
      <c r="O110" s="15" t="s">
        <v>31</v>
      </c>
      <c r="P110" s="16" t="e">
        <v>#REF!</v>
      </c>
      <c r="Q110" s="19">
        <v>0</v>
      </c>
      <c r="R110" s="20" t="s">
        <v>31</v>
      </c>
      <c r="S110" s="21">
        <v>0</v>
      </c>
      <c r="T110" s="15">
        <v>0</v>
      </c>
      <c r="U110" s="15" t="s">
        <v>31</v>
      </c>
      <c r="V110" s="16">
        <v>0</v>
      </c>
      <c r="W110" s="22"/>
    </row>
    <row r="111" spans="1:23" s="2" customFormat="1" ht="21" customHeight="1">
      <c r="A111" s="25" t="s">
        <v>2</v>
      </c>
      <c r="B111" s="15">
        <v>0</v>
      </c>
      <c r="C111" s="15" t="s">
        <v>31</v>
      </c>
      <c r="D111" s="16">
        <v>0</v>
      </c>
      <c r="E111" s="15"/>
      <c r="F111" s="15"/>
      <c r="G111" s="16"/>
      <c r="H111" s="19"/>
      <c r="I111" s="26"/>
      <c r="J111" s="21"/>
      <c r="K111" s="15"/>
      <c r="L111" s="26"/>
      <c r="M111" s="16"/>
      <c r="N111" s="15" t="e">
        <v>#REF!</v>
      </c>
      <c r="O111" s="15" t="s">
        <v>31</v>
      </c>
      <c r="P111" s="16" t="e">
        <v>#REF!</v>
      </c>
      <c r="Q111" s="19">
        <v>0</v>
      </c>
      <c r="R111" s="20" t="s">
        <v>31</v>
      </c>
      <c r="S111" s="21">
        <v>0</v>
      </c>
      <c r="T111" s="15">
        <v>0</v>
      </c>
      <c r="U111" s="15" t="s">
        <v>31</v>
      </c>
      <c r="V111" s="16">
        <v>0</v>
      </c>
      <c r="W111" s="27"/>
    </row>
    <row r="112" spans="1:23" s="2" customFormat="1" ht="5.0999999999999996" customHeight="1">
      <c r="A112" s="28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</row>
    <row r="113" spans="1:25" ht="39.950000000000003" customHeight="1">
      <c r="A113" s="30" t="s">
        <v>41</v>
      </c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</row>
    <row r="114" spans="1:25" ht="21" customHeight="1">
      <c r="A114" s="106" t="s">
        <v>44</v>
      </c>
      <c r="B114" s="103" t="s">
        <v>45</v>
      </c>
      <c r="C114" s="109"/>
      <c r="D114" s="110"/>
      <c r="E114" s="46"/>
      <c r="F114" s="47"/>
      <c r="G114" s="47"/>
      <c r="H114" s="47"/>
      <c r="I114" s="47"/>
      <c r="J114" s="47"/>
      <c r="K114" s="47"/>
      <c r="L114" s="47"/>
      <c r="M114" s="47"/>
      <c r="N114" s="117" t="s">
        <v>54</v>
      </c>
      <c r="O114" s="117"/>
      <c r="P114" s="117"/>
      <c r="Q114" s="117"/>
      <c r="R114" s="117"/>
      <c r="S114" s="117"/>
      <c r="T114" s="117"/>
      <c r="U114" s="117"/>
      <c r="V114" s="117"/>
      <c r="W114" s="118" t="s">
        <v>48</v>
      </c>
    </row>
    <row r="115" spans="1:25" ht="21" customHeight="1">
      <c r="A115" s="107"/>
      <c r="B115" s="111"/>
      <c r="C115" s="112"/>
      <c r="D115" s="113"/>
      <c r="E115" s="34"/>
      <c r="F115" s="35"/>
      <c r="G115" s="35"/>
      <c r="H115" s="35"/>
      <c r="I115" s="35"/>
      <c r="J115" s="35"/>
      <c r="K115" s="35"/>
      <c r="L115" s="35"/>
      <c r="M115" s="35"/>
      <c r="N115" s="121" t="s">
        <v>55</v>
      </c>
      <c r="O115" s="121"/>
      <c r="P115" s="121"/>
      <c r="Q115" s="121"/>
      <c r="R115" s="121"/>
      <c r="S115" s="121"/>
      <c r="T115" s="121"/>
      <c r="U115" s="121"/>
      <c r="V115" s="121"/>
      <c r="W115" s="119"/>
    </row>
    <row r="116" spans="1:25" ht="21" customHeight="1">
      <c r="A116" s="107"/>
      <c r="B116" s="111"/>
      <c r="C116" s="112"/>
      <c r="D116" s="113"/>
      <c r="E116" s="122"/>
      <c r="F116" s="123"/>
      <c r="G116" s="124"/>
      <c r="H116" s="7"/>
      <c r="I116" s="8"/>
      <c r="J116" s="8"/>
      <c r="K116" s="8"/>
      <c r="L116" s="8"/>
      <c r="M116" s="8"/>
      <c r="N116" s="128" t="s">
        <v>47</v>
      </c>
      <c r="O116" s="129"/>
      <c r="P116" s="130"/>
      <c r="Q116" s="134" t="s">
        <v>56</v>
      </c>
      <c r="R116" s="135"/>
      <c r="S116" s="135"/>
      <c r="T116" s="135"/>
      <c r="U116" s="135"/>
      <c r="V116" s="135"/>
      <c r="W116" s="119"/>
    </row>
    <row r="117" spans="1:25" s="10" customFormat="1" ht="21" customHeight="1">
      <c r="A117" s="107"/>
      <c r="B117" s="114"/>
      <c r="C117" s="115"/>
      <c r="D117" s="116"/>
      <c r="E117" s="125"/>
      <c r="F117" s="126"/>
      <c r="G117" s="127"/>
      <c r="H117" s="7"/>
      <c r="I117" s="8"/>
      <c r="J117" s="9"/>
      <c r="K117" s="7"/>
      <c r="L117" s="8"/>
      <c r="M117" s="8"/>
      <c r="N117" s="131"/>
      <c r="O117" s="132"/>
      <c r="P117" s="133"/>
      <c r="Q117" s="8" t="s">
        <v>57</v>
      </c>
      <c r="R117" s="8"/>
      <c r="S117" s="9"/>
      <c r="T117" s="7" t="s">
        <v>58</v>
      </c>
      <c r="U117" s="8"/>
      <c r="V117" s="9"/>
      <c r="W117" s="119"/>
    </row>
    <row r="118" spans="1:25" ht="21" customHeight="1">
      <c r="A118" s="108"/>
      <c r="B118" s="11" t="s">
        <v>33</v>
      </c>
      <c r="C118" s="11" t="s">
        <v>31</v>
      </c>
      <c r="D118" s="12" t="s">
        <v>50</v>
      </c>
      <c r="E118" s="11"/>
      <c r="F118" s="11"/>
      <c r="G118" s="12"/>
      <c r="H118" s="13"/>
      <c r="I118" s="11"/>
      <c r="J118" s="12"/>
      <c r="K118" s="11"/>
      <c r="L118" s="11"/>
      <c r="M118" s="12"/>
      <c r="N118" s="11" t="s">
        <v>33</v>
      </c>
      <c r="O118" s="11" t="s">
        <v>31</v>
      </c>
      <c r="P118" s="12" t="s">
        <v>50</v>
      </c>
      <c r="Q118" s="13" t="s">
        <v>33</v>
      </c>
      <c r="R118" s="11" t="s">
        <v>31</v>
      </c>
      <c r="S118" s="12" t="s">
        <v>34</v>
      </c>
      <c r="T118" s="11" t="s">
        <v>33</v>
      </c>
      <c r="U118" s="11" t="s">
        <v>31</v>
      </c>
      <c r="V118" s="12" t="s">
        <v>50</v>
      </c>
      <c r="W118" s="120"/>
    </row>
    <row r="119" spans="1:25" ht="21" customHeight="1">
      <c r="A119" s="14" t="s">
        <v>32</v>
      </c>
      <c r="B119" s="15">
        <f>SUM(B120:B148)</f>
        <v>38</v>
      </c>
      <c r="C119" s="15" t="s">
        <v>31</v>
      </c>
      <c r="D119" s="16">
        <f>SUM(D120:D148)</f>
        <v>4103</v>
      </c>
      <c r="E119" s="15"/>
      <c r="F119" s="15"/>
      <c r="G119" s="16"/>
      <c r="H119" s="15"/>
      <c r="I119" s="15"/>
      <c r="J119" s="16"/>
      <c r="K119" s="15"/>
      <c r="L119" s="15"/>
      <c r="M119" s="16"/>
      <c r="N119" s="15" t="e">
        <v>#REF!</v>
      </c>
      <c r="O119" s="15" t="s">
        <v>31</v>
      </c>
      <c r="P119" s="16" t="e">
        <v>#REF!</v>
      </c>
      <c r="Q119" s="15">
        <f>SUM(Q120:Q148)</f>
        <v>0</v>
      </c>
      <c r="R119" s="15" t="s">
        <v>31</v>
      </c>
      <c r="S119" s="16">
        <f>SUM(S120:S148)</f>
        <v>0</v>
      </c>
      <c r="T119" s="15" t="e">
        <f>SUM(T120:T148)</f>
        <v>#REF!</v>
      </c>
      <c r="U119" s="15" t="s">
        <v>31</v>
      </c>
      <c r="V119" s="16" t="e">
        <f>SUM(V120:V148)</f>
        <v>#REF!</v>
      </c>
      <c r="W119" s="17"/>
    </row>
    <row r="120" spans="1:25" ht="21" customHeight="1">
      <c r="A120" s="18" t="s">
        <v>29</v>
      </c>
      <c r="B120" s="15">
        <v>0</v>
      </c>
      <c r="C120" s="15" t="s">
        <v>31</v>
      </c>
      <c r="D120" s="16">
        <v>0</v>
      </c>
      <c r="E120" s="15"/>
      <c r="F120" s="15"/>
      <c r="G120" s="16"/>
      <c r="H120" s="19"/>
      <c r="I120" s="20"/>
      <c r="J120" s="21"/>
      <c r="K120" s="15"/>
      <c r="L120" s="15"/>
      <c r="M120" s="16"/>
      <c r="N120" s="15" t="e">
        <v>#REF!</v>
      </c>
      <c r="O120" s="15" t="s">
        <v>31</v>
      </c>
      <c r="P120" s="16" t="e">
        <v>#REF!</v>
      </c>
      <c r="Q120" s="19">
        <f>COUNTIF(토지세목조서!E:E,"전")</f>
        <v>0</v>
      </c>
      <c r="R120" s="20" t="s">
        <v>31</v>
      </c>
      <c r="S120" s="21">
        <f>SUMIF(토지세목조서!E:E,"전",토지세목조서!G:H)</f>
        <v>0</v>
      </c>
      <c r="T120" s="15">
        <v>0</v>
      </c>
      <c r="U120" s="15" t="s">
        <v>31</v>
      </c>
      <c r="V120" s="16">
        <v>0</v>
      </c>
      <c r="W120" s="22"/>
      <c r="X120" s="23"/>
      <c r="Y120" s="23"/>
    </row>
    <row r="121" spans="1:25" ht="21" customHeight="1">
      <c r="A121" s="18" t="s">
        <v>30</v>
      </c>
      <c r="B121" s="15">
        <v>21</v>
      </c>
      <c r="C121" s="15" t="s">
        <v>31</v>
      </c>
      <c r="D121" s="16">
        <v>2984</v>
      </c>
      <c r="E121" s="15"/>
      <c r="F121" s="15"/>
      <c r="G121" s="16"/>
      <c r="H121" s="19"/>
      <c r="I121" s="15"/>
      <c r="J121" s="21"/>
      <c r="K121" s="15"/>
      <c r="L121" s="15"/>
      <c r="M121" s="16"/>
      <c r="N121" s="15" t="e">
        <v>#REF!</v>
      </c>
      <c r="O121" s="15" t="s">
        <v>31</v>
      </c>
      <c r="P121" s="16" t="e">
        <v>#REF!</v>
      </c>
      <c r="Q121" s="19">
        <f>COUNTIF(토지세목조서!E:E,"전")</f>
        <v>0</v>
      </c>
      <c r="R121" s="20" t="s">
        <v>31</v>
      </c>
      <c r="S121" s="21">
        <f>SUMIF(토지세목조서!E:E,"전",토지세목조서!G:H)</f>
        <v>0</v>
      </c>
      <c r="T121" s="15" t="e">
        <f>COUNTIF(#REF!,"사답")</f>
        <v>#REF!</v>
      </c>
      <c r="U121" s="15" t="s">
        <v>31</v>
      </c>
      <c r="V121" s="16" t="e">
        <f>SUMIF(#REF!,"사답",#REF!)</f>
        <v>#REF!</v>
      </c>
      <c r="W121" s="17"/>
    </row>
    <row r="122" spans="1:25" ht="21" customHeight="1">
      <c r="A122" s="24" t="s">
        <v>8</v>
      </c>
      <c r="B122" s="15">
        <v>0</v>
      </c>
      <c r="C122" s="15" t="s">
        <v>31</v>
      </c>
      <c r="D122" s="16">
        <v>0</v>
      </c>
      <c r="E122" s="15"/>
      <c r="F122" s="15"/>
      <c r="G122" s="16"/>
      <c r="H122" s="19"/>
      <c r="I122" s="15"/>
      <c r="J122" s="21"/>
      <c r="K122" s="15"/>
      <c r="L122" s="15"/>
      <c r="M122" s="16"/>
      <c r="N122" s="15" t="e">
        <v>#REF!</v>
      </c>
      <c r="O122" s="15" t="s">
        <v>31</v>
      </c>
      <c r="P122" s="16" t="e">
        <v>#REF!</v>
      </c>
      <c r="Q122" s="19">
        <f>COUNTIF(토지세목조서!E:E,"전")</f>
        <v>0</v>
      </c>
      <c r="R122" s="20" t="s">
        <v>31</v>
      </c>
      <c r="S122" s="21">
        <f>SUMIF(토지세목조서!E:E,"전",토지세목조서!G:H)</f>
        <v>0</v>
      </c>
      <c r="T122" s="15">
        <v>0</v>
      </c>
      <c r="U122" s="15" t="s">
        <v>31</v>
      </c>
      <c r="V122" s="16">
        <v>0</v>
      </c>
      <c r="W122" s="17"/>
    </row>
    <row r="123" spans="1:25" ht="21" customHeight="1">
      <c r="A123" s="24" t="s">
        <v>7</v>
      </c>
      <c r="B123" s="15">
        <v>0</v>
      </c>
      <c r="C123" s="15" t="s">
        <v>31</v>
      </c>
      <c r="D123" s="16">
        <v>0</v>
      </c>
      <c r="E123" s="15"/>
      <c r="F123" s="15"/>
      <c r="G123" s="16"/>
      <c r="H123" s="19"/>
      <c r="I123" s="15"/>
      <c r="J123" s="21"/>
      <c r="K123" s="15"/>
      <c r="L123" s="15"/>
      <c r="M123" s="16"/>
      <c r="N123" s="15" t="e">
        <v>#REF!</v>
      </c>
      <c r="O123" s="15" t="s">
        <v>31</v>
      </c>
      <c r="P123" s="16" t="e">
        <v>#REF!</v>
      </c>
      <c r="Q123" s="19">
        <f>COUNTIF(토지세목조서!E:E,"전")</f>
        <v>0</v>
      </c>
      <c r="R123" s="20" t="s">
        <v>31</v>
      </c>
      <c r="S123" s="21">
        <f>SUMIF(토지세목조서!E:E,"전",토지세목조서!G:H)</f>
        <v>0</v>
      </c>
      <c r="T123" s="15">
        <v>0</v>
      </c>
      <c r="U123" s="15" t="s">
        <v>31</v>
      </c>
      <c r="V123" s="16">
        <v>0</v>
      </c>
      <c r="W123" s="17"/>
    </row>
    <row r="124" spans="1:25" ht="21" customHeight="1">
      <c r="A124" s="24" t="s">
        <v>10</v>
      </c>
      <c r="B124" s="15">
        <v>0</v>
      </c>
      <c r="C124" s="15" t="s">
        <v>31</v>
      </c>
      <c r="D124" s="16">
        <v>0</v>
      </c>
      <c r="E124" s="15"/>
      <c r="F124" s="15"/>
      <c r="G124" s="16"/>
      <c r="H124" s="19"/>
      <c r="I124" s="15"/>
      <c r="J124" s="21"/>
      <c r="K124" s="15"/>
      <c r="L124" s="15"/>
      <c r="M124" s="16"/>
      <c r="N124" s="15" t="e">
        <v>#REF!</v>
      </c>
      <c r="O124" s="15" t="s">
        <v>31</v>
      </c>
      <c r="P124" s="16" t="e">
        <v>#REF!</v>
      </c>
      <c r="Q124" s="19">
        <f>COUNTIF(토지세목조서!E:E,"전")</f>
        <v>0</v>
      </c>
      <c r="R124" s="20" t="s">
        <v>31</v>
      </c>
      <c r="S124" s="21">
        <f>SUMIF(토지세목조서!E:E,"전",토지세목조서!G:H)</f>
        <v>0</v>
      </c>
      <c r="T124" s="15">
        <v>0</v>
      </c>
      <c r="U124" s="15" t="s">
        <v>31</v>
      </c>
      <c r="V124" s="16">
        <v>0</v>
      </c>
      <c r="W124" s="17"/>
      <c r="X124" s="23"/>
      <c r="Y124" s="23"/>
    </row>
    <row r="125" spans="1:25" ht="21" customHeight="1">
      <c r="A125" s="24" t="s">
        <v>9</v>
      </c>
      <c r="B125" s="15">
        <v>0</v>
      </c>
      <c r="C125" s="15" t="s">
        <v>31</v>
      </c>
      <c r="D125" s="16">
        <v>0</v>
      </c>
      <c r="E125" s="15"/>
      <c r="F125" s="15"/>
      <c r="G125" s="16"/>
      <c r="H125" s="19"/>
      <c r="I125" s="15"/>
      <c r="J125" s="21"/>
      <c r="K125" s="15"/>
      <c r="L125" s="15"/>
      <c r="M125" s="16"/>
      <c r="N125" s="15" t="e">
        <v>#REF!</v>
      </c>
      <c r="O125" s="15" t="s">
        <v>31</v>
      </c>
      <c r="P125" s="16" t="e">
        <v>#REF!</v>
      </c>
      <c r="Q125" s="19">
        <f>COUNTIF(토지세목조서!E:E,"전")</f>
        <v>0</v>
      </c>
      <c r="R125" s="20" t="s">
        <v>31</v>
      </c>
      <c r="S125" s="21">
        <f>SUMIF(토지세목조서!E:E,"전",토지세목조서!G:H)</f>
        <v>0</v>
      </c>
      <c r="T125" s="15">
        <v>0</v>
      </c>
      <c r="U125" s="15" t="s">
        <v>31</v>
      </c>
      <c r="V125" s="16">
        <v>0</v>
      </c>
      <c r="W125" s="17"/>
    </row>
    <row r="126" spans="1:25" ht="21" customHeight="1">
      <c r="A126" s="24" t="s">
        <v>11</v>
      </c>
      <c r="B126" s="15">
        <v>0</v>
      </c>
      <c r="C126" s="15" t="s">
        <v>31</v>
      </c>
      <c r="D126" s="16">
        <v>0</v>
      </c>
      <c r="E126" s="15"/>
      <c r="F126" s="15"/>
      <c r="G126" s="16"/>
      <c r="H126" s="19"/>
      <c r="I126" s="15"/>
      <c r="J126" s="21"/>
      <c r="K126" s="15"/>
      <c r="L126" s="15"/>
      <c r="M126" s="16"/>
      <c r="N126" s="15" t="e">
        <v>#REF!</v>
      </c>
      <c r="O126" s="15" t="s">
        <v>31</v>
      </c>
      <c r="P126" s="16" t="e">
        <v>#REF!</v>
      </c>
      <c r="Q126" s="19">
        <f>COUNTIF(토지세목조서!E:E,"전")</f>
        <v>0</v>
      </c>
      <c r="R126" s="20" t="s">
        <v>31</v>
      </c>
      <c r="S126" s="21">
        <f>SUMIF(토지세목조서!E:E,"전",토지세목조서!G:H)</f>
        <v>0</v>
      </c>
      <c r="T126" s="15">
        <v>0</v>
      </c>
      <c r="U126" s="15" t="s">
        <v>31</v>
      </c>
      <c r="V126" s="16">
        <v>0</v>
      </c>
      <c r="W126" s="17"/>
    </row>
    <row r="127" spans="1:25" ht="21" customHeight="1">
      <c r="A127" s="24" t="s">
        <v>12</v>
      </c>
      <c r="B127" s="15">
        <v>1</v>
      </c>
      <c r="C127" s="15" t="s">
        <v>31</v>
      </c>
      <c r="D127" s="16">
        <v>163</v>
      </c>
      <c r="E127" s="15"/>
      <c r="F127" s="15"/>
      <c r="G127" s="16"/>
      <c r="H127" s="19"/>
      <c r="I127" s="15"/>
      <c r="J127" s="21"/>
      <c r="K127" s="15"/>
      <c r="L127" s="15"/>
      <c r="M127" s="16"/>
      <c r="N127" s="15" t="e">
        <v>#REF!</v>
      </c>
      <c r="O127" s="15" t="s">
        <v>31</v>
      </c>
      <c r="P127" s="16" t="e">
        <v>#REF!</v>
      </c>
      <c r="Q127" s="19">
        <f>COUNTIF(토지세목조서!E:E,"전")</f>
        <v>0</v>
      </c>
      <c r="R127" s="20" t="s">
        <v>31</v>
      </c>
      <c r="S127" s="21">
        <f>SUMIF(토지세목조서!E:E,"전",토지세목조서!G:H)</f>
        <v>0</v>
      </c>
      <c r="T127" s="15">
        <v>0</v>
      </c>
      <c r="U127" s="15" t="s">
        <v>31</v>
      </c>
      <c r="V127" s="16">
        <v>0</v>
      </c>
      <c r="W127" s="17"/>
    </row>
    <row r="128" spans="1:25" ht="21" customHeight="1">
      <c r="A128" s="24" t="s">
        <v>13</v>
      </c>
      <c r="B128" s="15">
        <v>0</v>
      </c>
      <c r="C128" s="15" t="s">
        <v>31</v>
      </c>
      <c r="D128" s="16">
        <v>0</v>
      </c>
      <c r="E128" s="15"/>
      <c r="F128" s="15"/>
      <c r="G128" s="16"/>
      <c r="H128" s="19"/>
      <c r="I128" s="15"/>
      <c r="J128" s="21"/>
      <c r="K128" s="15"/>
      <c r="L128" s="15"/>
      <c r="M128" s="16"/>
      <c r="N128" s="15" t="e">
        <v>#REF!</v>
      </c>
      <c r="O128" s="15" t="s">
        <v>31</v>
      </c>
      <c r="P128" s="16" t="e">
        <v>#REF!</v>
      </c>
      <c r="Q128" s="19">
        <f>COUNTIF(토지세목조서!E:E,"전")</f>
        <v>0</v>
      </c>
      <c r="R128" s="20" t="s">
        <v>31</v>
      </c>
      <c r="S128" s="21">
        <f>SUMIF(토지세목조서!E:E,"전",토지세목조서!G:H)</f>
        <v>0</v>
      </c>
      <c r="T128" s="15">
        <v>0</v>
      </c>
      <c r="U128" s="15" t="s">
        <v>31</v>
      </c>
      <c r="V128" s="16">
        <v>0</v>
      </c>
      <c r="W128" s="17"/>
    </row>
    <row r="129" spans="1:23" ht="21" customHeight="1">
      <c r="A129" s="24" t="s">
        <v>14</v>
      </c>
      <c r="B129" s="15">
        <v>0</v>
      </c>
      <c r="C129" s="15" t="s">
        <v>31</v>
      </c>
      <c r="D129" s="16">
        <v>0</v>
      </c>
      <c r="E129" s="15"/>
      <c r="F129" s="15"/>
      <c r="G129" s="16"/>
      <c r="H129" s="19"/>
      <c r="I129" s="15"/>
      <c r="J129" s="21"/>
      <c r="K129" s="15"/>
      <c r="L129" s="15"/>
      <c r="M129" s="16"/>
      <c r="N129" s="15" t="e">
        <v>#REF!</v>
      </c>
      <c r="O129" s="15" t="s">
        <v>31</v>
      </c>
      <c r="P129" s="16" t="e">
        <v>#REF!</v>
      </c>
      <c r="Q129" s="19">
        <f>COUNTIF(토지세목조서!E:E,"전")</f>
        <v>0</v>
      </c>
      <c r="R129" s="20" t="s">
        <v>31</v>
      </c>
      <c r="S129" s="21">
        <f>SUMIF(토지세목조서!E:E,"전",토지세목조서!G:H)</f>
        <v>0</v>
      </c>
      <c r="T129" s="15">
        <v>0</v>
      </c>
      <c r="U129" s="15" t="s">
        <v>31</v>
      </c>
      <c r="V129" s="16">
        <v>0</v>
      </c>
      <c r="W129" s="17"/>
    </row>
    <row r="130" spans="1:23" ht="21" customHeight="1">
      <c r="A130" s="24" t="s">
        <v>42</v>
      </c>
      <c r="B130" s="15">
        <v>0</v>
      </c>
      <c r="C130" s="15" t="s">
        <v>31</v>
      </c>
      <c r="D130" s="16">
        <v>0</v>
      </c>
      <c r="E130" s="15"/>
      <c r="F130" s="15"/>
      <c r="G130" s="16"/>
      <c r="H130" s="19"/>
      <c r="I130" s="15"/>
      <c r="J130" s="21"/>
      <c r="K130" s="15"/>
      <c r="L130" s="15"/>
      <c r="M130" s="16"/>
      <c r="N130" s="15" t="e">
        <v>#REF!</v>
      </c>
      <c r="O130" s="15" t="s">
        <v>31</v>
      </c>
      <c r="P130" s="16" t="e">
        <v>#REF!</v>
      </c>
      <c r="Q130" s="19">
        <f>COUNTIF(토지세목조서!E:E,"전")</f>
        <v>0</v>
      </c>
      <c r="R130" s="20" t="s">
        <v>31</v>
      </c>
      <c r="S130" s="21">
        <f>SUMIF(토지세목조서!E:E,"전",토지세목조서!G:H)</f>
        <v>0</v>
      </c>
      <c r="T130" s="15">
        <v>0</v>
      </c>
      <c r="U130" s="15" t="s">
        <v>31</v>
      </c>
      <c r="V130" s="16">
        <v>0</v>
      </c>
      <c r="W130" s="17"/>
    </row>
    <row r="131" spans="1:23" ht="21" customHeight="1">
      <c r="A131" s="24" t="s">
        <v>15</v>
      </c>
      <c r="B131" s="15">
        <v>1</v>
      </c>
      <c r="C131" s="15" t="s">
        <v>31</v>
      </c>
      <c r="D131" s="16">
        <v>3</v>
      </c>
      <c r="E131" s="15"/>
      <c r="F131" s="15"/>
      <c r="G131" s="16"/>
      <c r="H131" s="19"/>
      <c r="I131" s="15"/>
      <c r="J131" s="21"/>
      <c r="K131" s="15"/>
      <c r="L131" s="15"/>
      <c r="M131" s="16"/>
      <c r="N131" s="15" t="e">
        <v>#REF!</v>
      </c>
      <c r="O131" s="15" t="s">
        <v>31</v>
      </c>
      <c r="P131" s="16" t="e">
        <v>#REF!</v>
      </c>
      <c r="Q131" s="19">
        <f>COUNTIF(토지세목조서!E:E,"전")</f>
        <v>0</v>
      </c>
      <c r="R131" s="20" t="s">
        <v>31</v>
      </c>
      <c r="S131" s="21">
        <f>SUMIF(토지세목조서!E:E,"전",토지세목조서!G:H)</f>
        <v>0</v>
      </c>
      <c r="T131" s="15">
        <v>0</v>
      </c>
      <c r="U131" s="15" t="s">
        <v>31</v>
      </c>
      <c r="V131" s="16">
        <v>0</v>
      </c>
      <c r="W131" s="17"/>
    </row>
    <row r="132" spans="1:23" ht="21" customHeight="1">
      <c r="A132" s="24" t="s">
        <v>25</v>
      </c>
      <c r="B132" s="15">
        <v>0</v>
      </c>
      <c r="C132" s="15" t="s">
        <v>31</v>
      </c>
      <c r="D132" s="16">
        <v>0</v>
      </c>
      <c r="E132" s="15"/>
      <c r="F132" s="15"/>
      <c r="G132" s="16"/>
      <c r="H132" s="19"/>
      <c r="I132" s="15"/>
      <c r="J132" s="21"/>
      <c r="K132" s="15"/>
      <c r="L132" s="15"/>
      <c r="M132" s="16"/>
      <c r="N132" s="15" t="e">
        <v>#REF!</v>
      </c>
      <c r="O132" s="15" t="s">
        <v>31</v>
      </c>
      <c r="P132" s="16" t="e">
        <v>#REF!</v>
      </c>
      <c r="Q132" s="19">
        <f>COUNTIF(토지세목조서!E:E,"전")</f>
        <v>0</v>
      </c>
      <c r="R132" s="20" t="s">
        <v>31</v>
      </c>
      <c r="S132" s="21">
        <f>SUMIF(토지세목조서!E:E,"전",토지세목조서!G:H)</f>
        <v>0</v>
      </c>
      <c r="T132" s="15">
        <v>0</v>
      </c>
      <c r="U132" s="15" t="s">
        <v>31</v>
      </c>
      <c r="V132" s="16">
        <v>0</v>
      </c>
      <c r="W132" s="17"/>
    </row>
    <row r="133" spans="1:23" ht="21" customHeight="1">
      <c r="A133" s="24" t="s">
        <v>4</v>
      </c>
      <c r="B133" s="15">
        <v>14</v>
      </c>
      <c r="C133" s="15" t="s">
        <v>31</v>
      </c>
      <c r="D133" s="16">
        <v>891</v>
      </c>
      <c r="E133" s="15"/>
      <c r="F133" s="15"/>
      <c r="G133" s="16"/>
      <c r="H133" s="19"/>
      <c r="I133" s="15"/>
      <c r="J133" s="21"/>
      <c r="K133" s="15"/>
      <c r="L133" s="15"/>
      <c r="M133" s="16"/>
      <c r="N133" s="15" t="e">
        <v>#REF!</v>
      </c>
      <c r="O133" s="15" t="s">
        <v>31</v>
      </c>
      <c r="P133" s="16" t="e">
        <v>#REF!</v>
      </c>
      <c r="Q133" s="19">
        <f>COUNTIF(토지세목조서!E:E,"전")</f>
        <v>0</v>
      </c>
      <c r="R133" s="20" t="s">
        <v>31</v>
      </c>
      <c r="S133" s="21">
        <f>SUMIF(토지세목조서!E:E,"전",토지세목조서!G:H)</f>
        <v>0</v>
      </c>
      <c r="T133" s="15" t="e">
        <f>COUNTIF(#REF!,"사도")</f>
        <v>#REF!</v>
      </c>
      <c r="U133" s="15" t="s">
        <v>31</v>
      </c>
      <c r="V133" s="16" t="e">
        <f>SUMIF(#REF!,"사도",#REF!)</f>
        <v>#REF!</v>
      </c>
      <c r="W133" s="17"/>
    </row>
    <row r="134" spans="1:23" ht="21" customHeight="1">
      <c r="A134" s="24" t="s">
        <v>1</v>
      </c>
      <c r="B134" s="15">
        <v>0</v>
      </c>
      <c r="C134" s="15" t="s">
        <v>31</v>
      </c>
      <c r="D134" s="16">
        <v>0</v>
      </c>
      <c r="E134" s="15"/>
      <c r="F134" s="15"/>
      <c r="G134" s="16"/>
      <c r="H134" s="19"/>
      <c r="I134" s="20"/>
      <c r="J134" s="21"/>
      <c r="K134" s="15"/>
      <c r="L134" s="20"/>
      <c r="M134" s="16"/>
      <c r="N134" s="15" t="e">
        <v>#REF!</v>
      </c>
      <c r="O134" s="15" t="s">
        <v>31</v>
      </c>
      <c r="P134" s="16" t="e">
        <v>#REF!</v>
      </c>
      <c r="Q134" s="19">
        <f>COUNTIF(토지세목조서!E:E,"전")</f>
        <v>0</v>
      </c>
      <c r="R134" s="20" t="s">
        <v>31</v>
      </c>
      <c r="S134" s="21">
        <f>SUMIF(토지세목조서!E:E,"전",토지세목조서!G:H)</f>
        <v>0</v>
      </c>
      <c r="T134" s="15">
        <v>0</v>
      </c>
      <c r="U134" s="15" t="s">
        <v>31</v>
      </c>
      <c r="V134" s="16">
        <v>0</v>
      </c>
      <c r="W134" s="17"/>
    </row>
    <row r="135" spans="1:23" ht="21" customHeight="1">
      <c r="A135" s="24" t="s">
        <v>16</v>
      </c>
      <c r="B135" s="15">
        <v>0</v>
      </c>
      <c r="C135" s="15" t="s">
        <v>31</v>
      </c>
      <c r="D135" s="16">
        <v>0</v>
      </c>
      <c r="E135" s="15"/>
      <c r="F135" s="15"/>
      <c r="G135" s="16"/>
      <c r="H135" s="19"/>
      <c r="I135" s="15"/>
      <c r="J135" s="21"/>
      <c r="K135" s="15"/>
      <c r="L135" s="15"/>
      <c r="M135" s="16"/>
      <c r="N135" s="15" t="e">
        <v>#REF!</v>
      </c>
      <c r="O135" s="15" t="s">
        <v>31</v>
      </c>
      <c r="P135" s="16" t="e">
        <v>#REF!</v>
      </c>
      <c r="Q135" s="19">
        <f>COUNTIF(토지세목조서!E:E,"전")</f>
        <v>0</v>
      </c>
      <c r="R135" s="20" t="s">
        <v>31</v>
      </c>
      <c r="S135" s="21">
        <f>SUMIF(토지세목조서!E:E,"전",토지세목조서!G:H)</f>
        <v>0</v>
      </c>
      <c r="T135" s="15">
        <v>0</v>
      </c>
      <c r="U135" s="15" t="s">
        <v>31</v>
      </c>
      <c r="V135" s="16">
        <v>0</v>
      </c>
      <c r="W135" s="17"/>
    </row>
    <row r="136" spans="1:23" ht="21" customHeight="1">
      <c r="A136" s="24" t="s">
        <v>5</v>
      </c>
      <c r="B136" s="15">
        <v>1</v>
      </c>
      <c r="C136" s="15" t="s">
        <v>31</v>
      </c>
      <c r="D136" s="16">
        <v>62</v>
      </c>
      <c r="E136" s="15"/>
      <c r="F136" s="15"/>
      <c r="G136" s="16"/>
      <c r="H136" s="19"/>
      <c r="I136" s="15"/>
      <c r="J136" s="21"/>
      <c r="K136" s="15"/>
      <c r="L136" s="15"/>
      <c r="M136" s="16"/>
      <c r="N136" s="15" t="e">
        <v>#REF!</v>
      </c>
      <c r="O136" s="15" t="s">
        <v>31</v>
      </c>
      <c r="P136" s="16" t="e">
        <v>#REF!</v>
      </c>
      <c r="Q136" s="19">
        <f>COUNTIF(토지세목조서!E:E,"전")</f>
        <v>0</v>
      </c>
      <c r="R136" s="20" t="s">
        <v>31</v>
      </c>
      <c r="S136" s="21">
        <f>SUMIF(토지세목조서!E:E,"전",토지세목조서!G:H)</f>
        <v>0</v>
      </c>
      <c r="T136" s="15" t="e">
        <f>COUNTIF(#REF!,"사천")</f>
        <v>#REF!</v>
      </c>
      <c r="U136" s="15" t="s">
        <v>31</v>
      </c>
      <c r="V136" s="16" t="e">
        <f>SUMIF(#REF!,"사천",#REF!)</f>
        <v>#REF!</v>
      </c>
      <c r="W136" s="17"/>
    </row>
    <row r="137" spans="1:23" ht="21" customHeight="1">
      <c r="A137" s="24" t="s">
        <v>6</v>
      </c>
      <c r="B137" s="15">
        <v>0</v>
      </c>
      <c r="C137" s="15" t="s">
        <v>31</v>
      </c>
      <c r="D137" s="16">
        <v>0</v>
      </c>
      <c r="E137" s="15"/>
      <c r="F137" s="15"/>
      <c r="G137" s="16"/>
      <c r="H137" s="19"/>
      <c r="I137" s="15"/>
      <c r="J137" s="21"/>
      <c r="K137" s="15"/>
      <c r="L137" s="15"/>
      <c r="M137" s="16"/>
      <c r="N137" s="15" t="e">
        <v>#REF!</v>
      </c>
      <c r="O137" s="15" t="s">
        <v>31</v>
      </c>
      <c r="P137" s="16" t="e">
        <v>#REF!</v>
      </c>
      <c r="Q137" s="19">
        <f>COUNTIF(토지세목조서!E:E,"전")</f>
        <v>0</v>
      </c>
      <c r="R137" s="20" t="s">
        <v>31</v>
      </c>
      <c r="S137" s="21">
        <f>SUMIF(토지세목조서!E:E,"전",토지세목조서!G:H)</f>
        <v>0</v>
      </c>
      <c r="T137" s="15">
        <v>0</v>
      </c>
      <c r="U137" s="15" t="s">
        <v>31</v>
      </c>
      <c r="V137" s="16">
        <v>0</v>
      </c>
      <c r="W137" s="17"/>
    </row>
    <row r="138" spans="1:23" s="2" customFormat="1" ht="21" customHeight="1">
      <c r="A138" s="24" t="s">
        <v>17</v>
      </c>
      <c r="B138" s="15">
        <v>0</v>
      </c>
      <c r="C138" s="15" t="s">
        <v>31</v>
      </c>
      <c r="D138" s="16">
        <v>0</v>
      </c>
      <c r="E138" s="15"/>
      <c r="F138" s="15"/>
      <c r="G138" s="16"/>
      <c r="H138" s="19"/>
      <c r="I138" s="15"/>
      <c r="J138" s="21"/>
      <c r="K138" s="15"/>
      <c r="L138" s="15"/>
      <c r="M138" s="16"/>
      <c r="N138" s="15" t="e">
        <v>#REF!</v>
      </c>
      <c r="O138" s="15" t="s">
        <v>31</v>
      </c>
      <c r="P138" s="16" t="e">
        <v>#REF!</v>
      </c>
      <c r="Q138" s="19">
        <f>COUNTIF(토지세목조서!E:E,"전")</f>
        <v>0</v>
      </c>
      <c r="R138" s="20" t="s">
        <v>31</v>
      </c>
      <c r="S138" s="21">
        <f>SUMIF(토지세목조서!E:E,"전",토지세목조서!G:H)</f>
        <v>0</v>
      </c>
      <c r="T138" s="15">
        <v>0</v>
      </c>
      <c r="U138" s="15" t="s">
        <v>31</v>
      </c>
      <c r="V138" s="16">
        <v>0</v>
      </c>
      <c r="W138" s="22"/>
    </row>
    <row r="139" spans="1:23" ht="21" customHeight="1">
      <c r="A139" s="24" t="s">
        <v>18</v>
      </c>
      <c r="B139" s="15">
        <v>0</v>
      </c>
      <c r="C139" s="15" t="s">
        <v>31</v>
      </c>
      <c r="D139" s="16">
        <v>0</v>
      </c>
      <c r="E139" s="15"/>
      <c r="F139" s="15"/>
      <c r="G139" s="16"/>
      <c r="H139" s="19"/>
      <c r="I139" s="15"/>
      <c r="J139" s="21"/>
      <c r="K139" s="15"/>
      <c r="L139" s="15"/>
      <c r="M139" s="16"/>
      <c r="N139" s="15" t="e">
        <v>#REF!</v>
      </c>
      <c r="O139" s="15" t="s">
        <v>31</v>
      </c>
      <c r="P139" s="16" t="e">
        <v>#REF!</v>
      </c>
      <c r="Q139" s="19">
        <f>COUNTIF(토지세목조서!E:E,"전")</f>
        <v>0</v>
      </c>
      <c r="R139" s="20" t="s">
        <v>31</v>
      </c>
      <c r="S139" s="21">
        <f>SUMIF(토지세목조서!E:E,"전",토지세목조서!G:H)</f>
        <v>0</v>
      </c>
      <c r="T139" s="15">
        <v>0</v>
      </c>
      <c r="U139" s="15" t="s">
        <v>31</v>
      </c>
      <c r="V139" s="16">
        <v>0</v>
      </c>
      <c r="W139" s="17"/>
    </row>
    <row r="140" spans="1:23" ht="21" customHeight="1">
      <c r="A140" s="24" t="s">
        <v>3</v>
      </c>
      <c r="B140" s="15">
        <v>0</v>
      </c>
      <c r="C140" s="15" t="s">
        <v>31</v>
      </c>
      <c r="D140" s="16">
        <v>0</v>
      </c>
      <c r="E140" s="15"/>
      <c r="F140" s="15"/>
      <c r="G140" s="16"/>
      <c r="H140" s="19"/>
      <c r="I140" s="15"/>
      <c r="J140" s="21"/>
      <c r="K140" s="15"/>
      <c r="L140" s="15"/>
      <c r="M140" s="16"/>
      <c r="N140" s="15" t="e">
        <v>#REF!</v>
      </c>
      <c r="O140" s="15" t="s">
        <v>31</v>
      </c>
      <c r="P140" s="16" t="e">
        <v>#REF!</v>
      </c>
      <c r="Q140" s="19">
        <f>COUNTIF(토지세목조서!E:E,"전")</f>
        <v>0</v>
      </c>
      <c r="R140" s="20" t="s">
        <v>31</v>
      </c>
      <c r="S140" s="21">
        <f>SUMIF(토지세목조서!E:E,"전",토지세목조서!G:H)</f>
        <v>0</v>
      </c>
      <c r="T140" s="15">
        <v>0</v>
      </c>
      <c r="U140" s="15" t="s">
        <v>31</v>
      </c>
      <c r="V140" s="16">
        <v>0</v>
      </c>
      <c r="W140" s="17"/>
    </row>
    <row r="141" spans="1:23" ht="21" customHeight="1">
      <c r="A141" s="24" t="s">
        <v>19</v>
      </c>
      <c r="B141" s="15">
        <v>0</v>
      </c>
      <c r="C141" s="15" t="s">
        <v>31</v>
      </c>
      <c r="D141" s="16">
        <v>0</v>
      </c>
      <c r="E141" s="15"/>
      <c r="F141" s="15"/>
      <c r="G141" s="16"/>
      <c r="H141" s="19"/>
      <c r="I141" s="15"/>
      <c r="J141" s="21"/>
      <c r="K141" s="15"/>
      <c r="L141" s="15"/>
      <c r="M141" s="16"/>
      <c r="N141" s="15" t="e">
        <v>#REF!</v>
      </c>
      <c r="O141" s="15" t="s">
        <v>31</v>
      </c>
      <c r="P141" s="16" t="e">
        <v>#REF!</v>
      </c>
      <c r="Q141" s="19">
        <f>COUNTIF(토지세목조서!E:E,"전")</f>
        <v>0</v>
      </c>
      <c r="R141" s="20" t="s">
        <v>31</v>
      </c>
      <c r="S141" s="21">
        <f>SUMIF(토지세목조서!E:E,"전",토지세목조서!G:H)</f>
        <v>0</v>
      </c>
      <c r="T141" s="15">
        <v>0</v>
      </c>
      <c r="U141" s="15" t="s">
        <v>31</v>
      </c>
      <c r="V141" s="16">
        <v>0</v>
      </c>
      <c r="W141" s="17"/>
    </row>
    <row r="142" spans="1:23" ht="21" customHeight="1">
      <c r="A142" s="24" t="s">
        <v>20</v>
      </c>
      <c r="B142" s="15">
        <v>0</v>
      </c>
      <c r="C142" s="15" t="s">
        <v>31</v>
      </c>
      <c r="D142" s="16">
        <v>0</v>
      </c>
      <c r="E142" s="15"/>
      <c r="F142" s="15"/>
      <c r="G142" s="16"/>
      <c r="H142" s="19"/>
      <c r="I142" s="15"/>
      <c r="J142" s="21"/>
      <c r="K142" s="15"/>
      <c r="L142" s="15"/>
      <c r="M142" s="16"/>
      <c r="N142" s="15" t="e">
        <v>#REF!</v>
      </c>
      <c r="O142" s="15" t="s">
        <v>31</v>
      </c>
      <c r="P142" s="16" t="e">
        <v>#REF!</v>
      </c>
      <c r="Q142" s="19">
        <f>COUNTIF(토지세목조서!E:E,"전")</f>
        <v>0</v>
      </c>
      <c r="R142" s="20" t="s">
        <v>31</v>
      </c>
      <c r="S142" s="21">
        <f>SUMIF(토지세목조서!E:E,"전",토지세목조서!G:H)</f>
        <v>0</v>
      </c>
      <c r="T142" s="15">
        <v>0</v>
      </c>
      <c r="U142" s="15" t="s">
        <v>31</v>
      </c>
      <c r="V142" s="16">
        <v>0</v>
      </c>
      <c r="W142" s="17"/>
    </row>
    <row r="143" spans="1:23" ht="21" customHeight="1">
      <c r="A143" s="24" t="s">
        <v>21</v>
      </c>
      <c r="B143" s="15">
        <v>0</v>
      </c>
      <c r="C143" s="15" t="s">
        <v>31</v>
      </c>
      <c r="D143" s="16">
        <v>0</v>
      </c>
      <c r="E143" s="15"/>
      <c r="F143" s="15"/>
      <c r="G143" s="16"/>
      <c r="H143" s="19"/>
      <c r="I143" s="20"/>
      <c r="J143" s="21"/>
      <c r="K143" s="15"/>
      <c r="L143" s="20"/>
      <c r="M143" s="16"/>
      <c r="N143" s="15" t="e">
        <v>#REF!</v>
      </c>
      <c r="O143" s="15" t="s">
        <v>31</v>
      </c>
      <c r="P143" s="16" t="e">
        <v>#REF!</v>
      </c>
      <c r="Q143" s="19">
        <f>COUNTIF(토지세목조서!E:E,"전")</f>
        <v>0</v>
      </c>
      <c r="R143" s="20" t="s">
        <v>31</v>
      </c>
      <c r="S143" s="21">
        <f>SUMIF(토지세목조서!E:E,"전",토지세목조서!G:H)</f>
        <v>0</v>
      </c>
      <c r="T143" s="15">
        <v>0</v>
      </c>
      <c r="U143" s="15" t="s">
        <v>31</v>
      </c>
      <c r="V143" s="16">
        <v>0</v>
      </c>
      <c r="W143" s="17"/>
    </row>
    <row r="144" spans="1:23" ht="21" customHeight="1">
      <c r="A144" s="24" t="s">
        <v>0</v>
      </c>
      <c r="B144" s="15">
        <v>0</v>
      </c>
      <c r="C144" s="15" t="s">
        <v>31</v>
      </c>
      <c r="D144" s="16">
        <v>0</v>
      </c>
      <c r="E144" s="15"/>
      <c r="F144" s="15"/>
      <c r="G144" s="16"/>
      <c r="H144" s="19"/>
      <c r="I144" s="15"/>
      <c r="J144" s="21"/>
      <c r="K144" s="15"/>
      <c r="L144" s="15"/>
      <c r="M144" s="16"/>
      <c r="N144" s="15" t="e">
        <v>#REF!</v>
      </c>
      <c r="O144" s="15" t="s">
        <v>31</v>
      </c>
      <c r="P144" s="16" t="e">
        <v>#REF!</v>
      </c>
      <c r="Q144" s="19">
        <f>COUNTIF(토지세목조서!E:E,"전")</f>
        <v>0</v>
      </c>
      <c r="R144" s="20" t="s">
        <v>31</v>
      </c>
      <c r="S144" s="21">
        <f>SUMIF(토지세목조서!E:E,"전",토지세목조서!G:H)</f>
        <v>0</v>
      </c>
      <c r="T144" s="15">
        <v>0</v>
      </c>
      <c r="U144" s="15" t="s">
        <v>31</v>
      </c>
      <c r="V144" s="16">
        <v>0</v>
      </c>
      <c r="W144" s="17"/>
    </row>
    <row r="145" spans="1:23" ht="21" customHeight="1">
      <c r="A145" s="24" t="s">
        <v>22</v>
      </c>
      <c r="B145" s="15">
        <v>0</v>
      </c>
      <c r="C145" s="15" t="s">
        <v>31</v>
      </c>
      <c r="D145" s="16">
        <v>0</v>
      </c>
      <c r="E145" s="15"/>
      <c r="F145" s="15"/>
      <c r="G145" s="16"/>
      <c r="H145" s="19"/>
      <c r="I145" s="15"/>
      <c r="J145" s="21"/>
      <c r="K145" s="15"/>
      <c r="L145" s="15"/>
      <c r="M145" s="16"/>
      <c r="N145" s="15" t="e">
        <v>#REF!</v>
      </c>
      <c r="O145" s="15" t="s">
        <v>31</v>
      </c>
      <c r="P145" s="16" t="e">
        <v>#REF!</v>
      </c>
      <c r="Q145" s="19">
        <f>COUNTIF(토지세목조서!E:E,"전")</f>
        <v>0</v>
      </c>
      <c r="R145" s="20" t="s">
        <v>31</v>
      </c>
      <c r="S145" s="21">
        <f>SUMIF(토지세목조서!E:E,"전",토지세목조서!G:H)</f>
        <v>0</v>
      </c>
      <c r="T145" s="15">
        <v>0</v>
      </c>
      <c r="U145" s="15" t="s">
        <v>31</v>
      </c>
      <c r="V145" s="16">
        <v>0</v>
      </c>
      <c r="W145" s="17"/>
    </row>
    <row r="146" spans="1:23" ht="21" customHeight="1">
      <c r="A146" s="24" t="s">
        <v>23</v>
      </c>
      <c r="B146" s="15">
        <v>0</v>
      </c>
      <c r="C146" s="15" t="s">
        <v>31</v>
      </c>
      <c r="D146" s="16">
        <v>0</v>
      </c>
      <c r="E146" s="15"/>
      <c r="F146" s="15"/>
      <c r="G146" s="16"/>
      <c r="H146" s="19"/>
      <c r="I146" s="15"/>
      <c r="J146" s="21"/>
      <c r="K146" s="15"/>
      <c r="L146" s="15"/>
      <c r="M146" s="16"/>
      <c r="N146" s="15" t="e">
        <v>#REF!</v>
      </c>
      <c r="O146" s="15" t="s">
        <v>31</v>
      </c>
      <c r="P146" s="16" t="e">
        <v>#REF!</v>
      </c>
      <c r="Q146" s="19">
        <f>COUNTIF(토지세목조서!E:E,"전")</f>
        <v>0</v>
      </c>
      <c r="R146" s="20" t="s">
        <v>31</v>
      </c>
      <c r="S146" s="21">
        <f>SUMIF(토지세목조서!E:E,"전",토지세목조서!G:H)</f>
        <v>0</v>
      </c>
      <c r="T146" s="15">
        <v>0</v>
      </c>
      <c r="U146" s="15" t="s">
        <v>31</v>
      </c>
      <c r="V146" s="16">
        <v>0</v>
      </c>
      <c r="W146" s="17"/>
    </row>
    <row r="147" spans="1:23" s="2" customFormat="1" ht="21" customHeight="1">
      <c r="A147" s="24" t="s">
        <v>24</v>
      </c>
      <c r="B147" s="15">
        <v>0</v>
      </c>
      <c r="C147" s="15" t="s">
        <v>31</v>
      </c>
      <c r="D147" s="16">
        <v>0</v>
      </c>
      <c r="E147" s="15"/>
      <c r="F147" s="15"/>
      <c r="G147" s="16"/>
      <c r="H147" s="19"/>
      <c r="I147" s="15"/>
      <c r="J147" s="21"/>
      <c r="K147" s="15"/>
      <c r="L147" s="15"/>
      <c r="M147" s="16"/>
      <c r="N147" s="15" t="e">
        <v>#REF!</v>
      </c>
      <c r="O147" s="15" t="s">
        <v>31</v>
      </c>
      <c r="P147" s="16" t="e">
        <v>#REF!</v>
      </c>
      <c r="Q147" s="19">
        <f>COUNTIF(토지세목조서!E:E,"전")</f>
        <v>0</v>
      </c>
      <c r="R147" s="20" t="s">
        <v>31</v>
      </c>
      <c r="S147" s="21">
        <f>SUMIF(토지세목조서!E:E,"전",토지세목조서!G:H)</f>
        <v>0</v>
      </c>
      <c r="T147" s="15">
        <v>0</v>
      </c>
      <c r="U147" s="15" t="s">
        <v>31</v>
      </c>
      <c r="V147" s="16">
        <v>0</v>
      </c>
      <c r="W147" s="22"/>
    </row>
    <row r="148" spans="1:23" s="2" customFormat="1" ht="21" customHeight="1">
      <c r="A148" s="25" t="s">
        <v>2</v>
      </c>
      <c r="B148" s="15">
        <v>0</v>
      </c>
      <c r="C148" s="15" t="s">
        <v>31</v>
      </c>
      <c r="D148" s="16">
        <v>0</v>
      </c>
      <c r="E148" s="15"/>
      <c r="F148" s="15"/>
      <c r="G148" s="16"/>
      <c r="H148" s="19"/>
      <c r="I148" s="26"/>
      <c r="J148" s="21"/>
      <c r="K148" s="15"/>
      <c r="L148" s="26"/>
      <c r="M148" s="16"/>
      <c r="N148" s="15" t="e">
        <v>#REF!</v>
      </c>
      <c r="O148" s="15" t="s">
        <v>31</v>
      </c>
      <c r="P148" s="16" t="e">
        <v>#REF!</v>
      </c>
      <c r="Q148" s="19">
        <f>COUNTIF(토지세목조서!E:E,"전")</f>
        <v>0</v>
      </c>
      <c r="R148" s="20" t="s">
        <v>31</v>
      </c>
      <c r="S148" s="21">
        <f>SUMIF(토지세목조서!E:E,"전",토지세목조서!G:H)</f>
        <v>0</v>
      </c>
      <c r="T148" s="15">
        <v>0</v>
      </c>
      <c r="U148" s="15" t="s">
        <v>31</v>
      </c>
      <c r="V148" s="16">
        <v>0</v>
      </c>
      <c r="W148" s="27"/>
    </row>
    <row r="149" spans="1:23" s="2" customFormat="1" ht="5.0999999999999996" customHeight="1">
      <c r="A149" s="28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</row>
    <row r="150" spans="1:23" ht="24.95" customHeight="1">
      <c r="A150" s="37"/>
      <c r="B150" s="103"/>
      <c r="C150" s="104"/>
      <c r="D150" s="105"/>
      <c r="E150" s="38"/>
      <c r="F150" s="39"/>
      <c r="G150" s="40"/>
      <c r="H150" s="4"/>
      <c r="I150" s="5"/>
      <c r="J150" s="5"/>
      <c r="K150" s="5"/>
      <c r="L150" s="5"/>
      <c r="M150" s="5"/>
      <c r="N150" s="38"/>
      <c r="O150" s="39"/>
      <c r="P150" s="40"/>
      <c r="Q150" s="5"/>
      <c r="R150" s="5"/>
      <c r="S150" s="5"/>
      <c r="T150" s="5"/>
      <c r="U150" s="5"/>
      <c r="V150" s="5"/>
      <c r="W150" s="36"/>
    </row>
  </sheetData>
  <mergeCells count="33">
    <mergeCell ref="A3:A7"/>
    <mergeCell ref="B3:D6"/>
    <mergeCell ref="N3:V3"/>
    <mergeCell ref="W3:W7"/>
    <mergeCell ref="N4:V4"/>
    <mergeCell ref="E5:G6"/>
    <mergeCell ref="N5:P6"/>
    <mergeCell ref="Q5:V5"/>
    <mergeCell ref="A40:A44"/>
    <mergeCell ref="B40:D43"/>
    <mergeCell ref="N40:V40"/>
    <mergeCell ref="W40:W44"/>
    <mergeCell ref="N41:V41"/>
    <mergeCell ref="E42:G43"/>
    <mergeCell ref="N42:P43"/>
    <mergeCell ref="Q42:V42"/>
    <mergeCell ref="A77:A81"/>
    <mergeCell ref="B77:D80"/>
    <mergeCell ref="N77:V77"/>
    <mergeCell ref="W77:W81"/>
    <mergeCell ref="N78:V78"/>
    <mergeCell ref="E79:G80"/>
    <mergeCell ref="N79:P80"/>
    <mergeCell ref="Q79:V79"/>
    <mergeCell ref="B150:D150"/>
    <mergeCell ref="A114:A118"/>
    <mergeCell ref="B114:D117"/>
    <mergeCell ref="N114:V114"/>
    <mergeCell ref="W114:W118"/>
    <mergeCell ref="N115:V115"/>
    <mergeCell ref="E116:G117"/>
    <mergeCell ref="N116:P117"/>
    <mergeCell ref="Q116:V116"/>
  </mergeCells>
  <phoneticPr fontId="6" type="noConversion"/>
  <dataValidations disablePrompts="1" count="1">
    <dataValidation allowBlank="1" showInputMessage="1" showErrorMessage="1" sqref="A101 A36:A37 A27 A64 A1 A73:A74 A110:A112 A138 A147:A148"/>
  </dataValidations>
  <printOptions horizontalCentered="1"/>
  <pageMargins left="0.19685039370078741" right="0.19685039370078741" top="0.98425196850393704" bottom="0.39370078740157483" header="0.78740157480314965" footer="0.19685039370078741"/>
  <pageSetup paperSize="9" scale="94" orientation="portrait" r:id="rId1"/>
  <headerFooter alignWithMargins="0"/>
  <rowBreaks count="3" manualBreakCount="3">
    <brk id="38" max="16383" man="1"/>
    <brk id="75" max="16383" man="1"/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59999389629810485"/>
  </sheetPr>
  <dimension ref="A1:P105"/>
  <sheetViews>
    <sheetView showZeros="0" tabSelected="1" view="pageBreakPreview" zoomScaleNormal="100" zoomScaleSheetLayoutView="100" workbookViewId="0">
      <pane ySplit="5" topLeftCell="A6" activePane="bottomLeft" state="frozen"/>
      <selection activeCell="L10" sqref="L10"/>
      <selection pane="bottomLeft"/>
    </sheetView>
  </sheetViews>
  <sheetFormatPr defaultRowHeight="11.25"/>
  <cols>
    <col min="1" max="1" width="3.77734375" style="87" customWidth="1"/>
    <col min="2" max="2" width="12.33203125" style="101" customWidth="1"/>
    <col min="3" max="4" width="6.77734375" style="88" customWidth="1"/>
    <col min="5" max="5" width="3.77734375" style="76" customWidth="1"/>
    <col min="6" max="6" width="7.77734375" style="89" customWidth="1"/>
    <col min="7" max="8" width="7.77734375" style="90" customWidth="1"/>
    <col min="9" max="9" width="3.77734375" style="76" hidden="1" customWidth="1"/>
    <col min="10" max="10" width="5.77734375" style="76" hidden="1" customWidth="1"/>
    <col min="11" max="11" width="7.77734375" style="91" customWidth="1"/>
    <col min="12" max="12" width="16.77734375" style="91" customWidth="1"/>
    <col min="13" max="13" width="6.77734375" style="91" customWidth="1"/>
    <col min="14" max="14" width="8.21875" style="91" customWidth="1"/>
    <col min="15" max="15" width="6.77734375" style="91" customWidth="1"/>
    <col min="16" max="16" width="7" style="92" customWidth="1"/>
    <col min="17" max="16384" width="8.88671875" style="76"/>
  </cols>
  <sheetData>
    <row r="1" spans="1:16" ht="30" customHeight="1">
      <c r="A1" s="70" t="s">
        <v>141</v>
      </c>
      <c r="B1" s="70"/>
      <c r="C1" s="71"/>
      <c r="D1" s="71"/>
      <c r="E1" s="72"/>
      <c r="F1" s="73"/>
      <c r="G1" s="73"/>
      <c r="H1" s="73"/>
      <c r="I1" s="72"/>
      <c r="J1" s="72"/>
      <c r="K1" s="74"/>
      <c r="L1" s="74"/>
      <c r="M1" s="74"/>
      <c r="N1" s="74"/>
      <c r="O1" s="74"/>
      <c r="P1" s="75"/>
    </row>
    <row r="2" spans="1:16" ht="15.75" customHeight="1">
      <c r="A2" s="77"/>
      <c r="B2" s="98"/>
      <c r="C2" s="71"/>
      <c r="D2" s="71"/>
      <c r="E2" s="72"/>
      <c r="F2" s="73"/>
      <c r="G2" s="78"/>
      <c r="H2" s="78"/>
      <c r="I2" s="79"/>
      <c r="J2" s="79"/>
      <c r="K2" s="80"/>
      <c r="L2" s="80"/>
      <c r="M2" s="81"/>
      <c r="N2" s="81"/>
      <c r="O2" s="81"/>
      <c r="P2" s="82"/>
    </row>
    <row r="3" spans="1:16" ht="13.15" customHeight="1">
      <c r="A3" s="150" t="s">
        <v>51</v>
      </c>
      <c r="B3" s="147" t="s">
        <v>137</v>
      </c>
      <c r="C3" s="139" t="s">
        <v>121</v>
      </c>
      <c r="D3" s="139"/>
      <c r="E3" s="147" t="s">
        <v>26</v>
      </c>
      <c r="F3" s="144" t="s">
        <v>53</v>
      </c>
      <c r="G3" s="139" t="s">
        <v>52</v>
      </c>
      <c r="H3" s="139"/>
      <c r="I3" s="153" t="s">
        <v>27</v>
      </c>
      <c r="J3" s="153"/>
      <c r="K3" s="155" t="s">
        <v>36</v>
      </c>
      <c r="L3" s="156"/>
      <c r="M3" s="155" t="s">
        <v>37</v>
      </c>
      <c r="N3" s="159"/>
      <c r="O3" s="156"/>
      <c r="P3" s="141" t="s">
        <v>35</v>
      </c>
    </row>
    <row r="4" spans="1:16" ht="19.899999999999999" customHeight="1">
      <c r="A4" s="151"/>
      <c r="B4" s="148"/>
      <c r="C4" s="140"/>
      <c r="D4" s="140"/>
      <c r="E4" s="148"/>
      <c r="F4" s="145"/>
      <c r="G4" s="140"/>
      <c r="H4" s="140"/>
      <c r="I4" s="154"/>
      <c r="J4" s="154"/>
      <c r="K4" s="157"/>
      <c r="L4" s="158"/>
      <c r="M4" s="157"/>
      <c r="N4" s="160"/>
      <c r="O4" s="158"/>
      <c r="P4" s="142"/>
    </row>
    <row r="5" spans="1:16" ht="25.15" customHeight="1">
      <c r="A5" s="152"/>
      <c r="B5" s="149"/>
      <c r="C5" s="83" t="s">
        <v>122</v>
      </c>
      <c r="D5" s="83" t="s">
        <v>123</v>
      </c>
      <c r="E5" s="149"/>
      <c r="F5" s="146"/>
      <c r="G5" s="83" t="s">
        <v>119</v>
      </c>
      <c r="H5" s="83" t="s">
        <v>120</v>
      </c>
      <c r="I5" s="84" t="s">
        <v>26</v>
      </c>
      <c r="J5" s="85" t="s">
        <v>38</v>
      </c>
      <c r="K5" s="84" t="s">
        <v>28</v>
      </c>
      <c r="L5" s="84" t="s">
        <v>39</v>
      </c>
      <c r="M5" s="84" t="s">
        <v>28</v>
      </c>
      <c r="N5" s="84" t="s">
        <v>39</v>
      </c>
      <c r="O5" s="84" t="s">
        <v>40</v>
      </c>
      <c r="P5" s="143"/>
    </row>
    <row r="6" spans="1:16" s="45" customFormat="1" ht="29.1" customHeight="1">
      <c r="A6" s="43">
        <v>1</v>
      </c>
      <c r="B6" s="41" t="s">
        <v>138</v>
      </c>
      <c r="C6" s="102" t="s">
        <v>71</v>
      </c>
      <c r="D6" s="43"/>
      <c r="E6" s="41" t="s">
        <v>105</v>
      </c>
      <c r="F6" s="59">
        <v>383</v>
      </c>
      <c r="G6" s="49">
        <v>207</v>
      </c>
      <c r="H6" s="49">
        <v>207</v>
      </c>
      <c r="I6" s="41">
        <v>0</v>
      </c>
      <c r="J6" s="41">
        <v>0</v>
      </c>
      <c r="K6" s="41" t="s">
        <v>106</v>
      </c>
      <c r="L6" s="41" t="s">
        <v>111</v>
      </c>
      <c r="M6" s="41">
        <v>0</v>
      </c>
      <c r="N6" s="41">
        <v>0</v>
      </c>
      <c r="O6" s="41">
        <v>0</v>
      </c>
      <c r="P6" s="48">
        <v>0</v>
      </c>
    </row>
    <row r="7" spans="1:16" s="45" customFormat="1" ht="29.1" customHeight="1">
      <c r="A7" s="43">
        <v>2</v>
      </c>
      <c r="B7" s="41" t="s">
        <v>138</v>
      </c>
      <c r="C7" s="102" t="s">
        <v>124</v>
      </c>
      <c r="D7" s="43"/>
      <c r="E7" s="41" t="s">
        <v>30</v>
      </c>
      <c r="F7" s="59">
        <v>151</v>
      </c>
      <c r="G7" s="49">
        <v>151</v>
      </c>
      <c r="H7" s="49">
        <v>151</v>
      </c>
      <c r="I7" s="41">
        <v>0</v>
      </c>
      <c r="J7" s="41">
        <v>0</v>
      </c>
      <c r="K7" s="41" t="s">
        <v>106</v>
      </c>
      <c r="L7" s="41" t="s">
        <v>111</v>
      </c>
      <c r="M7" s="41">
        <v>0</v>
      </c>
      <c r="N7" s="41">
        <v>0</v>
      </c>
      <c r="O7" s="41">
        <v>0</v>
      </c>
      <c r="P7" s="48">
        <v>0</v>
      </c>
    </row>
    <row r="8" spans="1:16" s="45" customFormat="1" ht="29.1" customHeight="1">
      <c r="A8" s="43">
        <v>3</v>
      </c>
      <c r="B8" s="41" t="s">
        <v>138</v>
      </c>
      <c r="C8" s="102" t="s">
        <v>73</v>
      </c>
      <c r="D8" s="43"/>
      <c r="E8" s="41" t="s">
        <v>113</v>
      </c>
      <c r="F8" s="59">
        <v>6463</v>
      </c>
      <c r="G8" s="49">
        <v>197</v>
      </c>
      <c r="H8" s="49">
        <v>197</v>
      </c>
      <c r="I8" s="41">
        <v>0</v>
      </c>
      <c r="J8" s="41">
        <v>0</v>
      </c>
      <c r="K8" s="41" t="s">
        <v>108</v>
      </c>
      <c r="L8" s="41" t="s">
        <v>114</v>
      </c>
      <c r="M8" s="41">
        <v>0</v>
      </c>
      <c r="N8" s="41">
        <v>0</v>
      </c>
      <c r="O8" s="41">
        <v>0</v>
      </c>
      <c r="P8" s="48">
        <v>0</v>
      </c>
    </row>
    <row r="9" spans="1:16" s="45" customFormat="1" ht="29.1" customHeight="1">
      <c r="A9" s="43">
        <v>4</v>
      </c>
      <c r="B9" s="41" t="s">
        <v>140</v>
      </c>
      <c r="C9" s="102" t="s">
        <v>74</v>
      </c>
      <c r="D9" s="43"/>
      <c r="E9" s="41" t="s">
        <v>105</v>
      </c>
      <c r="F9" s="59">
        <v>443</v>
      </c>
      <c r="G9" s="49">
        <v>32</v>
      </c>
      <c r="H9" s="49">
        <v>32</v>
      </c>
      <c r="I9" s="41">
        <v>0</v>
      </c>
      <c r="J9" s="41">
        <v>0</v>
      </c>
      <c r="K9" s="41" t="s">
        <v>108</v>
      </c>
      <c r="L9" s="41" t="s">
        <v>114</v>
      </c>
      <c r="M9" s="41">
        <v>0</v>
      </c>
      <c r="N9" s="41">
        <v>0</v>
      </c>
      <c r="O9" s="41">
        <v>0</v>
      </c>
      <c r="P9" s="48">
        <v>0</v>
      </c>
    </row>
    <row r="10" spans="1:16" s="45" customFormat="1" ht="29.1" customHeight="1">
      <c r="A10" s="43">
        <v>5</v>
      </c>
      <c r="B10" s="41" t="s">
        <v>140</v>
      </c>
      <c r="C10" s="102" t="s">
        <v>75</v>
      </c>
      <c r="D10" s="43"/>
      <c r="E10" s="41" t="s">
        <v>105</v>
      </c>
      <c r="F10" s="59">
        <v>14</v>
      </c>
      <c r="G10" s="49">
        <v>14</v>
      </c>
      <c r="H10" s="49">
        <v>14</v>
      </c>
      <c r="I10" s="41">
        <v>0</v>
      </c>
      <c r="J10" s="41">
        <v>0</v>
      </c>
      <c r="K10" s="41" t="s">
        <v>106</v>
      </c>
      <c r="L10" s="41" t="s">
        <v>111</v>
      </c>
      <c r="M10" s="41">
        <v>0</v>
      </c>
      <c r="N10" s="41">
        <v>0</v>
      </c>
      <c r="O10" s="41">
        <v>0</v>
      </c>
      <c r="P10" s="48">
        <v>0</v>
      </c>
    </row>
    <row r="11" spans="1:16" s="45" customFormat="1" ht="29.1" customHeight="1">
      <c r="A11" s="43">
        <v>6</v>
      </c>
      <c r="B11" s="41" t="s">
        <v>140</v>
      </c>
      <c r="C11" s="102" t="s">
        <v>76</v>
      </c>
      <c r="D11" s="43"/>
      <c r="E11" s="41" t="s">
        <v>105</v>
      </c>
      <c r="F11" s="59">
        <v>60</v>
      </c>
      <c r="G11" s="49">
        <v>60</v>
      </c>
      <c r="H11" s="49">
        <v>60</v>
      </c>
      <c r="I11" s="41">
        <v>0</v>
      </c>
      <c r="J11" s="41">
        <v>0</v>
      </c>
      <c r="K11" s="41" t="s">
        <v>106</v>
      </c>
      <c r="L11" s="41" t="s">
        <v>107</v>
      </c>
      <c r="M11" s="41">
        <v>0</v>
      </c>
      <c r="N11" s="41">
        <v>0</v>
      </c>
      <c r="O11" s="41">
        <v>0</v>
      </c>
      <c r="P11" s="48">
        <v>0</v>
      </c>
    </row>
    <row r="12" spans="1:16" s="45" customFormat="1" ht="29.1" customHeight="1">
      <c r="A12" s="43">
        <v>7</v>
      </c>
      <c r="B12" s="41" t="s">
        <v>140</v>
      </c>
      <c r="C12" s="102" t="s">
        <v>77</v>
      </c>
      <c r="D12" s="43"/>
      <c r="E12" s="41" t="s">
        <v>105</v>
      </c>
      <c r="F12" s="59">
        <v>33</v>
      </c>
      <c r="G12" s="49">
        <v>33</v>
      </c>
      <c r="H12" s="49">
        <v>33</v>
      </c>
      <c r="I12" s="41">
        <v>0</v>
      </c>
      <c r="J12" s="41">
        <v>0</v>
      </c>
      <c r="K12" s="41" t="s">
        <v>108</v>
      </c>
      <c r="L12" s="41" t="s">
        <v>109</v>
      </c>
      <c r="M12" s="41">
        <v>0</v>
      </c>
      <c r="N12" s="41">
        <v>0</v>
      </c>
      <c r="O12" s="41">
        <v>0</v>
      </c>
      <c r="P12" s="48">
        <v>0</v>
      </c>
    </row>
    <row r="13" spans="1:16" s="45" customFormat="1" ht="29.1" customHeight="1">
      <c r="A13" s="43">
        <v>8</v>
      </c>
      <c r="B13" s="41" t="s">
        <v>140</v>
      </c>
      <c r="C13" s="102" t="s">
        <v>117</v>
      </c>
      <c r="D13" s="43"/>
      <c r="E13" s="41" t="s">
        <v>30</v>
      </c>
      <c r="F13" s="49">
        <v>682</v>
      </c>
      <c r="G13" s="49">
        <v>682</v>
      </c>
      <c r="H13" s="49">
        <v>682</v>
      </c>
      <c r="I13" s="41">
        <v>0</v>
      </c>
      <c r="J13" s="41">
        <v>0</v>
      </c>
      <c r="K13" s="41" t="s">
        <v>106</v>
      </c>
      <c r="L13" s="41" t="s">
        <v>111</v>
      </c>
      <c r="M13" s="41">
        <v>0</v>
      </c>
      <c r="N13" s="41">
        <v>0</v>
      </c>
      <c r="O13" s="41">
        <v>0</v>
      </c>
      <c r="P13" s="48">
        <v>0</v>
      </c>
    </row>
    <row r="14" spans="1:16" s="45" customFormat="1" ht="29.1" customHeight="1">
      <c r="A14" s="43">
        <v>9</v>
      </c>
      <c r="B14" s="41" t="s">
        <v>140</v>
      </c>
      <c r="C14" s="102" t="s">
        <v>78</v>
      </c>
      <c r="D14" s="43"/>
      <c r="E14" s="41" t="s">
        <v>30</v>
      </c>
      <c r="F14" s="59">
        <v>200</v>
      </c>
      <c r="G14" s="49">
        <v>200</v>
      </c>
      <c r="H14" s="49">
        <v>200</v>
      </c>
      <c r="I14" s="41">
        <v>0</v>
      </c>
      <c r="J14" s="41">
        <v>0</v>
      </c>
      <c r="K14" s="41" t="s">
        <v>106</v>
      </c>
      <c r="L14" s="41" t="s">
        <v>111</v>
      </c>
      <c r="M14" s="41">
        <v>0</v>
      </c>
      <c r="N14" s="41">
        <v>0</v>
      </c>
      <c r="O14" s="41">
        <v>0</v>
      </c>
      <c r="P14" s="48">
        <v>0</v>
      </c>
    </row>
    <row r="15" spans="1:16" s="45" customFormat="1" ht="29.1" customHeight="1">
      <c r="A15" s="43">
        <v>10</v>
      </c>
      <c r="B15" s="41" t="s">
        <v>140</v>
      </c>
      <c r="C15" s="102" t="s">
        <v>80</v>
      </c>
      <c r="D15" s="43"/>
      <c r="E15" s="41" t="s">
        <v>115</v>
      </c>
      <c r="F15" s="59">
        <v>627</v>
      </c>
      <c r="G15" s="49">
        <v>163</v>
      </c>
      <c r="H15" s="49">
        <v>163</v>
      </c>
      <c r="I15" s="41">
        <v>0</v>
      </c>
      <c r="J15" s="41">
        <v>0</v>
      </c>
      <c r="K15" s="41" t="s">
        <v>106</v>
      </c>
      <c r="L15" s="41" t="s">
        <v>111</v>
      </c>
      <c r="M15" s="41">
        <v>0</v>
      </c>
      <c r="N15" s="41">
        <v>0</v>
      </c>
      <c r="O15" s="41">
        <v>0</v>
      </c>
      <c r="P15" s="48"/>
    </row>
    <row r="16" spans="1:16" s="45" customFormat="1" ht="29.1" customHeight="1">
      <c r="A16" s="43">
        <v>11</v>
      </c>
      <c r="B16" s="41" t="s">
        <v>140</v>
      </c>
      <c r="C16" s="102" t="s">
        <v>81</v>
      </c>
      <c r="D16" s="43"/>
      <c r="E16" s="41" t="s">
        <v>105</v>
      </c>
      <c r="F16" s="59">
        <v>215</v>
      </c>
      <c r="G16" s="49">
        <v>215</v>
      </c>
      <c r="H16" s="49">
        <v>215</v>
      </c>
      <c r="I16" s="41">
        <v>0</v>
      </c>
      <c r="J16" s="41">
        <v>0</v>
      </c>
      <c r="K16" s="41" t="s">
        <v>106</v>
      </c>
      <c r="L16" s="41" t="s">
        <v>111</v>
      </c>
      <c r="M16" s="41">
        <v>0</v>
      </c>
      <c r="N16" s="41">
        <v>0</v>
      </c>
      <c r="O16" s="41">
        <v>0</v>
      </c>
      <c r="P16" s="48"/>
    </row>
    <row r="17" spans="1:16" s="45" customFormat="1" ht="29.1" customHeight="1">
      <c r="A17" s="43">
        <v>12</v>
      </c>
      <c r="B17" s="41" t="s">
        <v>140</v>
      </c>
      <c r="C17" s="102" t="s">
        <v>82</v>
      </c>
      <c r="D17" s="43"/>
      <c r="E17" s="41" t="s">
        <v>30</v>
      </c>
      <c r="F17" s="59">
        <v>431</v>
      </c>
      <c r="G17" s="49">
        <v>125</v>
      </c>
      <c r="H17" s="49">
        <v>125</v>
      </c>
      <c r="I17" s="41">
        <v>0</v>
      </c>
      <c r="J17" s="41">
        <v>0</v>
      </c>
      <c r="K17" s="41" t="s">
        <v>106</v>
      </c>
      <c r="L17" s="41" t="s">
        <v>111</v>
      </c>
      <c r="M17" s="41">
        <v>0</v>
      </c>
      <c r="N17" s="41">
        <v>0</v>
      </c>
      <c r="O17" s="41">
        <v>0</v>
      </c>
      <c r="P17" s="48"/>
    </row>
    <row r="18" spans="1:16" s="45" customFormat="1" ht="29.1" customHeight="1">
      <c r="A18" s="43">
        <v>13</v>
      </c>
      <c r="B18" s="41" t="s">
        <v>140</v>
      </c>
      <c r="C18" s="102" t="s">
        <v>83</v>
      </c>
      <c r="D18" s="43"/>
      <c r="E18" s="41" t="s">
        <v>30</v>
      </c>
      <c r="F18" s="59">
        <v>287</v>
      </c>
      <c r="G18" s="49">
        <v>23</v>
      </c>
      <c r="H18" s="49">
        <v>23</v>
      </c>
      <c r="I18" s="41">
        <v>0</v>
      </c>
      <c r="J18" s="41">
        <v>0</v>
      </c>
      <c r="K18" s="41" t="s">
        <v>106</v>
      </c>
      <c r="L18" s="41" t="s">
        <v>111</v>
      </c>
      <c r="M18" s="41">
        <v>0</v>
      </c>
      <c r="N18" s="41">
        <v>0</v>
      </c>
      <c r="O18" s="41">
        <v>0</v>
      </c>
      <c r="P18" s="48"/>
    </row>
    <row r="19" spans="1:16" s="45" customFormat="1" ht="29.1" customHeight="1">
      <c r="A19" s="43">
        <v>14</v>
      </c>
      <c r="B19" s="41" t="s">
        <v>140</v>
      </c>
      <c r="C19" s="102" t="s">
        <v>84</v>
      </c>
      <c r="D19" s="43"/>
      <c r="E19" s="41" t="s">
        <v>113</v>
      </c>
      <c r="F19" s="59">
        <v>159</v>
      </c>
      <c r="G19" s="49">
        <v>28</v>
      </c>
      <c r="H19" s="49">
        <v>28</v>
      </c>
      <c r="I19" s="41">
        <v>0</v>
      </c>
      <c r="J19" s="41">
        <v>0</v>
      </c>
      <c r="K19" s="41" t="s">
        <v>108</v>
      </c>
      <c r="L19" s="41" t="s">
        <v>114</v>
      </c>
      <c r="M19" s="41">
        <v>0</v>
      </c>
      <c r="N19" s="41">
        <v>0</v>
      </c>
      <c r="O19" s="41">
        <v>0</v>
      </c>
      <c r="P19" s="48">
        <v>0</v>
      </c>
    </row>
    <row r="20" spans="1:16" s="45" customFormat="1" ht="29.1" customHeight="1">
      <c r="A20" s="43">
        <v>15</v>
      </c>
      <c r="B20" s="41" t="s">
        <v>140</v>
      </c>
      <c r="C20" s="102" t="s">
        <v>85</v>
      </c>
      <c r="D20" s="43"/>
      <c r="E20" s="41" t="s">
        <v>105</v>
      </c>
      <c r="F20" s="59">
        <v>268</v>
      </c>
      <c r="G20" s="49">
        <v>68</v>
      </c>
      <c r="H20" s="49">
        <v>68</v>
      </c>
      <c r="I20" s="41">
        <v>0</v>
      </c>
      <c r="J20" s="41">
        <v>0</v>
      </c>
      <c r="K20" s="41" t="s">
        <v>108</v>
      </c>
      <c r="L20" s="41" t="s">
        <v>109</v>
      </c>
      <c r="M20" s="41">
        <v>0</v>
      </c>
      <c r="N20" s="41">
        <v>0</v>
      </c>
      <c r="O20" s="41">
        <v>0</v>
      </c>
      <c r="P20" s="48">
        <v>0</v>
      </c>
    </row>
    <row r="21" spans="1:16" s="45" customFormat="1" ht="29.1" customHeight="1">
      <c r="A21" s="43">
        <v>16</v>
      </c>
      <c r="B21" s="41" t="s">
        <v>140</v>
      </c>
      <c r="C21" s="102" t="s">
        <v>86</v>
      </c>
      <c r="D21" s="43"/>
      <c r="E21" s="41" t="s">
        <v>113</v>
      </c>
      <c r="F21" s="59">
        <v>43</v>
      </c>
      <c r="G21" s="49">
        <v>43</v>
      </c>
      <c r="H21" s="49">
        <v>43</v>
      </c>
      <c r="I21" s="41">
        <v>0</v>
      </c>
      <c r="J21" s="41">
        <v>0</v>
      </c>
      <c r="K21" s="41" t="s">
        <v>108</v>
      </c>
      <c r="L21" s="41" t="s">
        <v>114</v>
      </c>
      <c r="M21" s="41">
        <v>0</v>
      </c>
      <c r="N21" s="41">
        <v>0</v>
      </c>
      <c r="O21" s="41">
        <v>0</v>
      </c>
      <c r="P21" s="48">
        <v>0</v>
      </c>
    </row>
    <row r="22" spans="1:16" s="45" customFormat="1" ht="29.1" customHeight="1">
      <c r="A22" s="43">
        <v>17</v>
      </c>
      <c r="B22" s="41" t="s">
        <v>140</v>
      </c>
      <c r="C22" s="43" t="s">
        <v>125</v>
      </c>
      <c r="D22" s="43"/>
      <c r="E22" s="41" t="s">
        <v>30</v>
      </c>
      <c r="F22" s="49">
        <v>75</v>
      </c>
      <c r="G22" s="49">
        <v>75</v>
      </c>
      <c r="H22" s="49">
        <v>75</v>
      </c>
      <c r="I22" s="41">
        <v>0</v>
      </c>
      <c r="J22" s="41">
        <v>0</v>
      </c>
      <c r="K22" s="41" t="s">
        <v>106</v>
      </c>
      <c r="L22" s="41" t="s">
        <v>111</v>
      </c>
      <c r="M22" s="41">
        <v>0</v>
      </c>
      <c r="N22" s="41">
        <v>0</v>
      </c>
      <c r="O22" s="41">
        <v>0</v>
      </c>
      <c r="P22" s="48">
        <v>0</v>
      </c>
    </row>
    <row r="23" spans="1:16" s="45" customFormat="1" ht="29.1" customHeight="1">
      <c r="A23" s="43">
        <v>18</v>
      </c>
      <c r="B23" s="41" t="s">
        <v>140</v>
      </c>
      <c r="C23" s="102" t="s">
        <v>87</v>
      </c>
      <c r="D23" s="43"/>
      <c r="E23" s="41" t="s">
        <v>113</v>
      </c>
      <c r="F23" s="59">
        <v>33</v>
      </c>
      <c r="G23" s="49">
        <v>33</v>
      </c>
      <c r="H23" s="49">
        <v>33</v>
      </c>
      <c r="I23" s="41">
        <v>0</v>
      </c>
      <c r="J23" s="41">
        <v>0</v>
      </c>
      <c r="K23" s="41" t="s">
        <v>108</v>
      </c>
      <c r="L23" s="41" t="s">
        <v>114</v>
      </c>
      <c r="M23" s="41">
        <v>0</v>
      </c>
      <c r="N23" s="41">
        <v>0</v>
      </c>
      <c r="O23" s="41">
        <v>0</v>
      </c>
      <c r="P23" s="48">
        <v>0</v>
      </c>
    </row>
    <row r="24" spans="1:16" s="45" customFormat="1" ht="29.1" customHeight="1">
      <c r="A24" s="43">
        <v>19</v>
      </c>
      <c r="B24" s="41" t="s">
        <v>140</v>
      </c>
      <c r="C24" s="102" t="s">
        <v>88</v>
      </c>
      <c r="D24" s="43"/>
      <c r="E24" s="41" t="s">
        <v>105</v>
      </c>
      <c r="F24" s="59">
        <v>152</v>
      </c>
      <c r="G24" s="49">
        <v>152</v>
      </c>
      <c r="H24" s="49">
        <v>152</v>
      </c>
      <c r="I24" s="41">
        <v>0</v>
      </c>
      <c r="J24" s="41">
        <v>0</v>
      </c>
      <c r="K24" s="41" t="s">
        <v>108</v>
      </c>
      <c r="L24" s="41" t="s">
        <v>109</v>
      </c>
      <c r="M24" s="41">
        <v>0</v>
      </c>
      <c r="N24" s="41">
        <v>0</v>
      </c>
      <c r="O24" s="41">
        <v>0</v>
      </c>
      <c r="P24" s="48">
        <v>0</v>
      </c>
    </row>
    <row r="25" spans="1:16" s="45" customFormat="1" ht="29.1" customHeight="1">
      <c r="A25" s="43">
        <v>20</v>
      </c>
      <c r="B25" s="41" t="s">
        <v>140</v>
      </c>
      <c r="C25" s="102" t="s">
        <v>89</v>
      </c>
      <c r="D25" s="43"/>
      <c r="E25" s="41" t="s">
        <v>105</v>
      </c>
      <c r="F25" s="59">
        <v>354</v>
      </c>
      <c r="G25" s="49">
        <v>336</v>
      </c>
      <c r="H25" s="49">
        <v>336</v>
      </c>
      <c r="I25" s="41">
        <v>0</v>
      </c>
      <c r="J25" s="41">
        <v>0</v>
      </c>
      <c r="K25" s="41" t="s">
        <v>106</v>
      </c>
      <c r="L25" s="41" t="s">
        <v>111</v>
      </c>
      <c r="M25" s="41">
        <v>0</v>
      </c>
      <c r="N25" s="41">
        <v>0</v>
      </c>
      <c r="O25" s="41">
        <v>0</v>
      </c>
      <c r="P25" s="48">
        <v>0</v>
      </c>
    </row>
    <row r="26" spans="1:16" s="45" customFormat="1" ht="29.1" customHeight="1">
      <c r="A26" s="43">
        <v>21</v>
      </c>
      <c r="B26" s="41" t="s">
        <v>140</v>
      </c>
      <c r="C26" s="102" t="s">
        <v>90</v>
      </c>
      <c r="D26" s="43"/>
      <c r="E26" s="41" t="s">
        <v>105</v>
      </c>
      <c r="F26" s="59">
        <v>2079</v>
      </c>
      <c r="G26" s="49">
        <v>22</v>
      </c>
      <c r="H26" s="49">
        <v>22</v>
      </c>
      <c r="I26" s="41">
        <v>0</v>
      </c>
      <c r="J26" s="41">
        <v>0</v>
      </c>
      <c r="K26" s="41" t="s">
        <v>108</v>
      </c>
      <c r="L26" s="41" t="s">
        <v>114</v>
      </c>
      <c r="M26" s="41">
        <v>0</v>
      </c>
      <c r="N26" s="41">
        <v>0</v>
      </c>
      <c r="O26" s="41">
        <v>0</v>
      </c>
      <c r="P26" s="48">
        <v>0</v>
      </c>
    </row>
    <row r="27" spans="1:16" ht="29.1" customHeight="1">
      <c r="A27" s="43">
        <v>22</v>
      </c>
      <c r="B27" s="41" t="s">
        <v>140</v>
      </c>
      <c r="C27" s="102" t="s">
        <v>91</v>
      </c>
      <c r="D27" s="43"/>
      <c r="E27" s="41" t="s">
        <v>113</v>
      </c>
      <c r="F27" s="59">
        <v>1626</v>
      </c>
      <c r="G27" s="49">
        <v>24</v>
      </c>
      <c r="H27" s="49">
        <v>24</v>
      </c>
      <c r="I27" s="41">
        <v>0</v>
      </c>
      <c r="J27" s="41">
        <v>0</v>
      </c>
      <c r="K27" s="41" t="s">
        <v>108</v>
      </c>
      <c r="L27" s="41" t="s">
        <v>114</v>
      </c>
      <c r="M27" s="41">
        <v>0</v>
      </c>
      <c r="N27" s="41">
        <v>0</v>
      </c>
      <c r="O27" s="41">
        <v>0</v>
      </c>
      <c r="P27" s="48">
        <v>0</v>
      </c>
    </row>
    <row r="28" spans="1:16" ht="29.1" customHeight="1">
      <c r="A28" s="43">
        <v>23</v>
      </c>
      <c r="B28" s="41" t="s">
        <v>140</v>
      </c>
      <c r="C28" s="43" t="s">
        <v>127</v>
      </c>
      <c r="D28" s="43"/>
      <c r="E28" s="41" t="s">
        <v>30</v>
      </c>
      <c r="F28" s="49">
        <v>75</v>
      </c>
      <c r="G28" s="49">
        <v>75</v>
      </c>
      <c r="H28" s="49">
        <v>75</v>
      </c>
      <c r="I28" s="41">
        <v>0</v>
      </c>
      <c r="J28" s="41">
        <v>0</v>
      </c>
      <c r="K28" s="41" t="s">
        <v>106</v>
      </c>
      <c r="L28" s="41" t="s">
        <v>111</v>
      </c>
      <c r="M28" s="41">
        <v>0</v>
      </c>
      <c r="N28" s="41">
        <v>0</v>
      </c>
      <c r="O28" s="41">
        <v>0</v>
      </c>
      <c r="P28" s="48">
        <v>0</v>
      </c>
    </row>
    <row r="29" spans="1:16" ht="29.1" customHeight="1">
      <c r="A29" s="43">
        <v>24</v>
      </c>
      <c r="B29" s="41" t="s">
        <v>140</v>
      </c>
      <c r="C29" s="102" t="s">
        <v>72</v>
      </c>
      <c r="D29" s="43"/>
      <c r="E29" s="41" t="s">
        <v>105</v>
      </c>
      <c r="F29" s="59">
        <v>40</v>
      </c>
      <c r="G29" s="49">
        <v>40</v>
      </c>
      <c r="H29" s="49">
        <v>40</v>
      </c>
      <c r="I29" s="41">
        <v>0</v>
      </c>
      <c r="J29" s="41">
        <v>0</v>
      </c>
      <c r="K29" s="41" t="s">
        <v>106</v>
      </c>
      <c r="L29" s="41" t="s">
        <v>111</v>
      </c>
      <c r="M29" s="41">
        <v>0</v>
      </c>
      <c r="N29" s="41">
        <v>0</v>
      </c>
      <c r="O29" s="41">
        <v>0</v>
      </c>
      <c r="P29" s="48">
        <v>0</v>
      </c>
    </row>
    <row r="30" spans="1:16" ht="29.1" customHeight="1">
      <c r="A30" s="43">
        <v>25</v>
      </c>
      <c r="B30" s="41" t="s">
        <v>140</v>
      </c>
      <c r="C30" s="102" t="s">
        <v>92</v>
      </c>
      <c r="D30" s="43"/>
      <c r="E30" s="41" t="s">
        <v>105</v>
      </c>
      <c r="F30" s="59">
        <v>39</v>
      </c>
      <c r="G30" s="49">
        <v>39</v>
      </c>
      <c r="H30" s="49">
        <v>39</v>
      </c>
      <c r="I30" s="41">
        <v>0</v>
      </c>
      <c r="J30" s="41">
        <v>0</v>
      </c>
      <c r="K30" s="41" t="s">
        <v>106</v>
      </c>
      <c r="L30" s="41" t="s">
        <v>111</v>
      </c>
      <c r="M30" s="41">
        <v>0</v>
      </c>
      <c r="N30" s="41">
        <v>0</v>
      </c>
      <c r="O30" s="41">
        <v>0</v>
      </c>
      <c r="P30" s="48">
        <v>0</v>
      </c>
    </row>
    <row r="31" spans="1:16" ht="29.1" customHeight="1">
      <c r="A31" s="43">
        <v>26</v>
      </c>
      <c r="B31" s="41" t="s">
        <v>140</v>
      </c>
      <c r="C31" s="102" t="s">
        <v>93</v>
      </c>
      <c r="D31" s="43"/>
      <c r="E31" s="41" t="s">
        <v>105</v>
      </c>
      <c r="F31" s="59">
        <v>205</v>
      </c>
      <c r="G31" s="49">
        <v>205</v>
      </c>
      <c r="H31" s="49">
        <v>205</v>
      </c>
      <c r="I31" s="41">
        <v>0</v>
      </c>
      <c r="J31" s="41">
        <v>0</v>
      </c>
      <c r="K31" s="41" t="s">
        <v>106</v>
      </c>
      <c r="L31" s="41" t="s">
        <v>111</v>
      </c>
      <c r="M31" s="41">
        <v>0</v>
      </c>
      <c r="N31" s="41">
        <v>0</v>
      </c>
      <c r="O31" s="41"/>
      <c r="P31" s="48">
        <v>0</v>
      </c>
    </row>
    <row r="32" spans="1:16" ht="29.1" customHeight="1">
      <c r="A32" s="43">
        <v>27</v>
      </c>
      <c r="B32" s="41" t="s">
        <v>140</v>
      </c>
      <c r="C32" s="43" t="s">
        <v>128</v>
      </c>
      <c r="D32" s="43"/>
      <c r="E32" s="41" t="s">
        <v>30</v>
      </c>
      <c r="F32" s="49">
        <v>74</v>
      </c>
      <c r="G32" s="49">
        <v>74</v>
      </c>
      <c r="H32" s="49">
        <v>74</v>
      </c>
      <c r="I32" s="41">
        <v>0</v>
      </c>
      <c r="J32" s="41">
        <v>0</v>
      </c>
      <c r="K32" s="41" t="s">
        <v>106</v>
      </c>
      <c r="L32" s="41" t="s">
        <v>111</v>
      </c>
      <c r="M32" s="41">
        <v>0</v>
      </c>
      <c r="N32" s="41">
        <v>0</v>
      </c>
      <c r="O32" s="41">
        <v>0</v>
      </c>
      <c r="P32" s="48">
        <v>0</v>
      </c>
    </row>
    <row r="33" spans="1:16" ht="29.1" customHeight="1">
      <c r="A33" s="43">
        <v>28</v>
      </c>
      <c r="B33" s="41" t="s">
        <v>140</v>
      </c>
      <c r="C33" s="102" t="s">
        <v>116</v>
      </c>
      <c r="D33" s="43"/>
      <c r="E33" s="41" t="s">
        <v>30</v>
      </c>
      <c r="F33" s="59">
        <v>1629</v>
      </c>
      <c r="G33" s="49">
        <v>364</v>
      </c>
      <c r="H33" s="49">
        <v>364</v>
      </c>
      <c r="I33" s="41">
        <v>0</v>
      </c>
      <c r="J33" s="41">
        <v>0</v>
      </c>
      <c r="K33" s="41" t="s">
        <v>106</v>
      </c>
      <c r="L33" s="41" t="s">
        <v>111</v>
      </c>
      <c r="M33" s="41">
        <v>0</v>
      </c>
      <c r="N33" s="41">
        <v>0</v>
      </c>
      <c r="O33" s="41">
        <v>0</v>
      </c>
      <c r="P33" s="48">
        <v>0</v>
      </c>
    </row>
    <row r="34" spans="1:16" ht="29.1" customHeight="1">
      <c r="A34" s="43">
        <v>29</v>
      </c>
      <c r="B34" s="41" t="s">
        <v>140</v>
      </c>
      <c r="C34" s="102" t="s">
        <v>94</v>
      </c>
      <c r="D34" s="43"/>
      <c r="E34" s="41" t="s">
        <v>105</v>
      </c>
      <c r="F34" s="59">
        <v>68</v>
      </c>
      <c r="G34" s="49">
        <v>68</v>
      </c>
      <c r="H34" s="49">
        <v>68</v>
      </c>
      <c r="I34" s="41">
        <v>0</v>
      </c>
      <c r="J34" s="41">
        <v>0</v>
      </c>
      <c r="K34" s="41" t="s">
        <v>106</v>
      </c>
      <c r="L34" s="41" t="s">
        <v>111</v>
      </c>
      <c r="M34" s="41">
        <v>0</v>
      </c>
      <c r="N34" s="41">
        <v>0</v>
      </c>
      <c r="O34" s="41">
        <v>0</v>
      </c>
      <c r="P34" s="48">
        <v>0</v>
      </c>
    </row>
    <row r="35" spans="1:16" ht="29.1" customHeight="1">
      <c r="A35" s="43">
        <v>30</v>
      </c>
      <c r="B35" s="41" t="s">
        <v>140</v>
      </c>
      <c r="C35" s="102" t="s">
        <v>95</v>
      </c>
      <c r="D35" s="43"/>
      <c r="E35" s="41" t="s">
        <v>105</v>
      </c>
      <c r="F35" s="59">
        <v>522</v>
      </c>
      <c r="G35" s="49">
        <v>522</v>
      </c>
      <c r="H35" s="49">
        <v>522</v>
      </c>
      <c r="I35" s="41">
        <v>0</v>
      </c>
      <c r="J35" s="41">
        <v>0</v>
      </c>
      <c r="K35" s="41" t="s">
        <v>106</v>
      </c>
      <c r="L35" s="41" t="s">
        <v>107</v>
      </c>
      <c r="M35" s="41">
        <v>0</v>
      </c>
      <c r="N35" s="41">
        <v>0</v>
      </c>
      <c r="O35" s="41">
        <v>0</v>
      </c>
      <c r="P35" s="48">
        <v>0</v>
      </c>
    </row>
    <row r="36" spans="1:16" ht="29.1" customHeight="1">
      <c r="A36" s="43">
        <v>31</v>
      </c>
      <c r="B36" s="41" t="s">
        <v>140</v>
      </c>
      <c r="C36" s="102" t="s">
        <v>79</v>
      </c>
      <c r="D36" s="43"/>
      <c r="E36" s="41" t="s">
        <v>105</v>
      </c>
      <c r="F36" s="59">
        <v>43</v>
      </c>
      <c r="G36" s="49">
        <v>43</v>
      </c>
      <c r="H36" s="49">
        <v>43</v>
      </c>
      <c r="I36" s="41">
        <v>0</v>
      </c>
      <c r="J36" s="41">
        <v>0</v>
      </c>
      <c r="K36" s="41" t="s">
        <v>108</v>
      </c>
      <c r="L36" s="41" t="s">
        <v>109</v>
      </c>
      <c r="M36" s="41">
        <v>0</v>
      </c>
      <c r="N36" s="41">
        <v>0</v>
      </c>
      <c r="O36" s="41">
        <v>0</v>
      </c>
      <c r="P36" s="48">
        <v>0</v>
      </c>
    </row>
    <row r="37" spans="1:16" ht="29.1" customHeight="1">
      <c r="A37" s="43">
        <v>32</v>
      </c>
      <c r="B37" s="41" t="s">
        <v>140</v>
      </c>
      <c r="C37" s="102" t="s">
        <v>96</v>
      </c>
      <c r="D37" s="43"/>
      <c r="E37" s="41" t="s">
        <v>30</v>
      </c>
      <c r="F37" s="59">
        <v>535</v>
      </c>
      <c r="G37" s="49">
        <v>3</v>
      </c>
      <c r="H37" s="49">
        <v>3</v>
      </c>
      <c r="I37" s="41">
        <v>0</v>
      </c>
      <c r="J37" s="41">
        <v>0</v>
      </c>
      <c r="K37" s="41" t="s">
        <v>135</v>
      </c>
      <c r="L37" s="41" t="s">
        <v>136</v>
      </c>
      <c r="M37" s="41">
        <v>0</v>
      </c>
      <c r="N37" s="41">
        <v>0</v>
      </c>
      <c r="O37" s="41">
        <v>0</v>
      </c>
      <c r="P37" s="48"/>
    </row>
    <row r="38" spans="1:16" ht="29.1" customHeight="1">
      <c r="A38" s="43">
        <v>33</v>
      </c>
      <c r="B38" s="41" t="s">
        <v>140</v>
      </c>
      <c r="C38" s="102" t="s">
        <v>97</v>
      </c>
      <c r="D38" s="43"/>
      <c r="E38" s="41" t="s">
        <v>105</v>
      </c>
      <c r="F38" s="59">
        <v>1</v>
      </c>
      <c r="G38" s="49">
        <v>1</v>
      </c>
      <c r="H38" s="49">
        <v>1</v>
      </c>
      <c r="I38" s="41">
        <v>0</v>
      </c>
      <c r="J38" s="41">
        <v>0</v>
      </c>
      <c r="K38" s="41" t="s">
        <v>106</v>
      </c>
      <c r="L38" s="41" t="s">
        <v>111</v>
      </c>
      <c r="M38" s="41">
        <v>0</v>
      </c>
      <c r="N38" s="41">
        <v>0</v>
      </c>
      <c r="O38" s="41">
        <v>0</v>
      </c>
      <c r="P38" s="48">
        <v>0</v>
      </c>
    </row>
    <row r="39" spans="1:16" ht="29.1" customHeight="1">
      <c r="A39" s="43">
        <v>34</v>
      </c>
      <c r="B39" s="41" t="s">
        <v>140</v>
      </c>
      <c r="C39" s="102" t="s">
        <v>60</v>
      </c>
      <c r="D39" s="43"/>
      <c r="E39" s="41" t="s">
        <v>105</v>
      </c>
      <c r="F39" s="59">
        <v>5</v>
      </c>
      <c r="G39" s="49">
        <v>5</v>
      </c>
      <c r="H39" s="49">
        <v>5</v>
      </c>
      <c r="I39" s="41">
        <v>0</v>
      </c>
      <c r="J39" s="41">
        <v>0</v>
      </c>
      <c r="K39" s="41" t="s">
        <v>108</v>
      </c>
      <c r="L39" s="41" t="s">
        <v>110</v>
      </c>
      <c r="M39" s="41">
        <v>0</v>
      </c>
      <c r="N39" s="41">
        <v>0</v>
      </c>
      <c r="O39" s="41">
        <v>0</v>
      </c>
      <c r="P39" s="48">
        <v>0</v>
      </c>
    </row>
    <row r="40" spans="1:16" ht="29.1" customHeight="1">
      <c r="A40" s="43">
        <v>35</v>
      </c>
      <c r="B40" s="41" t="s">
        <v>140</v>
      </c>
      <c r="C40" s="102" t="s">
        <v>59</v>
      </c>
      <c r="D40" s="43"/>
      <c r="E40" s="41" t="s">
        <v>105</v>
      </c>
      <c r="F40" s="59">
        <v>228</v>
      </c>
      <c r="G40" s="49">
        <v>228</v>
      </c>
      <c r="H40" s="49">
        <v>228</v>
      </c>
      <c r="I40" s="41">
        <v>0</v>
      </c>
      <c r="J40" s="41">
        <v>0</v>
      </c>
      <c r="K40" s="41" t="s">
        <v>108</v>
      </c>
      <c r="L40" s="41" t="s">
        <v>109</v>
      </c>
      <c r="M40" s="41">
        <v>0</v>
      </c>
      <c r="N40" s="41">
        <v>0</v>
      </c>
      <c r="O40" s="41">
        <v>0</v>
      </c>
      <c r="P40" s="48">
        <v>0</v>
      </c>
    </row>
    <row r="41" spans="1:16" ht="29.1" customHeight="1">
      <c r="A41" s="43">
        <v>36</v>
      </c>
      <c r="B41" s="41" t="s">
        <v>140</v>
      </c>
      <c r="C41" s="102" t="s">
        <v>98</v>
      </c>
      <c r="D41" s="43"/>
      <c r="E41" s="41" t="s">
        <v>105</v>
      </c>
      <c r="F41" s="59">
        <v>43</v>
      </c>
      <c r="G41" s="49">
        <v>43</v>
      </c>
      <c r="H41" s="49">
        <v>43</v>
      </c>
      <c r="I41" s="41">
        <v>0</v>
      </c>
      <c r="J41" s="41">
        <v>0</v>
      </c>
      <c r="K41" s="41" t="s">
        <v>106</v>
      </c>
      <c r="L41" s="41" t="s">
        <v>111</v>
      </c>
      <c r="M41" s="41">
        <v>0</v>
      </c>
      <c r="N41" s="41">
        <v>0</v>
      </c>
      <c r="O41" s="41"/>
      <c r="P41" s="48">
        <v>0</v>
      </c>
    </row>
    <row r="42" spans="1:16" ht="29.1" customHeight="1">
      <c r="A42" s="43">
        <v>37</v>
      </c>
      <c r="B42" s="41" t="s">
        <v>140</v>
      </c>
      <c r="C42" s="102" t="s">
        <v>61</v>
      </c>
      <c r="D42" s="43"/>
      <c r="E42" s="41" t="s">
        <v>30</v>
      </c>
      <c r="F42" s="59">
        <v>395</v>
      </c>
      <c r="G42" s="49">
        <v>37</v>
      </c>
      <c r="H42" s="49">
        <v>37</v>
      </c>
      <c r="I42" s="41">
        <v>0</v>
      </c>
      <c r="J42" s="41">
        <v>0</v>
      </c>
      <c r="K42" s="41" t="s">
        <v>106</v>
      </c>
      <c r="L42" s="41" t="s">
        <v>111</v>
      </c>
      <c r="M42" s="41">
        <v>0</v>
      </c>
      <c r="N42" s="41">
        <v>0</v>
      </c>
      <c r="O42" s="41">
        <v>0</v>
      </c>
      <c r="P42" s="48"/>
    </row>
    <row r="43" spans="1:16" ht="29.1" customHeight="1">
      <c r="A43" s="43">
        <v>38</v>
      </c>
      <c r="B43" s="41" t="s">
        <v>140</v>
      </c>
      <c r="C43" s="102" t="s">
        <v>99</v>
      </c>
      <c r="D43" s="43"/>
      <c r="E43" s="41" t="s">
        <v>105</v>
      </c>
      <c r="F43" s="59">
        <v>3</v>
      </c>
      <c r="G43" s="49">
        <v>3</v>
      </c>
      <c r="H43" s="49">
        <v>3</v>
      </c>
      <c r="I43" s="41">
        <v>0</v>
      </c>
      <c r="J43" s="41">
        <v>0</v>
      </c>
      <c r="K43" s="41" t="s">
        <v>106</v>
      </c>
      <c r="L43" s="41" t="s">
        <v>111</v>
      </c>
      <c r="M43" s="41">
        <v>0</v>
      </c>
      <c r="N43" s="41">
        <v>0</v>
      </c>
      <c r="O43" s="41"/>
      <c r="P43" s="48">
        <v>0</v>
      </c>
    </row>
    <row r="44" spans="1:16" ht="29.1" customHeight="1">
      <c r="A44" s="43">
        <v>39</v>
      </c>
      <c r="B44" s="41" t="s">
        <v>140</v>
      </c>
      <c r="C44" s="102" t="s">
        <v>62</v>
      </c>
      <c r="D44" s="43"/>
      <c r="E44" s="41" t="s">
        <v>112</v>
      </c>
      <c r="F44" s="59">
        <v>35046</v>
      </c>
      <c r="G44" s="49">
        <v>2047</v>
      </c>
      <c r="H44" s="49">
        <v>2047</v>
      </c>
      <c r="I44" s="41">
        <v>0</v>
      </c>
      <c r="J44" s="41">
        <v>0</v>
      </c>
      <c r="K44" s="41" t="s">
        <v>108</v>
      </c>
      <c r="L44" s="41" t="s">
        <v>109</v>
      </c>
      <c r="M44" s="41">
        <v>0</v>
      </c>
      <c r="N44" s="41">
        <v>0</v>
      </c>
      <c r="O44" s="41">
        <v>0</v>
      </c>
      <c r="P44" s="48">
        <v>0</v>
      </c>
    </row>
    <row r="45" spans="1:16" ht="29.1" customHeight="1">
      <c r="A45" s="43">
        <v>40</v>
      </c>
      <c r="B45" s="41" t="s">
        <v>140</v>
      </c>
      <c r="C45" s="43" t="s">
        <v>126</v>
      </c>
      <c r="D45" s="43"/>
      <c r="E45" s="41" t="s">
        <v>105</v>
      </c>
      <c r="F45" s="49">
        <v>276</v>
      </c>
      <c r="G45" s="49">
        <v>276</v>
      </c>
      <c r="H45" s="49">
        <v>276</v>
      </c>
      <c r="I45" s="41">
        <v>0</v>
      </c>
      <c r="J45" s="41">
        <v>0</v>
      </c>
      <c r="K45" s="41" t="s">
        <v>106</v>
      </c>
      <c r="L45" s="41" t="s">
        <v>111</v>
      </c>
      <c r="M45" s="41">
        <v>0</v>
      </c>
      <c r="N45" s="41">
        <v>0</v>
      </c>
      <c r="O45" s="41"/>
      <c r="P45" s="48">
        <v>0</v>
      </c>
    </row>
    <row r="46" spans="1:16" ht="29.1" customHeight="1">
      <c r="A46" s="43">
        <v>41</v>
      </c>
      <c r="B46" s="41" t="s">
        <v>140</v>
      </c>
      <c r="C46" s="102" t="s">
        <v>63</v>
      </c>
      <c r="D46" s="43"/>
      <c r="E46" s="41" t="s">
        <v>105</v>
      </c>
      <c r="F46" s="59">
        <v>139</v>
      </c>
      <c r="G46" s="49">
        <v>139</v>
      </c>
      <c r="H46" s="49">
        <v>139</v>
      </c>
      <c r="I46" s="41">
        <v>0</v>
      </c>
      <c r="J46" s="41">
        <v>0</v>
      </c>
      <c r="K46" s="41" t="s">
        <v>108</v>
      </c>
      <c r="L46" s="41" t="s">
        <v>109</v>
      </c>
      <c r="M46" s="41">
        <v>0</v>
      </c>
      <c r="N46" s="41">
        <v>0</v>
      </c>
      <c r="O46" s="41">
        <v>0</v>
      </c>
      <c r="P46" s="48">
        <v>0</v>
      </c>
    </row>
    <row r="47" spans="1:16" ht="29.1" customHeight="1">
      <c r="A47" s="43">
        <v>42</v>
      </c>
      <c r="B47" s="41" t="s">
        <v>140</v>
      </c>
      <c r="C47" s="102" t="s">
        <v>100</v>
      </c>
      <c r="D47" s="43"/>
      <c r="E47" s="41" t="s">
        <v>105</v>
      </c>
      <c r="F47" s="59">
        <v>13</v>
      </c>
      <c r="G47" s="49">
        <v>13</v>
      </c>
      <c r="H47" s="49">
        <v>13</v>
      </c>
      <c r="I47" s="41">
        <v>0</v>
      </c>
      <c r="J47" s="41">
        <v>0</v>
      </c>
      <c r="K47" s="41" t="s">
        <v>106</v>
      </c>
      <c r="L47" s="41" t="s">
        <v>111</v>
      </c>
      <c r="M47" s="41">
        <v>0</v>
      </c>
      <c r="N47" s="41">
        <v>0</v>
      </c>
      <c r="O47" s="41"/>
      <c r="P47" s="48">
        <v>0</v>
      </c>
    </row>
    <row r="48" spans="1:16" ht="29.1" customHeight="1">
      <c r="A48" s="43">
        <v>43</v>
      </c>
      <c r="B48" s="41" t="s">
        <v>140</v>
      </c>
      <c r="C48" s="102">
        <v>505</v>
      </c>
      <c r="D48" s="43"/>
      <c r="E48" s="41" t="s">
        <v>113</v>
      </c>
      <c r="F48" s="59">
        <v>175</v>
      </c>
      <c r="G48" s="49">
        <v>33</v>
      </c>
      <c r="H48" s="49">
        <v>33</v>
      </c>
      <c r="I48" s="41">
        <v>0</v>
      </c>
      <c r="J48" s="41">
        <v>0</v>
      </c>
      <c r="K48" s="41" t="s">
        <v>108</v>
      </c>
      <c r="L48" s="41" t="s">
        <v>114</v>
      </c>
      <c r="M48" s="41">
        <v>0</v>
      </c>
      <c r="N48" s="41">
        <v>0</v>
      </c>
      <c r="O48" s="41">
        <v>0</v>
      </c>
      <c r="P48" s="48">
        <v>0</v>
      </c>
    </row>
    <row r="49" spans="1:16" ht="29.1" customHeight="1">
      <c r="A49" s="43">
        <v>44</v>
      </c>
      <c r="B49" s="41" t="s">
        <v>139</v>
      </c>
      <c r="C49" s="102" t="s">
        <v>64</v>
      </c>
      <c r="D49" s="43"/>
      <c r="E49" s="41" t="s">
        <v>112</v>
      </c>
      <c r="F49" s="59">
        <v>406641</v>
      </c>
      <c r="G49" s="49">
        <v>2329</v>
      </c>
      <c r="H49" s="49">
        <v>2329</v>
      </c>
      <c r="I49" s="41">
        <v>0</v>
      </c>
      <c r="J49" s="41">
        <v>0</v>
      </c>
      <c r="K49" s="41" t="s">
        <v>108</v>
      </c>
      <c r="L49" s="41" t="s">
        <v>109</v>
      </c>
      <c r="M49" s="41">
        <v>0</v>
      </c>
      <c r="N49" s="41">
        <v>0</v>
      </c>
      <c r="O49" s="41">
        <v>0</v>
      </c>
      <c r="P49" s="48">
        <v>0</v>
      </c>
    </row>
    <row r="50" spans="1:16" ht="29.1" customHeight="1">
      <c r="A50" s="43">
        <v>45</v>
      </c>
      <c r="B50" s="41" t="s">
        <v>139</v>
      </c>
      <c r="C50" s="43" t="s">
        <v>129</v>
      </c>
      <c r="D50" s="43"/>
      <c r="E50" s="41" t="s">
        <v>112</v>
      </c>
      <c r="F50" s="49">
        <v>58</v>
      </c>
      <c r="G50" s="49">
        <v>58</v>
      </c>
      <c r="H50" s="49">
        <v>58</v>
      </c>
      <c r="I50" s="41">
        <v>0</v>
      </c>
      <c r="J50" s="41">
        <v>0</v>
      </c>
      <c r="K50" s="41" t="s">
        <v>106</v>
      </c>
      <c r="L50" s="41" t="s">
        <v>111</v>
      </c>
      <c r="M50" s="41">
        <v>0</v>
      </c>
      <c r="N50" s="41">
        <v>0</v>
      </c>
      <c r="O50" s="41">
        <v>0</v>
      </c>
      <c r="P50" s="48">
        <v>0</v>
      </c>
    </row>
    <row r="51" spans="1:16" ht="29.1" customHeight="1">
      <c r="A51" s="43">
        <v>46</v>
      </c>
      <c r="B51" s="41" t="s">
        <v>139</v>
      </c>
      <c r="C51" s="102" t="s">
        <v>101</v>
      </c>
      <c r="D51" s="43"/>
      <c r="E51" s="41" t="s">
        <v>105</v>
      </c>
      <c r="F51" s="59">
        <v>7</v>
      </c>
      <c r="G51" s="49">
        <v>7</v>
      </c>
      <c r="H51" s="49">
        <v>7</v>
      </c>
      <c r="I51" s="41">
        <v>0</v>
      </c>
      <c r="J51" s="41">
        <v>0</v>
      </c>
      <c r="K51" s="41" t="s">
        <v>106</v>
      </c>
      <c r="L51" s="41" t="s">
        <v>111</v>
      </c>
      <c r="M51" s="41">
        <v>0</v>
      </c>
      <c r="N51" s="41">
        <v>0</v>
      </c>
      <c r="O51" s="41">
        <v>0</v>
      </c>
      <c r="P51" s="48">
        <v>0</v>
      </c>
    </row>
    <row r="52" spans="1:16" ht="29.1" customHeight="1">
      <c r="A52" s="43">
        <v>47</v>
      </c>
      <c r="B52" s="41" t="s">
        <v>139</v>
      </c>
      <c r="C52" s="102" t="s">
        <v>102</v>
      </c>
      <c r="D52" s="43"/>
      <c r="E52" s="41" t="s">
        <v>112</v>
      </c>
      <c r="F52" s="59">
        <v>1474</v>
      </c>
      <c r="G52" s="49">
        <v>103</v>
      </c>
      <c r="H52" s="49">
        <v>103</v>
      </c>
      <c r="I52" s="41">
        <v>0</v>
      </c>
      <c r="J52" s="41">
        <v>0</v>
      </c>
      <c r="K52" s="41" t="s">
        <v>108</v>
      </c>
      <c r="L52" s="41" t="s">
        <v>109</v>
      </c>
      <c r="M52" s="41">
        <v>0</v>
      </c>
      <c r="N52" s="41">
        <v>0</v>
      </c>
      <c r="O52" s="41">
        <v>0</v>
      </c>
      <c r="P52" s="48">
        <v>0</v>
      </c>
    </row>
    <row r="53" spans="1:16" ht="29.1" customHeight="1">
      <c r="A53" s="43">
        <v>48</v>
      </c>
      <c r="B53" s="41" t="s">
        <v>139</v>
      </c>
      <c r="C53" s="102" t="s">
        <v>103</v>
      </c>
      <c r="D53" s="43"/>
      <c r="E53" s="41" t="s">
        <v>105</v>
      </c>
      <c r="F53" s="59">
        <v>1</v>
      </c>
      <c r="G53" s="49">
        <v>1</v>
      </c>
      <c r="H53" s="49">
        <v>1</v>
      </c>
      <c r="I53" s="41">
        <v>0</v>
      </c>
      <c r="J53" s="41">
        <v>0</v>
      </c>
      <c r="K53" s="41" t="s">
        <v>106</v>
      </c>
      <c r="L53" s="41" t="s">
        <v>111</v>
      </c>
      <c r="M53" s="41">
        <v>0</v>
      </c>
      <c r="N53" s="41">
        <v>0</v>
      </c>
      <c r="O53" s="41">
        <v>0</v>
      </c>
      <c r="P53" s="48">
        <v>0</v>
      </c>
    </row>
    <row r="54" spans="1:16" ht="29.1" customHeight="1">
      <c r="A54" s="43">
        <v>49</v>
      </c>
      <c r="B54" s="41" t="s">
        <v>139</v>
      </c>
      <c r="C54" s="102" t="s">
        <v>104</v>
      </c>
      <c r="D54" s="43"/>
      <c r="E54" s="41" t="s">
        <v>30</v>
      </c>
      <c r="F54" s="59">
        <v>55</v>
      </c>
      <c r="G54" s="49">
        <v>35</v>
      </c>
      <c r="H54" s="49">
        <v>35</v>
      </c>
      <c r="I54" s="41">
        <v>0</v>
      </c>
      <c r="J54" s="41">
        <v>0</v>
      </c>
      <c r="K54" s="41" t="s">
        <v>108</v>
      </c>
      <c r="L54" s="41" t="s">
        <v>109</v>
      </c>
      <c r="M54" s="41">
        <v>0</v>
      </c>
      <c r="N54" s="41">
        <v>0</v>
      </c>
      <c r="O54" s="41">
        <v>0</v>
      </c>
      <c r="P54" s="48">
        <v>0</v>
      </c>
    </row>
    <row r="55" spans="1:16" ht="29.1" customHeight="1">
      <c r="A55" s="43">
        <v>50</v>
      </c>
      <c r="B55" s="41" t="s">
        <v>139</v>
      </c>
      <c r="C55" s="102" t="s">
        <v>66</v>
      </c>
      <c r="D55" s="43"/>
      <c r="E55" s="41" t="s">
        <v>105</v>
      </c>
      <c r="F55" s="59">
        <v>680</v>
      </c>
      <c r="G55" s="49">
        <v>680</v>
      </c>
      <c r="H55" s="49">
        <v>680</v>
      </c>
      <c r="I55" s="41">
        <v>0</v>
      </c>
      <c r="J55" s="41">
        <v>0</v>
      </c>
      <c r="K55" s="41" t="s">
        <v>106</v>
      </c>
      <c r="L55" s="41" t="s">
        <v>111</v>
      </c>
      <c r="M55" s="41">
        <v>0</v>
      </c>
      <c r="N55" s="41">
        <v>0</v>
      </c>
      <c r="O55" s="41">
        <v>0</v>
      </c>
      <c r="P55" s="48">
        <v>0</v>
      </c>
    </row>
    <row r="56" spans="1:16" ht="29.1" customHeight="1">
      <c r="A56" s="43">
        <v>51</v>
      </c>
      <c r="B56" s="41" t="s">
        <v>139</v>
      </c>
      <c r="C56" s="43" t="s">
        <v>130</v>
      </c>
      <c r="D56" s="43"/>
      <c r="E56" s="41" t="s">
        <v>30</v>
      </c>
      <c r="F56" s="49">
        <v>390</v>
      </c>
      <c r="G56" s="49">
        <v>390</v>
      </c>
      <c r="H56" s="49">
        <v>359</v>
      </c>
      <c r="I56" s="41">
        <v>0</v>
      </c>
      <c r="J56" s="41">
        <v>0</v>
      </c>
      <c r="K56" s="41" t="s">
        <v>106</v>
      </c>
      <c r="L56" s="41" t="s">
        <v>111</v>
      </c>
      <c r="M56" s="41"/>
      <c r="N56" s="41"/>
      <c r="O56" s="41"/>
      <c r="P56" s="48">
        <v>0</v>
      </c>
    </row>
    <row r="57" spans="1:16" ht="29.1" customHeight="1">
      <c r="A57" s="43">
        <v>52</v>
      </c>
      <c r="B57" s="41" t="s">
        <v>139</v>
      </c>
      <c r="C57" s="102" t="s">
        <v>65</v>
      </c>
      <c r="D57" s="43"/>
      <c r="E57" s="41" t="s">
        <v>105</v>
      </c>
      <c r="F57" s="59">
        <v>225</v>
      </c>
      <c r="G57" s="49">
        <v>60</v>
      </c>
      <c r="H57" s="49">
        <v>60</v>
      </c>
      <c r="I57" s="41">
        <v>0</v>
      </c>
      <c r="J57" s="41">
        <v>0</v>
      </c>
      <c r="K57" s="41" t="s">
        <v>108</v>
      </c>
      <c r="L57" s="41" t="s">
        <v>109</v>
      </c>
      <c r="M57" s="41">
        <v>0</v>
      </c>
      <c r="N57" s="41">
        <v>0</v>
      </c>
      <c r="O57" s="41">
        <v>0</v>
      </c>
      <c r="P57" s="48">
        <v>0</v>
      </c>
    </row>
    <row r="58" spans="1:16" ht="29.1" customHeight="1">
      <c r="A58" s="43">
        <v>53</v>
      </c>
      <c r="B58" s="41" t="s">
        <v>139</v>
      </c>
      <c r="C58" s="102" t="s">
        <v>68</v>
      </c>
      <c r="D58" s="43"/>
      <c r="E58" s="41" t="s">
        <v>113</v>
      </c>
      <c r="F58" s="59">
        <v>20407</v>
      </c>
      <c r="G58" s="49">
        <v>108</v>
      </c>
      <c r="H58" s="49">
        <v>108</v>
      </c>
      <c r="I58" s="41">
        <v>0</v>
      </c>
      <c r="J58" s="41">
        <v>0</v>
      </c>
      <c r="K58" s="41" t="s">
        <v>108</v>
      </c>
      <c r="L58" s="41" t="s">
        <v>114</v>
      </c>
      <c r="M58" s="41">
        <v>0</v>
      </c>
      <c r="N58" s="41">
        <v>0</v>
      </c>
      <c r="O58" s="41">
        <v>0</v>
      </c>
      <c r="P58" s="48">
        <v>0</v>
      </c>
    </row>
    <row r="59" spans="1:16" ht="29.1" customHeight="1">
      <c r="A59" s="43">
        <v>54</v>
      </c>
      <c r="B59" s="41" t="s">
        <v>139</v>
      </c>
      <c r="C59" s="43" t="s">
        <v>131</v>
      </c>
      <c r="D59" s="43"/>
      <c r="E59" s="41" t="s">
        <v>30</v>
      </c>
      <c r="F59" s="49">
        <v>388</v>
      </c>
      <c r="G59" s="49">
        <v>388</v>
      </c>
      <c r="H59" s="49">
        <v>388</v>
      </c>
      <c r="I59" s="41">
        <v>0</v>
      </c>
      <c r="J59" s="41">
        <v>0</v>
      </c>
      <c r="K59" s="41" t="s">
        <v>106</v>
      </c>
      <c r="L59" s="41" t="s">
        <v>111</v>
      </c>
      <c r="M59" s="41">
        <v>0</v>
      </c>
      <c r="N59" s="41">
        <v>0</v>
      </c>
      <c r="O59" s="41">
        <v>0</v>
      </c>
      <c r="P59" s="48">
        <v>0</v>
      </c>
    </row>
    <row r="60" spans="1:16" ht="29.1" customHeight="1">
      <c r="A60" s="43">
        <v>55</v>
      </c>
      <c r="B60" s="41" t="s">
        <v>139</v>
      </c>
      <c r="C60" s="102" t="s">
        <v>70</v>
      </c>
      <c r="D60" s="43"/>
      <c r="E60" s="41" t="s">
        <v>105</v>
      </c>
      <c r="F60" s="59">
        <v>274</v>
      </c>
      <c r="G60" s="49">
        <v>274</v>
      </c>
      <c r="H60" s="49">
        <v>274</v>
      </c>
      <c r="I60" s="41">
        <v>0</v>
      </c>
      <c r="J60" s="41">
        <v>0</v>
      </c>
      <c r="K60" s="41" t="s">
        <v>108</v>
      </c>
      <c r="L60" s="41" t="s">
        <v>109</v>
      </c>
      <c r="M60" s="41">
        <v>0</v>
      </c>
      <c r="N60" s="41">
        <v>0</v>
      </c>
      <c r="O60" s="41">
        <v>0</v>
      </c>
      <c r="P60" s="48">
        <v>0</v>
      </c>
    </row>
    <row r="61" spans="1:16" ht="29.1" customHeight="1">
      <c r="A61" s="43">
        <v>56</v>
      </c>
      <c r="B61" s="41" t="s">
        <v>139</v>
      </c>
      <c r="C61" s="102" t="s">
        <v>67</v>
      </c>
      <c r="D61" s="43"/>
      <c r="E61" s="41" t="s">
        <v>112</v>
      </c>
      <c r="F61" s="59">
        <v>1061</v>
      </c>
      <c r="G61" s="49">
        <v>427</v>
      </c>
      <c r="H61" s="49">
        <v>427</v>
      </c>
      <c r="I61" s="41">
        <v>0</v>
      </c>
      <c r="J61" s="41">
        <v>0</v>
      </c>
      <c r="K61" s="41" t="s">
        <v>108</v>
      </c>
      <c r="L61" s="41" t="s">
        <v>109</v>
      </c>
      <c r="M61" s="41">
        <v>0</v>
      </c>
      <c r="N61" s="41">
        <v>0</v>
      </c>
      <c r="O61" s="41">
        <v>0</v>
      </c>
      <c r="P61" s="48">
        <v>0</v>
      </c>
    </row>
    <row r="62" spans="1:16" ht="29.1" customHeight="1">
      <c r="A62" s="43">
        <v>57</v>
      </c>
      <c r="B62" s="41" t="s">
        <v>139</v>
      </c>
      <c r="C62" s="43" t="s">
        <v>132</v>
      </c>
      <c r="D62" s="43"/>
      <c r="E62" s="41" t="s">
        <v>30</v>
      </c>
      <c r="F62" s="49">
        <v>97</v>
      </c>
      <c r="G62" s="49">
        <v>97</v>
      </c>
      <c r="H62" s="49">
        <v>97</v>
      </c>
      <c r="I62" s="41">
        <v>0</v>
      </c>
      <c r="J62" s="41">
        <v>0</v>
      </c>
      <c r="K62" s="41" t="s">
        <v>106</v>
      </c>
      <c r="L62" s="41" t="s">
        <v>111</v>
      </c>
      <c r="M62" s="41">
        <v>0</v>
      </c>
      <c r="N62" s="41">
        <v>0</v>
      </c>
      <c r="O62" s="41">
        <v>0</v>
      </c>
      <c r="P62" s="48">
        <v>0</v>
      </c>
    </row>
    <row r="63" spans="1:16" ht="29.1" customHeight="1">
      <c r="A63" s="43">
        <v>58</v>
      </c>
      <c r="B63" s="41" t="s">
        <v>139</v>
      </c>
      <c r="C63" s="102" t="s">
        <v>69</v>
      </c>
      <c r="D63" s="43"/>
      <c r="E63" s="41" t="s">
        <v>105</v>
      </c>
      <c r="F63" s="59">
        <v>654</v>
      </c>
      <c r="G63" s="49">
        <v>308</v>
      </c>
      <c r="H63" s="49">
        <v>308</v>
      </c>
      <c r="I63" s="41">
        <v>0</v>
      </c>
      <c r="J63" s="41">
        <v>0</v>
      </c>
      <c r="K63" s="41" t="s">
        <v>106</v>
      </c>
      <c r="L63" s="41" t="s">
        <v>111</v>
      </c>
      <c r="M63" s="41">
        <v>0</v>
      </c>
      <c r="N63" s="41">
        <v>0</v>
      </c>
      <c r="O63" s="41">
        <v>0</v>
      </c>
      <c r="P63" s="48">
        <v>0</v>
      </c>
    </row>
    <row r="64" spans="1:16" ht="29.1" customHeight="1">
      <c r="A64" s="43">
        <v>59</v>
      </c>
      <c r="B64" s="41" t="s">
        <v>139</v>
      </c>
      <c r="C64" s="43" t="s">
        <v>133</v>
      </c>
      <c r="D64" s="43"/>
      <c r="E64" s="41" t="s">
        <v>105</v>
      </c>
      <c r="F64" s="49">
        <v>2</v>
      </c>
      <c r="G64" s="49">
        <v>2</v>
      </c>
      <c r="H64" s="49">
        <v>2</v>
      </c>
      <c r="I64" s="41">
        <v>0</v>
      </c>
      <c r="J64" s="41">
        <v>0</v>
      </c>
      <c r="K64" s="41" t="s">
        <v>106</v>
      </c>
      <c r="L64" s="41" t="s">
        <v>111</v>
      </c>
      <c r="M64" s="41">
        <v>0</v>
      </c>
      <c r="N64" s="41">
        <v>0</v>
      </c>
      <c r="O64" s="41"/>
      <c r="P64" s="48">
        <v>0</v>
      </c>
    </row>
    <row r="65" spans="1:16" ht="29.1" customHeight="1">
      <c r="A65" s="43">
        <v>0</v>
      </c>
      <c r="B65" s="41"/>
      <c r="C65" s="102"/>
      <c r="D65" s="43"/>
      <c r="E65" s="41" t="s">
        <v>118</v>
      </c>
      <c r="F65" s="59"/>
      <c r="G65" s="49"/>
      <c r="H65" s="49"/>
      <c r="I65" s="41" t="s">
        <v>118</v>
      </c>
      <c r="J65" s="41" t="s">
        <v>118</v>
      </c>
      <c r="K65" s="41" t="s">
        <v>118</v>
      </c>
      <c r="L65" s="41" t="s">
        <v>118</v>
      </c>
      <c r="M65" s="41" t="s">
        <v>118</v>
      </c>
      <c r="N65" s="41" t="s">
        <v>118</v>
      </c>
      <c r="O65" s="41" t="s">
        <v>118</v>
      </c>
      <c r="P65" s="48" t="s">
        <v>118</v>
      </c>
    </row>
    <row r="66" spans="1:16" ht="29.1" customHeight="1">
      <c r="A66" s="43">
        <v>0</v>
      </c>
      <c r="B66" s="41"/>
      <c r="C66" s="102"/>
      <c r="D66" s="43"/>
      <c r="E66" s="41" t="s">
        <v>118</v>
      </c>
      <c r="F66" s="59"/>
      <c r="G66" s="49"/>
      <c r="H66" s="49"/>
      <c r="I66" s="41" t="s">
        <v>118</v>
      </c>
      <c r="J66" s="41" t="s">
        <v>118</v>
      </c>
      <c r="K66" s="41" t="s">
        <v>118</v>
      </c>
      <c r="L66" s="41" t="s">
        <v>118</v>
      </c>
      <c r="M66" s="41" t="s">
        <v>118</v>
      </c>
      <c r="N66" s="41" t="s">
        <v>118</v>
      </c>
      <c r="O66" s="41" t="s">
        <v>118</v>
      </c>
      <c r="P66" s="48" t="s">
        <v>118</v>
      </c>
    </row>
    <row r="67" spans="1:16" ht="29.1" customHeight="1">
      <c r="A67" s="136" t="s">
        <v>142</v>
      </c>
      <c r="B67" s="137"/>
      <c r="C67" s="137"/>
      <c r="D67" s="138"/>
      <c r="E67" s="41" t="s">
        <v>118</v>
      </c>
      <c r="F67" s="59">
        <f>SUM(F6:F66)</f>
        <v>486746</v>
      </c>
      <c r="G67" s="59">
        <f>SUM(G6:G66)</f>
        <v>12408</v>
      </c>
      <c r="H67" s="59">
        <f>SUM(H6:H66)</f>
        <v>12377</v>
      </c>
      <c r="I67" s="41" t="s">
        <v>118</v>
      </c>
      <c r="J67" s="41" t="s">
        <v>118</v>
      </c>
      <c r="K67" s="41" t="s">
        <v>118</v>
      </c>
      <c r="L67" s="41" t="s">
        <v>118</v>
      </c>
      <c r="M67" s="41" t="s">
        <v>118</v>
      </c>
      <c r="N67" s="41" t="s">
        <v>118</v>
      </c>
      <c r="O67" s="41" t="s">
        <v>118</v>
      </c>
      <c r="P67" s="48" t="s">
        <v>118</v>
      </c>
    </row>
    <row r="68" spans="1:16" ht="29.1" customHeight="1">
      <c r="A68" s="44">
        <v>0</v>
      </c>
      <c r="B68" s="97"/>
      <c r="C68" s="42"/>
      <c r="D68" s="42"/>
      <c r="E68" s="41" t="s">
        <v>118</v>
      </c>
      <c r="F68" s="59"/>
      <c r="G68" s="49"/>
      <c r="H68" s="49"/>
      <c r="I68" s="41" t="s">
        <v>118</v>
      </c>
      <c r="J68" s="41" t="s">
        <v>118</v>
      </c>
      <c r="K68" s="41" t="s">
        <v>118</v>
      </c>
      <c r="L68" s="41" t="s">
        <v>118</v>
      </c>
      <c r="M68" s="41" t="s">
        <v>118</v>
      </c>
      <c r="N68" s="41" t="s">
        <v>118</v>
      </c>
      <c r="O68" s="41" t="s">
        <v>118</v>
      </c>
      <c r="P68" s="48" t="s">
        <v>118</v>
      </c>
    </row>
    <row r="69" spans="1:16" ht="29.1" customHeight="1">
      <c r="A69" s="44">
        <v>0</v>
      </c>
      <c r="B69" s="97"/>
      <c r="C69" s="42"/>
      <c r="D69" s="42"/>
      <c r="E69" s="41" t="s">
        <v>118</v>
      </c>
      <c r="F69" s="59"/>
      <c r="G69" s="49"/>
      <c r="H69" s="49"/>
      <c r="I69" s="41" t="s">
        <v>118</v>
      </c>
      <c r="J69" s="41" t="s">
        <v>118</v>
      </c>
      <c r="K69" s="41" t="s">
        <v>118</v>
      </c>
      <c r="L69" s="41" t="s">
        <v>118</v>
      </c>
      <c r="M69" s="41" t="s">
        <v>118</v>
      </c>
      <c r="N69" s="41" t="s">
        <v>118</v>
      </c>
      <c r="O69" s="41" t="s">
        <v>118</v>
      </c>
      <c r="P69" s="48" t="s">
        <v>118</v>
      </c>
    </row>
    <row r="70" spans="1:16" ht="29.1" customHeight="1">
      <c r="A70" s="44">
        <v>0</v>
      </c>
      <c r="B70" s="97"/>
      <c r="C70" s="42"/>
      <c r="D70" s="42"/>
      <c r="E70" s="41" t="s">
        <v>118</v>
      </c>
      <c r="F70" s="59"/>
      <c r="G70" s="49"/>
      <c r="H70" s="49"/>
      <c r="I70" s="41" t="s">
        <v>118</v>
      </c>
      <c r="J70" s="41" t="s">
        <v>118</v>
      </c>
      <c r="K70" s="41" t="s">
        <v>118</v>
      </c>
      <c r="L70" s="41" t="s">
        <v>118</v>
      </c>
      <c r="M70" s="41" t="s">
        <v>118</v>
      </c>
      <c r="N70" s="41" t="s">
        <v>118</v>
      </c>
      <c r="O70" s="41" t="s">
        <v>118</v>
      </c>
      <c r="P70" s="48" t="s">
        <v>118</v>
      </c>
    </row>
    <row r="71" spans="1:16" ht="29.1" customHeight="1">
      <c r="A71" s="44">
        <v>0</v>
      </c>
      <c r="B71" s="97"/>
      <c r="C71" s="42"/>
      <c r="D71" s="42"/>
      <c r="E71" s="41" t="s">
        <v>118</v>
      </c>
      <c r="F71" s="59"/>
      <c r="G71" s="49"/>
      <c r="H71" s="49"/>
      <c r="I71" s="41" t="s">
        <v>118</v>
      </c>
      <c r="J71" s="41" t="s">
        <v>118</v>
      </c>
      <c r="K71" s="41" t="s">
        <v>118</v>
      </c>
      <c r="L71" s="41" t="s">
        <v>118</v>
      </c>
      <c r="M71" s="41" t="s">
        <v>118</v>
      </c>
      <c r="N71" s="41" t="s">
        <v>118</v>
      </c>
      <c r="O71" s="41" t="s">
        <v>118</v>
      </c>
      <c r="P71" s="48" t="s">
        <v>118</v>
      </c>
    </row>
    <row r="72" spans="1:16" ht="29.1" customHeight="1">
      <c r="A72" s="44">
        <v>0</v>
      </c>
      <c r="B72" s="97"/>
      <c r="C72" s="42"/>
      <c r="D72" s="42"/>
      <c r="E72" s="41" t="s">
        <v>118</v>
      </c>
      <c r="F72" s="59"/>
      <c r="G72" s="49"/>
      <c r="H72" s="49"/>
      <c r="I72" s="41" t="s">
        <v>118</v>
      </c>
      <c r="J72" s="41" t="s">
        <v>118</v>
      </c>
      <c r="K72" s="41" t="s">
        <v>118</v>
      </c>
      <c r="L72" s="41" t="s">
        <v>118</v>
      </c>
      <c r="M72" s="41" t="s">
        <v>118</v>
      </c>
      <c r="N72" s="41" t="s">
        <v>118</v>
      </c>
      <c r="O72" s="41" t="s">
        <v>118</v>
      </c>
      <c r="P72" s="48" t="s">
        <v>118</v>
      </c>
    </row>
    <row r="73" spans="1:16" ht="29.1" customHeight="1">
      <c r="A73" s="44">
        <v>0</v>
      </c>
      <c r="B73" s="97"/>
      <c r="C73" s="42"/>
      <c r="D73" s="42"/>
      <c r="E73" s="41" t="s">
        <v>118</v>
      </c>
      <c r="F73" s="59"/>
      <c r="G73" s="49"/>
      <c r="H73" s="49"/>
      <c r="I73" s="41" t="s">
        <v>118</v>
      </c>
      <c r="J73" s="41" t="s">
        <v>118</v>
      </c>
      <c r="K73" s="41" t="s">
        <v>118</v>
      </c>
      <c r="L73" s="41" t="s">
        <v>118</v>
      </c>
      <c r="M73" s="41" t="s">
        <v>118</v>
      </c>
      <c r="N73" s="41" t="s">
        <v>118</v>
      </c>
      <c r="O73" s="41" t="s">
        <v>118</v>
      </c>
      <c r="P73" s="48" t="s">
        <v>118</v>
      </c>
    </row>
    <row r="74" spans="1:16" ht="29.1" customHeight="1">
      <c r="A74" s="44">
        <v>0</v>
      </c>
      <c r="B74" s="97"/>
      <c r="C74" s="42"/>
      <c r="D74" s="42"/>
      <c r="E74" s="41" t="s">
        <v>118</v>
      </c>
      <c r="F74" s="59"/>
      <c r="G74" s="49"/>
      <c r="H74" s="49"/>
      <c r="I74" s="41" t="s">
        <v>118</v>
      </c>
      <c r="J74" s="41" t="s">
        <v>118</v>
      </c>
      <c r="K74" s="41" t="s">
        <v>118</v>
      </c>
      <c r="L74" s="41" t="s">
        <v>118</v>
      </c>
      <c r="M74" s="41" t="s">
        <v>118</v>
      </c>
      <c r="N74" s="41" t="s">
        <v>118</v>
      </c>
      <c r="O74" s="41" t="s">
        <v>118</v>
      </c>
      <c r="P74" s="48" t="s">
        <v>118</v>
      </c>
    </row>
    <row r="75" spans="1:16" ht="29.1" customHeight="1">
      <c r="A75" s="44">
        <v>0</v>
      </c>
      <c r="B75" s="97"/>
      <c r="C75" s="42"/>
      <c r="D75" s="42"/>
      <c r="E75" s="41" t="s">
        <v>118</v>
      </c>
      <c r="F75" s="59"/>
      <c r="G75" s="49"/>
      <c r="H75" s="49"/>
      <c r="I75" s="41" t="s">
        <v>118</v>
      </c>
      <c r="J75" s="41" t="s">
        <v>118</v>
      </c>
      <c r="K75" s="41" t="s">
        <v>118</v>
      </c>
      <c r="L75" s="41" t="s">
        <v>118</v>
      </c>
      <c r="M75" s="41" t="s">
        <v>118</v>
      </c>
      <c r="N75" s="41" t="s">
        <v>118</v>
      </c>
      <c r="O75" s="41" t="s">
        <v>118</v>
      </c>
      <c r="P75" s="48" t="s">
        <v>118</v>
      </c>
    </row>
    <row r="76" spans="1:16" ht="29.1" customHeight="1">
      <c r="A76" s="44">
        <v>0</v>
      </c>
      <c r="B76" s="97"/>
      <c r="C76" s="42"/>
      <c r="D76" s="42"/>
      <c r="E76" s="41" t="s">
        <v>118</v>
      </c>
      <c r="F76" s="59"/>
      <c r="G76" s="49"/>
      <c r="H76" s="49"/>
      <c r="I76" s="41" t="s">
        <v>118</v>
      </c>
      <c r="J76" s="41" t="s">
        <v>118</v>
      </c>
      <c r="K76" s="41" t="s">
        <v>118</v>
      </c>
      <c r="L76" s="41" t="s">
        <v>118</v>
      </c>
      <c r="M76" s="41" t="s">
        <v>118</v>
      </c>
      <c r="N76" s="41" t="s">
        <v>118</v>
      </c>
      <c r="O76" s="41" t="s">
        <v>118</v>
      </c>
      <c r="P76" s="48" t="s">
        <v>118</v>
      </c>
    </row>
    <row r="77" spans="1:16" ht="29.1" customHeight="1">
      <c r="A77" s="44">
        <v>0</v>
      </c>
      <c r="B77" s="97"/>
      <c r="C77" s="42"/>
      <c r="D77" s="42"/>
      <c r="E77" s="41" t="s">
        <v>118</v>
      </c>
      <c r="F77" s="59"/>
      <c r="G77" s="49"/>
      <c r="H77" s="49"/>
      <c r="I77" s="41" t="s">
        <v>118</v>
      </c>
      <c r="J77" s="41" t="s">
        <v>118</v>
      </c>
      <c r="K77" s="41" t="s">
        <v>118</v>
      </c>
      <c r="L77" s="41" t="s">
        <v>118</v>
      </c>
      <c r="M77" s="41" t="s">
        <v>118</v>
      </c>
      <c r="N77" s="41" t="s">
        <v>118</v>
      </c>
      <c r="O77" s="41" t="s">
        <v>118</v>
      </c>
      <c r="P77" s="48" t="s">
        <v>118</v>
      </c>
    </row>
    <row r="78" spans="1:16" ht="29.1" customHeight="1">
      <c r="A78" s="44">
        <v>0</v>
      </c>
      <c r="B78" s="97"/>
      <c r="C78" s="42"/>
      <c r="D78" s="42"/>
      <c r="E78" s="41" t="s">
        <v>118</v>
      </c>
      <c r="F78" s="59"/>
      <c r="G78" s="49"/>
      <c r="H78" s="49"/>
      <c r="I78" s="41" t="s">
        <v>118</v>
      </c>
      <c r="J78" s="41" t="s">
        <v>118</v>
      </c>
      <c r="K78" s="41" t="s">
        <v>118</v>
      </c>
      <c r="L78" s="41" t="s">
        <v>118</v>
      </c>
      <c r="M78" s="41" t="s">
        <v>118</v>
      </c>
      <c r="N78" s="41" t="s">
        <v>118</v>
      </c>
      <c r="O78" s="41" t="s">
        <v>118</v>
      </c>
      <c r="P78" s="48" t="s">
        <v>118</v>
      </c>
    </row>
    <row r="79" spans="1:16" ht="29.1" customHeight="1">
      <c r="A79" s="44">
        <v>0</v>
      </c>
      <c r="B79" s="97"/>
      <c r="C79" s="42"/>
      <c r="D79" s="42"/>
      <c r="E79" s="41" t="s">
        <v>118</v>
      </c>
      <c r="F79" s="59"/>
      <c r="G79" s="49"/>
      <c r="H79" s="49"/>
      <c r="I79" s="41" t="s">
        <v>118</v>
      </c>
      <c r="J79" s="41" t="s">
        <v>118</v>
      </c>
      <c r="K79" s="41" t="s">
        <v>118</v>
      </c>
      <c r="L79" s="41" t="s">
        <v>118</v>
      </c>
      <c r="M79" s="41" t="s">
        <v>118</v>
      </c>
      <c r="N79" s="41" t="s">
        <v>118</v>
      </c>
      <c r="O79" s="41" t="s">
        <v>118</v>
      </c>
      <c r="P79" s="48" t="s">
        <v>118</v>
      </c>
    </row>
    <row r="80" spans="1:16" ht="29.1" customHeight="1">
      <c r="A80" s="44">
        <v>0</v>
      </c>
      <c r="B80" s="97"/>
      <c r="C80" s="42"/>
      <c r="D80" s="42"/>
      <c r="E80" s="41" t="s">
        <v>118</v>
      </c>
      <c r="F80" s="59"/>
      <c r="G80" s="49"/>
      <c r="H80" s="49"/>
      <c r="I80" s="41" t="s">
        <v>118</v>
      </c>
      <c r="J80" s="41" t="s">
        <v>118</v>
      </c>
      <c r="K80" s="41" t="s">
        <v>118</v>
      </c>
      <c r="L80" s="41" t="s">
        <v>118</v>
      </c>
      <c r="M80" s="41" t="s">
        <v>118</v>
      </c>
      <c r="N80" s="41" t="s">
        <v>118</v>
      </c>
      <c r="O80" s="41" t="s">
        <v>118</v>
      </c>
      <c r="P80" s="48" t="s">
        <v>118</v>
      </c>
    </row>
    <row r="81" spans="1:16" ht="29.1" customHeight="1">
      <c r="A81" s="44">
        <v>0</v>
      </c>
      <c r="B81" s="97"/>
      <c r="C81" s="42"/>
      <c r="D81" s="42"/>
      <c r="E81" s="41" t="s">
        <v>118</v>
      </c>
      <c r="F81" s="49"/>
      <c r="G81" s="49"/>
      <c r="H81" s="49"/>
      <c r="I81" s="41" t="s">
        <v>118</v>
      </c>
      <c r="J81" s="41" t="s">
        <v>118</v>
      </c>
      <c r="K81" s="41" t="s">
        <v>118</v>
      </c>
      <c r="L81" s="41" t="s">
        <v>118</v>
      </c>
      <c r="M81" s="41" t="s">
        <v>118</v>
      </c>
      <c r="N81" s="41" t="s">
        <v>118</v>
      </c>
      <c r="O81" s="41" t="s">
        <v>118</v>
      </c>
      <c r="P81" s="48" t="s">
        <v>118</v>
      </c>
    </row>
    <row r="82" spans="1:16" ht="29.1" customHeight="1" thickBot="1">
      <c r="A82" s="60"/>
      <c r="B82" s="99"/>
      <c r="C82" s="61"/>
      <c r="D82" s="61"/>
      <c r="E82" s="62"/>
      <c r="F82" s="63"/>
      <c r="G82" s="64"/>
      <c r="H82" s="64"/>
      <c r="I82" s="65"/>
      <c r="J82" s="66"/>
      <c r="K82" s="62"/>
      <c r="L82" s="67"/>
      <c r="M82" s="67"/>
      <c r="N82" s="67"/>
      <c r="O82" s="68"/>
      <c r="P82" s="69"/>
    </row>
    <row r="83" spans="1:16" ht="29.1" customHeight="1" thickTop="1">
      <c r="A83" s="50"/>
      <c r="B83" s="100"/>
      <c r="C83" s="51"/>
      <c r="D83" s="51"/>
      <c r="E83" s="52"/>
      <c r="F83" s="53"/>
      <c r="G83" s="86"/>
      <c r="H83" s="86"/>
      <c r="I83" s="54"/>
      <c r="J83" s="55"/>
      <c r="K83" s="56"/>
      <c r="L83" s="56"/>
      <c r="M83" s="56"/>
      <c r="N83" s="56"/>
      <c r="O83" s="57"/>
      <c r="P83" s="58"/>
    </row>
    <row r="84" spans="1:16" ht="29.1" customHeight="1"/>
    <row r="85" spans="1:16" ht="29.1" customHeight="1"/>
    <row r="86" spans="1:16" ht="29.1" customHeight="1"/>
    <row r="87" spans="1:16" ht="29.1" customHeight="1"/>
    <row r="88" spans="1:16" ht="29.1" customHeight="1"/>
    <row r="89" spans="1:16" ht="29.1" customHeight="1"/>
    <row r="90" spans="1:16" ht="29.1" customHeight="1"/>
    <row r="91" spans="1:16" ht="29.1" customHeight="1"/>
    <row r="92" spans="1:16" ht="29.1" customHeight="1"/>
    <row r="93" spans="1:16" ht="29.1" customHeight="1"/>
    <row r="94" spans="1:16" ht="29.1" customHeight="1"/>
    <row r="95" spans="1:16" ht="29.1" customHeight="1"/>
    <row r="96" spans="1:16" ht="29.1" customHeight="1"/>
    <row r="97" ht="29.1" customHeight="1"/>
    <row r="98" ht="29.1" customHeight="1"/>
    <row r="99" ht="29.1" customHeight="1"/>
    <row r="100" ht="29.1" customHeight="1"/>
    <row r="101" ht="29.1" customHeight="1"/>
    <row r="102" ht="29.1" customHeight="1"/>
    <row r="103" ht="29.1" customHeight="1"/>
    <row r="104" ht="29.1" customHeight="1"/>
    <row r="105" ht="29.1" customHeight="1"/>
  </sheetData>
  <mergeCells count="11">
    <mergeCell ref="A67:D67"/>
    <mergeCell ref="C3:D4"/>
    <mergeCell ref="P3:P5"/>
    <mergeCell ref="F3:F5"/>
    <mergeCell ref="E3:E5"/>
    <mergeCell ref="A3:A5"/>
    <mergeCell ref="I3:J4"/>
    <mergeCell ref="K3:L4"/>
    <mergeCell ref="M3:O4"/>
    <mergeCell ref="G3:H4"/>
    <mergeCell ref="B3:B5"/>
  </mergeCells>
  <phoneticPr fontId="6" type="noConversion"/>
  <printOptions horizontalCentered="1"/>
  <pageMargins left="0.19685039370078741" right="0.19685039370078741" top="0.98425196850393704" bottom="0.39370078740157483" header="0.78740157480314965" footer="0.19685039370078741"/>
  <pageSetup paperSize="9" scale="79" orientation="portrait" r:id="rId1"/>
  <headerFooter alignWithMargins="0"/>
  <rowBreaks count="2" manualBreakCount="2">
    <brk id="25" max="15" man="1"/>
    <brk id="4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변경집계</vt:lpstr>
      <vt:lpstr>토지세목조서</vt:lpstr>
      <vt:lpstr>변경집계!Print_Area</vt:lpstr>
      <vt:lpstr>토지세목조서!Print_Area</vt:lpstr>
      <vt:lpstr>토지세목조서!Print_Titles</vt:lpstr>
    </vt:vector>
  </TitlesOfParts>
  <Company>(주)도우엔지니어즈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전승식</dc:creator>
  <cp:lastModifiedBy>user</cp:lastModifiedBy>
  <cp:lastPrinted>2017-03-20T23:57:17Z</cp:lastPrinted>
  <dcterms:created xsi:type="dcterms:W3CDTF">2003-05-15T02:10:11Z</dcterms:created>
  <dcterms:modified xsi:type="dcterms:W3CDTF">2018-11-06T23:51:34Z</dcterms:modified>
</cp:coreProperties>
</file>